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ham\Projects\galaxysk\qpt_stress_test\excel\"/>
    </mc:Choice>
  </mc:AlternateContent>
  <xr:revisionPtr revIDLastSave="0" documentId="8_{04C6DA83-DB5C-40C7-ABE5-D7036212C388}" xr6:coauthVersionLast="47" xr6:coauthVersionMax="47" xr10:uidLastSave="{00000000-0000-0000-0000-000000000000}"/>
  <bookViews>
    <workbookView xWindow="38775" yWindow="1725" windowWidth="37740" windowHeight="19650" tabRatio="804" activeTab="4" xr2:uid="{00000000-000D-0000-FFFF-FFFF00000000}"/>
  </bookViews>
  <sheets>
    <sheet name="Basis" sheetId="37" r:id="rId1"/>
    <sheet name="Trading Positions" sheetId="35" r:id="rId2"/>
    <sheet name="NetAssets" sheetId="36" r:id="rId3"/>
    <sheet name="Futures &amp; Perps Summary" sheetId="11" r:id="rId4"/>
    <sheet name="Exchange-Positions Day-On-Day" sheetId="47" r:id="rId5"/>
    <sheet name="Exchange-Positions" sheetId="34" r:id="rId6"/>
    <sheet name="Futures &amp; Perps Shifted" sheetId="38" r:id="rId7"/>
    <sheet name="asset_&amp;_open_positions" sheetId="12" r:id="rId8"/>
    <sheet name="net_open_positions" sheetId="40" r:id="rId9"/>
    <sheet name="Exchange Balance NAV Recon" sheetId="46" r:id="rId10"/>
    <sheet name="NAV Reconcilation" sheetId="48" r:id="rId11"/>
    <sheet name="Summary_Exchange_Balances_00UTC" sheetId="45" r:id="rId12"/>
    <sheet name="raw_exchange_data" sheetId="50" r:id="rId13"/>
    <sheet name="Mappings" sheetId="13" r:id="rId14"/>
    <sheet name="Config" sheetId="49" r:id="rId15"/>
  </sheets>
  <definedNames>
    <definedName name="_xlnm._FilterDatabase" localSheetId="7" hidden="1">'asset_&amp;_open_positions'!$A$1:$Y$554</definedName>
    <definedName name="_xlnm._FilterDatabase" localSheetId="8" hidden="1">net_open_positions!$A$1:$AH$554</definedName>
    <definedName name="_xlnm._FilterDatabase" localSheetId="2" hidden="1">NetAssets!$AE$1:$BB$97</definedName>
    <definedName name="_xlnm._FilterDatabase" localSheetId="11" hidden="1">Summary_Exchange_Balances_00UTC!$A$1:$N$455</definedName>
    <definedName name="_xlnm._FilterDatabase" localSheetId="1" hidden="1">'Trading Positions'!$C$1:$AA$168</definedName>
    <definedName name="DataDirectory">Config!$B$2</definedName>
    <definedName name="Default_Exchange">'asset_&amp;_open_positions'!$AF$3</definedName>
    <definedName name="DefaultScenario">'asset_&amp;_open_positions'!$AF$2</definedName>
    <definedName name="LatestGrandTotal">'Exchange-Positions Day-On-Day'!$P$5:$AC$5</definedName>
    <definedName name="LGD">'asset_&amp;_open_positions'!$AF$4</definedName>
    <definedName name="NAVReportLabelMap">'NAV Reconcilation'!$W$7:$X$54</definedName>
    <definedName name="RunningTotalHeader">'Exchange-Positions Day-On-Day'!$P$4:$AC$4</definedName>
    <definedName name="solver_adj" localSheetId="8" hidden="1">net_open_positions!$AA$6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net_open_positions!$AF$10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potUSDRateTable">Mappings!$Q:$R</definedName>
    <definedName name="TodaysExchangePosition">'Exchange-Positions Day-On-Day'!$B$11:$M$35</definedName>
    <definedName name="TodaysReportDate">'Exchange-Positions Day-On-Day'!$A$12</definedName>
    <definedName name="USDLikeTotals">'Exchange-Positions Day-On-Day'!$AE$5:$AI$5</definedName>
    <definedName name="YeserdaysReportDate">'Exchange-Positions Day-On-Day'!$A$40</definedName>
    <definedName name="YesterdaysExchangePosition">'Exchange-Positions Day-On-Day'!$B$39</definedName>
  </definedNames>
  <calcPr calcId="191029"/>
  <pivotCaches>
    <pivotCache cacheId="145" r:id="rId16"/>
    <pivotCache cacheId="146" r:id="rId17"/>
    <pivotCache cacheId="148" r:id="rId18"/>
    <pivotCache cacheId="149" r:id="rId19"/>
    <pivotCache cacheId="150" r:id="rId20"/>
    <pivotCache cacheId="374" r:id="rId21"/>
    <pivotCache cacheId="436" r:id="rId22"/>
    <pivotCache cacheId="442" r:id="rId23"/>
    <pivotCache cacheId="497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460" i="46" l="1"/>
  <c r="Z460" i="46"/>
  <c r="W466" i="46"/>
  <c r="W468" i="46"/>
  <c r="Z471" i="46"/>
  <c r="W476" i="46"/>
  <c r="Z476" i="46"/>
  <c r="W482" i="46"/>
  <c r="W484" i="46"/>
  <c r="Z487" i="46"/>
  <c r="W492" i="46"/>
  <c r="Z492" i="46"/>
  <c r="W498" i="46"/>
  <c r="W500" i="46"/>
  <c r="Z503" i="46"/>
  <c r="W508" i="46"/>
  <c r="Z508" i="46"/>
  <c r="W514" i="46"/>
  <c r="W516" i="46"/>
  <c r="Z519" i="46"/>
  <c r="W522" i="46"/>
  <c r="Z522" i="46"/>
  <c r="Y523" i="46"/>
  <c r="X525" i="46"/>
  <c r="Y527" i="46"/>
  <c r="Z527" i="46"/>
  <c r="Y528" i="46"/>
  <c r="Z529" i="46"/>
  <c r="Y530" i="46"/>
  <c r="Y531" i="46"/>
  <c r="Z531" i="46"/>
  <c r="Y532" i="46"/>
  <c r="Z533" i="46"/>
  <c r="Y535" i="46"/>
  <c r="Z535" i="46"/>
  <c r="Y536" i="46"/>
  <c r="Z537" i="46"/>
  <c r="Y538" i="46"/>
  <c r="Y539" i="46"/>
  <c r="Z539" i="46"/>
  <c r="Y540" i="46"/>
  <c r="Z541" i="46"/>
  <c r="Y543" i="46"/>
  <c r="Z543" i="46"/>
  <c r="Y544" i="46"/>
  <c r="Z545" i="46"/>
  <c r="Y546" i="46"/>
  <c r="Y547" i="46"/>
  <c r="Z547" i="46"/>
  <c r="Y548" i="46"/>
  <c r="Z549" i="46"/>
  <c r="Y551" i="46"/>
  <c r="Z551" i="46"/>
  <c r="Y552" i="46"/>
  <c r="Z553" i="46"/>
  <c r="Y554" i="46"/>
  <c r="Y555" i="46"/>
  <c r="Z555" i="46"/>
  <c r="Y556" i="46"/>
  <c r="Z557" i="46"/>
  <c r="Y559" i="46"/>
  <c r="Z559" i="46"/>
  <c r="Y560" i="46"/>
  <c r="Z561" i="46"/>
  <c r="Y562" i="46"/>
  <c r="Y563" i="46"/>
  <c r="Z563" i="46"/>
  <c r="Y564" i="46"/>
  <c r="Z565" i="46"/>
  <c r="Y567" i="46"/>
  <c r="Z567" i="46"/>
  <c r="Y568" i="46"/>
  <c r="Z569" i="46"/>
  <c r="Y570" i="46"/>
  <c r="Y571" i="46"/>
  <c r="Z571" i="46"/>
  <c r="Y572" i="46"/>
  <c r="Z573" i="46"/>
  <c r="Y575" i="46"/>
  <c r="Z575" i="46"/>
  <c r="Y576" i="46"/>
  <c r="Z577" i="46"/>
  <c r="Y578" i="46"/>
  <c r="Y579" i="46"/>
  <c r="Z579" i="46"/>
  <c r="Y580" i="46"/>
  <c r="W581" i="46"/>
  <c r="X581" i="46"/>
  <c r="Y581" i="46"/>
  <c r="Z581" i="46"/>
  <c r="W582" i="46"/>
  <c r="X582" i="46"/>
  <c r="Y582" i="46"/>
  <c r="Z582" i="46"/>
  <c r="W583" i="46"/>
  <c r="X583" i="46"/>
  <c r="Y583" i="46"/>
  <c r="Z583" i="46"/>
  <c r="W584" i="46"/>
  <c r="X584" i="46"/>
  <c r="Y584" i="46"/>
  <c r="Z584" i="46"/>
  <c r="W585" i="46"/>
  <c r="X585" i="46"/>
  <c r="Y585" i="46"/>
  <c r="Z585" i="46"/>
  <c r="W586" i="46"/>
  <c r="X586" i="46"/>
  <c r="Y586" i="46"/>
  <c r="Z586" i="46"/>
  <c r="W587" i="46"/>
  <c r="X587" i="46"/>
  <c r="Y587" i="46"/>
  <c r="Z587" i="46"/>
  <c r="W588" i="46"/>
  <c r="X588" i="46"/>
  <c r="Y588" i="46"/>
  <c r="Z588" i="46"/>
  <c r="W589" i="46"/>
  <c r="X589" i="46"/>
  <c r="Y589" i="46"/>
  <c r="Z589" i="46"/>
  <c r="W590" i="46"/>
  <c r="X590" i="46"/>
  <c r="Y590" i="46"/>
  <c r="Z590" i="46"/>
  <c r="W591" i="46"/>
  <c r="X591" i="46"/>
  <c r="Y591" i="46"/>
  <c r="Z591" i="46"/>
  <c r="W592" i="46"/>
  <c r="X592" i="46"/>
  <c r="Y592" i="46"/>
  <c r="Z592" i="46"/>
  <c r="W593" i="46"/>
  <c r="X593" i="46"/>
  <c r="Y593" i="46"/>
  <c r="Z593" i="46"/>
  <c r="W594" i="46"/>
  <c r="X594" i="46"/>
  <c r="Y594" i="46"/>
  <c r="Z594" i="46"/>
  <c r="W595" i="46"/>
  <c r="X595" i="46"/>
  <c r="Y595" i="46"/>
  <c r="Z595" i="46"/>
  <c r="W596" i="46"/>
  <c r="X596" i="46"/>
  <c r="Y596" i="46"/>
  <c r="Z596" i="46"/>
  <c r="W597" i="46"/>
  <c r="X597" i="46"/>
  <c r="Y597" i="46"/>
  <c r="Z597" i="46"/>
  <c r="W598" i="46"/>
  <c r="X598" i="46"/>
  <c r="Y598" i="46"/>
  <c r="Z598" i="46"/>
  <c r="W599" i="46"/>
  <c r="X599" i="46"/>
  <c r="Y599" i="46"/>
  <c r="Z599" i="46"/>
  <c r="W600" i="46"/>
  <c r="X600" i="46"/>
  <c r="Y600" i="46"/>
  <c r="Z600" i="46"/>
  <c r="W601" i="46"/>
  <c r="X601" i="46"/>
  <c r="Y601" i="46"/>
  <c r="Z601" i="46"/>
  <c r="W602" i="46"/>
  <c r="X602" i="46"/>
  <c r="Y602" i="46"/>
  <c r="Z602" i="46"/>
  <c r="W603" i="46"/>
  <c r="X603" i="46"/>
  <c r="Y603" i="46"/>
  <c r="Z603" i="46"/>
  <c r="W604" i="46"/>
  <c r="X604" i="46"/>
  <c r="Y604" i="46"/>
  <c r="Z604" i="46"/>
  <c r="W605" i="46"/>
  <c r="X605" i="46"/>
  <c r="Y605" i="46"/>
  <c r="Z605" i="46"/>
  <c r="W606" i="46"/>
  <c r="X606" i="46"/>
  <c r="Y606" i="46"/>
  <c r="Z606" i="46"/>
  <c r="W607" i="46"/>
  <c r="X607" i="46"/>
  <c r="Y607" i="46"/>
  <c r="Z607" i="46"/>
  <c r="W608" i="46"/>
  <c r="X608" i="46"/>
  <c r="Y608" i="46"/>
  <c r="Z608" i="46"/>
  <c r="W609" i="46"/>
  <c r="X609" i="46"/>
  <c r="Y609" i="46"/>
  <c r="Z609" i="46"/>
  <c r="W610" i="46"/>
  <c r="X610" i="46"/>
  <c r="Y610" i="46"/>
  <c r="Z610" i="46"/>
  <c r="W611" i="46"/>
  <c r="X611" i="46"/>
  <c r="Y611" i="46"/>
  <c r="Z611" i="46"/>
  <c r="W612" i="46"/>
  <c r="X612" i="46"/>
  <c r="Y612" i="46"/>
  <c r="Z612" i="46"/>
  <c r="W613" i="46"/>
  <c r="X613" i="46"/>
  <c r="Y613" i="46"/>
  <c r="Z613" i="46"/>
  <c r="W614" i="46"/>
  <c r="X614" i="46"/>
  <c r="Y614" i="46"/>
  <c r="Z614" i="46"/>
  <c r="W615" i="46"/>
  <c r="X615" i="46"/>
  <c r="Y615" i="46"/>
  <c r="Z615" i="46"/>
  <c r="W616" i="46"/>
  <c r="X616" i="46"/>
  <c r="Y616" i="46"/>
  <c r="Z616" i="46"/>
  <c r="W617" i="46"/>
  <c r="X617" i="46"/>
  <c r="Y617" i="46"/>
  <c r="Z617" i="46"/>
  <c r="W618" i="46"/>
  <c r="X618" i="46"/>
  <c r="Y618" i="46"/>
  <c r="Z618" i="46"/>
  <c r="W619" i="46"/>
  <c r="X619" i="46"/>
  <c r="Y619" i="46"/>
  <c r="Z619" i="46"/>
  <c r="W620" i="46"/>
  <c r="X620" i="46"/>
  <c r="Y620" i="46"/>
  <c r="Z620" i="46"/>
  <c r="W621" i="46"/>
  <c r="X621" i="46"/>
  <c r="Y621" i="46"/>
  <c r="Z621" i="46"/>
  <c r="W622" i="46"/>
  <c r="X622" i="46"/>
  <c r="Y622" i="46"/>
  <c r="Z622" i="46"/>
  <c r="W623" i="46"/>
  <c r="X623" i="46"/>
  <c r="Y623" i="46"/>
  <c r="Z623" i="46"/>
  <c r="W624" i="46"/>
  <c r="X624" i="46"/>
  <c r="Y624" i="46"/>
  <c r="Z624" i="46"/>
  <c r="W625" i="46"/>
  <c r="X625" i="46"/>
  <c r="Y625" i="46"/>
  <c r="Z625" i="46"/>
  <c r="W626" i="46"/>
  <c r="X626" i="46"/>
  <c r="Y626" i="46"/>
  <c r="Z626" i="46"/>
  <c r="W627" i="46"/>
  <c r="X627" i="46"/>
  <c r="Y627" i="46"/>
  <c r="Z627" i="46"/>
  <c r="W628" i="46"/>
  <c r="X628" i="46"/>
  <c r="Y628" i="46"/>
  <c r="Z628" i="46"/>
  <c r="W629" i="46"/>
  <c r="X629" i="46"/>
  <c r="Y629" i="46"/>
  <c r="Z629" i="46"/>
  <c r="W630" i="46"/>
  <c r="X630" i="46"/>
  <c r="Y630" i="46"/>
  <c r="Z630" i="46"/>
  <c r="W631" i="46"/>
  <c r="X631" i="46"/>
  <c r="Y631" i="46"/>
  <c r="Z631" i="46"/>
  <c r="W632" i="46"/>
  <c r="X632" i="46"/>
  <c r="Y632" i="46"/>
  <c r="Z632" i="46"/>
  <c r="W633" i="46"/>
  <c r="X633" i="46"/>
  <c r="Y633" i="46"/>
  <c r="Z633" i="46"/>
  <c r="W634" i="46"/>
  <c r="X634" i="46"/>
  <c r="Y634" i="46"/>
  <c r="Z634" i="46"/>
  <c r="W635" i="46"/>
  <c r="X635" i="46"/>
  <c r="Y635" i="46"/>
  <c r="Z635" i="46"/>
  <c r="W636" i="46"/>
  <c r="X636" i="46"/>
  <c r="Y636" i="46"/>
  <c r="Z636" i="46"/>
  <c r="W637" i="46"/>
  <c r="X637" i="46"/>
  <c r="Y637" i="46"/>
  <c r="Z637" i="46"/>
  <c r="W638" i="46"/>
  <c r="X638" i="46"/>
  <c r="Y638" i="46"/>
  <c r="Z638" i="46"/>
  <c r="W639" i="46"/>
  <c r="X639" i="46"/>
  <c r="Y639" i="46"/>
  <c r="Z639" i="46"/>
  <c r="W640" i="46"/>
  <c r="X640" i="46"/>
  <c r="Y640" i="46"/>
  <c r="Z640" i="46"/>
  <c r="W641" i="46"/>
  <c r="X641" i="46"/>
  <c r="Y641" i="46"/>
  <c r="Z641" i="46"/>
  <c r="W642" i="46"/>
  <c r="X642" i="46"/>
  <c r="Y642" i="46"/>
  <c r="Z642" i="46"/>
  <c r="W643" i="46"/>
  <c r="X643" i="46"/>
  <c r="Y643" i="46"/>
  <c r="Z643" i="46"/>
  <c r="W644" i="46"/>
  <c r="X644" i="46"/>
  <c r="Y644" i="46"/>
  <c r="Z644" i="46"/>
  <c r="W645" i="46"/>
  <c r="X645" i="46"/>
  <c r="Y645" i="46"/>
  <c r="Z645" i="46"/>
  <c r="W646" i="46"/>
  <c r="X646" i="46"/>
  <c r="Y646" i="46"/>
  <c r="Z646" i="46"/>
  <c r="W647" i="46"/>
  <c r="X647" i="46"/>
  <c r="Y647" i="46"/>
  <c r="Z647" i="46"/>
  <c r="W648" i="46"/>
  <c r="X648" i="46"/>
  <c r="Y648" i="46"/>
  <c r="Z648" i="46"/>
  <c r="W649" i="46"/>
  <c r="X649" i="46"/>
  <c r="Y649" i="46"/>
  <c r="Z649" i="46"/>
  <c r="W650" i="46"/>
  <c r="X650" i="46"/>
  <c r="Y650" i="46"/>
  <c r="Z650" i="46"/>
  <c r="W651" i="46"/>
  <c r="X651" i="46"/>
  <c r="Y651" i="46"/>
  <c r="Z651" i="46"/>
  <c r="W652" i="46"/>
  <c r="X652" i="46"/>
  <c r="Y652" i="46"/>
  <c r="Z652" i="46"/>
  <c r="W653" i="46"/>
  <c r="X653" i="46"/>
  <c r="Y653" i="46"/>
  <c r="Z653" i="46"/>
  <c r="W654" i="46"/>
  <c r="X654" i="46"/>
  <c r="Y654" i="46"/>
  <c r="Z654" i="46"/>
  <c r="W655" i="46"/>
  <c r="X655" i="46"/>
  <c r="Y655" i="46"/>
  <c r="Z655" i="46"/>
  <c r="W656" i="46"/>
  <c r="X656" i="46"/>
  <c r="Y656" i="46"/>
  <c r="Z656" i="46"/>
  <c r="W657" i="46"/>
  <c r="X657" i="46"/>
  <c r="Y657" i="46"/>
  <c r="Z657" i="46"/>
  <c r="W658" i="46"/>
  <c r="X658" i="46"/>
  <c r="Y658" i="46"/>
  <c r="Z658" i="46"/>
  <c r="W659" i="46"/>
  <c r="X659" i="46"/>
  <c r="Y659" i="46"/>
  <c r="Z659" i="46"/>
  <c r="W660" i="46"/>
  <c r="X660" i="46"/>
  <c r="Y660" i="46"/>
  <c r="Z660" i="46"/>
  <c r="W661" i="46"/>
  <c r="X661" i="46"/>
  <c r="Y661" i="46"/>
  <c r="Z661" i="46"/>
  <c r="W662" i="46"/>
  <c r="X662" i="46"/>
  <c r="Y662" i="46"/>
  <c r="Z662" i="46"/>
  <c r="W663" i="46"/>
  <c r="X663" i="46"/>
  <c r="Y663" i="46"/>
  <c r="Z663" i="46"/>
  <c r="W664" i="46"/>
  <c r="X664" i="46"/>
  <c r="Y664" i="46"/>
  <c r="Z664" i="46"/>
  <c r="W665" i="46"/>
  <c r="X665" i="46"/>
  <c r="Y665" i="46"/>
  <c r="Z665" i="46"/>
  <c r="W666" i="46"/>
  <c r="X666" i="46"/>
  <c r="Y666" i="46"/>
  <c r="Z666" i="46"/>
  <c r="W667" i="46"/>
  <c r="X667" i="46"/>
  <c r="Y667" i="46"/>
  <c r="Z667" i="46"/>
  <c r="W668" i="46"/>
  <c r="X668" i="46"/>
  <c r="Y668" i="46"/>
  <c r="Z668" i="46"/>
  <c r="W669" i="46"/>
  <c r="X669" i="46"/>
  <c r="Y669" i="46"/>
  <c r="Z669" i="46"/>
  <c r="W670" i="46"/>
  <c r="X670" i="46"/>
  <c r="Y670" i="46"/>
  <c r="Z670" i="46"/>
  <c r="W671" i="46"/>
  <c r="X671" i="46"/>
  <c r="Y671" i="46"/>
  <c r="Z671" i="46"/>
  <c r="W672" i="46"/>
  <c r="X672" i="46"/>
  <c r="Y672" i="46"/>
  <c r="Z672" i="46"/>
  <c r="W673" i="46"/>
  <c r="X673" i="46"/>
  <c r="Y673" i="46"/>
  <c r="Z673" i="46"/>
  <c r="W674" i="46"/>
  <c r="X674" i="46"/>
  <c r="Y674" i="46"/>
  <c r="Z674" i="46"/>
  <c r="W675" i="46"/>
  <c r="X675" i="46"/>
  <c r="Y675" i="46"/>
  <c r="Z675" i="46"/>
  <c r="W676" i="46"/>
  <c r="X676" i="46"/>
  <c r="Y676" i="46"/>
  <c r="Z676" i="46"/>
  <c r="W677" i="46"/>
  <c r="X677" i="46"/>
  <c r="Y677" i="46"/>
  <c r="Z677" i="46"/>
  <c r="W678" i="46"/>
  <c r="X678" i="46"/>
  <c r="Y678" i="46"/>
  <c r="Z678" i="46"/>
  <c r="W679" i="46"/>
  <c r="X679" i="46"/>
  <c r="Y679" i="46"/>
  <c r="Z679" i="46"/>
  <c r="W680" i="46"/>
  <c r="X680" i="46"/>
  <c r="Y680" i="46"/>
  <c r="Z680" i="46"/>
  <c r="W681" i="46"/>
  <c r="X681" i="46"/>
  <c r="Y681" i="46"/>
  <c r="Z681" i="46"/>
  <c r="W682" i="46"/>
  <c r="X682" i="46"/>
  <c r="Y682" i="46"/>
  <c r="Z682" i="46"/>
  <c r="W683" i="46"/>
  <c r="X683" i="46"/>
  <c r="Y683" i="46"/>
  <c r="Z683" i="46"/>
  <c r="W684" i="46"/>
  <c r="X684" i="46"/>
  <c r="Y684" i="46"/>
  <c r="Z684" i="46"/>
  <c r="W685" i="46"/>
  <c r="X685" i="46"/>
  <c r="Y685" i="46"/>
  <c r="Z685" i="46"/>
  <c r="W686" i="46"/>
  <c r="X686" i="46"/>
  <c r="Y686" i="46"/>
  <c r="Z686" i="46"/>
  <c r="W687" i="46"/>
  <c r="X687" i="46"/>
  <c r="Y687" i="46"/>
  <c r="Z687" i="46"/>
  <c r="W688" i="46"/>
  <c r="X688" i="46"/>
  <c r="Y688" i="46"/>
  <c r="Z688" i="46"/>
  <c r="W689" i="46"/>
  <c r="X689" i="46"/>
  <c r="Y689" i="46"/>
  <c r="Z689" i="46"/>
  <c r="W690" i="46"/>
  <c r="X690" i="46"/>
  <c r="Y690" i="46"/>
  <c r="Z690" i="46"/>
  <c r="W691" i="46"/>
  <c r="X691" i="46"/>
  <c r="Y691" i="46"/>
  <c r="Z691" i="46"/>
  <c r="W692" i="46"/>
  <c r="X692" i="46"/>
  <c r="Y692" i="46"/>
  <c r="Z692" i="46"/>
  <c r="W693" i="46"/>
  <c r="X693" i="46"/>
  <c r="Y693" i="46"/>
  <c r="Z693" i="46"/>
  <c r="W694" i="46"/>
  <c r="X694" i="46"/>
  <c r="Y694" i="46"/>
  <c r="Z694" i="46"/>
  <c r="W695" i="46"/>
  <c r="X695" i="46"/>
  <c r="Y695" i="46"/>
  <c r="Z695" i="46"/>
  <c r="W696" i="46"/>
  <c r="X696" i="46"/>
  <c r="Y696" i="46"/>
  <c r="Z696" i="46"/>
  <c r="W697" i="46"/>
  <c r="X697" i="46"/>
  <c r="Y697" i="46"/>
  <c r="Z697" i="46"/>
  <c r="W698" i="46"/>
  <c r="X698" i="46"/>
  <c r="Y698" i="46"/>
  <c r="Z698" i="46"/>
  <c r="W699" i="46"/>
  <c r="X699" i="46"/>
  <c r="Y699" i="46"/>
  <c r="Z699" i="46"/>
  <c r="W700" i="46"/>
  <c r="X700" i="46"/>
  <c r="Y700" i="46"/>
  <c r="Z700" i="46"/>
  <c r="W701" i="46"/>
  <c r="X701" i="46"/>
  <c r="Y701" i="46"/>
  <c r="Z701" i="46"/>
  <c r="W702" i="46"/>
  <c r="X702" i="46"/>
  <c r="Y702" i="46"/>
  <c r="Z702" i="46"/>
  <c r="W703" i="46"/>
  <c r="X703" i="46"/>
  <c r="Y703" i="46"/>
  <c r="Z703" i="46"/>
  <c r="W704" i="46"/>
  <c r="X704" i="46"/>
  <c r="Y704" i="46"/>
  <c r="Z704" i="46"/>
  <c r="W705" i="46"/>
  <c r="X705" i="46"/>
  <c r="Y705" i="46"/>
  <c r="Z705" i="46"/>
  <c r="W706" i="46"/>
  <c r="X706" i="46"/>
  <c r="Y706" i="46"/>
  <c r="Z706" i="46"/>
  <c r="W707" i="46"/>
  <c r="X707" i="46"/>
  <c r="Y707" i="46"/>
  <c r="Z707" i="46"/>
  <c r="W708" i="46"/>
  <c r="X708" i="46"/>
  <c r="Y708" i="46"/>
  <c r="Z708" i="46"/>
  <c r="W709" i="46"/>
  <c r="X709" i="46"/>
  <c r="Y709" i="46"/>
  <c r="Z709" i="46"/>
  <c r="W710" i="46"/>
  <c r="X710" i="46"/>
  <c r="Y710" i="46"/>
  <c r="Z710" i="46"/>
  <c r="W711" i="46"/>
  <c r="X711" i="46"/>
  <c r="Y711" i="46"/>
  <c r="Z711" i="46"/>
  <c r="W712" i="46"/>
  <c r="X712" i="46"/>
  <c r="Y712" i="46"/>
  <c r="Z712" i="46"/>
  <c r="W713" i="46"/>
  <c r="X713" i="46"/>
  <c r="Y713" i="46"/>
  <c r="Z713" i="46"/>
  <c r="W714" i="46"/>
  <c r="X714" i="46"/>
  <c r="Y714" i="46"/>
  <c r="Z714" i="46"/>
  <c r="W715" i="46"/>
  <c r="X715" i="46"/>
  <c r="Y715" i="46"/>
  <c r="Z715" i="46"/>
  <c r="W716" i="46"/>
  <c r="X716" i="46"/>
  <c r="Y716" i="46"/>
  <c r="Z716" i="46"/>
  <c r="W717" i="46"/>
  <c r="X717" i="46"/>
  <c r="Y717" i="46"/>
  <c r="Z717" i="46"/>
  <c r="W718" i="46"/>
  <c r="X718" i="46"/>
  <c r="Y718" i="46"/>
  <c r="Z718" i="46"/>
  <c r="W719" i="46"/>
  <c r="X719" i="46"/>
  <c r="Y719" i="46"/>
  <c r="Z719" i="46"/>
  <c r="W720" i="46"/>
  <c r="X720" i="46"/>
  <c r="Y720" i="46"/>
  <c r="Z720" i="46"/>
  <c r="W721" i="46"/>
  <c r="X721" i="46"/>
  <c r="Y721" i="46"/>
  <c r="Z721" i="46"/>
  <c r="W722" i="46"/>
  <c r="X722" i="46"/>
  <c r="Y722" i="46"/>
  <c r="Z722" i="46"/>
  <c r="W723" i="46"/>
  <c r="X723" i="46"/>
  <c r="Y723" i="46"/>
  <c r="Z723" i="46"/>
  <c r="W724" i="46"/>
  <c r="X724" i="46"/>
  <c r="Y724" i="46"/>
  <c r="Z724" i="46"/>
  <c r="W725" i="46"/>
  <c r="X725" i="46"/>
  <c r="Y725" i="46"/>
  <c r="Z725" i="46"/>
  <c r="W726" i="46"/>
  <c r="X726" i="46"/>
  <c r="Y726" i="46"/>
  <c r="Z726" i="46"/>
  <c r="W727" i="46"/>
  <c r="X727" i="46"/>
  <c r="Y727" i="46"/>
  <c r="Z727" i="46"/>
  <c r="W728" i="46"/>
  <c r="X728" i="46"/>
  <c r="Y728" i="46"/>
  <c r="Z728" i="46"/>
  <c r="W729" i="46"/>
  <c r="X729" i="46"/>
  <c r="Y729" i="46"/>
  <c r="Z729" i="46"/>
  <c r="W730" i="46"/>
  <c r="X730" i="46"/>
  <c r="Y730" i="46"/>
  <c r="Z730" i="46"/>
  <c r="W731" i="46"/>
  <c r="X731" i="46"/>
  <c r="Y731" i="46"/>
  <c r="Z731" i="46"/>
  <c r="W732" i="46"/>
  <c r="X732" i="46"/>
  <c r="Y732" i="46"/>
  <c r="Z732" i="46"/>
  <c r="W733" i="46"/>
  <c r="X733" i="46"/>
  <c r="Y733" i="46"/>
  <c r="Z733" i="46"/>
  <c r="W734" i="46"/>
  <c r="X734" i="46"/>
  <c r="Y734" i="46"/>
  <c r="Z734" i="46"/>
  <c r="W735" i="46"/>
  <c r="X735" i="46"/>
  <c r="Y735" i="46"/>
  <c r="Z735" i="46"/>
  <c r="W736" i="46"/>
  <c r="X736" i="46"/>
  <c r="Y736" i="46"/>
  <c r="Z736" i="46"/>
  <c r="W737" i="46"/>
  <c r="X737" i="46"/>
  <c r="Y737" i="46"/>
  <c r="Z737" i="46"/>
  <c r="W738" i="46"/>
  <c r="X738" i="46"/>
  <c r="Y738" i="46"/>
  <c r="Z738" i="46"/>
  <c r="W739" i="46"/>
  <c r="X739" i="46"/>
  <c r="Y739" i="46"/>
  <c r="Z739" i="46"/>
  <c r="W740" i="46"/>
  <c r="X740" i="46"/>
  <c r="Y740" i="46"/>
  <c r="Z740" i="46"/>
  <c r="W741" i="46"/>
  <c r="X741" i="46"/>
  <c r="Y741" i="46"/>
  <c r="Z741" i="46"/>
  <c r="W742" i="46"/>
  <c r="X742" i="46"/>
  <c r="Y742" i="46"/>
  <c r="Z742" i="46"/>
  <c r="W743" i="46"/>
  <c r="X743" i="46"/>
  <c r="Y743" i="46"/>
  <c r="Z743" i="46"/>
  <c r="W744" i="46"/>
  <c r="X744" i="46"/>
  <c r="Y744" i="46"/>
  <c r="Z744" i="46"/>
  <c r="W745" i="46"/>
  <c r="X745" i="46"/>
  <c r="Y745" i="46"/>
  <c r="Z745" i="46"/>
  <c r="W746" i="46"/>
  <c r="X746" i="46"/>
  <c r="Y746" i="46"/>
  <c r="Z746" i="46"/>
  <c r="W747" i="46"/>
  <c r="X747" i="46"/>
  <c r="Y747" i="46"/>
  <c r="Z747" i="46"/>
  <c r="W748" i="46"/>
  <c r="X748" i="46"/>
  <c r="Y748" i="46"/>
  <c r="Z748" i="46"/>
  <c r="W749" i="46"/>
  <c r="X749" i="46"/>
  <c r="Y749" i="46"/>
  <c r="Z749" i="46"/>
  <c r="W750" i="46"/>
  <c r="X750" i="46"/>
  <c r="Y750" i="46"/>
  <c r="Z750" i="46"/>
  <c r="W751" i="46"/>
  <c r="X751" i="46"/>
  <c r="Y751" i="46"/>
  <c r="Z751" i="46"/>
  <c r="W752" i="46"/>
  <c r="X752" i="46"/>
  <c r="Y752" i="46"/>
  <c r="Z752" i="46"/>
  <c r="W753" i="46"/>
  <c r="X753" i="46"/>
  <c r="Y753" i="46"/>
  <c r="Z753" i="46"/>
  <c r="W754" i="46"/>
  <c r="X754" i="46"/>
  <c r="Y754" i="46"/>
  <c r="Z754" i="46"/>
  <c r="W755" i="46"/>
  <c r="X755" i="46"/>
  <c r="Y755" i="46"/>
  <c r="Z755" i="46"/>
  <c r="W756" i="46"/>
  <c r="X756" i="46"/>
  <c r="Y756" i="46"/>
  <c r="Z756" i="46"/>
  <c r="W757" i="46"/>
  <c r="X757" i="46"/>
  <c r="Y757" i="46"/>
  <c r="Z757" i="46"/>
  <c r="W758" i="46"/>
  <c r="X758" i="46"/>
  <c r="Y758" i="46"/>
  <c r="Z758" i="46"/>
  <c r="W759" i="46"/>
  <c r="X759" i="46"/>
  <c r="Y759" i="46"/>
  <c r="Z759" i="46"/>
  <c r="W760" i="46"/>
  <c r="X760" i="46"/>
  <c r="Y760" i="46"/>
  <c r="Z760" i="46"/>
  <c r="W761" i="46"/>
  <c r="X761" i="46"/>
  <c r="Y761" i="46"/>
  <c r="Z761" i="46"/>
  <c r="W762" i="46"/>
  <c r="X762" i="46"/>
  <c r="Y762" i="46"/>
  <c r="Z762" i="46"/>
  <c r="W763" i="46"/>
  <c r="X763" i="46"/>
  <c r="Y763" i="46"/>
  <c r="Z763" i="46"/>
  <c r="W764" i="46"/>
  <c r="X764" i="46"/>
  <c r="Y764" i="46"/>
  <c r="Z764" i="46"/>
  <c r="W765" i="46"/>
  <c r="X765" i="46"/>
  <c r="Y765" i="46"/>
  <c r="Z765" i="46"/>
  <c r="W766" i="46"/>
  <c r="X766" i="46"/>
  <c r="Y766" i="46"/>
  <c r="Z766" i="46"/>
  <c r="W767" i="46"/>
  <c r="X767" i="46"/>
  <c r="Y767" i="46"/>
  <c r="Z767" i="46"/>
  <c r="W768" i="46"/>
  <c r="X768" i="46"/>
  <c r="Y768" i="46"/>
  <c r="Z768" i="46"/>
  <c r="W769" i="46"/>
  <c r="X769" i="46"/>
  <c r="Y769" i="46"/>
  <c r="Z769" i="46"/>
  <c r="W770" i="46"/>
  <c r="X770" i="46"/>
  <c r="Y770" i="46"/>
  <c r="Z770" i="46"/>
  <c r="W771" i="46"/>
  <c r="X771" i="46"/>
  <c r="Y771" i="46"/>
  <c r="Z771" i="46"/>
  <c r="W772" i="46"/>
  <c r="X772" i="46"/>
  <c r="Y772" i="46"/>
  <c r="Z772" i="46"/>
  <c r="W773" i="46"/>
  <c r="X773" i="46"/>
  <c r="Y773" i="46"/>
  <c r="Z773" i="46"/>
  <c r="W774" i="46"/>
  <c r="X774" i="46"/>
  <c r="Y774" i="46"/>
  <c r="Z774" i="46"/>
  <c r="W775" i="46"/>
  <c r="X775" i="46"/>
  <c r="Y775" i="46"/>
  <c r="Z775" i="46"/>
  <c r="W776" i="46"/>
  <c r="X776" i="46"/>
  <c r="Y776" i="46"/>
  <c r="Z776" i="46"/>
  <c r="W777" i="46"/>
  <c r="X777" i="46"/>
  <c r="Y777" i="46"/>
  <c r="Z777" i="46"/>
  <c r="W778" i="46"/>
  <c r="X778" i="46"/>
  <c r="Y778" i="46"/>
  <c r="Z778" i="46"/>
  <c r="W779" i="46"/>
  <c r="X779" i="46"/>
  <c r="Y779" i="46"/>
  <c r="Z779" i="46"/>
  <c r="W780" i="46"/>
  <c r="X780" i="46"/>
  <c r="Y780" i="46"/>
  <c r="Z780" i="46"/>
  <c r="W781" i="46"/>
  <c r="X781" i="46"/>
  <c r="Y781" i="46"/>
  <c r="Z781" i="46"/>
  <c r="W782" i="46"/>
  <c r="X782" i="46"/>
  <c r="Y782" i="46"/>
  <c r="Z782" i="46"/>
  <c r="W783" i="46"/>
  <c r="X783" i="46"/>
  <c r="Y783" i="46"/>
  <c r="Z783" i="46"/>
  <c r="W784" i="46"/>
  <c r="X784" i="46"/>
  <c r="Y784" i="46"/>
  <c r="Z784" i="46"/>
  <c r="W785" i="46"/>
  <c r="X785" i="46"/>
  <c r="Y785" i="46"/>
  <c r="Z785" i="46"/>
  <c r="W786" i="46"/>
  <c r="X786" i="46"/>
  <c r="Y786" i="46"/>
  <c r="Z786" i="46"/>
  <c r="W787" i="46"/>
  <c r="X787" i="46"/>
  <c r="Y787" i="46"/>
  <c r="Z787" i="46"/>
  <c r="W788" i="46"/>
  <c r="X788" i="46"/>
  <c r="Y788" i="46"/>
  <c r="Z788" i="46"/>
  <c r="W789" i="46"/>
  <c r="X789" i="46"/>
  <c r="Y789" i="46"/>
  <c r="Z789" i="46"/>
  <c r="W790" i="46"/>
  <c r="X790" i="46"/>
  <c r="Y790" i="46"/>
  <c r="Z790" i="46"/>
  <c r="W791" i="46"/>
  <c r="X791" i="46"/>
  <c r="Y791" i="46"/>
  <c r="Z791" i="46"/>
  <c r="W792" i="46"/>
  <c r="X792" i="46"/>
  <c r="Y792" i="46"/>
  <c r="Z792" i="46"/>
  <c r="W793" i="46"/>
  <c r="X793" i="46"/>
  <c r="Y793" i="46"/>
  <c r="Z793" i="46"/>
  <c r="W794" i="46"/>
  <c r="X794" i="46"/>
  <c r="Y794" i="46"/>
  <c r="Z794" i="46"/>
  <c r="W795" i="46"/>
  <c r="X795" i="46"/>
  <c r="Y795" i="46"/>
  <c r="Z795" i="46"/>
  <c r="W796" i="46"/>
  <c r="X796" i="46"/>
  <c r="Y796" i="46"/>
  <c r="Z796" i="46"/>
  <c r="W797" i="46"/>
  <c r="X797" i="46"/>
  <c r="Y797" i="46"/>
  <c r="Z797" i="46"/>
  <c r="W798" i="46"/>
  <c r="X798" i="46"/>
  <c r="Y798" i="46"/>
  <c r="Z798" i="46"/>
  <c r="W799" i="46"/>
  <c r="X799" i="46"/>
  <c r="Y799" i="46"/>
  <c r="Z799" i="46"/>
  <c r="W800" i="46"/>
  <c r="X800" i="46"/>
  <c r="Y800" i="46"/>
  <c r="Z800" i="46"/>
  <c r="W801" i="46"/>
  <c r="X801" i="46"/>
  <c r="Y801" i="46"/>
  <c r="Z801" i="46"/>
  <c r="W802" i="46"/>
  <c r="X802" i="46"/>
  <c r="Y802" i="46"/>
  <c r="Z802" i="46"/>
  <c r="W803" i="46"/>
  <c r="X803" i="46"/>
  <c r="Y803" i="46"/>
  <c r="Z803" i="46"/>
  <c r="W804" i="46"/>
  <c r="X804" i="46"/>
  <c r="Y804" i="46"/>
  <c r="Z804" i="46"/>
  <c r="W805" i="46"/>
  <c r="X805" i="46"/>
  <c r="Y805" i="46"/>
  <c r="Z805" i="46"/>
  <c r="W806" i="46"/>
  <c r="X806" i="46"/>
  <c r="Y806" i="46"/>
  <c r="Z806" i="46"/>
  <c r="W807" i="46"/>
  <c r="X807" i="46"/>
  <c r="Y807" i="46"/>
  <c r="Z807" i="46"/>
  <c r="W808" i="46"/>
  <c r="X808" i="46"/>
  <c r="Y808" i="46"/>
  <c r="Z808" i="46"/>
  <c r="W809" i="46"/>
  <c r="X809" i="46"/>
  <c r="Y809" i="46"/>
  <c r="Z809" i="46"/>
  <c r="W810" i="46"/>
  <c r="X810" i="46"/>
  <c r="Y810" i="46"/>
  <c r="Z810" i="46"/>
  <c r="W811" i="46"/>
  <c r="X811" i="46"/>
  <c r="Y811" i="46"/>
  <c r="Z811" i="46"/>
  <c r="W812" i="46"/>
  <c r="X812" i="46"/>
  <c r="Y812" i="46"/>
  <c r="Z812" i="46"/>
  <c r="W813" i="46"/>
  <c r="X813" i="46"/>
  <c r="Y813" i="46"/>
  <c r="Z813" i="46"/>
  <c r="W814" i="46"/>
  <c r="X814" i="46"/>
  <c r="Y814" i="46"/>
  <c r="Z814" i="46"/>
  <c r="W815" i="46"/>
  <c r="X815" i="46"/>
  <c r="Y815" i="46"/>
  <c r="Z815" i="46"/>
  <c r="W816" i="46"/>
  <c r="X816" i="46"/>
  <c r="Y816" i="46"/>
  <c r="Z816" i="46"/>
  <c r="W817" i="46"/>
  <c r="X817" i="46"/>
  <c r="Y817" i="46"/>
  <c r="Z817" i="46"/>
  <c r="W818" i="46"/>
  <c r="X818" i="46"/>
  <c r="Y818" i="46"/>
  <c r="Z818" i="46"/>
  <c r="W819" i="46"/>
  <c r="X819" i="46"/>
  <c r="Y819" i="46"/>
  <c r="Z819" i="46"/>
  <c r="W820" i="46"/>
  <c r="X820" i="46"/>
  <c r="Y820" i="46"/>
  <c r="Z820" i="46"/>
  <c r="W821" i="46"/>
  <c r="X821" i="46"/>
  <c r="Y821" i="46"/>
  <c r="Z821" i="46"/>
  <c r="W822" i="46"/>
  <c r="X822" i="46"/>
  <c r="Y822" i="46"/>
  <c r="Z822" i="46"/>
  <c r="W823" i="46"/>
  <c r="X823" i="46"/>
  <c r="Y823" i="46"/>
  <c r="Z823" i="46"/>
  <c r="W824" i="46"/>
  <c r="X824" i="46"/>
  <c r="Y824" i="46"/>
  <c r="Z824" i="46"/>
  <c r="W825" i="46"/>
  <c r="X825" i="46"/>
  <c r="Y825" i="46"/>
  <c r="Z825" i="46"/>
  <c r="W826" i="46"/>
  <c r="X826" i="46"/>
  <c r="Y826" i="46"/>
  <c r="Z826" i="46"/>
  <c r="W827" i="46"/>
  <c r="X827" i="46"/>
  <c r="Y827" i="46"/>
  <c r="Z827" i="46"/>
  <c r="W828" i="46"/>
  <c r="X828" i="46"/>
  <c r="Y828" i="46"/>
  <c r="Z828" i="46"/>
  <c r="W829" i="46"/>
  <c r="X829" i="46"/>
  <c r="Y829" i="46"/>
  <c r="Z829" i="46"/>
  <c r="W830" i="46"/>
  <c r="X830" i="46"/>
  <c r="Y830" i="46"/>
  <c r="Z830" i="46"/>
  <c r="W831" i="46"/>
  <c r="X831" i="46"/>
  <c r="Y831" i="46"/>
  <c r="Z831" i="46"/>
  <c r="W832" i="46"/>
  <c r="X832" i="46"/>
  <c r="Y832" i="46"/>
  <c r="Z832" i="46"/>
  <c r="W833" i="46"/>
  <c r="X833" i="46"/>
  <c r="Y833" i="46"/>
  <c r="Z833" i="46"/>
  <c r="W834" i="46"/>
  <c r="X834" i="46"/>
  <c r="Y834" i="46"/>
  <c r="Z834" i="46"/>
  <c r="W835" i="46"/>
  <c r="X835" i="46"/>
  <c r="Y835" i="46"/>
  <c r="Z835" i="46"/>
  <c r="W836" i="46"/>
  <c r="X836" i="46"/>
  <c r="Y836" i="46"/>
  <c r="Z836" i="46"/>
  <c r="W837" i="46"/>
  <c r="X837" i="46"/>
  <c r="Y837" i="46"/>
  <c r="Z837" i="46"/>
  <c r="W838" i="46"/>
  <c r="X838" i="46"/>
  <c r="Y838" i="46"/>
  <c r="Z838" i="46"/>
  <c r="W839" i="46"/>
  <c r="X839" i="46"/>
  <c r="Y839" i="46"/>
  <c r="Z839" i="46"/>
  <c r="W840" i="46"/>
  <c r="X840" i="46"/>
  <c r="Y840" i="46"/>
  <c r="Z840" i="46"/>
  <c r="W841" i="46"/>
  <c r="X841" i="46"/>
  <c r="Y841" i="46"/>
  <c r="Z841" i="46"/>
  <c r="W842" i="46"/>
  <c r="X842" i="46"/>
  <c r="Y842" i="46"/>
  <c r="Z842" i="46"/>
  <c r="W843" i="46"/>
  <c r="X843" i="46"/>
  <c r="Y843" i="46"/>
  <c r="Z843" i="46"/>
  <c r="W844" i="46"/>
  <c r="X844" i="46"/>
  <c r="Y844" i="46"/>
  <c r="Z844" i="46"/>
  <c r="W845" i="46"/>
  <c r="X845" i="46"/>
  <c r="Y845" i="46"/>
  <c r="Z845" i="46"/>
  <c r="W846" i="46"/>
  <c r="X846" i="46"/>
  <c r="Y846" i="46"/>
  <c r="Z846" i="46"/>
  <c r="W847" i="46"/>
  <c r="X847" i="46"/>
  <c r="Y847" i="46"/>
  <c r="Z847" i="46"/>
  <c r="W848" i="46"/>
  <c r="X848" i="46"/>
  <c r="Y848" i="46"/>
  <c r="Z848" i="46"/>
  <c r="W849" i="46"/>
  <c r="X849" i="46"/>
  <c r="Y849" i="46"/>
  <c r="Z849" i="46"/>
  <c r="W850" i="46"/>
  <c r="X850" i="46"/>
  <c r="Y850" i="46"/>
  <c r="Z850" i="46"/>
  <c r="W851" i="46"/>
  <c r="X851" i="46"/>
  <c r="Y851" i="46"/>
  <c r="Z851" i="46"/>
  <c r="W852" i="46"/>
  <c r="X852" i="46"/>
  <c r="Y852" i="46"/>
  <c r="Z852" i="46"/>
  <c r="W853" i="46"/>
  <c r="X853" i="46"/>
  <c r="Y853" i="46"/>
  <c r="Z853" i="46"/>
  <c r="W854" i="46"/>
  <c r="X854" i="46"/>
  <c r="Y854" i="46"/>
  <c r="Z854" i="46"/>
  <c r="W855" i="46"/>
  <c r="X855" i="46"/>
  <c r="Y855" i="46"/>
  <c r="Z855" i="46"/>
  <c r="W856" i="46"/>
  <c r="X856" i="46"/>
  <c r="Y856" i="46"/>
  <c r="Z856" i="46"/>
  <c r="W857" i="46"/>
  <c r="X857" i="46"/>
  <c r="Y857" i="46"/>
  <c r="Z857" i="46"/>
  <c r="W858" i="46"/>
  <c r="X858" i="46"/>
  <c r="Y858" i="46"/>
  <c r="Z858" i="46"/>
  <c r="W859" i="46"/>
  <c r="X859" i="46"/>
  <c r="Y859" i="46"/>
  <c r="Z859" i="46"/>
  <c r="W860" i="46"/>
  <c r="X860" i="46"/>
  <c r="Y860" i="46"/>
  <c r="Z860" i="46"/>
  <c r="W861" i="46"/>
  <c r="X861" i="46"/>
  <c r="Y861" i="46"/>
  <c r="Z861" i="46"/>
  <c r="W862" i="46"/>
  <c r="X862" i="46"/>
  <c r="Y862" i="46"/>
  <c r="Z862" i="46"/>
  <c r="W863" i="46"/>
  <c r="X863" i="46"/>
  <c r="Y863" i="46"/>
  <c r="Z863" i="46"/>
  <c r="W864" i="46"/>
  <c r="X864" i="46"/>
  <c r="Y864" i="46"/>
  <c r="Z864" i="46"/>
  <c r="W865" i="46"/>
  <c r="X865" i="46"/>
  <c r="Y865" i="46"/>
  <c r="Z865" i="46"/>
  <c r="W866" i="46"/>
  <c r="X866" i="46"/>
  <c r="Y866" i="46"/>
  <c r="Z866" i="46"/>
  <c r="W867" i="46"/>
  <c r="X867" i="46"/>
  <c r="Y867" i="46"/>
  <c r="Z867" i="46"/>
  <c r="W868" i="46"/>
  <c r="X868" i="46"/>
  <c r="Y868" i="46"/>
  <c r="Z868" i="46"/>
  <c r="W869" i="46"/>
  <c r="X869" i="46"/>
  <c r="Y869" i="46"/>
  <c r="Z869" i="46"/>
  <c r="W870" i="46"/>
  <c r="X870" i="46"/>
  <c r="Y870" i="46"/>
  <c r="Z870" i="46"/>
  <c r="W871" i="46"/>
  <c r="X871" i="46"/>
  <c r="Y871" i="46"/>
  <c r="Z871" i="46"/>
  <c r="W872" i="46"/>
  <c r="X872" i="46"/>
  <c r="Y872" i="46"/>
  <c r="Z872" i="46"/>
  <c r="W873" i="46"/>
  <c r="X873" i="46"/>
  <c r="Y873" i="46"/>
  <c r="Z873" i="46"/>
  <c r="W874" i="46"/>
  <c r="X874" i="46"/>
  <c r="Y874" i="46"/>
  <c r="Z874" i="46"/>
  <c r="W875" i="46"/>
  <c r="X875" i="46"/>
  <c r="Y875" i="46"/>
  <c r="Z875" i="46"/>
  <c r="W876" i="46"/>
  <c r="X876" i="46"/>
  <c r="Y876" i="46"/>
  <c r="Z876" i="46"/>
  <c r="W877" i="46"/>
  <c r="X877" i="46"/>
  <c r="Y877" i="46"/>
  <c r="Z877" i="46"/>
  <c r="W878" i="46"/>
  <c r="X878" i="46"/>
  <c r="Y878" i="46"/>
  <c r="Z878" i="46"/>
  <c r="W879" i="46"/>
  <c r="X879" i="46"/>
  <c r="Y879" i="46"/>
  <c r="Z879" i="46"/>
  <c r="W880" i="46"/>
  <c r="X880" i="46"/>
  <c r="Y880" i="46"/>
  <c r="Z880" i="46"/>
  <c r="W881" i="46"/>
  <c r="X881" i="46"/>
  <c r="Y881" i="46"/>
  <c r="Z881" i="46"/>
  <c r="W882" i="46"/>
  <c r="X882" i="46"/>
  <c r="Y882" i="46"/>
  <c r="Z882" i="46"/>
  <c r="W883" i="46"/>
  <c r="X883" i="46"/>
  <c r="Y883" i="46"/>
  <c r="Z883" i="46"/>
  <c r="W884" i="46"/>
  <c r="X884" i="46"/>
  <c r="Y884" i="46"/>
  <c r="Z884" i="46"/>
  <c r="W885" i="46"/>
  <c r="X885" i="46"/>
  <c r="Y885" i="46"/>
  <c r="Z885" i="46"/>
  <c r="W886" i="46"/>
  <c r="X886" i="46"/>
  <c r="Y886" i="46"/>
  <c r="Z886" i="46"/>
  <c r="W887" i="46"/>
  <c r="X887" i="46"/>
  <c r="Y887" i="46"/>
  <c r="Z887" i="46"/>
  <c r="W888" i="46"/>
  <c r="X888" i="46"/>
  <c r="Y888" i="46"/>
  <c r="Z888" i="46"/>
  <c r="W889" i="46"/>
  <c r="X889" i="46"/>
  <c r="Y889" i="46"/>
  <c r="Z889" i="46"/>
  <c r="W890" i="46"/>
  <c r="X890" i="46"/>
  <c r="Y890" i="46"/>
  <c r="Z890" i="46"/>
  <c r="W891" i="46"/>
  <c r="X891" i="46"/>
  <c r="Y891" i="46"/>
  <c r="Z891" i="46"/>
  <c r="W892" i="46"/>
  <c r="X892" i="46"/>
  <c r="Y892" i="46"/>
  <c r="Z892" i="46"/>
  <c r="W893" i="46"/>
  <c r="X893" i="46"/>
  <c r="Y893" i="46"/>
  <c r="Z893" i="46"/>
  <c r="W894" i="46"/>
  <c r="X894" i="46"/>
  <c r="Y894" i="46"/>
  <c r="Z894" i="46"/>
  <c r="W895" i="46"/>
  <c r="X895" i="46"/>
  <c r="Y895" i="46"/>
  <c r="Z895" i="46"/>
  <c r="W896" i="46"/>
  <c r="X896" i="46"/>
  <c r="Y896" i="46"/>
  <c r="Z896" i="46"/>
  <c r="W897" i="46"/>
  <c r="X897" i="46"/>
  <c r="Y897" i="46"/>
  <c r="Z897" i="46"/>
  <c r="W898" i="46"/>
  <c r="X898" i="46"/>
  <c r="Y898" i="46"/>
  <c r="Z898" i="46"/>
  <c r="W899" i="46"/>
  <c r="X899" i="46"/>
  <c r="Y899" i="46"/>
  <c r="Z899" i="46"/>
  <c r="W900" i="46"/>
  <c r="X900" i="46"/>
  <c r="Y900" i="46"/>
  <c r="Z900" i="46"/>
  <c r="W901" i="46"/>
  <c r="X901" i="46"/>
  <c r="Y901" i="46"/>
  <c r="Z901" i="46"/>
  <c r="W902" i="46"/>
  <c r="X902" i="46"/>
  <c r="Y902" i="46"/>
  <c r="Z902" i="46"/>
  <c r="W903" i="46"/>
  <c r="X903" i="46"/>
  <c r="Y903" i="46"/>
  <c r="Z903" i="46"/>
  <c r="W904" i="46"/>
  <c r="X904" i="46"/>
  <c r="Y904" i="46"/>
  <c r="Z904" i="46"/>
  <c r="W905" i="46"/>
  <c r="X905" i="46"/>
  <c r="Y905" i="46"/>
  <c r="Z905" i="46"/>
  <c r="W906" i="46"/>
  <c r="X906" i="46"/>
  <c r="Y906" i="46"/>
  <c r="Z906" i="46"/>
  <c r="W907" i="46"/>
  <c r="X907" i="46"/>
  <c r="Y907" i="46"/>
  <c r="Z907" i="46"/>
  <c r="W908" i="46"/>
  <c r="X908" i="46"/>
  <c r="Y908" i="46"/>
  <c r="Z908" i="46"/>
  <c r="W909" i="46"/>
  <c r="X909" i="46"/>
  <c r="Y909" i="46"/>
  <c r="Z909" i="46"/>
  <c r="W910" i="46"/>
  <c r="X910" i="46"/>
  <c r="Y910" i="46"/>
  <c r="Z910" i="46"/>
  <c r="W911" i="46"/>
  <c r="X911" i="46"/>
  <c r="Y911" i="46"/>
  <c r="Z911" i="46"/>
  <c r="W912" i="46"/>
  <c r="X912" i="46"/>
  <c r="Y912" i="46"/>
  <c r="Z912" i="46"/>
  <c r="W913" i="46"/>
  <c r="X913" i="46"/>
  <c r="Y913" i="46"/>
  <c r="Z913" i="46"/>
  <c r="W914" i="46"/>
  <c r="X914" i="46"/>
  <c r="Y914" i="46"/>
  <c r="Z914" i="46"/>
  <c r="W915" i="46"/>
  <c r="X915" i="46"/>
  <c r="Y915" i="46"/>
  <c r="Z915" i="46"/>
  <c r="W916" i="46"/>
  <c r="X916" i="46"/>
  <c r="Y916" i="46"/>
  <c r="Z916" i="46"/>
  <c r="W917" i="46"/>
  <c r="X917" i="46"/>
  <c r="Y917" i="46"/>
  <c r="Z917" i="46"/>
  <c r="W918" i="46"/>
  <c r="X918" i="46"/>
  <c r="Y918" i="46"/>
  <c r="Z918" i="46"/>
  <c r="W919" i="46"/>
  <c r="X919" i="46"/>
  <c r="Y919" i="46"/>
  <c r="Z919" i="46"/>
  <c r="W920" i="46"/>
  <c r="X920" i="46"/>
  <c r="Y920" i="46"/>
  <c r="Z920" i="46"/>
  <c r="W921" i="46"/>
  <c r="X921" i="46"/>
  <c r="Y921" i="46"/>
  <c r="Z921" i="46"/>
  <c r="W922" i="46"/>
  <c r="X922" i="46"/>
  <c r="Y922" i="46"/>
  <c r="Z922" i="46"/>
  <c r="W923" i="46"/>
  <c r="X923" i="46"/>
  <c r="Y923" i="46"/>
  <c r="Z923" i="46"/>
  <c r="W924" i="46"/>
  <c r="X924" i="46"/>
  <c r="Y924" i="46"/>
  <c r="Z924" i="46"/>
  <c r="W925" i="46"/>
  <c r="X925" i="46"/>
  <c r="Y925" i="46"/>
  <c r="Z925" i="46"/>
  <c r="W926" i="46"/>
  <c r="X926" i="46"/>
  <c r="Y926" i="46"/>
  <c r="Z926" i="46"/>
  <c r="W927" i="46"/>
  <c r="X927" i="46"/>
  <c r="Y927" i="46"/>
  <c r="Z927" i="46"/>
  <c r="W928" i="46"/>
  <c r="X928" i="46"/>
  <c r="Y928" i="46"/>
  <c r="Z928" i="46"/>
  <c r="W929" i="46"/>
  <c r="X929" i="46"/>
  <c r="Y929" i="46"/>
  <c r="Z929" i="46"/>
  <c r="W930" i="46"/>
  <c r="X930" i="46"/>
  <c r="Y930" i="46"/>
  <c r="Z930" i="46"/>
  <c r="W931" i="46"/>
  <c r="X931" i="46"/>
  <c r="Y931" i="46"/>
  <c r="Z931" i="46"/>
  <c r="W932" i="46"/>
  <c r="X932" i="46"/>
  <c r="Y932" i="46"/>
  <c r="Z932" i="46"/>
  <c r="W933" i="46"/>
  <c r="X933" i="46"/>
  <c r="Y933" i="46"/>
  <c r="Z933" i="46"/>
  <c r="W934" i="46"/>
  <c r="X934" i="46"/>
  <c r="Y934" i="46"/>
  <c r="Z934" i="46"/>
  <c r="W935" i="46"/>
  <c r="X935" i="46"/>
  <c r="Y935" i="46"/>
  <c r="Z935" i="46"/>
  <c r="W936" i="46"/>
  <c r="X936" i="46"/>
  <c r="Y936" i="46"/>
  <c r="Z936" i="46"/>
  <c r="W937" i="46"/>
  <c r="X937" i="46"/>
  <c r="Y937" i="46"/>
  <c r="Z937" i="46"/>
  <c r="W938" i="46"/>
  <c r="X938" i="46"/>
  <c r="Y938" i="46"/>
  <c r="Z938" i="46"/>
  <c r="W939" i="46"/>
  <c r="X939" i="46"/>
  <c r="Y939" i="46"/>
  <c r="Z939" i="46"/>
  <c r="W940" i="46"/>
  <c r="X940" i="46"/>
  <c r="Y940" i="46"/>
  <c r="Z940" i="46"/>
  <c r="W941" i="46"/>
  <c r="X941" i="46"/>
  <c r="Y941" i="46"/>
  <c r="Z941" i="46"/>
  <c r="W942" i="46"/>
  <c r="X942" i="46"/>
  <c r="Y942" i="46"/>
  <c r="Z942" i="46"/>
  <c r="W943" i="46"/>
  <c r="X943" i="46"/>
  <c r="Y943" i="46"/>
  <c r="Z943" i="46"/>
  <c r="W944" i="46"/>
  <c r="X944" i="46"/>
  <c r="Y944" i="46"/>
  <c r="Z944" i="46"/>
  <c r="W945" i="46"/>
  <c r="X945" i="46"/>
  <c r="Y945" i="46"/>
  <c r="Z945" i="46"/>
  <c r="W946" i="46"/>
  <c r="X946" i="46"/>
  <c r="Y946" i="46"/>
  <c r="Z946" i="46"/>
  <c r="W947" i="46"/>
  <c r="X947" i="46"/>
  <c r="Y947" i="46"/>
  <c r="Z947" i="46"/>
  <c r="W948" i="46"/>
  <c r="X948" i="46"/>
  <c r="Y948" i="46"/>
  <c r="Z948" i="46"/>
  <c r="W949" i="46"/>
  <c r="X949" i="46"/>
  <c r="Y949" i="46"/>
  <c r="Z949" i="46"/>
  <c r="W950" i="46"/>
  <c r="X950" i="46"/>
  <c r="Y950" i="46"/>
  <c r="Z950" i="46"/>
  <c r="W951" i="46"/>
  <c r="X951" i="46"/>
  <c r="Y951" i="46"/>
  <c r="Z951" i="46"/>
  <c r="W952" i="46"/>
  <c r="X952" i="46"/>
  <c r="Y952" i="46"/>
  <c r="Z952" i="46"/>
  <c r="W953" i="46"/>
  <c r="X953" i="46"/>
  <c r="Y953" i="46"/>
  <c r="Z953" i="46"/>
  <c r="W954" i="46"/>
  <c r="X954" i="46"/>
  <c r="Y954" i="46"/>
  <c r="Z954" i="46"/>
  <c r="W955" i="46"/>
  <c r="X955" i="46"/>
  <c r="Y955" i="46"/>
  <c r="Z955" i="46"/>
  <c r="W956" i="46"/>
  <c r="X956" i="46"/>
  <c r="Y956" i="46"/>
  <c r="Z956" i="46"/>
  <c r="W957" i="46"/>
  <c r="X957" i="46"/>
  <c r="Y957" i="46"/>
  <c r="Z957" i="46"/>
  <c r="W958" i="46"/>
  <c r="X958" i="46"/>
  <c r="Y958" i="46"/>
  <c r="Z958" i="46"/>
  <c r="W959" i="46"/>
  <c r="X959" i="46"/>
  <c r="Y959" i="46"/>
  <c r="Z959" i="46"/>
  <c r="W960" i="46"/>
  <c r="X960" i="46"/>
  <c r="Y960" i="46"/>
  <c r="Z960" i="46"/>
  <c r="W961" i="46"/>
  <c r="X961" i="46"/>
  <c r="Y961" i="46"/>
  <c r="Z961" i="46"/>
  <c r="W962" i="46"/>
  <c r="X962" i="46"/>
  <c r="Y962" i="46"/>
  <c r="Z962" i="46"/>
  <c r="W963" i="46"/>
  <c r="X963" i="46"/>
  <c r="Y963" i="46"/>
  <c r="Z963" i="46"/>
  <c r="W964" i="46"/>
  <c r="X964" i="46"/>
  <c r="Y964" i="46"/>
  <c r="Z964" i="46"/>
  <c r="W965" i="46"/>
  <c r="X965" i="46"/>
  <c r="Y965" i="46"/>
  <c r="Z965" i="46"/>
  <c r="W966" i="46"/>
  <c r="X966" i="46"/>
  <c r="Y966" i="46"/>
  <c r="Z966" i="46"/>
  <c r="W967" i="46"/>
  <c r="X967" i="46"/>
  <c r="Y967" i="46"/>
  <c r="Z967" i="46"/>
  <c r="W968" i="46"/>
  <c r="X968" i="46"/>
  <c r="Y968" i="46"/>
  <c r="Z968" i="46"/>
  <c r="W969" i="46"/>
  <c r="X969" i="46"/>
  <c r="Y969" i="46"/>
  <c r="Z969" i="46"/>
  <c r="W970" i="46"/>
  <c r="X970" i="46"/>
  <c r="Y970" i="46"/>
  <c r="Z970" i="46"/>
  <c r="W971" i="46"/>
  <c r="X971" i="46"/>
  <c r="Y971" i="46"/>
  <c r="Z971" i="46"/>
  <c r="W972" i="46"/>
  <c r="X972" i="46"/>
  <c r="Y972" i="46"/>
  <c r="Z972" i="46"/>
  <c r="W973" i="46"/>
  <c r="X973" i="46"/>
  <c r="Y973" i="46"/>
  <c r="Z973" i="46"/>
  <c r="W974" i="46"/>
  <c r="X974" i="46"/>
  <c r="Y974" i="46"/>
  <c r="Z974" i="46"/>
  <c r="W975" i="46"/>
  <c r="X975" i="46"/>
  <c r="Y975" i="46"/>
  <c r="Z975" i="46"/>
  <c r="W976" i="46"/>
  <c r="X976" i="46"/>
  <c r="Y976" i="46"/>
  <c r="Z976" i="46"/>
  <c r="W977" i="46"/>
  <c r="X977" i="46"/>
  <c r="Y977" i="46"/>
  <c r="Z977" i="46"/>
  <c r="W978" i="46"/>
  <c r="X978" i="46"/>
  <c r="Y978" i="46"/>
  <c r="Z978" i="46"/>
  <c r="W979" i="46"/>
  <c r="X979" i="46"/>
  <c r="Y979" i="46"/>
  <c r="Z979" i="46"/>
  <c r="W980" i="46"/>
  <c r="X980" i="46"/>
  <c r="Y980" i="46"/>
  <c r="Z980" i="46"/>
  <c r="W981" i="46"/>
  <c r="X981" i="46"/>
  <c r="Y981" i="46"/>
  <c r="Z981" i="46"/>
  <c r="W982" i="46"/>
  <c r="X982" i="46"/>
  <c r="Y982" i="46"/>
  <c r="Z982" i="46"/>
  <c r="W983" i="46"/>
  <c r="X983" i="46"/>
  <c r="Y983" i="46"/>
  <c r="Z983" i="46"/>
  <c r="W984" i="46"/>
  <c r="X984" i="46"/>
  <c r="Y984" i="46"/>
  <c r="Z984" i="46"/>
  <c r="W985" i="46"/>
  <c r="X985" i="46"/>
  <c r="Y985" i="46"/>
  <c r="Z985" i="46"/>
  <c r="W986" i="46"/>
  <c r="X986" i="46"/>
  <c r="Y986" i="46"/>
  <c r="Z986" i="46"/>
  <c r="W987" i="46"/>
  <c r="X987" i="46"/>
  <c r="Y987" i="46"/>
  <c r="Z987" i="46"/>
  <c r="W988" i="46"/>
  <c r="X988" i="46"/>
  <c r="Y988" i="46"/>
  <c r="Z988" i="46"/>
  <c r="W989" i="46"/>
  <c r="X989" i="46"/>
  <c r="Y989" i="46"/>
  <c r="Z989" i="46"/>
  <c r="W990" i="46"/>
  <c r="X990" i="46"/>
  <c r="Y990" i="46"/>
  <c r="Z990" i="46"/>
  <c r="W991" i="46"/>
  <c r="X991" i="46"/>
  <c r="Y991" i="46"/>
  <c r="Z991" i="46"/>
  <c r="W992" i="46"/>
  <c r="X992" i="46"/>
  <c r="Y992" i="46"/>
  <c r="Z992" i="46"/>
  <c r="W993" i="46"/>
  <c r="X993" i="46"/>
  <c r="Y993" i="46"/>
  <c r="Z993" i="46"/>
  <c r="W994" i="46"/>
  <c r="X994" i="46"/>
  <c r="Y994" i="46"/>
  <c r="Z994" i="46"/>
  <c r="W995" i="46"/>
  <c r="X995" i="46"/>
  <c r="Y995" i="46"/>
  <c r="Z995" i="46"/>
  <c r="W996" i="46"/>
  <c r="X996" i="46"/>
  <c r="Y996" i="46"/>
  <c r="Z996" i="46"/>
  <c r="W997" i="46"/>
  <c r="X997" i="46"/>
  <c r="Y997" i="46"/>
  <c r="Z997" i="46"/>
  <c r="W998" i="46"/>
  <c r="X998" i="46"/>
  <c r="Y998" i="46"/>
  <c r="Z998" i="46"/>
  <c r="W999" i="46"/>
  <c r="X999" i="46"/>
  <c r="Y999" i="46"/>
  <c r="Z999" i="46"/>
  <c r="W1000" i="46"/>
  <c r="X1000" i="46"/>
  <c r="Y1000" i="46"/>
  <c r="Z1000" i="46"/>
  <c r="W1001" i="46"/>
  <c r="X1001" i="46"/>
  <c r="Y1001" i="46"/>
  <c r="Z1001" i="46"/>
  <c r="W1002" i="46"/>
  <c r="X1002" i="46"/>
  <c r="Y1002" i="46"/>
  <c r="Z1002" i="46"/>
  <c r="W1003" i="46"/>
  <c r="X1003" i="46"/>
  <c r="Y1003" i="46"/>
  <c r="Z1003" i="46"/>
  <c r="W1004" i="46"/>
  <c r="X1004" i="46"/>
  <c r="Y1004" i="46"/>
  <c r="Z1004" i="46"/>
  <c r="W1005" i="46"/>
  <c r="X1005" i="46"/>
  <c r="Y1005" i="46"/>
  <c r="Z1005" i="46"/>
  <c r="W1006" i="46"/>
  <c r="X1006" i="46"/>
  <c r="Y1006" i="46"/>
  <c r="Z1006" i="46"/>
  <c r="W1007" i="46"/>
  <c r="X1007" i="46"/>
  <c r="Y1007" i="46"/>
  <c r="Z1007" i="46"/>
  <c r="W1008" i="46"/>
  <c r="X1008" i="46"/>
  <c r="Y1008" i="46"/>
  <c r="Z1008" i="46"/>
  <c r="W1009" i="46"/>
  <c r="X1009" i="46"/>
  <c r="Y1009" i="46"/>
  <c r="Z1009" i="46"/>
  <c r="W1010" i="46"/>
  <c r="X1010" i="46"/>
  <c r="Y1010" i="46"/>
  <c r="Z1010" i="46"/>
  <c r="W1011" i="46"/>
  <c r="X1011" i="46"/>
  <c r="Y1011" i="46"/>
  <c r="Z1011" i="46"/>
  <c r="W1012" i="46"/>
  <c r="X1012" i="46"/>
  <c r="Y1012" i="46"/>
  <c r="Z1012" i="46"/>
  <c r="W1013" i="46"/>
  <c r="X1013" i="46"/>
  <c r="Y1013" i="46"/>
  <c r="Z1013" i="46"/>
  <c r="W1014" i="46"/>
  <c r="X1014" i="46"/>
  <c r="Y1014" i="46"/>
  <c r="Z1014" i="46"/>
  <c r="W1015" i="46"/>
  <c r="X1015" i="46"/>
  <c r="Y1015" i="46"/>
  <c r="Z1015" i="46"/>
  <c r="W1016" i="46"/>
  <c r="X1016" i="46"/>
  <c r="Y1016" i="46"/>
  <c r="Z1016" i="46"/>
  <c r="W1017" i="46"/>
  <c r="X1017" i="46"/>
  <c r="Y1017" i="46"/>
  <c r="Z1017" i="46"/>
  <c r="W1018" i="46"/>
  <c r="X1018" i="46"/>
  <c r="Y1018" i="46"/>
  <c r="Z1018" i="46"/>
  <c r="W1019" i="46"/>
  <c r="X1019" i="46"/>
  <c r="Y1019" i="46"/>
  <c r="Z1019" i="46"/>
  <c r="W1020" i="46"/>
  <c r="X1020" i="46"/>
  <c r="Y1020" i="46"/>
  <c r="Z1020" i="46"/>
  <c r="W1021" i="46"/>
  <c r="X1021" i="46"/>
  <c r="Y1021" i="46"/>
  <c r="Z1021" i="46"/>
  <c r="W1022" i="46"/>
  <c r="X1022" i="46"/>
  <c r="Y1022" i="46"/>
  <c r="Z1022" i="46"/>
  <c r="W1023" i="46"/>
  <c r="X1023" i="46"/>
  <c r="Y1023" i="46"/>
  <c r="Z1023" i="46"/>
  <c r="W1024" i="46"/>
  <c r="X1024" i="46"/>
  <c r="Y1024" i="46"/>
  <c r="Z1024" i="46"/>
  <c r="W1025" i="46"/>
  <c r="X1025" i="46"/>
  <c r="Y1025" i="46"/>
  <c r="Z1025" i="46"/>
  <c r="W1026" i="46"/>
  <c r="X1026" i="46"/>
  <c r="Y1026" i="46"/>
  <c r="Z1026" i="46"/>
  <c r="W1027" i="46"/>
  <c r="X1027" i="46"/>
  <c r="Y1027" i="46"/>
  <c r="Z1027" i="46"/>
  <c r="W1028" i="46"/>
  <c r="X1028" i="46"/>
  <c r="Y1028" i="46"/>
  <c r="Z1028" i="46"/>
  <c r="W1029" i="46"/>
  <c r="X1029" i="46"/>
  <c r="Y1029" i="46"/>
  <c r="Z1029" i="46"/>
  <c r="W1030" i="46"/>
  <c r="X1030" i="46"/>
  <c r="Y1030" i="46"/>
  <c r="Z1030" i="46"/>
  <c r="W1031" i="46"/>
  <c r="X1031" i="46"/>
  <c r="Y1031" i="46"/>
  <c r="Z1031" i="46"/>
  <c r="W1032" i="46"/>
  <c r="X1032" i="46"/>
  <c r="Y1032" i="46"/>
  <c r="Z1032" i="46"/>
  <c r="W1033" i="46"/>
  <c r="X1033" i="46"/>
  <c r="Y1033" i="46"/>
  <c r="Z1033" i="46"/>
  <c r="W1034" i="46"/>
  <c r="X1034" i="46"/>
  <c r="Y1034" i="46"/>
  <c r="Z1034" i="46"/>
  <c r="W1035" i="46"/>
  <c r="X1035" i="46"/>
  <c r="Y1035" i="46"/>
  <c r="Z1035" i="46"/>
  <c r="W1036" i="46"/>
  <c r="X1036" i="46"/>
  <c r="Y1036" i="46"/>
  <c r="Z1036" i="46"/>
  <c r="W1037" i="46"/>
  <c r="X1037" i="46"/>
  <c r="Y1037" i="46"/>
  <c r="Z1037" i="46"/>
  <c r="W1038" i="46"/>
  <c r="X1038" i="46"/>
  <c r="Y1038" i="46"/>
  <c r="Z1038" i="46"/>
  <c r="W1039" i="46"/>
  <c r="X1039" i="46"/>
  <c r="Y1039" i="46"/>
  <c r="Z1039" i="46"/>
  <c r="W1040" i="46"/>
  <c r="X1040" i="46"/>
  <c r="Y1040" i="46"/>
  <c r="Z1040" i="46"/>
  <c r="W1041" i="46"/>
  <c r="X1041" i="46"/>
  <c r="Y1041" i="46"/>
  <c r="Z1041" i="46"/>
  <c r="W1042" i="46"/>
  <c r="X1042" i="46"/>
  <c r="Y1042" i="46"/>
  <c r="Z1042" i="46"/>
  <c r="W1043" i="46"/>
  <c r="X1043" i="46"/>
  <c r="Y1043" i="46"/>
  <c r="Z1043" i="46"/>
  <c r="W1044" i="46"/>
  <c r="X1044" i="46"/>
  <c r="Y1044" i="46"/>
  <c r="Z1044" i="46"/>
  <c r="W1045" i="46"/>
  <c r="X1045" i="46"/>
  <c r="Y1045" i="46"/>
  <c r="Z1045" i="46"/>
  <c r="W1046" i="46"/>
  <c r="X1046" i="46"/>
  <c r="Y1046" i="46"/>
  <c r="Z1046" i="46"/>
  <c r="W1047" i="46"/>
  <c r="X1047" i="46"/>
  <c r="Y1047" i="46"/>
  <c r="Z1047" i="46"/>
  <c r="W1048" i="46"/>
  <c r="X1048" i="46"/>
  <c r="Y1048" i="46"/>
  <c r="Z1048" i="46"/>
  <c r="W1049" i="46"/>
  <c r="X1049" i="46"/>
  <c r="Y1049" i="46"/>
  <c r="Z1049" i="46"/>
  <c r="W1050" i="46"/>
  <c r="X1050" i="46"/>
  <c r="Y1050" i="46"/>
  <c r="Z1050" i="46"/>
  <c r="W1051" i="46"/>
  <c r="X1051" i="46"/>
  <c r="Y1051" i="46"/>
  <c r="Z1051" i="46"/>
  <c r="W1052" i="46"/>
  <c r="X1052" i="46"/>
  <c r="Y1052" i="46"/>
  <c r="Z1052" i="46"/>
  <c r="W1053" i="46"/>
  <c r="X1053" i="46"/>
  <c r="Y1053" i="46"/>
  <c r="Z1053" i="46"/>
  <c r="W1054" i="46"/>
  <c r="X1054" i="46"/>
  <c r="Y1054" i="46"/>
  <c r="Z1054" i="46"/>
  <c r="W1055" i="46"/>
  <c r="X1055" i="46"/>
  <c r="Y1055" i="46"/>
  <c r="Z1055" i="46"/>
  <c r="W1056" i="46"/>
  <c r="X1056" i="46"/>
  <c r="Y1056" i="46"/>
  <c r="Z1056" i="46"/>
  <c r="W1057" i="46"/>
  <c r="X1057" i="46"/>
  <c r="Y1057" i="46"/>
  <c r="Z1057" i="46"/>
  <c r="W1058" i="46"/>
  <c r="X1058" i="46"/>
  <c r="Y1058" i="46"/>
  <c r="Z1058" i="46"/>
  <c r="W1059" i="46"/>
  <c r="X1059" i="46"/>
  <c r="Y1059" i="46"/>
  <c r="Z1059" i="46"/>
  <c r="W1060" i="46"/>
  <c r="X1060" i="46"/>
  <c r="Y1060" i="46"/>
  <c r="Z1060" i="46"/>
  <c r="W1061" i="46"/>
  <c r="X1061" i="46"/>
  <c r="Y1061" i="46"/>
  <c r="Z1061" i="46"/>
  <c r="W1062" i="46"/>
  <c r="X1062" i="46"/>
  <c r="Y1062" i="46"/>
  <c r="Z1062" i="46"/>
  <c r="W1063" i="46"/>
  <c r="X1063" i="46"/>
  <c r="Y1063" i="46"/>
  <c r="Z1063" i="46"/>
  <c r="W1064" i="46"/>
  <c r="X1064" i="46"/>
  <c r="Y1064" i="46"/>
  <c r="Z1064" i="46"/>
  <c r="W1065" i="46"/>
  <c r="X1065" i="46"/>
  <c r="Y1065" i="46"/>
  <c r="Z1065" i="46"/>
  <c r="W1066" i="46"/>
  <c r="X1066" i="46"/>
  <c r="Y1066" i="46"/>
  <c r="Z1066" i="46"/>
  <c r="W1067" i="46"/>
  <c r="X1067" i="46"/>
  <c r="Y1067" i="46"/>
  <c r="Z1067" i="46"/>
  <c r="W1068" i="46"/>
  <c r="X1068" i="46"/>
  <c r="Y1068" i="46"/>
  <c r="Z1068" i="46"/>
  <c r="W1069" i="46"/>
  <c r="X1069" i="46"/>
  <c r="Y1069" i="46"/>
  <c r="Z1069" i="46"/>
  <c r="W1070" i="46"/>
  <c r="X1070" i="46"/>
  <c r="Y1070" i="46"/>
  <c r="Z1070" i="46"/>
  <c r="W1071" i="46"/>
  <c r="X1071" i="46"/>
  <c r="Y1071" i="46"/>
  <c r="Z1071" i="46"/>
  <c r="W1072" i="46"/>
  <c r="X1072" i="46"/>
  <c r="Y1072" i="46"/>
  <c r="Z1072" i="46"/>
  <c r="W1073" i="46"/>
  <c r="X1073" i="46"/>
  <c r="Y1073" i="46"/>
  <c r="Z1073" i="46"/>
  <c r="W1074" i="46"/>
  <c r="X1074" i="46"/>
  <c r="Y1074" i="46"/>
  <c r="Z1074" i="46"/>
  <c r="W1075" i="46"/>
  <c r="X1075" i="46"/>
  <c r="Y1075" i="46"/>
  <c r="Z1075" i="46"/>
  <c r="W1076" i="46"/>
  <c r="X1076" i="46"/>
  <c r="Y1076" i="46"/>
  <c r="Z1076" i="46"/>
  <c r="W1077" i="46"/>
  <c r="X1077" i="46"/>
  <c r="Y1077" i="46"/>
  <c r="Z1077" i="46"/>
  <c r="W1078" i="46"/>
  <c r="X1078" i="46"/>
  <c r="Y1078" i="46"/>
  <c r="Z1078" i="46"/>
  <c r="W1079" i="46"/>
  <c r="X1079" i="46"/>
  <c r="Y1079" i="46"/>
  <c r="Z1079" i="46"/>
  <c r="W1080" i="46"/>
  <c r="X1080" i="46"/>
  <c r="Y1080" i="46"/>
  <c r="Z1080" i="46"/>
  <c r="W1081" i="46"/>
  <c r="X1081" i="46"/>
  <c r="Y1081" i="46"/>
  <c r="Z1081" i="46"/>
  <c r="W1082" i="46"/>
  <c r="X1082" i="46"/>
  <c r="Y1082" i="46"/>
  <c r="Z1082" i="46"/>
  <c r="W1083" i="46"/>
  <c r="X1083" i="46"/>
  <c r="Y1083" i="46"/>
  <c r="Z1083" i="46"/>
  <c r="W1084" i="46"/>
  <c r="X1084" i="46"/>
  <c r="Y1084" i="46"/>
  <c r="Z1084" i="46"/>
  <c r="W1085" i="46"/>
  <c r="X1085" i="46"/>
  <c r="Y1085" i="46"/>
  <c r="Z1085" i="46"/>
  <c r="W1086" i="46"/>
  <c r="X1086" i="46"/>
  <c r="Y1086" i="46"/>
  <c r="Z1086" i="46"/>
  <c r="W1087" i="46"/>
  <c r="X1087" i="46"/>
  <c r="Y1087" i="46"/>
  <c r="Z1087" i="46"/>
  <c r="W1088" i="46"/>
  <c r="X1088" i="46"/>
  <c r="Y1088" i="46"/>
  <c r="Z1088" i="46"/>
  <c r="W1089" i="46"/>
  <c r="X1089" i="46"/>
  <c r="Y1089" i="46"/>
  <c r="Z1089" i="46"/>
  <c r="W1090" i="46"/>
  <c r="X1090" i="46"/>
  <c r="Y1090" i="46"/>
  <c r="Z1090" i="46"/>
  <c r="W1091" i="46"/>
  <c r="X1091" i="46"/>
  <c r="Y1091" i="46"/>
  <c r="Z1091" i="46"/>
  <c r="W1092" i="46"/>
  <c r="X1092" i="46"/>
  <c r="Y1092" i="46"/>
  <c r="Z1092" i="46"/>
  <c r="W1093" i="46"/>
  <c r="X1093" i="46"/>
  <c r="Y1093" i="46"/>
  <c r="Z1093" i="46"/>
  <c r="W1094" i="46"/>
  <c r="X1094" i="46"/>
  <c r="Y1094" i="46"/>
  <c r="Z1094" i="46"/>
  <c r="W1095" i="46"/>
  <c r="X1095" i="46"/>
  <c r="Y1095" i="46"/>
  <c r="Z1095" i="46"/>
  <c r="W1096" i="46"/>
  <c r="X1096" i="46"/>
  <c r="Y1096" i="46"/>
  <c r="Z1096" i="46"/>
  <c r="W1097" i="46"/>
  <c r="X1097" i="46"/>
  <c r="Y1097" i="46"/>
  <c r="Z1097" i="46"/>
  <c r="W1098" i="46"/>
  <c r="X1098" i="46"/>
  <c r="Y1098" i="46"/>
  <c r="Z1098" i="46"/>
  <c r="W1099" i="46"/>
  <c r="X1099" i="46"/>
  <c r="Y1099" i="46"/>
  <c r="Z1099" i="46"/>
  <c r="W1100" i="46"/>
  <c r="X1100" i="46"/>
  <c r="Y1100" i="46"/>
  <c r="Z1100" i="46"/>
  <c r="W1101" i="46"/>
  <c r="X1101" i="46"/>
  <c r="Y1101" i="46"/>
  <c r="Z1101" i="46"/>
  <c r="W1102" i="46"/>
  <c r="X1102" i="46"/>
  <c r="Y1102" i="46"/>
  <c r="Z1102" i="46"/>
  <c r="W1103" i="46"/>
  <c r="X1103" i="46"/>
  <c r="Y1103" i="46"/>
  <c r="Z1103" i="46"/>
  <c r="W1104" i="46"/>
  <c r="X1104" i="46"/>
  <c r="Y1104" i="46"/>
  <c r="Z1104" i="46"/>
  <c r="W1105" i="46"/>
  <c r="X1105" i="46"/>
  <c r="Y1105" i="46"/>
  <c r="Z1105" i="46"/>
  <c r="W1106" i="46"/>
  <c r="X1106" i="46"/>
  <c r="Y1106" i="46"/>
  <c r="Z1106" i="46"/>
  <c r="W1107" i="46"/>
  <c r="X1107" i="46"/>
  <c r="Y1107" i="46"/>
  <c r="Z1107" i="46"/>
  <c r="W1108" i="46"/>
  <c r="X1108" i="46"/>
  <c r="Y1108" i="46"/>
  <c r="Z1108" i="46"/>
  <c r="W1109" i="46"/>
  <c r="X1109" i="46"/>
  <c r="Y1109" i="46"/>
  <c r="Z1109" i="46"/>
  <c r="W1110" i="46"/>
  <c r="X1110" i="46"/>
  <c r="Y1110" i="46"/>
  <c r="Z1110" i="46"/>
  <c r="W1111" i="46"/>
  <c r="X1111" i="46"/>
  <c r="Y1111" i="46"/>
  <c r="Z1111" i="46"/>
  <c r="W1112" i="46"/>
  <c r="X1112" i="46"/>
  <c r="Y1112" i="46"/>
  <c r="Z1112" i="46"/>
  <c r="W1113" i="46"/>
  <c r="X1113" i="46"/>
  <c r="Y1113" i="46"/>
  <c r="Z1113" i="46"/>
  <c r="W1114" i="46"/>
  <c r="X1114" i="46"/>
  <c r="Y1114" i="46"/>
  <c r="Z1114" i="46"/>
  <c r="W1115" i="46"/>
  <c r="X1115" i="46"/>
  <c r="Y1115" i="46"/>
  <c r="Z1115" i="46"/>
  <c r="W1116" i="46"/>
  <c r="X1116" i="46"/>
  <c r="Y1116" i="46"/>
  <c r="Z1116" i="46"/>
  <c r="W1117" i="46"/>
  <c r="X1117" i="46"/>
  <c r="Y1117" i="46"/>
  <c r="Z1117" i="46"/>
  <c r="W1118" i="46"/>
  <c r="X1118" i="46"/>
  <c r="Y1118" i="46"/>
  <c r="Z1118" i="46"/>
  <c r="W1119" i="46"/>
  <c r="X1119" i="46"/>
  <c r="Y1119" i="46"/>
  <c r="Z1119" i="46"/>
  <c r="W1120" i="46"/>
  <c r="X1120" i="46"/>
  <c r="Y1120" i="46"/>
  <c r="Z1120" i="46"/>
  <c r="W1121" i="46"/>
  <c r="X1121" i="46"/>
  <c r="Y1121" i="46"/>
  <c r="Z1121" i="46"/>
  <c r="W1122" i="46"/>
  <c r="X1122" i="46"/>
  <c r="Y1122" i="46"/>
  <c r="Z1122" i="46"/>
  <c r="W1123" i="46"/>
  <c r="X1123" i="46"/>
  <c r="Y1123" i="46"/>
  <c r="Z1123" i="46"/>
  <c r="W1124" i="46"/>
  <c r="X1124" i="46"/>
  <c r="Y1124" i="46"/>
  <c r="Z1124" i="46"/>
  <c r="W1125" i="46"/>
  <c r="X1125" i="46"/>
  <c r="Y1125" i="46"/>
  <c r="Z1125" i="46"/>
  <c r="W1126" i="46"/>
  <c r="X1126" i="46"/>
  <c r="Y1126" i="46"/>
  <c r="Z1126" i="46"/>
  <c r="W1127" i="46"/>
  <c r="X1127" i="46"/>
  <c r="Y1127" i="46"/>
  <c r="Z1127" i="46"/>
  <c r="W1128" i="46"/>
  <c r="X1128" i="46"/>
  <c r="Y1128" i="46"/>
  <c r="Z1128" i="46"/>
  <c r="W1129" i="46"/>
  <c r="X1129" i="46"/>
  <c r="Y1129" i="46"/>
  <c r="Z1129" i="46"/>
  <c r="W1130" i="46"/>
  <c r="X1130" i="46"/>
  <c r="Y1130" i="46"/>
  <c r="Z1130" i="46"/>
  <c r="W1131" i="46"/>
  <c r="X1131" i="46"/>
  <c r="Y1131" i="46"/>
  <c r="Z1131" i="46"/>
  <c r="W1132" i="46"/>
  <c r="X1132" i="46"/>
  <c r="Y1132" i="46"/>
  <c r="Z1132" i="46"/>
  <c r="W1133" i="46"/>
  <c r="X1133" i="46"/>
  <c r="Y1133" i="46"/>
  <c r="Z1133" i="46"/>
  <c r="W1134" i="46"/>
  <c r="X1134" i="46"/>
  <c r="Y1134" i="46"/>
  <c r="Z1134" i="46"/>
  <c r="W1135" i="46"/>
  <c r="X1135" i="46"/>
  <c r="Y1135" i="46"/>
  <c r="Z1135" i="46"/>
  <c r="W1136" i="46"/>
  <c r="X1136" i="46"/>
  <c r="Y1136" i="46"/>
  <c r="Z1136" i="46"/>
  <c r="W1137" i="46"/>
  <c r="X1137" i="46"/>
  <c r="Y1137" i="46"/>
  <c r="Z1137" i="46"/>
  <c r="W1138" i="46"/>
  <c r="X1138" i="46"/>
  <c r="Y1138" i="46"/>
  <c r="Z1138" i="46"/>
  <c r="W1139" i="46"/>
  <c r="X1139" i="46"/>
  <c r="Y1139" i="46"/>
  <c r="Z1139" i="46"/>
  <c r="W1140" i="46"/>
  <c r="X1140" i="46"/>
  <c r="Y1140" i="46"/>
  <c r="Z1140" i="46"/>
  <c r="W1141" i="46"/>
  <c r="X1141" i="46"/>
  <c r="Y1141" i="46"/>
  <c r="Z1141" i="46"/>
  <c r="W1142" i="46"/>
  <c r="X1142" i="46"/>
  <c r="Y1142" i="46"/>
  <c r="Z1142" i="46"/>
  <c r="W1143" i="46"/>
  <c r="X1143" i="46"/>
  <c r="Y1143" i="46"/>
  <c r="Z1143" i="46"/>
  <c r="W1144" i="46"/>
  <c r="X1144" i="46"/>
  <c r="Y1144" i="46"/>
  <c r="Z1144" i="46"/>
  <c r="W1145" i="46"/>
  <c r="X1145" i="46"/>
  <c r="Y1145" i="46"/>
  <c r="Z1145" i="46"/>
  <c r="W1146" i="46"/>
  <c r="X1146" i="46"/>
  <c r="Y1146" i="46"/>
  <c r="Z1146" i="46"/>
  <c r="W1147" i="46"/>
  <c r="X1147" i="46"/>
  <c r="Y1147" i="46"/>
  <c r="Z1147" i="46"/>
  <c r="W1148" i="46"/>
  <c r="X1148" i="46"/>
  <c r="Y1148" i="46"/>
  <c r="Z1148" i="46"/>
  <c r="W1149" i="46"/>
  <c r="X1149" i="46"/>
  <c r="Y1149" i="46"/>
  <c r="Z1149" i="46"/>
  <c r="W1150" i="46"/>
  <c r="X1150" i="46"/>
  <c r="Y1150" i="46"/>
  <c r="Z1150" i="46"/>
  <c r="W1151" i="46"/>
  <c r="X1151" i="46"/>
  <c r="Y1151" i="46"/>
  <c r="Z1151" i="46"/>
  <c r="W1152" i="46"/>
  <c r="X1152" i="46"/>
  <c r="Y1152" i="46"/>
  <c r="Z1152" i="46"/>
  <c r="W1153" i="46"/>
  <c r="X1153" i="46"/>
  <c r="Y1153" i="46"/>
  <c r="Z1153" i="46"/>
  <c r="W1154" i="46"/>
  <c r="X1154" i="46"/>
  <c r="Y1154" i="46"/>
  <c r="Z1154" i="46"/>
  <c r="W1155" i="46"/>
  <c r="X1155" i="46"/>
  <c r="Y1155" i="46"/>
  <c r="Z1155" i="46"/>
  <c r="W1156" i="46"/>
  <c r="X1156" i="46"/>
  <c r="Y1156" i="46"/>
  <c r="Z1156" i="46"/>
  <c r="W1157" i="46"/>
  <c r="X1157" i="46"/>
  <c r="Y1157" i="46"/>
  <c r="Z1157" i="46"/>
  <c r="W1158" i="46"/>
  <c r="X1158" i="46"/>
  <c r="Y1158" i="46"/>
  <c r="Z1158" i="46"/>
  <c r="W1159" i="46"/>
  <c r="X1159" i="46"/>
  <c r="Y1159" i="46"/>
  <c r="Z1159" i="46"/>
  <c r="W1160" i="46"/>
  <c r="X1160" i="46"/>
  <c r="Y1160" i="46"/>
  <c r="Z1160" i="46"/>
  <c r="W1161" i="46"/>
  <c r="X1161" i="46"/>
  <c r="Y1161" i="46"/>
  <c r="Z1161" i="46"/>
  <c r="W1162" i="46"/>
  <c r="X1162" i="46"/>
  <c r="Y1162" i="46"/>
  <c r="Z1162" i="46"/>
  <c r="W1163" i="46"/>
  <c r="X1163" i="46"/>
  <c r="Y1163" i="46"/>
  <c r="Z1163" i="46"/>
  <c r="W1164" i="46"/>
  <c r="X1164" i="46"/>
  <c r="Y1164" i="46"/>
  <c r="Z1164" i="46"/>
  <c r="W1165" i="46"/>
  <c r="X1165" i="46"/>
  <c r="Y1165" i="46"/>
  <c r="Z1165" i="46"/>
  <c r="W1166" i="46"/>
  <c r="X1166" i="46"/>
  <c r="Y1166" i="46"/>
  <c r="Z1166" i="46"/>
  <c r="W1167" i="46"/>
  <c r="X1167" i="46"/>
  <c r="Y1167" i="46"/>
  <c r="Z1167" i="46"/>
  <c r="W1168" i="46"/>
  <c r="X1168" i="46"/>
  <c r="Y1168" i="46"/>
  <c r="Z1168" i="46"/>
  <c r="W1169" i="46"/>
  <c r="X1169" i="46"/>
  <c r="Y1169" i="46"/>
  <c r="Z1169" i="46"/>
  <c r="W1170" i="46"/>
  <c r="X1170" i="46"/>
  <c r="Y1170" i="46"/>
  <c r="Z1170" i="46"/>
  <c r="W1171" i="46"/>
  <c r="X1171" i="46"/>
  <c r="Y1171" i="46"/>
  <c r="Z1171" i="46"/>
  <c r="W1172" i="46"/>
  <c r="X1172" i="46"/>
  <c r="Y1172" i="46"/>
  <c r="Z1172" i="46"/>
  <c r="W1173" i="46"/>
  <c r="X1173" i="46"/>
  <c r="Y1173" i="46"/>
  <c r="Z1173" i="46"/>
  <c r="W1174" i="46"/>
  <c r="X1174" i="46"/>
  <c r="Y1174" i="46"/>
  <c r="Z1174" i="46"/>
  <c r="W1175" i="46"/>
  <c r="X1175" i="46"/>
  <c r="Y1175" i="46"/>
  <c r="Z1175" i="46"/>
  <c r="W1176" i="46"/>
  <c r="X1176" i="46"/>
  <c r="Y1176" i="46"/>
  <c r="Z1176" i="46"/>
  <c r="W1177" i="46"/>
  <c r="X1177" i="46"/>
  <c r="Y1177" i="46"/>
  <c r="Z1177" i="46"/>
  <c r="W1178" i="46"/>
  <c r="X1178" i="46"/>
  <c r="Y1178" i="46"/>
  <c r="Z1178" i="46"/>
  <c r="W1179" i="46"/>
  <c r="X1179" i="46"/>
  <c r="Y1179" i="46"/>
  <c r="Z1179" i="46"/>
  <c r="W1180" i="46"/>
  <c r="X1180" i="46"/>
  <c r="Y1180" i="46"/>
  <c r="Z1180" i="46"/>
  <c r="W1181" i="46"/>
  <c r="X1181" i="46"/>
  <c r="Y1181" i="46"/>
  <c r="Z1181" i="46"/>
  <c r="W1182" i="46"/>
  <c r="X1182" i="46"/>
  <c r="Y1182" i="46"/>
  <c r="Z1182" i="46"/>
  <c r="W1183" i="46"/>
  <c r="X1183" i="46"/>
  <c r="Y1183" i="46"/>
  <c r="Z1183" i="46"/>
  <c r="W1184" i="46"/>
  <c r="X1184" i="46"/>
  <c r="Y1184" i="46"/>
  <c r="Z1184" i="46"/>
  <c r="W1185" i="46"/>
  <c r="X1185" i="46"/>
  <c r="Y1185" i="46"/>
  <c r="Z1185" i="46"/>
  <c r="W1186" i="46"/>
  <c r="X1186" i="46"/>
  <c r="Y1186" i="46"/>
  <c r="Z1186" i="46"/>
  <c r="W1187" i="46"/>
  <c r="X1187" i="46"/>
  <c r="Y1187" i="46"/>
  <c r="Z1187" i="46"/>
  <c r="W1188" i="46"/>
  <c r="X1188" i="46"/>
  <c r="Y1188" i="46"/>
  <c r="Z1188" i="46"/>
  <c r="W1189" i="46"/>
  <c r="X1189" i="46"/>
  <c r="Y1189" i="46"/>
  <c r="Z1189" i="46"/>
  <c r="W1190" i="46"/>
  <c r="X1190" i="46"/>
  <c r="Y1190" i="46"/>
  <c r="Z1190" i="46"/>
  <c r="W1191" i="46"/>
  <c r="X1191" i="46"/>
  <c r="Y1191" i="46"/>
  <c r="Z1191" i="46"/>
  <c r="W1192" i="46"/>
  <c r="X1192" i="46"/>
  <c r="Y1192" i="46"/>
  <c r="Z1192" i="46"/>
  <c r="W1193" i="46"/>
  <c r="X1193" i="46"/>
  <c r="Y1193" i="46"/>
  <c r="Z1193" i="46"/>
  <c r="W1194" i="46"/>
  <c r="X1194" i="46"/>
  <c r="Y1194" i="46"/>
  <c r="Z1194" i="46"/>
  <c r="W1195" i="46"/>
  <c r="X1195" i="46"/>
  <c r="Y1195" i="46"/>
  <c r="Z1195" i="46"/>
  <c r="W1196" i="46"/>
  <c r="X1196" i="46"/>
  <c r="Y1196" i="46"/>
  <c r="Z1196" i="46"/>
  <c r="W1197" i="46"/>
  <c r="X1197" i="46"/>
  <c r="Y1197" i="46"/>
  <c r="Z1197" i="46"/>
  <c r="W1198" i="46"/>
  <c r="X1198" i="46"/>
  <c r="Y1198" i="46"/>
  <c r="Z1198" i="46"/>
  <c r="W1199" i="46"/>
  <c r="X1199" i="46"/>
  <c r="Y1199" i="46"/>
  <c r="Z1199" i="46"/>
  <c r="W1200" i="46"/>
  <c r="X1200" i="46"/>
  <c r="Y1200" i="46"/>
  <c r="Z1200" i="46"/>
  <c r="W1201" i="46"/>
  <c r="X1201" i="46"/>
  <c r="Y1201" i="46"/>
  <c r="Z1201" i="46"/>
  <c r="W1202" i="46"/>
  <c r="X1202" i="46"/>
  <c r="Y1202" i="46"/>
  <c r="Z1202" i="46"/>
  <c r="W1203" i="46"/>
  <c r="X1203" i="46"/>
  <c r="Y1203" i="46"/>
  <c r="Z1203" i="46"/>
  <c r="W1204" i="46"/>
  <c r="X1204" i="46"/>
  <c r="Y1204" i="46"/>
  <c r="Z1204" i="46"/>
  <c r="W1205" i="46"/>
  <c r="X1205" i="46"/>
  <c r="Y1205" i="46"/>
  <c r="Z1205" i="46"/>
  <c r="W1206" i="46"/>
  <c r="X1206" i="46"/>
  <c r="Y1206" i="46"/>
  <c r="Z1206" i="46"/>
  <c r="W1207" i="46"/>
  <c r="X1207" i="46"/>
  <c r="Y1207" i="46"/>
  <c r="Z1207" i="46"/>
  <c r="W1208" i="46"/>
  <c r="X1208" i="46"/>
  <c r="Y1208" i="46"/>
  <c r="Z1208" i="46"/>
  <c r="W1209" i="46"/>
  <c r="X1209" i="46"/>
  <c r="Y1209" i="46"/>
  <c r="Z1209" i="46"/>
  <c r="W1210" i="46"/>
  <c r="X1210" i="46"/>
  <c r="Y1210" i="46"/>
  <c r="Z1210" i="46"/>
  <c r="W1211" i="46"/>
  <c r="X1211" i="46"/>
  <c r="Y1211" i="46"/>
  <c r="Z1211" i="46"/>
  <c r="W1212" i="46"/>
  <c r="X1212" i="46"/>
  <c r="Y1212" i="46"/>
  <c r="Z1212" i="46"/>
  <c r="W1213" i="46"/>
  <c r="X1213" i="46"/>
  <c r="Y1213" i="46"/>
  <c r="Z1213" i="46"/>
  <c r="W1214" i="46"/>
  <c r="X1214" i="46"/>
  <c r="Y1214" i="46"/>
  <c r="Z1214" i="46"/>
  <c r="W1215" i="46"/>
  <c r="X1215" i="46"/>
  <c r="Y1215" i="46"/>
  <c r="Z1215" i="46"/>
  <c r="W1216" i="46"/>
  <c r="X1216" i="46"/>
  <c r="Y1216" i="46"/>
  <c r="Z1216" i="46"/>
  <c r="W1217" i="46"/>
  <c r="X1217" i="46"/>
  <c r="Y1217" i="46"/>
  <c r="Z1217" i="46"/>
  <c r="W1218" i="46"/>
  <c r="X1218" i="46"/>
  <c r="Y1218" i="46"/>
  <c r="Z1218" i="46"/>
  <c r="W1219" i="46"/>
  <c r="X1219" i="46"/>
  <c r="Y1219" i="46"/>
  <c r="Z1219" i="46"/>
  <c r="W1220" i="46"/>
  <c r="X1220" i="46"/>
  <c r="Y1220" i="46"/>
  <c r="Z1220" i="46"/>
  <c r="W1221" i="46"/>
  <c r="X1221" i="46"/>
  <c r="Y1221" i="46"/>
  <c r="Z1221" i="46"/>
  <c r="W1222" i="46"/>
  <c r="X1222" i="46"/>
  <c r="Y1222" i="46"/>
  <c r="Z1222" i="46"/>
  <c r="W1223" i="46"/>
  <c r="X1223" i="46"/>
  <c r="Y1223" i="46"/>
  <c r="Z1223" i="46"/>
  <c r="W1224" i="46"/>
  <c r="X1224" i="46"/>
  <c r="Y1224" i="46"/>
  <c r="Z1224" i="46"/>
  <c r="W1225" i="46"/>
  <c r="X1225" i="46"/>
  <c r="Y1225" i="46"/>
  <c r="Z1225" i="46"/>
  <c r="W1226" i="46"/>
  <c r="X1226" i="46"/>
  <c r="Y1226" i="46"/>
  <c r="Z1226" i="46"/>
  <c r="W1227" i="46"/>
  <c r="X1227" i="46"/>
  <c r="Y1227" i="46"/>
  <c r="Z1227" i="46"/>
  <c r="W1228" i="46"/>
  <c r="X1228" i="46"/>
  <c r="Y1228" i="46"/>
  <c r="Z1228" i="46"/>
  <c r="W1229" i="46"/>
  <c r="X1229" i="46"/>
  <c r="Y1229" i="46"/>
  <c r="Z1229" i="46"/>
  <c r="W1230" i="46"/>
  <c r="X1230" i="46"/>
  <c r="Y1230" i="46"/>
  <c r="Z1230" i="46"/>
  <c r="W1231" i="46"/>
  <c r="X1231" i="46"/>
  <c r="Y1231" i="46"/>
  <c r="Z1231" i="46"/>
  <c r="W1232" i="46"/>
  <c r="X1232" i="46"/>
  <c r="Y1232" i="46"/>
  <c r="Z1232" i="46"/>
  <c r="W1233" i="46"/>
  <c r="X1233" i="46"/>
  <c r="Y1233" i="46"/>
  <c r="Z1233" i="46"/>
  <c r="W1234" i="46"/>
  <c r="X1234" i="46"/>
  <c r="Y1234" i="46"/>
  <c r="Z1234" i="46"/>
  <c r="W1235" i="46"/>
  <c r="X1235" i="46"/>
  <c r="Y1235" i="46"/>
  <c r="Z1235" i="46"/>
  <c r="W1236" i="46"/>
  <c r="X1236" i="46"/>
  <c r="Y1236" i="46"/>
  <c r="Z1236" i="46"/>
  <c r="W1237" i="46"/>
  <c r="X1237" i="46"/>
  <c r="Y1237" i="46"/>
  <c r="Z1237" i="46"/>
  <c r="W1238" i="46"/>
  <c r="X1238" i="46"/>
  <c r="Y1238" i="46"/>
  <c r="Z1238" i="46"/>
  <c r="W1239" i="46"/>
  <c r="X1239" i="46"/>
  <c r="Y1239" i="46"/>
  <c r="Z1239" i="46"/>
  <c r="W1240" i="46"/>
  <c r="X1240" i="46"/>
  <c r="Y1240" i="46"/>
  <c r="Z1240" i="46"/>
  <c r="W1241" i="46"/>
  <c r="X1241" i="46"/>
  <c r="Y1241" i="46"/>
  <c r="Z1241" i="46"/>
  <c r="W1242" i="46"/>
  <c r="X1242" i="46"/>
  <c r="Y1242" i="46"/>
  <c r="Z1242" i="46"/>
  <c r="W1243" i="46"/>
  <c r="X1243" i="46"/>
  <c r="Y1243" i="46"/>
  <c r="Z1243" i="46"/>
  <c r="W1244" i="46"/>
  <c r="X1244" i="46"/>
  <c r="Y1244" i="46"/>
  <c r="Z1244" i="46"/>
  <c r="W1245" i="46"/>
  <c r="X1245" i="46"/>
  <c r="Y1245" i="46"/>
  <c r="Z1245" i="46"/>
  <c r="W1246" i="46"/>
  <c r="X1246" i="46"/>
  <c r="Y1246" i="46"/>
  <c r="Z1246" i="46"/>
  <c r="W1247" i="46"/>
  <c r="X1247" i="46"/>
  <c r="Y1247" i="46"/>
  <c r="Z1247" i="46"/>
  <c r="W1248" i="46"/>
  <c r="X1248" i="46"/>
  <c r="Y1248" i="46"/>
  <c r="Z1248" i="46"/>
  <c r="W1249" i="46"/>
  <c r="X1249" i="46"/>
  <c r="Y1249" i="46"/>
  <c r="Z1249" i="46"/>
  <c r="W1250" i="46"/>
  <c r="X1250" i="46"/>
  <c r="Y1250" i="46"/>
  <c r="Z1250" i="46"/>
  <c r="W1251" i="46"/>
  <c r="X1251" i="46"/>
  <c r="Y1251" i="46"/>
  <c r="Z1251" i="46"/>
  <c r="W1252" i="46"/>
  <c r="X1252" i="46"/>
  <c r="Y1252" i="46"/>
  <c r="Z1252" i="46"/>
  <c r="W1253" i="46"/>
  <c r="X1253" i="46"/>
  <c r="Y1253" i="46"/>
  <c r="Z1253" i="46"/>
  <c r="W1254" i="46"/>
  <c r="X1254" i="46"/>
  <c r="Y1254" i="46"/>
  <c r="Z1254" i="46"/>
  <c r="W1255" i="46"/>
  <c r="X1255" i="46"/>
  <c r="Y1255" i="46"/>
  <c r="Z1255" i="46"/>
  <c r="W1256" i="46"/>
  <c r="X1256" i="46"/>
  <c r="Y1256" i="46"/>
  <c r="Z1256" i="46"/>
  <c r="W1257" i="46"/>
  <c r="X1257" i="46"/>
  <c r="Y1257" i="46"/>
  <c r="Z1257" i="46"/>
  <c r="W1258" i="46"/>
  <c r="X1258" i="46"/>
  <c r="Y1258" i="46"/>
  <c r="Z1258" i="46"/>
  <c r="W1259" i="46"/>
  <c r="X1259" i="46"/>
  <c r="Y1259" i="46"/>
  <c r="Z1259" i="46"/>
  <c r="W1260" i="46"/>
  <c r="X1260" i="46"/>
  <c r="Y1260" i="46"/>
  <c r="Z1260" i="46"/>
  <c r="W1261" i="46"/>
  <c r="X1261" i="46"/>
  <c r="Y1261" i="46"/>
  <c r="Z1261" i="46"/>
  <c r="W1262" i="46"/>
  <c r="X1262" i="46"/>
  <c r="Y1262" i="46"/>
  <c r="Z1262" i="46"/>
  <c r="W1263" i="46"/>
  <c r="X1263" i="46"/>
  <c r="Y1263" i="46"/>
  <c r="Z1263" i="46"/>
  <c r="W1264" i="46"/>
  <c r="X1264" i="46"/>
  <c r="Y1264" i="46"/>
  <c r="Z1264" i="46"/>
  <c r="W1265" i="46"/>
  <c r="X1265" i="46"/>
  <c r="Y1265" i="46"/>
  <c r="Z1265" i="46"/>
  <c r="W1266" i="46"/>
  <c r="X1266" i="46"/>
  <c r="Y1266" i="46"/>
  <c r="Z1266" i="46"/>
  <c r="W1267" i="46"/>
  <c r="X1267" i="46"/>
  <c r="Y1267" i="46"/>
  <c r="Z1267" i="46"/>
  <c r="W1268" i="46"/>
  <c r="X1268" i="46"/>
  <c r="Y1268" i="46"/>
  <c r="Z1268" i="46"/>
  <c r="W1269" i="46"/>
  <c r="X1269" i="46"/>
  <c r="Y1269" i="46"/>
  <c r="Z1269" i="46"/>
  <c r="W1270" i="46"/>
  <c r="X1270" i="46"/>
  <c r="Y1270" i="46"/>
  <c r="Z1270" i="46"/>
  <c r="W1271" i="46"/>
  <c r="X1271" i="46"/>
  <c r="Y1271" i="46"/>
  <c r="Z1271" i="46"/>
  <c r="W1272" i="46"/>
  <c r="X1272" i="46"/>
  <c r="Y1272" i="46"/>
  <c r="Z1272" i="46"/>
  <c r="W1273" i="46"/>
  <c r="X1273" i="46"/>
  <c r="Y1273" i="46"/>
  <c r="Z1273" i="46"/>
  <c r="W1274" i="46"/>
  <c r="X1274" i="46"/>
  <c r="Y1274" i="46"/>
  <c r="Z1274" i="46"/>
  <c r="W1275" i="46"/>
  <c r="X1275" i="46"/>
  <c r="Y1275" i="46"/>
  <c r="Z1275" i="46"/>
  <c r="W1276" i="46"/>
  <c r="X1276" i="46"/>
  <c r="Y1276" i="46"/>
  <c r="Z1276" i="46"/>
  <c r="W1277" i="46"/>
  <c r="X1277" i="46"/>
  <c r="Y1277" i="46"/>
  <c r="Z1277" i="46"/>
  <c r="W1278" i="46"/>
  <c r="X1278" i="46"/>
  <c r="Y1278" i="46"/>
  <c r="Z1278" i="46"/>
  <c r="W1279" i="46"/>
  <c r="X1279" i="46"/>
  <c r="Y1279" i="46"/>
  <c r="Z1279" i="46"/>
  <c r="W1280" i="46"/>
  <c r="X1280" i="46"/>
  <c r="Y1280" i="46"/>
  <c r="Z1280" i="46"/>
  <c r="W1281" i="46"/>
  <c r="X1281" i="46"/>
  <c r="Y1281" i="46"/>
  <c r="Z1281" i="46"/>
  <c r="W1282" i="46"/>
  <c r="X1282" i="46"/>
  <c r="Y1282" i="46"/>
  <c r="Z1282" i="46"/>
  <c r="W1283" i="46"/>
  <c r="X1283" i="46"/>
  <c r="Y1283" i="46"/>
  <c r="Z1283" i="46"/>
  <c r="W1284" i="46"/>
  <c r="X1284" i="46"/>
  <c r="Y1284" i="46"/>
  <c r="Z1284" i="46"/>
  <c r="W1285" i="46"/>
  <c r="X1285" i="46"/>
  <c r="Y1285" i="46"/>
  <c r="Z1285" i="46"/>
  <c r="W1286" i="46"/>
  <c r="X1286" i="46"/>
  <c r="Y1286" i="46"/>
  <c r="Z1286" i="46"/>
  <c r="W1287" i="46"/>
  <c r="X1287" i="46"/>
  <c r="Y1287" i="46"/>
  <c r="Z1287" i="46"/>
  <c r="W1288" i="46"/>
  <c r="X1288" i="46"/>
  <c r="Y1288" i="46"/>
  <c r="Z1288" i="46"/>
  <c r="W1289" i="46"/>
  <c r="X1289" i="46"/>
  <c r="Y1289" i="46"/>
  <c r="Z1289" i="46"/>
  <c r="W1290" i="46"/>
  <c r="X1290" i="46"/>
  <c r="Y1290" i="46"/>
  <c r="Z1290" i="46"/>
  <c r="W1291" i="46"/>
  <c r="X1291" i="46"/>
  <c r="Y1291" i="46"/>
  <c r="Z1291" i="46"/>
  <c r="W1292" i="46"/>
  <c r="X1292" i="46"/>
  <c r="Y1292" i="46"/>
  <c r="Z1292" i="46"/>
  <c r="W1293" i="46"/>
  <c r="X1293" i="46"/>
  <c r="Y1293" i="46"/>
  <c r="Z1293" i="46"/>
  <c r="W1294" i="46"/>
  <c r="X1294" i="46"/>
  <c r="Y1294" i="46"/>
  <c r="Z1294" i="46"/>
  <c r="W1295" i="46"/>
  <c r="X1295" i="46"/>
  <c r="Y1295" i="46"/>
  <c r="Z1295" i="46"/>
  <c r="W1296" i="46"/>
  <c r="X1296" i="46"/>
  <c r="Y1296" i="46"/>
  <c r="Z1296" i="46"/>
  <c r="W1297" i="46"/>
  <c r="X1297" i="46"/>
  <c r="Y1297" i="46"/>
  <c r="Z1297" i="46"/>
  <c r="W1298" i="46"/>
  <c r="X1298" i="46"/>
  <c r="Y1298" i="46"/>
  <c r="Z1298" i="46"/>
  <c r="W1299" i="46"/>
  <c r="X1299" i="46"/>
  <c r="Y1299" i="46"/>
  <c r="Z1299" i="46"/>
  <c r="W1300" i="46"/>
  <c r="X1300" i="46"/>
  <c r="Y1300" i="46"/>
  <c r="Z1300" i="46"/>
  <c r="W1301" i="46"/>
  <c r="X1301" i="46"/>
  <c r="Y1301" i="46"/>
  <c r="Z1301" i="46"/>
  <c r="W1302" i="46"/>
  <c r="X1302" i="46"/>
  <c r="Y1302" i="46"/>
  <c r="Z1302" i="46"/>
  <c r="W1303" i="46"/>
  <c r="X1303" i="46"/>
  <c r="Y1303" i="46"/>
  <c r="Z1303" i="46"/>
  <c r="W1304" i="46"/>
  <c r="X1304" i="46"/>
  <c r="Y1304" i="46"/>
  <c r="Z1304" i="46"/>
  <c r="W1305" i="46"/>
  <c r="X1305" i="46"/>
  <c r="Y1305" i="46"/>
  <c r="Z1305" i="46"/>
  <c r="W1306" i="46"/>
  <c r="X1306" i="46"/>
  <c r="Y1306" i="46"/>
  <c r="Z1306" i="46"/>
  <c r="W1307" i="46"/>
  <c r="X1307" i="46"/>
  <c r="Y1307" i="46"/>
  <c r="Z1307" i="46"/>
  <c r="W1308" i="46"/>
  <c r="X1308" i="46"/>
  <c r="Y1308" i="46"/>
  <c r="Z1308" i="46"/>
  <c r="W1309" i="46"/>
  <c r="X1309" i="46"/>
  <c r="Y1309" i="46"/>
  <c r="Z1309" i="46"/>
  <c r="W1310" i="46"/>
  <c r="X1310" i="46"/>
  <c r="Y1310" i="46"/>
  <c r="Z1310" i="46"/>
  <c r="W1311" i="46"/>
  <c r="X1311" i="46"/>
  <c r="Y1311" i="46"/>
  <c r="Z1311" i="46"/>
  <c r="W1312" i="46"/>
  <c r="X1312" i="46"/>
  <c r="Y1312" i="46"/>
  <c r="Z1312" i="46"/>
  <c r="W1313" i="46"/>
  <c r="X1313" i="46"/>
  <c r="Y1313" i="46"/>
  <c r="Z1313" i="46"/>
  <c r="W1314" i="46"/>
  <c r="X1314" i="46"/>
  <c r="Y1314" i="46"/>
  <c r="Z1314" i="46"/>
  <c r="W1315" i="46"/>
  <c r="X1315" i="46"/>
  <c r="Y1315" i="46"/>
  <c r="Z1315" i="46"/>
  <c r="W1316" i="46"/>
  <c r="X1316" i="46"/>
  <c r="Y1316" i="46"/>
  <c r="Z1316" i="46"/>
  <c r="W1317" i="46"/>
  <c r="X1317" i="46"/>
  <c r="Y1317" i="46"/>
  <c r="Z1317" i="46"/>
  <c r="W1318" i="46"/>
  <c r="X1318" i="46"/>
  <c r="Y1318" i="46"/>
  <c r="Z1318" i="46"/>
  <c r="W1319" i="46"/>
  <c r="X1319" i="46"/>
  <c r="Y1319" i="46"/>
  <c r="Z1319" i="46"/>
  <c r="W1320" i="46"/>
  <c r="X1320" i="46"/>
  <c r="Y1320" i="46"/>
  <c r="Z1320" i="46"/>
  <c r="W1321" i="46"/>
  <c r="X1321" i="46"/>
  <c r="Y1321" i="46"/>
  <c r="Z1321" i="46"/>
  <c r="W1322" i="46"/>
  <c r="X1322" i="46"/>
  <c r="Y1322" i="46"/>
  <c r="Z1322" i="46"/>
  <c r="W1323" i="46"/>
  <c r="X1323" i="46"/>
  <c r="Y1323" i="46"/>
  <c r="Z1323" i="46"/>
  <c r="W1324" i="46"/>
  <c r="X1324" i="46"/>
  <c r="Y1324" i="46"/>
  <c r="Z1324" i="46"/>
  <c r="W1325" i="46"/>
  <c r="X1325" i="46"/>
  <c r="Y1325" i="46"/>
  <c r="Z1325" i="46"/>
  <c r="W1326" i="46"/>
  <c r="X1326" i="46"/>
  <c r="Y1326" i="46"/>
  <c r="Z1326" i="46"/>
  <c r="W1327" i="46"/>
  <c r="X1327" i="46"/>
  <c r="Y1327" i="46"/>
  <c r="Z1327" i="46"/>
  <c r="W1328" i="46"/>
  <c r="X1328" i="46"/>
  <c r="Y1328" i="46"/>
  <c r="Z1328" i="46"/>
  <c r="W1329" i="46"/>
  <c r="X1329" i="46"/>
  <c r="Y1329" i="46"/>
  <c r="Z1329" i="46"/>
  <c r="W1330" i="46"/>
  <c r="X1330" i="46"/>
  <c r="Y1330" i="46"/>
  <c r="Z1330" i="46"/>
  <c r="W1331" i="46"/>
  <c r="X1331" i="46"/>
  <c r="Y1331" i="46"/>
  <c r="Z1331" i="46"/>
  <c r="W1332" i="46"/>
  <c r="X1332" i="46"/>
  <c r="Y1332" i="46"/>
  <c r="Z1332" i="46"/>
  <c r="W1333" i="46"/>
  <c r="X1333" i="46"/>
  <c r="Y1333" i="46"/>
  <c r="Z1333" i="46"/>
  <c r="W1334" i="46"/>
  <c r="X1334" i="46"/>
  <c r="Y1334" i="46"/>
  <c r="Z1334" i="46"/>
  <c r="W1335" i="46"/>
  <c r="X1335" i="46"/>
  <c r="Y1335" i="46"/>
  <c r="Z1335" i="46"/>
  <c r="W1336" i="46"/>
  <c r="X1336" i="46"/>
  <c r="Y1336" i="46"/>
  <c r="Z1336" i="46"/>
  <c r="W1337" i="46"/>
  <c r="X1337" i="46"/>
  <c r="Y1337" i="46"/>
  <c r="Z1337" i="46"/>
  <c r="W1338" i="46"/>
  <c r="X1338" i="46"/>
  <c r="Y1338" i="46"/>
  <c r="Z1338" i="46"/>
  <c r="W1339" i="46"/>
  <c r="X1339" i="46"/>
  <c r="Y1339" i="46"/>
  <c r="Z1339" i="46"/>
  <c r="W1340" i="46"/>
  <c r="X1340" i="46"/>
  <c r="Y1340" i="46"/>
  <c r="Z1340" i="46"/>
  <c r="W1341" i="46"/>
  <c r="X1341" i="46"/>
  <c r="Y1341" i="46"/>
  <c r="Z1341" i="46"/>
  <c r="W1342" i="46"/>
  <c r="X1342" i="46"/>
  <c r="Y1342" i="46"/>
  <c r="Z1342" i="46"/>
  <c r="W1343" i="46"/>
  <c r="X1343" i="46"/>
  <c r="Y1343" i="46"/>
  <c r="Z1343" i="46"/>
  <c r="W1344" i="46"/>
  <c r="X1344" i="46"/>
  <c r="Y1344" i="46"/>
  <c r="Z1344" i="46"/>
  <c r="W1345" i="46"/>
  <c r="X1345" i="46"/>
  <c r="Y1345" i="46"/>
  <c r="Z1345" i="46"/>
  <c r="W1346" i="46"/>
  <c r="X1346" i="46"/>
  <c r="Y1346" i="46"/>
  <c r="Z1346" i="46"/>
  <c r="W1347" i="46"/>
  <c r="X1347" i="46"/>
  <c r="Y1347" i="46"/>
  <c r="Z1347" i="46"/>
  <c r="W1348" i="46"/>
  <c r="X1348" i="46"/>
  <c r="Y1348" i="46"/>
  <c r="Z1348" i="46"/>
  <c r="W1349" i="46"/>
  <c r="X1349" i="46"/>
  <c r="Y1349" i="46"/>
  <c r="Z1349" i="46"/>
  <c r="W1350" i="46"/>
  <c r="X1350" i="46"/>
  <c r="Y1350" i="46"/>
  <c r="Z1350" i="46"/>
  <c r="W1351" i="46"/>
  <c r="X1351" i="46"/>
  <c r="Y1351" i="46"/>
  <c r="Z1351" i="46"/>
  <c r="W1352" i="46"/>
  <c r="X1352" i="46"/>
  <c r="Y1352" i="46"/>
  <c r="Z1352" i="46"/>
  <c r="W1353" i="46"/>
  <c r="X1353" i="46"/>
  <c r="Y1353" i="46"/>
  <c r="Z1353" i="46"/>
  <c r="W1354" i="46"/>
  <c r="X1354" i="46"/>
  <c r="Y1354" i="46"/>
  <c r="Z1354" i="46"/>
  <c r="W1355" i="46"/>
  <c r="X1355" i="46"/>
  <c r="Y1355" i="46"/>
  <c r="Z1355" i="46"/>
  <c r="W1356" i="46"/>
  <c r="X1356" i="46"/>
  <c r="Y1356" i="46"/>
  <c r="Z1356" i="46"/>
  <c r="W1357" i="46"/>
  <c r="X1357" i="46"/>
  <c r="Y1357" i="46"/>
  <c r="Z1357" i="46"/>
  <c r="W1358" i="46"/>
  <c r="X1358" i="46"/>
  <c r="Y1358" i="46"/>
  <c r="Z1358" i="46"/>
  <c r="W1359" i="46"/>
  <c r="X1359" i="46"/>
  <c r="Y1359" i="46"/>
  <c r="Z1359" i="46"/>
  <c r="W1360" i="46"/>
  <c r="X1360" i="46"/>
  <c r="Y1360" i="46"/>
  <c r="Z1360" i="46"/>
  <c r="W1361" i="46"/>
  <c r="X1361" i="46"/>
  <c r="Y1361" i="46"/>
  <c r="Z1361" i="46"/>
  <c r="W1362" i="46"/>
  <c r="X1362" i="46"/>
  <c r="Y1362" i="46"/>
  <c r="Z1362" i="46"/>
  <c r="W1363" i="46"/>
  <c r="X1363" i="46"/>
  <c r="Y1363" i="46"/>
  <c r="Z1363" i="46"/>
  <c r="W1364" i="46"/>
  <c r="X1364" i="46"/>
  <c r="Y1364" i="46"/>
  <c r="Z1364" i="46"/>
  <c r="W1365" i="46"/>
  <c r="X1365" i="46"/>
  <c r="Y1365" i="46"/>
  <c r="Z1365" i="46"/>
  <c r="W1366" i="46"/>
  <c r="X1366" i="46"/>
  <c r="Y1366" i="46"/>
  <c r="Z1366" i="46"/>
  <c r="W1367" i="46"/>
  <c r="X1367" i="46"/>
  <c r="Y1367" i="46"/>
  <c r="Z1367" i="46"/>
  <c r="W1368" i="46"/>
  <c r="X1368" i="46"/>
  <c r="Y1368" i="46"/>
  <c r="Z1368" i="46"/>
  <c r="W1369" i="46"/>
  <c r="X1369" i="46"/>
  <c r="Y1369" i="46"/>
  <c r="Z1369" i="46"/>
  <c r="W1370" i="46"/>
  <c r="X1370" i="46"/>
  <c r="Y1370" i="46"/>
  <c r="Z1370" i="46"/>
  <c r="W1371" i="46"/>
  <c r="X1371" i="46"/>
  <c r="Y1371" i="46"/>
  <c r="Z1371" i="46"/>
  <c r="W1372" i="46"/>
  <c r="X1372" i="46"/>
  <c r="Y1372" i="46"/>
  <c r="Z1372" i="46"/>
  <c r="W1373" i="46"/>
  <c r="X1373" i="46"/>
  <c r="Y1373" i="46"/>
  <c r="Z1373" i="46"/>
  <c r="W1374" i="46"/>
  <c r="X1374" i="46"/>
  <c r="Y1374" i="46"/>
  <c r="Z1374" i="46"/>
  <c r="W1375" i="46"/>
  <c r="X1375" i="46"/>
  <c r="Y1375" i="46"/>
  <c r="Z1375" i="46"/>
  <c r="W1376" i="46"/>
  <c r="X1376" i="46"/>
  <c r="Y1376" i="46"/>
  <c r="Z1376" i="46"/>
  <c r="W1377" i="46"/>
  <c r="X1377" i="46"/>
  <c r="Y1377" i="46"/>
  <c r="Z1377" i="46"/>
  <c r="W1378" i="46"/>
  <c r="X1378" i="46"/>
  <c r="Y1378" i="46"/>
  <c r="Z1378" i="46"/>
  <c r="W1379" i="46"/>
  <c r="X1379" i="46"/>
  <c r="Y1379" i="46"/>
  <c r="Z1379" i="46"/>
  <c r="W1380" i="46"/>
  <c r="X1380" i="46"/>
  <c r="Y1380" i="46"/>
  <c r="Z1380" i="46"/>
  <c r="W1381" i="46"/>
  <c r="X1381" i="46"/>
  <c r="Y1381" i="46"/>
  <c r="Z1381" i="46"/>
  <c r="W1382" i="46"/>
  <c r="X1382" i="46"/>
  <c r="Y1382" i="46"/>
  <c r="Z1382" i="46"/>
  <c r="W1383" i="46"/>
  <c r="X1383" i="46"/>
  <c r="Y1383" i="46"/>
  <c r="Z1383" i="46"/>
  <c r="W1384" i="46"/>
  <c r="X1384" i="46"/>
  <c r="Y1384" i="46"/>
  <c r="Z1384" i="46"/>
  <c r="W1385" i="46"/>
  <c r="X1385" i="46"/>
  <c r="Y1385" i="46"/>
  <c r="Z1385" i="46"/>
  <c r="W1386" i="46"/>
  <c r="X1386" i="46"/>
  <c r="Y1386" i="46"/>
  <c r="Z1386" i="46"/>
  <c r="W1387" i="46"/>
  <c r="X1387" i="46"/>
  <c r="Y1387" i="46"/>
  <c r="Z1387" i="46"/>
  <c r="W1388" i="46"/>
  <c r="X1388" i="46"/>
  <c r="Y1388" i="46"/>
  <c r="Z1388" i="46"/>
  <c r="W1389" i="46"/>
  <c r="X1389" i="46"/>
  <c r="Y1389" i="46"/>
  <c r="Z1389" i="46"/>
  <c r="W1390" i="46"/>
  <c r="X1390" i="46"/>
  <c r="Y1390" i="46"/>
  <c r="Z1390" i="46"/>
  <c r="W1391" i="46"/>
  <c r="X1391" i="46"/>
  <c r="Y1391" i="46"/>
  <c r="Z1391" i="46"/>
  <c r="W1392" i="46"/>
  <c r="X1392" i="46"/>
  <c r="Y1392" i="46"/>
  <c r="Z1392" i="46"/>
  <c r="W1393" i="46"/>
  <c r="X1393" i="46"/>
  <c r="Y1393" i="46"/>
  <c r="Z1393" i="46"/>
  <c r="W1394" i="46"/>
  <c r="X1394" i="46"/>
  <c r="Y1394" i="46"/>
  <c r="Z1394" i="46"/>
  <c r="W1395" i="46"/>
  <c r="X1395" i="46"/>
  <c r="Y1395" i="46"/>
  <c r="Z1395" i="46"/>
  <c r="W1396" i="46"/>
  <c r="X1396" i="46"/>
  <c r="Y1396" i="46"/>
  <c r="Z1396" i="46"/>
  <c r="W1397" i="46"/>
  <c r="X1397" i="46"/>
  <c r="Y1397" i="46"/>
  <c r="Z1397" i="46"/>
  <c r="W1398" i="46"/>
  <c r="X1398" i="46"/>
  <c r="Y1398" i="46"/>
  <c r="Z1398" i="46"/>
  <c r="W1399" i="46"/>
  <c r="X1399" i="46"/>
  <c r="Y1399" i="46"/>
  <c r="Z1399" i="46"/>
  <c r="W1400" i="46"/>
  <c r="X1400" i="46"/>
  <c r="Y1400" i="46"/>
  <c r="Z1400" i="46"/>
  <c r="W1401" i="46"/>
  <c r="X1401" i="46"/>
  <c r="Y1401" i="46"/>
  <c r="Z1401" i="46"/>
  <c r="W1402" i="46"/>
  <c r="X1402" i="46"/>
  <c r="Y1402" i="46"/>
  <c r="Z1402" i="46"/>
  <c r="W1403" i="46"/>
  <c r="X1403" i="46"/>
  <c r="Y1403" i="46"/>
  <c r="Z1403" i="46"/>
  <c r="W1404" i="46"/>
  <c r="X1404" i="46"/>
  <c r="Y1404" i="46"/>
  <c r="Z1404" i="46"/>
  <c r="W1405" i="46"/>
  <c r="X1405" i="46"/>
  <c r="Y1405" i="46"/>
  <c r="Z1405" i="46"/>
  <c r="W1406" i="46"/>
  <c r="X1406" i="46"/>
  <c r="Y1406" i="46"/>
  <c r="Z1406" i="46"/>
  <c r="W1407" i="46"/>
  <c r="X1407" i="46"/>
  <c r="Y1407" i="46"/>
  <c r="Z1407" i="46"/>
  <c r="W1408" i="46"/>
  <c r="X1408" i="46"/>
  <c r="Y1408" i="46"/>
  <c r="Z1408" i="46"/>
  <c r="W1409" i="46"/>
  <c r="X1409" i="46"/>
  <c r="Y1409" i="46"/>
  <c r="Z1409" i="46"/>
  <c r="W1410" i="46"/>
  <c r="X1410" i="46"/>
  <c r="Y1410" i="46"/>
  <c r="Z1410" i="46"/>
  <c r="W1411" i="46"/>
  <c r="X1411" i="46"/>
  <c r="Y1411" i="46"/>
  <c r="Z1411" i="46"/>
  <c r="W1412" i="46"/>
  <c r="X1412" i="46"/>
  <c r="Y1412" i="46"/>
  <c r="Z1412" i="46"/>
  <c r="W1413" i="46"/>
  <c r="X1413" i="46"/>
  <c r="Y1413" i="46"/>
  <c r="Z1413" i="46"/>
  <c r="W1414" i="46"/>
  <c r="X1414" i="46"/>
  <c r="Y1414" i="46"/>
  <c r="Z1414" i="46"/>
  <c r="W1415" i="46"/>
  <c r="X1415" i="46"/>
  <c r="Y1415" i="46"/>
  <c r="Z1415" i="46"/>
  <c r="W1416" i="46"/>
  <c r="X1416" i="46"/>
  <c r="Y1416" i="46"/>
  <c r="Z1416" i="46"/>
  <c r="W1417" i="46"/>
  <c r="X1417" i="46"/>
  <c r="Y1417" i="46"/>
  <c r="Z1417" i="46"/>
  <c r="W1418" i="46"/>
  <c r="X1418" i="46"/>
  <c r="Y1418" i="46"/>
  <c r="Z1418" i="46"/>
  <c r="W1419" i="46"/>
  <c r="X1419" i="46"/>
  <c r="Y1419" i="46"/>
  <c r="Z1419" i="46"/>
  <c r="W1420" i="46"/>
  <c r="X1420" i="46"/>
  <c r="Y1420" i="46"/>
  <c r="Z1420" i="46"/>
  <c r="W1421" i="46"/>
  <c r="X1421" i="46"/>
  <c r="Y1421" i="46"/>
  <c r="Z1421" i="46"/>
  <c r="W1422" i="46"/>
  <c r="X1422" i="46"/>
  <c r="Y1422" i="46"/>
  <c r="Z1422" i="46"/>
  <c r="W1423" i="46"/>
  <c r="X1423" i="46"/>
  <c r="Y1423" i="46"/>
  <c r="Z1423" i="46"/>
  <c r="W1424" i="46"/>
  <c r="X1424" i="46"/>
  <c r="Y1424" i="46"/>
  <c r="Z1424" i="46"/>
  <c r="W1425" i="46"/>
  <c r="X1425" i="46"/>
  <c r="Y1425" i="46"/>
  <c r="Z1425" i="46"/>
  <c r="W1426" i="46"/>
  <c r="X1426" i="46"/>
  <c r="Y1426" i="46"/>
  <c r="Z1426" i="46"/>
  <c r="W1427" i="46"/>
  <c r="X1427" i="46"/>
  <c r="Y1427" i="46"/>
  <c r="Z1427" i="46"/>
  <c r="W1428" i="46"/>
  <c r="X1428" i="46"/>
  <c r="Y1428" i="46"/>
  <c r="Z1428" i="46"/>
  <c r="W1429" i="46"/>
  <c r="X1429" i="46"/>
  <c r="Y1429" i="46"/>
  <c r="Z1429" i="46"/>
  <c r="W1430" i="46"/>
  <c r="X1430" i="46"/>
  <c r="Y1430" i="46"/>
  <c r="Z1430" i="46"/>
  <c r="W1431" i="46"/>
  <c r="X1431" i="46"/>
  <c r="Y1431" i="46"/>
  <c r="Z1431" i="46"/>
  <c r="W1432" i="46"/>
  <c r="X1432" i="46"/>
  <c r="Y1432" i="46"/>
  <c r="Z1432" i="46"/>
  <c r="W1433" i="46"/>
  <c r="X1433" i="46"/>
  <c r="Y1433" i="46"/>
  <c r="Z1433" i="46"/>
  <c r="W1434" i="46"/>
  <c r="X1434" i="46"/>
  <c r="Y1434" i="46"/>
  <c r="Z1434" i="46"/>
  <c r="W1435" i="46"/>
  <c r="X1435" i="46"/>
  <c r="Y1435" i="46"/>
  <c r="Z1435" i="46"/>
  <c r="W1436" i="46"/>
  <c r="X1436" i="46"/>
  <c r="Y1436" i="46"/>
  <c r="Z1436" i="46"/>
  <c r="W1437" i="46"/>
  <c r="X1437" i="46"/>
  <c r="Y1437" i="46"/>
  <c r="Z1437" i="46"/>
  <c r="W1438" i="46"/>
  <c r="X1438" i="46"/>
  <c r="Y1438" i="46"/>
  <c r="Z1438" i="46"/>
  <c r="W1439" i="46"/>
  <c r="X1439" i="46"/>
  <c r="Y1439" i="46"/>
  <c r="Z1439" i="46"/>
  <c r="W1440" i="46"/>
  <c r="X1440" i="46"/>
  <c r="Y1440" i="46"/>
  <c r="Z1440" i="46"/>
  <c r="W1441" i="46"/>
  <c r="X1441" i="46"/>
  <c r="Y1441" i="46"/>
  <c r="Z1441" i="46"/>
  <c r="W1442" i="46"/>
  <c r="X1442" i="46"/>
  <c r="Y1442" i="46"/>
  <c r="Z1442" i="46"/>
  <c r="W1443" i="46"/>
  <c r="X1443" i="46"/>
  <c r="Y1443" i="46"/>
  <c r="Z1443" i="46"/>
  <c r="W1444" i="46"/>
  <c r="X1444" i="46"/>
  <c r="Y1444" i="46"/>
  <c r="Z1444" i="46"/>
  <c r="W1445" i="46"/>
  <c r="X1445" i="46"/>
  <c r="Y1445" i="46"/>
  <c r="Z1445" i="46"/>
  <c r="W1446" i="46"/>
  <c r="X1446" i="46"/>
  <c r="Y1446" i="46"/>
  <c r="Z1446" i="46"/>
  <c r="W1447" i="46"/>
  <c r="X1447" i="46"/>
  <c r="Y1447" i="46"/>
  <c r="Z1447" i="46"/>
  <c r="W1448" i="46"/>
  <c r="X1448" i="46"/>
  <c r="Y1448" i="46"/>
  <c r="Z1448" i="46"/>
  <c r="W1449" i="46"/>
  <c r="X1449" i="46"/>
  <c r="Y1449" i="46"/>
  <c r="Z1449" i="46"/>
  <c r="W1450" i="46"/>
  <c r="X1450" i="46"/>
  <c r="Y1450" i="46"/>
  <c r="Z1450" i="46"/>
  <c r="W1451" i="46"/>
  <c r="X1451" i="46"/>
  <c r="Y1451" i="46"/>
  <c r="Z1451" i="46"/>
  <c r="W1452" i="46"/>
  <c r="X1452" i="46"/>
  <c r="Y1452" i="46"/>
  <c r="Z1452" i="46"/>
  <c r="W1453" i="46"/>
  <c r="X1453" i="46"/>
  <c r="Y1453" i="46"/>
  <c r="Z1453" i="46"/>
  <c r="W1454" i="46"/>
  <c r="X1454" i="46"/>
  <c r="Y1454" i="46"/>
  <c r="Z1454" i="46"/>
  <c r="W1455" i="46"/>
  <c r="X1455" i="46"/>
  <c r="Y1455" i="46"/>
  <c r="Z1455" i="46"/>
  <c r="W1456" i="46"/>
  <c r="X1456" i="46"/>
  <c r="Y1456" i="46"/>
  <c r="Z1456" i="46"/>
  <c r="W1457" i="46"/>
  <c r="X1457" i="46"/>
  <c r="Y1457" i="46"/>
  <c r="Z1457" i="46"/>
  <c r="W1458" i="46"/>
  <c r="X1458" i="46"/>
  <c r="Y1458" i="46"/>
  <c r="Z1458" i="46"/>
  <c r="W1459" i="46"/>
  <c r="X1459" i="46"/>
  <c r="Y1459" i="46"/>
  <c r="Z1459" i="46"/>
  <c r="W1460" i="46"/>
  <c r="X1460" i="46"/>
  <c r="Y1460" i="46"/>
  <c r="Z1460" i="46"/>
  <c r="W1461" i="46"/>
  <c r="X1461" i="46"/>
  <c r="Y1461" i="46"/>
  <c r="Z1461" i="46"/>
  <c r="W1462" i="46"/>
  <c r="X1462" i="46"/>
  <c r="Y1462" i="46"/>
  <c r="Z1462" i="46"/>
  <c r="W1463" i="46"/>
  <c r="X1463" i="46"/>
  <c r="Y1463" i="46"/>
  <c r="Z1463" i="46"/>
  <c r="W1464" i="46"/>
  <c r="X1464" i="46"/>
  <c r="Y1464" i="46"/>
  <c r="Z1464" i="46"/>
  <c r="W1465" i="46"/>
  <c r="X1465" i="46"/>
  <c r="Y1465" i="46"/>
  <c r="Z1465" i="46"/>
  <c r="W1466" i="46"/>
  <c r="X1466" i="46"/>
  <c r="Y1466" i="46"/>
  <c r="Z1466" i="46"/>
  <c r="W1467" i="46"/>
  <c r="X1467" i="46"/>
  <c r="Y1467" i="46"/>
  <c r="Z1467" i="46"/>
  <c r="W1468" i="46"/>
  <c r="X1468" i="46"/>
  <c r="Y1468" i="46"/>
  <c r="Z1468" i="46"/>
  <c r="W1469" i="46"/>
  <c r="X1469" i="46"/>
  <c r="Y1469" i="46"/>
  <c r="Z1469" i="46"/>
  <c r="W1470" i="46"/>
  <c r="X1470" i="46"/>
  <c r="Y1470" i="46"/>
  <c r="Z1470" i="46"/>
  <c r="W1471" i="46"/>
  <c r="X1471" i="46"/>
  <c r="Y1471" i="46"/>
  <c r="Z1471" i="46"/>
  <c r="W1472" i="46"/>
  <c r="X1472" i="46"/>
  <c r="Y1472" i="46"/>
  <c r="Z1472" i="46"/>
  <c r="W1473" i="46"/>
  <c r="X1473" i="46"/>
  <c r="Y1473" i="46"/>
  <c r="Z1473" i="46"/>
  <c r="W1474" i="46"/>
  <c r="X1474" i="46"/>
  <c r="Y1474" i="46"/>
  <c r="Z1474" i="46"/>
  <c r="W1475" i="46"/>
  <c r="X1475" i="46"/>
  <c r="Y1475" i="46"/>
  <c r="Z1475" i="46"/>
  <c r="W1476" i="46"/>
  <c r="X1476" i="46"/>
  <c r="Y1476" i="46"/>
  <c r="Z1476" i="46"/>
  <c r="W1477" i="46"/>
  <c r="X1477" i="46"/>
  <c r="Y1477" i="46"/>
  <c r="Z1477" i="46"/>
  <c r="W1478" i="46"/>
  <c r="X1478" i="46"/>
  <c r="Y1478" i="46"/>
  <c r="Z1478" i="46"/>
  <c r="W1479" i="46"/>
  <c r="X1479" i="46"/>
  <c r="Y1479" i="46"/>
  <c r="Z1479" i="46"/>
  <c r="W1480" i="46"/>
  <c r="X1480" i="46"/>
  <c r="Y1480" i="46"/>
  <c r="Z1480" i="46"/>
  <c r="W1481" i="46"/>
  <c r="X1481" i="46"/>
  <c r="Y1481" i="46"/>
  <c r="Z1481" i="46"/>
  <c r="W1482" i="46"/>
  <c r="X1482" i="46"/>
  <c r="Y1482" i="46"/>
  <c r="Z1482" i="46"/>
  <c r="W1483" i="46"/>
  <c r="X1483" i="46"/>
  <c r="Y1483" i="46"/>
  <c r="Z1483" i="46"/>
  <c r="W1484" i="46"/>
  <c r="X1484" i="46"/>
  <c r="Y1484" i="46"/>
  <c r="Z1484" i="46"/>
  <c r="W1485" i="46"/>
  <c r="X1485" i="46"/>
  <c r="Y1485" i="46"/>
  <c r="Z1485" i="46"/>
  <c r="W1486" i="46"/>
  <c r="X1486" i="46"/>
  <c r="Y1486" i="46"/>
  <c r="Z1486" i="46"/>
  <c r="W1487" i="46"/>
  <c r="X1487" i="46"/>
  <c r="Y1487" i="46"/>
  <c r="Z1487" i="46"/>
  <c r="W1488" i="46"/>
  <c r="X1488" i="46"/>
  <c r="Y1488" i="46"/>
  <c r="Z1488" i="46"/>
  <c r="W1489" i="46"/>
  <c r="X1489" i="46"/>
  <c r="Y1489" i="46"/>
  <c r="Z1489" i="46"/>
  <c r="W1490" i="46"/>
  <c r="X1490" i="46"/>
  <c r="Y1490" i="46"/>
  <c r="Z1490" i="46"/>
  <c r="W1491" i="46"/>
  <c r="X1491" i="46"/>
  <c r="Y1491" i="46"/>
  <c r="Z1491" i="46"/>
  <c r="W1492" i="46"/>
  <c r="X1492" i="46"/>
  <c r="Y1492" i="46"/>
  <c r="Z1492" i="46"/>
  <c r="W1493" i="46"/>
  <c r="X1493" i="46"/>
  <c r="Y1493" i="46"/>
  <c r="Z1493" i="46"/>
  <c r="W1494" i="46"/>
  <c r="X1494" i="46"/>
  <c r="Y1494" i="46"/>
  <c r="Z1494" i="46"/>
  <c r="W1495" i="46"/>
  <c r="X1495" i="46"/>
  <c r="Y1495" i="46"/>
  <c r="Z1495" i="46"/>
  <c r="W1496" i="46"/>
  <c r="X1496" i="46"/>
  <c r="Y1496" i="46"/>
  <c r="Z1496" i="46"/>
  <c r="W1497" i="46"/>
  <c r="X1497" i="46"/>
  <c r="Y1497" i="46"/>
  <c r="Z1497" i="46"/>
  <c r="W1498" i="46"/>
  <c r="X1498" i="46"/>
  <c r="Y1498" i="46"/>
  <c r="Z1498" i="46"/>
  <c r="W1499" i="46"/>
  <c r="X1499" i="46"/>
  <c r="Y1499" i="46"/>
  <c r="Z1499" i="46"/>
  <c r="W1500" i="46"/>
  <c r="X1500" i="46"/>
  <c r="Y1500" i="46"/>
  <c r="Z1500" i="46"/>
  <c r="W1501" i="46"/>
  <c r="X1501" i="46"/>
  <c r="Y1501" i="46"/>
  <c r="Z1501" i="46"/>
  <c r="W1502" i="46"/>
  <c r="X1502" i="46"/>
  <c r="Y1502" i="46"/>
  <c r="Z1502" i="46"/>
  <c r="W1503" i="46"/>
  <c r="X1503" i="46"/>
  <c r="Y1503" i="46"/>
  <c r="Z1503" i="46"/>
  <c r="W1504" i="46"/>
  <c r="X1504" i="46"/>
  <c r="Y1504" i="46"/>
  <c r="Z1504" i="46"/>
  <c r="W1505" i="46"/>
  <c r="X1505" i="46"/>
  <c r="Y1505" i="46"/>
  <c r="Z1505" i="46"/>
  <c r="W1506" i="46"/>
  <c r="X1506" i="46"/>
  <c r="Y1506" i="46"/>
  <c r="Z1506" i="46"/>
  <c r="W1507" i="46"/>
  <c r="X1507" i="46"/>
  <c r="Y1507" i="46"/>
  <c r="Z1507" i="46"/>
  <c r="W1508" i="46"/>
  <c r="X1508" i="46"/>
  <c r="Y1508" i="46"/>
  <c r="Z1508" i="46"/>
  <c r="W1509" i="46"/>
  <c r="X1509" i="46"/>
  <c r="Y1509" i="46"/>
  <c r="Z1509" i="46"/>
  <c r="W1510" i="46"/>
  <c r="X1510" i="46"/>
  <c r="Y1510" i="46"/>
  <c r="Z1510" i="46"/>
  <c r="W1511" i="46"/>
  <c r="X1511" i="46"/>
  <c r="Y1511" i="46"/>
  <c r="Z1511" i="46"/>
  <c r="W1512" i="46"/>
  <c r="X1512" i="46"/>
  <c r="Y1512" i="46"/>
  <c r="Z1512" i="46"/>
  <c r="W1513" i="46"/>
  <c r="X1513" i="46"/>
  <c r="Y1513" i="46"/>
  <c r="Z1513" i="46"/>
  <c r="W1514" i="46"/>
  <c r="X1514" i="46"/>
  <c r="Y1514" i="46"/>
  <c r="Z1514" i="46"/>
  <c r="W1515" i="46"/>
  <c r="X1515" i="46"/>
  <c r="Y1515" i="46"/>
  <c r="Z1515" i="46"/>
  <c r="W1516" i="46"/>
  <c r="X1516" i="46"/>
  <c r="Y1516" i="46"/>
  <c r="Z1516" i="46"/>
  <c r="W1517" i="46"/>
  <c r="X1517" i="46"/>
  <c r="Y1517" i="46"/>
  <c r="Z1517" i="46"/>
  <c r="W1518" i="46"/>
  <c r="X1518" i="46"/>
  <c r="Y1518" i="46"/>
  <c r="Z1518" i="46"/>
  <c r="W1519" i="46"/>
  <c r="X1519" i="46"/>
  <c r="Y1519" i="46"/>
  <c r="Z1519" i="46"/>
  <c r="W1520" i="46"/>
  <c r="X1520" i="46"/>
  <c r="Y1520" i="46"/>
  <c r="Z1520" i="46"/>
  <c r="W1521" i="46"/>
  <c r="X1521" i="46"/>
  <c r="Y1521" i="46"/>
  <c r="Z1521" i="46"/>
  <c r="W1522" i="46"/>
  <c r="X1522" i="46"/>
  <c r="Y1522" i="46"/>
  <c r="Z1522" i="46"/>
  <c r="W1523" i="46"/>
  <c r="X1523" i="46"/>
  <c r="Y1523" i="46"/>
  <c r="Z1523" i="46"/>
  <c r="W1524" i="46"/>
  <c r="X1524" i="46"/>
  <c r="Y1524" i="46"/>
  <c r="Z1524" i="46"/>
  <c r="W1525" i="46"/>
  <c r="X1525" i="46"/>
  <c r="Y1525" i="46"/>
  <c r="Z1525" i="46"/>
  <c r="W1526" i="46"/>
  <c r="X1526" i="46"/>
  <c r="Y1526" i="46"/>
  <c r="Z1526" i="46"/>
  <c r="W1527" i="46"/>
  <c r="X1527" i="46"/>
  <c r="Y1527" i="46"/>
  <c r="Z1527" i="46"/>
  <c r="W1528" i="46"/>
  <c r="X1528" i="46"/>
  <c r="Y1528" i="46"/>
  <c r="Z1528" i="46"/>
  <c r="W1529" i="46"/>
  <c r="X1529" i="46"/>
  <c r="Y1529" i="46"/>
  <c r="Z1529" i="46"/>
  <c r="W1530" i="46"/>
  <c r="X1530" i="46"/>
  <c r="Y1530" i="46"/>
  <c r="Z1530" i="46"/>
  <c r="W1531" i="46"/>
  <c r="X1531" i="46"/>
  <c r="Y1531" i="46"/>
  <c r="Z1531" i="46"/>
  <c r="W1532" i="46"/>
  <c r="X1532" i="46"/>
  <c r="Y1532" i="46"/>
  <c r="Z1532" i="46"/>
  <c r="W1533" i="46"/>
  <c r="X1533" i="46"/>
  <c r="Y1533" i="46"/>
  <c r="Z1533" i="46"/>
  <c r="W1534" i="46"/>
  <c r="X1534" i="46"/>
  <c r="Y1534" i="46"/>
  <c r="Z1534" i="46"/>
  <c r="W1535" i="46"/>
  <c r="X1535" i="46"/>
  <c r="Y1535" i="46"/>
  <c r="Z1535" i="46"/>
  <c r="W1536" i="46"/>
  <c r="X1536" i="46"/>
  <c r="Y1536" i="46"/>
  <c r="Z1536" i="46"/>
  <c r="W1537" i="46"/>
  <c r="X1537" i="46"/>
  <c r="Y1537" i="46"/>
  <c r="Z1537" i="46"/>
  <c r="W1538" i="46"/>
  <c r="X1538" i="46"/>
  <c r="Y1538" i="46"/>
  <c r="Z1538" i="46"/>
  <c r="W1539" i="46"/>
  <c r="X1539" i="46"/>
  <c r="Y1539" i="46"/>
  <c r="Z1539" i="46"/>
  <c r="W1540" i="46"/>
  <c r="X1540" i="46"/>
  <c r="Y1540" i="46"/>
  <c r="Z1540" i="46"/>
  <c r="W1541" i="46"/>
  <c r="X1541" i="46"/>
  <c r="Y1541" i="46"/>
  <c r="Z1541" i="46"/>
  <c r="W1542" i="46"/>
  <c r="X1542" i="46"/>
  <c r="Y1542" i="46"/>
  <c r="Z1542" i="46"/>
  <c r="W1543" i="46"/>
  <c r="X1543" i="46"/>
  <c r="Y1543" i="46"/>
  <c r="Z1543" i="46"/>
  <c r="W1544" i="46"/>
  <c r="X1544" i="46"/>
  <c r="Y1544" i="46"/>
  <c r="Z1544" i="46"/>
  <c r="W1545" i="46"/>
  <c r="X1545" i="46"/>
  <c r="Y1545" i="46"/>
  <c r="Z1545" i="46"/>
  <c r="W1546" i="46"/>
  <c r="X1546" i="46"/>
  <c r="Y1546" i="46"/>
  <c r="Z1546" i="46"/>
  <c r="W1547" i="46"/>
  <c r="X1547" i="46"/>
  <c r="Y1547" i="46"/>
  <c r="Z1547" i="46"/>
  <c r="W1548" i="46"/>
  <c r="X1548" i="46"/>
  <c r="Y1548" i="46"/>
  <c r="Z1548" i="46"/>
  <c r="W1549" i="46"/>
  <c r="X1549" i="46"/>
  <c r="Y1549" i="46"/>
  <c r="Z1549" i="46"/>
  <c r="W1550" i="46"/>
  <c r="X1550" i="46"/>
  <c r="Y1550" i="46"/>
  <c r="Z1550" i="46"/>
  <c r="W1551" i="46"/>
  <c r="X1551" i="46"/>
  <c r="Y1551" i="46"/>
  <c r="Z1551" i="46"/>
  <c r="W1552" i="46"/>
  <c r="X1552" i="46"/>
  <c r="Y1552" i="46"/>
  <c r="Z1552" i="46"/>
  <c r="W1553" i="46"/>
  <c r="X1553" i="46"/>
  <c r="Y1553" i="46"/>
  <c r="Z1553" i="46"/>
  <c r="W1554" i="46"/>
  <c r="X1554" i="46"/>
  <c r="Y1554" i="46"/>
  <c r="Z1554" i="46"/>
  <c r="W1555" i="46"/>
  <c r="X1555" i="46"/>
  <c r="Y1555" i="46"/>
  <c r="Z1555" i="46"/>
  <c r="W1556" i="46"/>
  <c r="X1556" i="46"/>
  <c r="Y1556" i="46"/>
  <c r="Z1556" i="46"/>
  <c r="W1557" i="46"/>
  <c r="X1557" i="46"/>
  <c r="Y1557" i="46"/>
  <c r="Z1557" i="46"/>
  <c r="W1558" i="46"/>
  <c r="X1558" i="46"/>
  <c r="Y1558" i="46"/>
  <c r="Z1558" i="46"/>
  <c r="W1559" i="46"/>
  <c r="X1559" i="46"/>
  <c r="Y1559" i="46"/>
  <c r="Z1559" i="46"/>
  <c r="W1560" i="46"/>
  <c r="X1560" i="46"/>
  <c r="Y1560" i="46"/>
  <c r="Z1560" i="46"/>
  <c r="W1561" i="46"/>
  <c r="X1561" i="46"/>
  <c r="Y1561" i="46"/>
  <c r="Z1561" i="46"/>
  <c r="W1562" i="46"/>
  <c r="X1562" i="46"/>
  <c r="Y1562" i="46"/>
  <c r="Z1562" i="46"/>
  <c r="W1563" i="46"/>
  <c r="X1563" i="46"/>
  <c r="Y1563" i="46"/>
  <c r="Z1563" i="46"/>
  <c r="W1564" i="46"/>
  <c r="X1564" i="46"/>
  <c r="Y1564" i="46"/>
  <c r="Z1564" i="46"/>
  <c r="W1565" i="46"/>
  <c r="X1565" i="46"/>
  <c r="Y1565" i="46"/>
  <c r="Z1565" i="46"/>
  <c r="W1566" i="46"/>
  <c r="X1566" i="46"/>
  <c r="Y1566" i="46"/>
  <c r="Z1566" i="46"/>
  <c r="W1567" i="46"/>
  <c r="X1567" i="46"/>
  <c r="Y1567" i="46"/>
  <c r="Z1567" i="46"/>
  <c r="W1568" i="46"/>
  <c r="X1568" i="46"/>
  <c r="Y1568" i="46"/>
  <c r="Z1568" i="46"/>
  <c r="W1569" i="46"/>
  <c r="X1569" i="46"/>
  <c r="Y1569" i="46"/>
  <c r="Z1569" i="46"/>
  <c r="W1570" i="46"/>
  <c r="X1570" i="46"/>
  <c r="Y1570" i="46"/>
  <c r="Z1570" i="46"/>
  <c r="W1571" i="46"/>
  <c r="X1571" i="46"/>
  <c r="Y1571" i="46"/>
  <c r="Z1571" i="46"/>
  <c r="W1572" i="46"/>
  <c r="X1572" i="46"/>
  <c r="Y1572" i="46"/>
  <c r="Z1572" i="46"/>
  <c r="W1573" i="46"/>
  <c r="X1573" i="46"/>
  <c r="Y1573" i="46"/>
  <c r="Z1573" i="46"/>
  <c r="W1574" i="46"/>
  <c r="X1574" i="46"/>
  <c r="Y1574" i="46"/>
  <c r="Z1574" i="46"/>
  <c r="W1575" i="46"/>
  <c r="X1575" i="46"/>
  <c r="Y1575" i="46"/>
  <c r="Z1575" i="46"/>
  <c r="W1576" i="46"/>
  <c r="X1576" i="46"/>
  <c r="Y1576" i="46"/>
  <c r="Z1576" i="46"/>
  <c r="W1577" i="46"/>
  <c r="X1577" i="46"/>
  <c r="Y1577" i="46"/>
  <c r="Z1577" i="46"/>
  <c r="W1578" i="46"/>
  <c r="X1578" i="46"/>
  <c r="Y1578" i="46"/>
  <c r="Z1578" i="46"/>
  <c r="W1579" i="46"/>
  <c r="X1579" i="46"/>
  <c r="Y1579" i="46"/>
  <c r="Z1579" i="46"/>
  <c r="W1580" i="46"/>
  <c r="X1580" i="46"/>
  <c r="Y1580" i="46"/>
  <c r="Z1580" i="46"/>
  <c r="W1581" i="46"/>
  <c r="X1581" i="46"/>
  <c r="Y1581" i="46"/>
  <c r="Z1581" i="46"/>
  <c r="W1582" i="46"/>
  <c r="X1582" i="46"/>
  <c r="Y1582" i="46"/>
  <c r="Z1582" i="46"/>
  <c r="W1583" i="46"/>
  <c r="X1583" i="46"/>
  <c r="Y1583" i="46"/>
  <c r="Z1583" i="46"/>
  <c r="W1584" i="46"/>
  <c r="X1584" i="46"/>
  <c r="Y1584" i="46"/>
  <c r="Z1584" i="46"/>
  <c r="H580" i="46"/>
  <c r="I580" i="46"/>
  <c r="G580" i="46"/>
  <c r="E580" i="46"/>
  <c r="C580" i="46"/>
  <c r="B580" i="46"/>
  <c r="A580" i="46"/>
  <c r="Z580" i="46" s="1"/>
  <c r="H579" i="46"/>
  <c r="I579" i="46"/>
  <c r="G579" i="46"/>
  <c r="E579" i="46"/>
  <c r="C579" i="46"/>
  <c r="B579" i="46"/>
  <c r="A579" i="46"/>
  <c r="W579" i="46" s="1"/>
  <c r="H578" i="46"/>
  <c r="I578" i="46"/>
  <c r="G578" i="46"/>
  <c r="E578" i="46"/>
  <c r="C578" i="46"/>
  <c r="B578" i="46"/>
  <c r="A578" i="46"/>
  <c r="Z578" i="46" s="1"/>
  <c r="H577" i="46"/>
  <c r="I577" i="46"/>
  <c r="G577" i="46"/>
  <c r="E577" i="46"/>
  <c r="C577" i="46"/>
  <c r="B577" i="46"/>
  <c r="A577" i="46"/>
  <c r="W577" i="46" s="1"/>
  <c r="H576" i="46"/>
  <c r="I576" i="46"/>
  <c r="G576" i="46"/>
  <c r="E576" i="46"/>
  <c r="C576" i="46"/>
  <c r="B576" i="46"/>
  <c r="A576" i="46"/>
  <c r="Z576" i="46" s="1"/>
  <c r="H575" i="46"/>
  <c r="I575" i="46"/>
  <c r="G575" i="46"/>
  <c r="E575" i="46"/>
  <c r="C575" i="46"/>
  <c r="B575" i="46"/>
  <c r="A575" i="46"/>
  <c r="W575" i="46" s="1"/>
  <c r="H574" i="46"/>
  <c r="I574" i="46"/>
  <c r="G574" i="46"/>
  <c r="E574" i="46"/>
  <c r="C574" i="46"/>
  <c r="B574" i="46"/>
  <c r="A574" i="46"/>
  <c r="Z574" i="46" s="1"/>
  <c r="H573" i="46"/>
  <c r="I573" i="46"/>
  <c r="G573" i="46"/>
  <c r="E573" i="46"/>
  <c r="C573" i="46"/>
  <c r="B573" i="46"/>
  <c r="A573" i="46"/>
  <c r="Y573" i="46" s="1"/>
  <c r="H572" i="46"/>
  <c r="I572" i="46"/>
  <c r="G572" i="46"/>
  <c r="E572" i="46"/>
  <c r="C572" i="46"/>
  <c r="B572" i="46"/>
  <c r="A572" i="46"/>
  <c r="Z572" i="46" s="1"/>
  <c r="H571" i="46"/>
  <c r="I571" i="46"/>
  <c r="G571" i="46"/>
  <c r="E571" i="46"/>
  <c r="C571" i="46"/>
  <c r="B571" i="46"/>
  <c r="A571" i="46"/>
  <c r="W571" i="46" s="1"/>
  <c r="H570" i="46"/>
  <c r="I570" i="46"/>
  <c r="G570" i="46"/>
  <c r="E570" i="46"/>
  <c r="C570" i="46"/>
  <c r="B570" i="46"/>
  <c r="A570" i="46"/>
  <c r="Z570" i="46" s="1"/>
  <c r="H569" i="46"/>
  <c r="I569" i="46"/>
  <c r="G569" i="46"/>
  <c r="E569" i="46"/>
  <c r="C569" i="46"/>
  <c r="B569" i="46"/>
  <c r="A569" i="46"/>
  <c r="Y569" i="46" s="1"/>
  <c r="H568" i="46"/>
  <c r="I568" i="46"/>
  <c r="G568" i="46"/>
  <c r="E568" i="46"/>
  <c r="C568" i="46"/>
  <c r="B568" i="46"/>
  <c r="A568" i="46"/>
  <c r="Z568" i="46" s="1"/>
  <c r="H567" i="46"/>
  <c r="I567" i="46"/>
  <c r="G567" i="46"/>
  <c r="E567" i="46"/>
  <c r="C567" i="46"/>
  <c r="B567" i="46"/>
  <c r="A567" i="46"/>
  <c r="W567" i="46" s="1"/>
  <c r="H566" i="46"/>
  <c r="I566" i="46"/>
  <c r="G566" i="46"/>
  <c r="E566" i="46"/>
  <c r="C566" i="46"/>
  <c r="B566" i="46"/>
  <c r="A566" i="46"/>
  <c r="Z566" i="46" s="1"/>
  <c r="H565" i="46"/>
  <c r="I565" i="46"/>
  <c r="G565" i="46"/>
  <c r="E565" i="46"/>
  <c r="C565" i="46"/>
  <c r="B565" i="46"/>
  <c r="A565" i="46"/>
  <c r="Y565" i="46" s="1"/>
  <c r="H564" i="46"/>
  <c r="I564" i="46"/>
  <c r="G564" i="46"/>
  <c r="E564" i="46"/>
  <c r="C564" i="46"/>
  <c r="B564" i="46"/>
  <c r="A564" i="46"/>
  <c r="Z564" i="46" s="1"/>
  <c r="H563" i="46"/>
  <c r="I563" i="46"/>
  <c r="G563" i="46"/>
  <c r="E563" i="46"/>
  <c r="C563" i="46"/>
  <c r="B563" i="46"/>
  <c r="A563" i="46"/>
  <c r="W563" i="46" s="1"/>
  <c r="H562" i="46"/>
  <c r="I562" i="46"/>
  <c r="G562" i="46"/>
  <c r="E562" i="46"/>
  <c r="C562" i="46"/>
  <c r="B562" i="46"/>
  <c r="A562" i="46"/>
  <c r="Z562" i="46" s="1"/>
  <c r="H561" i="46"/>
  <c r="I561" i="46"/>
  <c r="G561" i="46"/>
  <c r="E561" i="46"/>
  <c r="C561" i="46"/>
  <c r="B561" i="46"/>
  <c r="A561" i="46"/>
  <c r="W561" i="46" s="1"/>
  <c r="H560" i="46"/>
  <c r="I560" i="46"/>
  <c r="G560" i="46"/>
  <c r="E560" i="46"/>
  <c r="C560" i="46"/>
  <c r="B560" i="46"/>
  <c r="A560" i="46"/>
  <c r="Z560" i="46" s="1"/>
  <c r="H559" i="46"/>
  <c r="I559" i="46"/>
  <c r="G559" i="46"/>
  <c r="E559" i="46"/>
  <c r="C559" i="46"/>
  <c r="B559" i="46"/>
  <c r="A559" i="46"/>
  <c r="W559" i="46" s="1"/>
  <c r="H558" i="46"/>
  <c r="I558" i="46"/>
  <c r="G558" i="46"/>
  <c r="E558" i="46"/>
  <c r="C558" i="46"/>
  <c r="B558" i="46"/>
  <c r="A558" i="46"/>
  <c r="Z558" i="46" s="1"/>
  <c r="H557" i="46"/>
  <c r="I557" i="46"/>
  <c r="G557" i="46"/>
  <c r="E557" i="46"/>
  <c r="C557" i="46"/>
  <c r="B557" i="46"/>
  <c r="A557" i="46"/>
  <c r="Y557" i="46" s="1"/>
  <c r="H556" i="46"/>
  <c r="I556" i="46"/>
  <c r="G556" i="46"/>
  <c r="E556" i="46"/>
  <c r="C556" i="46"/>
  <c r="B556" i="46"/>
  <c r="A556" i="46"/>
  <c r="Z556" i="46" s="1"/>
  <c r="H555" i="46"/>
  <c r="I555" i="46"/>
  <c r="G555" i="46"/>
  <c r="E555" i="46"/>
  <c r="C555" i="46"/>
  <c r="B555" i="46"/>
  <c r="A555" i="46"/>
  <c r="W555" i="46" s="1"/>
  <c r="H554" i="46"/>
  <c r="I554" i="46"/>
  <c r="G554" i="46"/>
  <c r="E554" i="46"/>
  <c r="C554" i="46"/>
  <c r="B554" i="46"/>
  <c r="A554" i="46"/>
  <c r="Z554" i="46" s="1"/>
  <c r="H553" i="46"/>
  <c r="I553" i="46"/>
  <c r="G553" i="46"/>
  <c r="E553" i="46"/>
  <c r="C553" i="46"/>
  <c r="B553" i="46"/>
  <c r="A553" i="46"/>
  <c r="Y553" i="46" s="1"/>
  <c r="H552" i="46"/>
  <c r="I552" i="46"/>
  <c r="G552" i="46"/>
  <c r="E552" i="46"/>
  <c r="C552" i="46"/>
  <c r="B552" i="46"/>
  <c r="A552" i="46"/>
  <c r="Z552" i="46" s="1"/>
  <c r="H551" i="46"/>
  <c r="I551" i="46"/>
  <c r="G551" i="46"/>
  <c r="E551" i="46"/>
  <c r="C551" i="46"/>
  <c r="B551" i="46"/>
  <c r="A551" i="46"/>
  <c r="W551" i="46" s="1"/>
  <c r="H550" i="46"/>
  <c r="I550" i="46"/>
  <c r="G550" i="46"/>
  <c r="E550" i="46"/>
  <c r="C550" i="46"/>
  <c r="B550" i="46"/>
  <c r="A550" i="46"/>
  <c r="Z550" i="46" s="1"/>
  <c r="H549" i="46"/>
  <c r="I549" i="46"/>
  <c r="G549" i="46"/>
  <c r="E549" i="46"/>
  <c r="C549" i="46"/>
  <c r="B549" i="46"/>
  <c r="A549" i="46"/>
  <c r="Y549" i="46" s="1"/>
  <c r="H548" i="46"/>
  <c r="I548" i="46"/>
  <c r="G548" i="46"/>
  <c r="E548" i="46"/>
  <c r="C548" i="46"/>
  <c r="B548" i="46"/>
  <c r="A548" i="46"/>
  <c r="Z548" i="46" s="1"/>
  <c r="H547" i="46"/>
  <c r="I547" i="46"/>
  <c r="G547" i="46"/>
  <c r="E547" i="46"/>
  <c r="C547" i="46"/>
  <c r="B547" i="46"/>
  <c r="A547" i="46"/>
  <c r="W547" i="46" s="1"/>
  <c r="H546" i="46"/>
  <c r="I546" i="46"/>
  <c r="G546" i="46"/>
  <c r="E546" i="46"/>
  <c r="C546" i="46"/>
  <c r="B546" i="46"/>
  <c r="A546" i="46"/>
  <c r="Z546" i="46" s="1"/>
  <c r="H545" i="46"/>
  <c r="I545" i="46"/>
  <c r="G545" i="46"/>
  <c r="E545" i="46"/>
  <c r="C545" i="46"/>
  <c r="B545" i="46"/>
  <c r="A545" i="46"/>
  <c r="W545" i="46" s="1"/>
  <c r="H544" i="46"/>
  <c r="I544" i="46"/>
  <c r="G544" i="46"/>
  <c r="E544" i="46"/>
  <c r="C544" i="46"/>
  <c r="B544" i="46"/>
  <c r="A544" i="46"/>
  <c r="Z544" i="46" s="1"/>
  <c r="H543" i="46"/>
  <c r="I543" i="46"/>
  <c r="G543" i="46"/>
  <c r="E543" i="46"/>
  <c r="C543" i="46"/>
  <c r="B543" i="46"/>
  <c r="A543" i="46"/>
  <c r="W543" i="46" s="1"/>
  <c r="H542" i="46"/>
  <c r="I542" i="46"/>
  <c r="G542" i="46"/>
  <c r="E542" i="46"/>
  <c r="C542" i="46"/>
  <c r="B542" i="46"/>
  <c r="A542" i="46"/>
  <c r="Z542" i="46" s="1"/>
  <c r="H541" i="46"/>
  <c r="I541" i="46"/>
  <c r="G541" i="46"/>
  <c r="E541" i="46"/>
  <c r="C541" i="46"/>
  <c r="B541" i="46"/>
  <c r="A541" i="46"/>
  <c r="Y541" i="46" s="1"/>
  <c r="H540" i="46"/>
  <c r="I540" i="46"/>
  <c r="G540" i="46"/>
  <c r="E540" i="46"/>
  <c r="C540" i="46"/>
  <c r="B540" i="46"/>
  <c r="A540" i="46"/>
  <c r="Z540" i="46" s="1"/>
  <c r="H539" i="46"/>
  <c r="I539" i="46"/>
  <c r="G539" i="46"/>
  <c r="E539" i="46"/>
  <c r="C539" i="46"/>
  <c r="B539" i="46"/>
  <c r="A539" i="46"/>
  <c r="W539" i="46" s="1"/>
  <c r="H538" i="46"/>
  <c r="I538" i="46"/>
  <c r="G538" i="46"/>
  <c r="E538" i="46"/>
  <c r="C538" i="46"/>
  <c r="B538" i="46"/>
  <c r="A538" i="46"/>
  <c r="Z538" i="46" s="1"/>
  <c r="H537" i="46"/>
  <c r="I537" i="46"/>
  <c r="G537" i="46"/>
  <c r="E537" i="46"/>
  <c r="C537" i="46"/>
  <c r="B537" i="46"/>
  <c r="A537" i="46"/>
  <c r="W537" i="46" s="1"/>
  <c r="H536" i="46"/>
  <c r="I536" i="46"/>
  <c r="G536" i="46"/>
  <c r="E536" i="46"/>
  <c r="C536" i="46"/>
  <c r="B536" i="46"/>
  <c r="A536" i="46"/>
  <c r="Z536" i="46" s="1"/>
  <c r="H535" i="46"/>
  <c r="I535" i="46"/>
  <c r="G535" i="46"/>
  <c r="E535" i="46"/>
  <c r="C535" i="46"/>
  <c r="B535" i="46"/>
  <c r="A535" i="46"/>
  <c r="W535" i="46" s="1"/>
  <c r="H534" i="46"/>
  <c r="I534" i="46"/>
  <c r="G534" i="46"/>
  <c r="E534" i="46"/>
  <c r="C534" i="46"/>
  <c r="B534" i="46"/>
  <c r="A534" i="46"/>
  <c r="Z534" i="46" s="1"/>
  <c r="H533" i="46"/>
  <c r="I533" i="46"/>
  <c r="G533" i="46"/>
  <c r="E533" i="46"/>
  <c r="C533" i="46"/>
  <c r="B533" i="46"/>
  <c r="A533" i="46"/>
  <c r="Y533" i="46" s="1"/>
  <c r="H532" i="46"/>
  <c r="I532" i="46"/>
  <c r="G532" i="46"/>
  <c r="E532" i="46"/>
  <c r="C532" i="46"/>
  <c r="B532" i="46"/>
  <c r="A532" i="46"/>
  <c r="Z532" i="46" s="1"/>
  <c r="H531" i="46"/>
  <c r="I531" i="46"/>
  <c r="G531" i="46"/>
  <c r="E531" i="46"/>
  <c r="C531" i="46"/>
  <c r="B531" i="46"/>
  <c r="A531" i="46"/>
  <c r="W531" i="46" s="1"/>
  <c r="H530" i="46"/>
  <c r="I530" i="46"/>
  <c r="G530" i="46"/>
  <c r="E530" i="46"/>
  <c r="C530" i="46"/>
  <c r="B530" i="46"/>
  <c r="A530" i="46"/>
  <c r="Z530" i="46" s="1"/>
  <c r="H529" i="46"/>
  <c r="I529" i="46"/>
  <c r="G529" i="46"/>
  <c r="E529" i="46"/>
  <c r="C529" i="46"/>
  <c r="B529" i="46"/>
  <c r="A529" i="46"/>
  <c r="Y529" i="46" s="1"/>
  <c r="H528" i="46"/>
  <c r="I528" i="46"/>
  <c r="G528" i="46"/>
  <c r="E528" i="46"/>
  <c r="C528" i="46"/>
  <c r="B528" i="46"/>
  <c r="A528" i="46"/>
  <c r="Z528" i="46" s="1"/>
  <c r="H527" i="46"/>
  <c r="I527" i="46"/>
  <c r="G527" i="46"/>
  <c r="E527" i="46"/>
  <c r="C527" i="46"/>
  <c r="B527" i="46"/>
  <c r="A527" i="46"/>
  <c r="W527" i="46" s="1"/>
  <c r="H526" i="46"/>
  <c r="I526" i="46"/>
  <c r="G526" i="46"/>
  <c r="E526" i="46"/>
  <c r="C526" i="46"/>
  <c r="B526" i="46"/>
  <c r="A526" i="46"/>
  <c r="W526" i="46" s="1"/>
  <c r="H525" i="46"/>
  <c r="I525" i="46"/>
  <c r="G525" i="46"/>
  <c r="E525" i="46"/>
  <c r="C525" i="46"/>
  <c r="B525" i="46"/>
  <c r="A525" i="46"/>
  <c r="W525" i="46" s="1"/>
  <c r="H524" i="46"/>
  <c r="I524" i="46"/>
  <c r="G524" i="46"/>
  <c r="E524" i="46"/>
  <c r="C524" i="46"/>
  <c r="B524" i="46"/>
  <c r="A524" i="46"/>
  <c r="H523" i="46"/>
  <c r="I523" i="46"/>
  <c r="G523" i="46"/>
  <c r="E523" i="46"/>
  <c r="C523" i="46"/>
  <c r="B523" i="46"/>
  <c r="A523" i="46"/>
  <c r="Z523" i="46" s="1"/>
  <c r="H522" i="46"/>
  <c r="I522" i="46"/>
  <c r="G522" i="46"/>
  <c r="E522" i="46"/>
  <c r="C522" i="46"/>
  <c r="B522" i="46"/>
  <c r="A522" i="46"/>
  <c r="H521" i="46"/>
  <c r="I521" i="46"/>
  <c r="G521" i="46"/>
  <c r="E521" i="46"/>
  <c r="C521" i="46"/>
  <c r="B521" i="46"/>
  <c r="A521" i="46"/>
  <c r="X521" i="46" s="1"/>
  <c r="H520" i="46"/>
  <c r="I520" i="46"/>
  <c r="G520" i="46"/>
  <c r="E520" i="46"/>
  <c r="C520" i="46"/>
  <c r="B520" i="46"/>
  <c r="A520" i="46"/>
  <c r="H519" i="46"/>
  <c r="I519" i="46"/>
  <c r="G519" i="46"/>
  <c r="E519" i="46"/>
  <c r="C519" i="46"/>
  <c r="B519" i="46"/>
  <c r="A519" i="46"/>
  <c r="H518" i="46"/>
  <c r="I518" i="46"/>
  <c r="G518" i="46"/>
  <c r="E518" i="46"/>
  <c r="C518" i="46"/>
  <c r="B518" i="46"/>
  <c r="A518" i="46"/>
  <c r="H517" i="46"/>
  <c r="I517" i="46"/>
  <c r="G517" i="46"/>
  <c r="E517" i="46"/>
  <c r="C517" i="46"/>
  <c r="B517" i="46"/>
  <c r="A517" i="46"/>
  <c r="H516" i="46"/>
  <c r="I516" i="46"/>
  <c r="G516" i="46"/>
  <c r="E516" i="46"/>
  <c r="C516" i="46"/>
  <c r="B516" i="46"/>
  <c r="A516" i="46"/>
  <c r="H515" i="46"/>
  <c r="I515" i="46"/>
  <c r="G515" i="46"/>
  <c r="E515" i="46"/>
  <c r="C515" i="46"/>
  <c r="B515" i="46"/>
  <c r="A515" i="46"/>
  <c r="Z515" i="46" s="1"/>
  <c r="H514" i="46"/>
  <c r="I514" i="46"/>
  <c r="G514" i="46"/>
  <c r="E514" i="46"/>
  <c r="C514" i="46"/>
  <c r="B514" i="46"/>
  <c r="A514" i="46"/>
  <c r="Z514" i="46" s="1"/>
  <c r="H513" i="46"/>
  <c r="I513" i="46"/>
  <c r="G513" i="46"/>
  <c r="E513" i="46"/>
  <c r="C513" i="46"/>
  <c r="B513" i="46"/>
  <c r="A513" i="46"/>
  <c r="H512" i="46"/>
  <c r="I512" i="46"/>
  <c r="G512" i="46"/>
  <c r="E512" i="46"/>
  <c r="C512" i="46"/>
  <c r="B512" i="46"/>
  <c r="A512" i="46"/>
  <c r="H511" i="46"/>
  <c r="I511" i="46"/>
  <c r="G511" i="46"/>
  <c r="E511" i="46"/>
  <c r="C511" i="46"/>
  <c r="B511" i="46"/>
  <c r="A511" i="46"/>
  <c r="H510" i="46"/>
  <c r="I510" i="46"/>
  <c r="G510" i="46"/>
  <c r="E510" i="46"/>
  <c r="C510" i="46"/>
  <c r="B510" i="46"/>
  <c r="A510" i="46"/>
  <c r="W510" i="46" s="1"/>
  <c r="H509" i="46"/>
  <c r="I509" i="46"/>
  <c r="G509" i="46"/>
  <c r="E509" i="46"/>
  <c r="C509" i="46"/>
  <c r="B509" i="46"/>
  <c r="A509" i="46"/>
  <c r="Z509" i="46" s="1"/>
  <c r="H508" i="46"/>
  <c r="I508" i="46"/>
  <c r="G508" i="46"/>
  <c r="E508" i="46"/>
  <c r="C508" i="46"/>
  <c r="B508" i="46"/>
  <c r="A508" i="46"/>
  <c r="H507" i="46"/>
  <c r="I507" i="46"/>
  <c r="G507" i="46"/>
  <c r="E507" i="46"/>
  <c r="C507" i="46"/>
  <c r="B507" i="46"/>
  <c r="A507" i="46"/>
  <c r="Z507" i="46" s="1"/>
  <c r="H506" i="46"/>
  <c r="I506" i="46"/>
  <c r="G506" i="46"/>
  <c r="E506" i="46"/>
  <c r="C506" i="46"/>
  <c r="B506" i="46"/>
  <c r="A506" i="46"/>
  <c r="Z506" i="46" s="1"/>
  <c r="H505" i="46"/>
  <c r="I505" i="46"/>
  <c r="G505" i="46"/>
  <c r="E505" i="46"/>
  <c r="C505" i="46"/>
  <c r="B505" i="46"/>
  <c r="A505" i="46"/>
  <c r="H504" i="46"/>
  <c r="I504" i="46"/>
  <c r="G504" i="46"/>
  <c r="E504" i="46"/>
  <c r="C504" i="46"/>
  <c r="B504" i="46"/>
  <c r="A504" i="46"/>
  <c r="H503" i="46"/>
  <c r="I503" i="46"/>
  <c r="G503" i="46"/>
  <c r="E503" i="46"/>
  <c r="C503" i="46"/>
  <c r="B503" i="46"/>
  <c r="A503" i="46"/>
  <c r="H502" i="46"/>
  <c r="I502" i="46"/>
  <c r="G502" i="46"/>
  <c r="E502" i="46"/>
  <c r="C502" i="46"/>
  <c r="B502" i="46"/>
  <c r="A502" i="46"/>
  <c r="H501" i="46"/>
  <c r="I501" i="46"/>
  <c r="G501" i="46"/>
  <c r="E501" i="46"/>
  <c r="C501" i="46"/>
  <c r="B501" i="46"/>
  <c r="A501" i="46"/>
  <c r="Z501" i="46" s="1"/>
  <c r="H500" i="46"/>
  <c r="I500" i="46"/>
  <c r="G500" i="46"/>
  <c r="E500" i="46"/>
  <c r="C500" i="46"/>
  <c r="B500" i="46"/>
  <c r="A500" i="46"/>
  <c r="H499" i="46"/>
  <c r="I499" i="46"/>
  <c r="G499" i="46"/>
  <c r="E499" i="46"/>
  <c r="C499" i="46"/>
  <c r="B499" i="46"/>
  <c r="A499" i="46"/>
  <c r="Z499" i="46" s="1"/>
  <c r="H498" i="46"/>
  <c r="I498" i="46"/>
  <c r="G498" i="46"/>
  <c r="E498" i="46"/>
  <c r="C498" i="46"/>
  <c r="B498" i="46"/>
  <c r="A498" i="46"/>
  <c r="Z498" i="46" s="1"/>
  <c r="H497" i="46"/>
  <c r="I497" i="46"/>
  <c r="G497" i="46"/>
  <c r="E497" i="46"/>
  <c r="C497" i="46"/>
  <c r="B497" i="46"/>
  <c r="A497" i="46"/>
  <c r="H496" i="46"/>
  <c r="I496" i="46"/>
  <c r="G496" i="46"/>
  <c r="E496" i="46"/>
  <c r="C496" i="46"/>
  <c r="B496" i="46"/>
  <c r="A496" i="46"/>
  <c r="H495" i="46"/>
  <c r="I495" i="46"/>
  <c r="G495" i="46"/>
  <c r="E495" i="46"/>
  <c r="C495" i="46"/>
  <c r="B495" i="46"/>
  <c r="A495" i="46"/>
  <c r="H494" i="46"/>
  <c r="I494" i="46"/>
  <c r="G494" i="46"/>
  <c r="E494" i="46"/>
  <c r="C494" i="46"/>
  <c r="B494" i="46"/>
  <c r="A494" i="46"/>
  <c r="H493" i="46"/>
  <c r="I493" i="46"/>
  <c r="G493" i="46"/>
  <c r="E493" i="46"/>
  <c r="C493" i="46"/>
  <c r="B493" i="46"/>
  <c r="A493" i="46"/>
  <c r="Z493" i="46" s="1"/>
  <c r="H492" i="46"/>
  <c r="I492" i="46"/>
  <c r="G492" i="46"/>
  <c r="E492" i="46"/>
  <c r="C492" i="46"/>
  <c r="B492" i="46"/>
  <c r="A492" i="46"/>
  <c r="H491" i="46"/>
  <c r="I491" i="46"/>
  <c r="G491" i="46"/>
  <c r="E491" i="46"/>
  <c r="C491" i="46"/>
  <c r="B491" i="46"/>
  <c r="A491" i="46"/>
  <c r="Z491" i="46" s="1"/>
  <c r="H490" i="46"/>
  <c r="I490" i="46"/>
  <c r="G490" i="46"/>
  <c r="E490" i="46"/>
  <c r="C490" i="46"/>
  <c r="B490" i="46"/>
  <c r="A490" i="46"/>
  <c r="Z490" i="46" s="1"/>
  <c r="H489" i="46"/>
  <c r="I489" i="46"/>
  <c r="G489" i="46"/>
  <c r="E489" i="46"/>
  <c r="C489" i="46"/>
  <c r="B489" i="46"/>
  <c r="A489" i="46"/>
  <c r="H488" i="46"/>
  <c r="I488" i="46"/>
  <c r="G488" i="46"/>
  <c r="E488" i="46"/>
  <c r="C488" i="46"/>
  <c r="B488" i="46"/>
  <c r="A488" i="46"/>
  <c r="H487" i="46"/>
  <c r="I487" i="46"/>
  <c r="G487" i="46"/>
  <c r="E487" i="46"/>
  <c r="C487" i="46"/>
  <c r="B487" i="46"/>
  <c r="A487" i="46"/>
  <c r="H486" i="46"/>
  <c r="I486" i="46"/>
  <c r="G486" i="46"/>
  <c r="E486" i="46"/>
  <c r="C486" i="46"/>
  <c r="B486" i="46"/>
  <c r="A486" i="46"/>
  <c r="H485" i="46"/>
  <c r="I485" i="46"/>
  <c r="G485" i="46"/>
  <c r="E485" i="46"/>
  <c r="C485" i="46"/>
  <c r="B485" i="46"/>
  <c r="A485" i="46"/>
  <c r="H484" i="46"/>
  <c r="I484" i="46"/>
  <c r="G484" i="46"/>
  <c r="E484" i="46"/>
  <c r="C484" i="46"/>
  <c r="B484" i="46"/>
  <c r="A484" i="46"/>
  <c r="H483" i="46"/>
  <c r="I483" i="46"/>
  <c r="G483" i="46"/>
  <c r="E483" i="46"/>
  <c r="C483" i="46"/>
  <c r="B483" i="46"/>
  <c r="A483" i="46"/>
  <c r="Z483" i="46" s="1"/>
  <c r="H482" i="46"/>
  <c r="I482" i="46"/>
  <c r="G482" i="46"/>
  <c r="E482" i="46"/>
  <c r="C482" i="46"/>
  <c r="B482" i="46"/>
  <c r="A482" i="46"/>
  <c r="Z482" i="46" s="1"/>
  <c r="H481" i="46"/>
  <c r="I481" i="46"/>
  <c r="G481" i="46"/>
  <c r="E481" i="46"/>
  <c r="C481" i="46"/>
  <c r="B481" i="46"/>
  <c r="A481" i="46"/>
  <c r="H480" i="46"/>
  <c r="I480" i="46"/>
  <c r="G480" i="46"/>
  <c r="E480" i="46"/>
  <c r="C480" i="46"/>
  <c r="B480" i="46"/>
  <c r="A480" i="46"/>
  <c r="H479" i="46"/>
  <c r="I479" i="46"/>
  <c r="G479" i="46"/>
  <c r="E479" i="46"/>
  <c r="C479" i="46"/>
  <c r="B479" i="46"/>
  <c r="A479" i="46"/>
  <c r="H478" i="46"/>
  <c r="I478" i="46"/>
  <c r="G478" i="46"/>
  <c r="E478" i="46"/>
  <c r="C478" i="46"/>
  <c r="B478" i="46"/>
  <c r="A478" i="46"/>
  <c r="Z478" i="46" s="1"/>
  <c r="H477" i="46"/>
  <c r="I477" i="46"/>
  <c r="G477" i="46"/>
  <c r="E477" i="46"/>
  <c r="C477" i="46"/>
  <c r="B477" i="46"/>
  <c r="A477" i="46"/>
  <c r="Z477" i="46" s="1"/>
  <c r="H476" i="46"/>
  <c r="I476" i="46"/>
  <c r="G476" i="46"/>
  <c r="E476" i="46"/>
  <c r="C476" i="46"/>
  <c r="B476" i="46"/>
  <c r="A476" i="46"/>
  <c r="H475" i="46"/>
  <c r="I475" i="46"/>
  <c r="G475" i="46"/>
  <c r="E475" i="46"/>
  <c r="C475" i="46"/>
  <c r="B475" i="46"/>
  <c r="A475" i="46"/>
  <c r="Z475" i="46" s="1"/>
  <c r="H474" i="46"/>
  <c r="I474" i="46"/>
  <c r="G474" i="46"/>
  <c r="E474" i="46"/>
  <c r="C474" i="46"/>
  <c r="B474" i="46"/>
  <c r="A474" i="46"/>
  <c r="Z474" i="46" s="1"/>
  <c r="H473" i="46"/>
  <c r="I473" i="46"/>
  <c r="G473" i="46"/>
  <c r="E473" i="46"/>
  <c r="C473" i="46"/>
  <c r="B473" i="46"/>
  <c r="A473" i="46"/>
  <c r="H472" i="46"/>
  <c r="I472" i="46"/>
  <c r="G472" i="46"/>
  <c r="E472" i="46"/>
  <c r="C472" i="46"/>
  <c r="B472" i="46"/>
  <c r="A472" i="46"/>
  <c r="H471" i="46"/>
  <c r="I471" i="46"/>
  <c r="G471" i="46"/>
  <c r="E471" i="46"/>
  <c r="C471" i="46"/>
  <c r="B471" i="46"/>
  <c r="A471" i="46"/>
  <c r="H470" i="46"/>
  <c r="I470" i="46"/>
  <c r="G470" i="46"/>
  <c r="E470" i="46"/>
  <c r="C470" i="46"/>
  <c r="B470" i="46"/>
  <c r="A470" i="46"/>
  <c r="H469" i="46"/>
  <c r="I469" i="46"/>
  <c r="G469" i="46"/>
  <c r="E469" i="46"/>
  <c r="C469" i="46"/>
  <c r="B469" i="46"/>
  <c r="A469" i="46"/>
  <c r="H468" i="46"/>
  <c r="I468" i="46"/>
  <c r="G468" i="46"/>
  <c r="E468" i="46"/>
  <c r="C468" i="46"/>
  <c r="B468" i="46"/>
  <c r="A468" i="46"/>
  <c r="H467" i="46"/>
  <c r="I467" i="46"/>
  <c r="G467" i="46"/>
  <c r="E467" i="46"/>
  <c r="C467" i="46"/>
  <c r="B467" i="46"/>
  <c r="A467" i="46"/>
  <c r="Z467" i="46" s="1"/>
  <c r="H466" i="46"/>
  <c r="I466" i="46"/>
  <c r="G466" i="46"/>
  <c r="E466" i="46"/>
  <c r="C466" i="46"/>
  <c r="B466" i="46"/>
  <c r="A466" i="46"/>
  <c r="Z466" i="46" s="1"/>
  <c r="H465" i="46"/>
  <c r="I465" i="46"/>
  <c r="G465" i="46"/>
  <c r="E465" i="46"/>
  <c r="C465" i="46"/>
  <c r="B465" i="46"/>
  <c r="A465" i="46"/>
  <c r="H464" i="46"/>
  <c r="I464" i="46"/>
  <c r="G464" i="46"/>
  <c r="E464" i="46"/>
  <c r="C464" i="46"/>
  <c r="B464" i="46"/>
  <c r="A464" i="46"/>
  <c r="H463" i="46"/>
  <c r="I463" i="46"/>
  <c r="G463" i="46"/>
  <c r="E463" i="46"/>
  <c r="C463" i="46"/>
  <c r="B463" i="46"/>
  <c r="A463" i="46"/>
  <c r="H462" i="46"/>
  <c r="I462" i="46"/>
  <c r="G462" i="46"/>
  <c r="E462" i="46"/>
  <c r="C462" i="46"/>
  <c r="B462" i="46"/>
  <c r="A462" i="46"/>
  <c r="W462" i="46" s="1"/>
  <c r="H461" i="46"/>
  <c r="I461" i="46"/>
  <c r="G461" i="46"/>
  <c r="E461" i="46"/>
  <c r="C461" i="46"/>
  <c r="B461" i="46"/>
  <c r="A461" i="46"/>
  <c r="Z461" i="46" s="1"/>
  <c r="H460" i="46"/>
  <c r="I460" i="46"/>
  <c r="G460" i="46"/>
  <c r="E460" i="46"/>
  <c r="C460" i="46"/>
  <c r="B460" i="46"/>
  <c r="A460" i="46"/>
  <c r="H459" i="46"/>
  <c r="I459" i="46"/>
  <c r="G459" i="46"/>
  <c r="E459" i="46"/>
  <c r="C459" i="46"/>
  <c r="B459" i="46"/>
  <c r="A459" i="46"/>
  <c r="Z459" i="46" s="1"/>
  <c r="B394" i="46"/>
  <c r="B395" i="46"/>
  <c r="B396" i="46"/>
  <c r="B397" i="46"/>
  <c r="B398" i="46"/>
  <c r="B399" i="46"/>
  <c r="B400" i="46"/>
  <c r="B401" i="46"/>
  <c r="B402" i="46"/>
  <c r="B403" i="46"/>
  <c r="B404" i="46"/>
  <c r="B405" i="46"/>
  <c r="B406" i="46"/>
  <c r="B407" i="46"/>
  <c r="B408" i="46"/>
  <c r="B409" i="46"/>
  <c r="B410" i="46"/>
  <c r="B411" i="46"/>
  <c r="B412" i="46"/>
  <c r="B413" i="46"/>
  <c r="B414" i="46"/>
  <c r="B415" i="46"/>
  <c r="B416" i="46"/>
  <c r="B417" i="46"/>
  <c r="B418" i="46"/>
  <c r="B419" i="46"/>
  <c r="B420" i="46"/>
  <c r="B421" i="46"/>
  <c r="B422" i="46"/>
  <c r="B423" i="46"/>
  <c r="B424" i="46"/>
  <c r="B425" i="46"/>
  <c r="B426" i="46"/>
  <c r="B427" i="46"/>
  <c r="B428" i="46"/>
  <c r="B429" i="46"/>
  <c r="B430" i="46"/>
  <c r="B431" i="46"/>
  <c r="B432" i="46"/>
  <c r="B433" i="46"/>
  <c r="B434" i="46"/>
  <c r="B435" i="46"/>
  <c r="B436" i="46"/>
  <c r="B437" i="46"/>
  <c r="B438" i="46"/>
  <c r="B439" i="46"/>
  <c r="B440" i="46"/>
  <c r="B441" i="46"/>
  <c r="B442" i="46"/>
  <c r="B443" i="46"/>
  <c r="B444" i="46"/>
  <c r="B445" i="46"/>
  <c r="B446" i="46"/>
  <c r="B447" i="46"/>
  <c r="B448" i="46"/>
  <c r="B449" i="46"/>
  <c r="B450" i="46"/>
  <c r="B451" i="46"/>
  <c r="B452" i="46"/>
  <c r="B453" i="46"/>
  <c r="B454" i="46"/>
  <c r="B455" i="46"/>
  <c r="B456" i="46"/>
  <c r="B457" i="46"/>
  <c r="B458" i="46"/>
  <c r="G667" i="46"/>
  <c r="G666" i="46"/>
  <c r="G665" i="46"/>
  <c r="G664" i="46"/>
  <c r="G663" i="46"/>
  <c r="G662" i="46"/>
  <c r="G661" i="46"/>
  <c r="G660" i="46"/>
  <c r="G659" i="46"/>
  <c r="G658" i="46"/>
  <c r="G657" i="46"/>
  <c r="G656" i="46"/>
  <c r="G655" i="46"/>
  <c r="G654" i="46"/>
  <c r="G653" i="46"/>
  <c r="G652" i="46"/>
  <c r="G651" i="46"/>
  <c r="G650" i="46"/>
  <c r="G649" i="46"/>
  <c r="G648" i="46"/>
  <c r="G647" i="46"/>
  <c r="G646" i="46"/>
  <c r="G645" i="46"/>
  <c r="G644" i="46"/>
  <c r="G643" i="46"/>
  <c r="G642" i="46"/>
  <c r="G641" i="46"/>
  <c r="G640" i="46"/>
  <c r="G639" i="46"/>
  <c r="G638" i="46"/>
  <c r="G637" i="46"/>
  <c r="G636" i="46"/>
  <c r="G635" i="46"/>
  <c r="G634" i="46"/>
  <c r="G633" i="46"/>
  <c r="G632" i="46"/>
  <c r="G631" i="46"/>
  <c r="G630" i="46"/>
  <c r="G629" i="46"/>
  <c r="G628" i="46"/>
  <c r="G627" i="46"/>
  <c r="G626" i="46"/>
  <c r="G625" i="46"/>
  <c r="G624" i="46"/>
  <c r="G623" i="46"/>
  <c r="G622" i="46"/>
  <c r="G621" i="46"/>
  <c r="G620" i="46"/>
  <c r="G619" i="46"/>
  <c r="G618" i="46"/>
  <c r="G617" i="46"/>
  <c r="G616" i="46"/>
  <c r="G615" i="46"/>
  <c r="G614" i="46"/>
  <c r="G613" i="46"/>
  <c r="G612" i="46"/>
  <c r="G611" i="46"/>
  <c r="G610" i="46"/>
  <c r="G609" i="46"/>
  <c r="G608" i="46"/>
  <c r="G607" i="46"/>
  <c r="G606" i="46"/>
  <c r="G605" i="46"/>
  <c r="G604" i="46"/>
  <c r="G603" i="46"/>
  <c r="G602" i="46"/>
  <c r="G601" i="46"/>
  <c r="G600" i="46"/>
  <c r="G599" i="46"/>
  <c r="G598" i="46"/>
  <c r="G597" i="46"/>
  <c r="G596" i="46"/>
  <c r="G595" i="46"/>
  <c r="G594" i="46"/>
  <c r="G593" i="46"/>
  <c r="G592" i="46"/>
  <c r="G591" i="46"/>
  <c r="G590" i="46"/>
  <c r="G589" i="46"/>
  <c r="G588" i="46"/>
  <c r="G587" i="46"/>
  <c r="G586" i="46"/>
  <c r="G585" i="46"/>
  <c r="G584" i="46"/>
  <c r="G583" i="46"/>
  <c r="G582" i="46"/>
  <c r="G581" i="46"/>
  <c r="G458" i="46"/>
  <c r="G457" i="46"/>
  <c r="N51" i="46"/>
  <c r="P51" i="46"/>
  <c r="Q51" i="46"/>
  <c r="R51" i="46"/>
  <c r="N52" i="46"/>
  <c r="P52" i="46"/>
  <c r="Q52" i="46"/>
  <c r="R52" i="46"/>
  <c r="N53" i="46"/>
  <c r="P53" i="46"/>
  <c r="Q53" i="46"/>
  <c r="R53" i="46"/>
  <c r="N54" i="46"/>
  <c r="P54" i="46"/>
  <c r="Q54" i="46"/>
  <c r="R54" i="46"/>
  <c r="N55" i="46"/>
  <c r="P55" i="46"/>
  <c r="Q55" i="46"/>
  <c r="R55" i="46"/>
  <c r="N56" i="46"/>
  <c r="P56" i="46"/>
  <c r="Q56" i="46"/>
  <c r="R56" i="46"/>
  <c r="N57" i="46"/>
  <c r="P57" i="46"/>
  <c r="Q57" i="46"/>
  <c r="R57" i="46"/>
  <c r="N58" i="46"/>
  <c r="P58" i="46"/>
  <c r="Q58" i="46"/>
  <c r="R58" i="46"/>
  <c r="N59" i="46"/>
  <c r="P59" i="46"/>
  <c r="Q59" i="46"/>
  <c r="R59" i="46"/>
  <c r="N60" i="46"/>
  <c r="P60" i="46"/>
  <c r="Q60" i="46"/>
  <c r="R60" i="46"/>
  <c r="N61" i="46"/>
  <c r="P61" i="46"/>
  <c r="Q61" i="46"/>
  <c r="R61" i="46"/>
  <c r="N62" i="46"/>
  <c r="P62" i="46"/>
  <c r="Q62" i="46"/>
  <c r="R62" i="46"/>
  <c r="N63" i="46"/>
  <c r="P63" i="46"/>
  <c r="Q63" i="46"/>
  <c r="R63" i="46"/>
  <c r="N64" i="46"/>
  <c r="P64" i="46"/>
  <c r="Q64" i="46"/>
  <c r="R64" i="46"/>
  <c r="N65" i="46"/>
  <c r="P65" i="46"/>
  <c r="Q65" i="46"/>
  <c r="R65" i="46"/>
  <c r="N66" i="46"/>
  <c r="P66" i="46"/>
  <c r="Q66" i="46"/>
  <c r="R66" i="46"/>
  <c r="N67" i="46"/>
  <c r="P67" i="46"/>
  <c r="Q67" i="46"/>
  <c r="R67" i="46"/>
  <c r="N68" i="46"/>
  <c r="P68" i="46"/>
  <c r="Q68" i="46"/>
  <c r="R68" i="46"/>
  <c r="N69" i="46"/>
  <c r="P69" i="46"/>
  <c r="Q69" i="46"/>
  <c r="R69" i="46"/>
  <c r="N70" i="46"/>
  <c r="P70" i="46"/>
  <c r="Q70" i="46"/>
  <c r="R70" i="46"/>
  <c r="N71" i="46"/>
  <c r="P71" i="46"/>
  <c r="Q71" i="46"/>
  <c r="R71" i="46"/>
  <c r="N72" i="46"/>
  <c r="P72" i="46"/>
  <c r="Q72" i="46"/>
  <c r="R72" i="46"/>
  <c r="N73" i="46"/>
  <c r="P73" i="46"/>
  <c r="Q73" i="46"/>
  <c r="R73" i="46"/>
  <c r="N74" i="46"/>
  <c r="P74" i="46"/>
  <c r="Q74" i="46"/>
  <c r="R74" i="46"/>
  <c r="N75" i="46"/>
  <c r="P75" i="46"/>
  <c r="Q75" i="46"/>
  <c r="R75" i="46"/>
  <c r="N76" i="46"/>
  <c r="P76" i="46"/>
  <c r="Q76" i="46"/>
  <c r="R76" i="46"/>
  <c r="N77" i="46"/>
  <c r="P77" i="46"/>
  <c r="Q77" i="46"/>
  <c r="R77" i="46"/>
  <c r="N78" i="46"/>
  <c r="P78" i="46"/>
  <c r="Q78" i="46"/>
  <c r="R78" i="46"/>
  <c r="N79" i="46"/>
  <c r="P79" i="46"/>
  <c r="Q79" i="46"/>
  <c r="R79" i="46"/>
  <c r="N80" i="46"/>
  <c r="P80" i="46"/>
  <c r="Q80" i="46"/>
  <c r="R80" i="46"/>
  <c r="N81" i="46"/>
  <c r="P81" i="46"/>
  <c r="Q81" i="46"/>
  <c r="R81" i="46"/>
  <c r="N82" i="46"/>
  <c r="P82" i="46"/>
  <c r="Q82" i="46"/>
  <c r="R82" i="46"/>
  <c r="N83" i="46"/>
  <c r="P83" i="46"/>
  <c r="Q83" i="46"/>
  <c r="R83" i="46"/>
  <c r="N84" i="46"/>
  <c r="P84" i="46"/>
  <c r="Q84" i="46"/>
  <c r="R84" i="46"/>
  <c r="N85" i="46"/>
  <c r="P85" i="46"/>
  <c r="Q85" i="46"/>
  <c r="R85" i="46"/>
  <c r="N86" i="46"/>
  <c r="P86" i="46"/>
  <c r="Q86" i="46"/>
  <c r="R86" i="46"/>
  <c r="N87" i="46"/>
  <c r="P87" i="46"/>
  <c r="Q87" i="46"/>
  <c r="R87" i="46"/>
  <c r="N88" i="46"/>
  <c r="P88" i="46"/>
  <c r="Q88" i="46"/>
  <c r="R88" i="46"/>
  <c r="N89" i="46"/>
  <c r="P89" i="46"/>
  <c r="Q89" i="46"/>
  <c r="R89" i="46"/>
  <c r="N90" i="46"/>
  <c r="P90" i="46"/>
  <c r="Q90" i="46"/>
  <c r="R90" i="46"/>
  <c r="N91" i="46"/>
  <c r="P91" i="46"/>
  <c r="Q91" i="46"/>
  <c r="R91" i="46"/>
  <c r="N92" i="46"/>
  <c r="P92" i="46"/>
  <c r="Q92" i="46"/>
  <c r="R92" i="46"/>
  <c r="N93" i="46"/>
  <c r="P93" i="46"/>
  <c r="Q93" i="46"/>
  <c r="R93" i="46"/>
  <c r="N94" i="46"/>
  <c r="P94" i="46"/>
  <c r="Q94" i="46"/>
  <c r="R94" i="46"/>
  <c r="N95" i="46"/>
  <c r="P95" i="46"/>
  <c r="Q95" i="46"/>
  <c r="R95" i="46"/>
  <c r="N96" i="46"/>
  <c r="P96" i="46"/>
  <c r="Q96" i="46"/>
  <c r="R96" i="46"/>
  <c r="N97" i="46"/>
  <c r="P97" i="46"/>
  <c r="Q97" i="46"/>
  <c r="R97" i="46"/>
  <c r="N98" i="46"/>
  <c r="P98" i="46"/>
  <c r="Q98" i="46"/>
  <c r="R98" i="46"/>
  <c r="N99" i="46"/>
  <c r="P99" i="46"/>
  <c r="Q99" i="46"/>
  <c r="R99" i="46"/>
  <c r="N100" i="46"/>
  <c r="P100" i="46"/>
  <c r="Q100" i="46"/>
  <c r="R100" i="46"/>
  <c r="N101" i="46"/>
  <c r="P101" i="46"/>
  <c r="Q101" i="46"/>
  <c r="R101" i="46"/>
  <c r="N102" i="46"/>
  <c r="P102" i="46"/>
  <c r="Q102" i="46"/>
  <c r="R102" i="46"/>
  <c r="N103" i="46"/>
  <c r="P103" i="46"/>
  <c r="Q103" i="46"/>
  <c r="R103" i="46"/>
  <c r="N104" i="46"/>
  <c r="P104" i="46"/>
  <c r="Q104" i="46"/>
  <c r="R104" i="46"/>
  <c r="N105" i="46"/>
  <c r="P105" i="46"/>
  <c r="Q105" i="46"/>
  <c r="R105" i="46"/>
  <c r="N106" i="46"/>
  <c r="P106" i="46"/>
  <c r="Q106" i="46"/>
  <c r="R106" i="46"/>
  <c r="N107" i="46"/>
  <c r="P107" i="46"/>
  <c r="Q107" i="46"/>
  <c r="R107" i="46"/>
  <c r="N108" i="46"/>
  <c r="P108" i="46"/>
  <c r="Q108" i="46"/>
  <c r="R108" i="46"/>
  <c r="N109" i="46"/>
  <c r="P109" i="46"/>
  <c r="Q109" i="46"/>
  <c r="R109" i="46"/>
  <c r="N110" i="46"/>
  <c r="P110" i="46"/>
  <c r="Q110" i="46"/>
  <c r="R110" i="46"/>
  <c r="N111" i="46"/>
  <c r="P111" i="46"/>
  <c r="Q111" i="46"/>
  <c r="R111" i="46"/>
  <c r="N112" i="46"/>
  <c r="P112" i="46"/>
  <c r="Q112" i="46"/>
  <c r="R112" i="46"/>
  <c r="N113" i="46"/>
  <c r="P113" i="46"/>
  <c r="Q113" i="46"/>
  <c r="R113" i="46"/>
  <c r="N114" i="46"/>
  <c r="P114" i="46"/>
  <c r="Q114" i="46"/>
  <c r="R114" i="46"/>
  <c r="N115" i="46"/>
  <c r="P115" i="46"/>
  <c r="Q115" i="46"/>
  <c r="R115" i="46"/>
  <c r="N116" i="46"/>
  <c r="P116" i="46"/>
  <c r="Q116" i="46"/>
  <c r="R116" i="46"/>
  <c r="N117" i="46"/>
  <c r="P117" i="46"/>
  <c r="Q117" i="46"/>
  <c r="R117" i="46"/>
  <c r="N118" i="46"/>
  <c r="P118" i="46"/>
  <c r="Q118" i="46"/>
  <c r="R118" i="46"/>
  <c r="N119" i="46"/>
  <c r="P119" i="46"/>
  <c r="Q119" i="46"/>
  <c r="R119" i="46"/>
  <c r="N120" i="46"/>
  <c r="P120" i="46"/>
  <c r="Q120" i="46"/>
  <c r="R120" i="46"/>
  <c r="N121" i="46"/>
  <c r="P121" i="46"/>
  <c r="Q121" i="46"/>
  <c r="R121" i="46"/>
  <c r="N122" i="46"/>
  <c r="P122" i="46"/>
  <c r="Q122" i="46"/>
  <c r="R122" i="46"/>
  <c r="N123" i="46"/>
  <c r="P123" i="46"/>
  <c r="Q123" i="46"/>
  <c r="R123" i="46"/>
  <c r="N124" i="46"/>
  <c r="P124" i="46"/>
  <c r="Q124" i="46"/>
  <c r="R124" i="46"/>
  <c r="N125" i="46"/>
  <c r="P125" i="46"/>
  <c r="Q125" i="46"/>
  <c r="R125" i="46"/>
  <c r="N126" i="46"/>
  <c r="P126" i="46"/>
  <c r="Q126" i="46"/>
  <c r="R126" i="46"/>
  <c r="N127" i="46"/>
  <c r="P127" i="46"/>
  <c r="Q127" i="46"/>
  <c r="R127" i="46"/>
  <c r="N128" i="46"/>
  <c r="P128" i="46"/>
  <c r="Q128" i="46"/>
  <c r="R128" i="46"/>
  <c r="N129" i="46"/>
  <c r="P129" i="46"/>
  <c r="Q129" i="46"/>
  <c r="R129" i="46"/>
  <c r="N130" i="46"/>
  <c r="P130" i="46"/>
  <c r="Q130" i="46"/>
  <c r="R130" i="46"/>
  <c r="N131" i="46"/>
  <c r="P131" i="46"/>
  <c r="Q131" i="46"/>
  <c r="R131" i="46"/>
  <c r="N132" i="46"/>
  <c r="P132" i="46"/>
  <c r="Q132" i="46"/>
  <c r="R132" i="46"/>
  <c r="N133" i="46"/>
  <c r="P133" i="46"/>
  <c r="Q133" i="46"/>
  <c r="R133" i="46"/>
  <c r="N134" i="46"/>
  <c r="P134" i="46"/>
  <c r="Q134" i="46"/>
  <c r="R134" i="46"/>
  <c r="N135" i="46"/>
  <c r="P135" i="46"/>
  <c r="Q135" i="46"/>
  <c r="R135" i="46"/>
  <c r="N136" i="46"/>
  <c r="O136" i="46"/>
  <c r="P136" i="46"/>
  <c r="Q136" i="46"/>
  <c r="R136" i="46"/>
  <c r="N137" i="46"/>
  <c r="P137" i="46"/>
  <c r="Q137" i="46"/>
  <c r="R137" i="46"/>
  <c r="N138" i="46"/>
  <c r="P138" i="46"/>
  <c r="Q138" i="46"/>
  <c r="R138" i="46"/>
  <c r="N139" i="46"/>
  <c r="P139" i="46"/>
  <c r="Q139" i="46"/>
  <c r="R139" i="46"/>
  <c r="N140" i="46"/>
  <c r="P140" i="46"/>
  <c r="Q140" i="46"/>
  <c r="R140" i="46"/>
  <c r="N141" i="46"/>
  <c r="P141" i="46"/>
  <c r="Q141" i="46"/>
  <c r="R141" i="46"/>
  <c r="N142" i="46"/>
  <c r="P142" i="46"/>
  <c r="Q142" i="46"/>
  <c r="R142" i="46"/>
  <c r="N143" i="46"/>
  <c r="P143" i="46"/>
  <c r="Q143" i="46"/>
  <c r="R143" i="46"/>
  <c r="N144" i="46"/>
  <c r="P144" i="46"/>
  <c r="Q144" i="46"/>
  <c r="R144" i="46"/>
  <c r="N145" i="46"/>
  <c r="P145" i="46"/>
  <c r="Q145" i="46"/>
  <c r="R145" i="46"/>
  <c r="N146" i="46"/>
  <c r="P146" i="46"/>
  <c r="Q146" i="46"/>
  <c r="R146" i="46"/>
  <c r="N147" i="46"/>
  <c r="P147" i="46"/>
  <c r="Q147" i="46"/>
  <c r="R147" i="46"/>
  <c r="N148" i="46"/>
  <c r="P148" i="46"/>
  <c r="Q148" i="46"/>
  <c r="R148" i="46"/>
  <c r="N149" i="46"/>
  <c r="P149" i="46"/>
  <c r="Q149" i="46"/>
  <c r="R149" i="46"/>
  <c r="N150" i="46"/>
  <c r="P150" i="46"/>
  <c r="Q150" i="46"/>
  <c r="R150" i="46"/>
  <c r="N151" i="46"/>
  <c r="P151" i="46"/>
  <c r="Q151" i="46"/>
  <c r="R151" i="46"/>
  <c r="N152" i="46"/>
  <c r="P152" i="46"/>
  <c r="Q152" i="46"/>
  <c r="R152" i="46"/>
  <c r="N153" i="46"/>
  <c r="P153" i="46"/>
  <c r="Q153" i="46"/>
  <c r="R153" i="46"/>
  <c r="N154" i="46"/>
  <c r="P154" i="46"/>
  <c r="Q154" i="46"/>
  <c r="R154" i="46"/>
  <c r="N155" i="46"/>
  <c r="P155" i="46"/>
  <c r="Q155" i="46"/>
  <c r="R155" i="46"/>
  <c r="N156" i="46"/>
  <c r="P156" i="46"/>
  <c r="Q156" i="46"/>
  <c r="R156" i="46"/>
  <c r="N157" i="46"/>
  <c r="P157" i="46"/>
  <c r="Q157" i="46"/>
  <c r="R157" i="46"/>
  <c r="N158" i="46"/>
  <c r="P158" i="46"/>
  <c r="Q158" i="46"/>
  <c r="R158" i="46"/>
  <c r="N159" i="46"/>
  <c r="P159" i="46"/>
  <c r="Q159" i="46"/>
  <c r="R159" i="46"/>
  <c r="N160" i="46"/>
  <c r="P160" i="46"/>
  <c r="Q160" i="46"/>
  <c r="R160" i="46"/>
  <c r="N161" i="46"/>
  <c r="P161" i="46"/>
  <c r="Q161" i="46"/>
  <c r="R161" i="46"/>
  <c r="N162" i="46"/>
  <c r="P162" i="46"/>
  <c r="Q162" i="46"/>
  <c r="R162" i="46"/>
  <c r="N163" i="46"/>
  <c r="P163" i="46"/>
  <c r="Q163" i="46"/>
  <c r="R163" i="46"/>
  <c r="N164" i="46"/>
  <c r="P164" i="46"/>
  <c r="Q164" i="46"/>
  <c r="R164" i="46"/>
  <c r="N165" i="46"/>
  <c r="P165" i="46"/>
  <c r="Q165" i="46"/>
  <c r="R165" i="46"/>
  <c r="N166" i="46"/>
  <c r="P166" i="46"/>
  <c r="Q166" i="46"/>
  <c r="R166" i="46"/>
  <c r="N167" i="46"/>
  <c r="P167" i="46"/>
  <c r="Q167" i="46"/>
  <c r="R167" i="46"/>
  <c r="N168" i="46"/>
  <c r="P168" i="46"/>
  <c r="Q168" i="46"/>
  <c r="R168" i="46"/>
  <c r="N169" i="46"/>
  <c r="P169" i="46"/>
  <c r="Q169" i="46"/>
  <c r="R169" i="46"/>
  <c r="N170" i="46"/>
  <c r="P170" i="46"/>
  <c r="Q170" i="46"/>
  <c r="R170" i="46"/>
  <c r="N171" i="46"/>
  <c r="P171" i="46"/>
  <c r="Q171" i="46"/>
  <c r="R171" i="46"/>
  <c r="N172" i="46"/>
  <c r="P172" i="46"/>
  <c r="Q172" i="46"/>
  <c r="R172" i="46"/>
  <c r="N173" i="46"/>
  <c r="P173" i="46"/>
  <c r="Q173" i="46"/>
  <c r="R173" i="46"/>
  <c r="N174" i="46"/>
  <c r="P174" i="46"/>
  <c r="Q174" i="46"/>
  <c r="R174" i="46"/>
  <c r="N175" i="46"/>
  <c r="P175" i="46"/>
  <c r="Q175" i="46"/>
  <c r="R175" i="46"/>
  <c r="N176" i="46"/>
  <c r="P176" i="46"/>
  <c r="Q176" i="46"/>
  <c r="R176" i="46"/>
  <c r="N177" i="46"/>
  <c r="P177" i="46"/>
  <c r="Q177" i="46"/>
  <c r="R177" i="46"/>
  <c r="N178" i="46"/>
  <c r="P178" i="46"/>
  <c r="Q178" i="46"/>
  <c r="R178" i="46"/>
  <c r="N179" i="46"/>
  <c r="P179" i="46"/>
  <c r="Q179" i="46"/>
  <c r="R179" i="46"/>
  <c r="N180" i="46"/>
  <c r="P180" i="46"/>
  <c r="Q180" i="46"/>
  <c r="R180" i="46"/>
  <c r="N181" i="46"/>
  <c r="P181" i="46"/>
  <c r="Q181" i="46"/>
  <c r="R181" i="46"/>
  <c r="N182" i="46"/>
  <c r="P182" i="46"/>
  <c r="Q182" i="46"/>
  <c r="R182" i="46"/>
  <c r="N183" i="46"/>
  <c r="P183" i="46"/>
  <c r="Q183" i="46"/>
  <c r="R183" i="46"/>
  <c r="N184" i="46"/>
  <c r="P184" i="46"/>
  <c r="Q184" i="46"/>
  <c r="R184" i="46"/>
  <c r="N185" i="46"/>
  <c r="P185" i="46"/>
  <c r="Q185" i="46"/>
  <c r="R185" i="46"/>
  <c r="N186" i="46"/>
  <c r="P186" i="46"/>
  <c r="Q186" i="46"/>
  <c r="R186" i="46"/>
  <c r="N187" i="46"/>
  <c r="P187" i="46"/>
  <c r="Q187" i="46"/>
  <c r="R187" i="46"/>
  <c r="N188" i="46"/>
  <c r="P188" i="46"/>
  <c r="Q188" i="46"/>
  <c r="R188" i="46"/>
  <c r="N189" i="46"/>
  <c r="P189" i="46"/>
  <c r="Q189" i="46"/>
  <c r="R189" i="46"/>
  <c r="N190" i="46"/>
  <c r="P190" i="46"/>
  <c r="Q190" i="46"/>
  <c r="R190" i="46"/>
  <c r="N191" i="46"/>
  <c r="P191" i="46"/>
  <c r="Q191" i="46"/>
  <c r="R191" i="46"/>
  <c r="N192" i="46"/>
  <c r="P192" i="46"/>
  <c r="Q192" i="46"/>
  <c r="R192" i="46"/>
  <c r="N193" i="46"/>
  <c r="P193" i="46"/>
  <c r="Q193" i="46"/>
  <c r="R193" i="46"/>
  <c r="N194" i="46"/>
  <c r="P194" i="46"/>
  <c r="Q194" i="46"/>
  <c r="R194" i="46"/>
  <c r="N195" i="46"/>
  <c r="P195" i="46"/>
  <c r="Q195" i="46"/>
  <c r="R195" i="46"/>
  <c r="N196" i="46"/>
  <c r="P196" i="46"/>
  <c r="Q196" i="46"/>
  <c r="R196" i="46"/>
  <c r="N197" i="46"/>
  <c r="P197" i="46"/>
  <c r="Q197" i="46"/>
  <c r="R197" i="46"/>
  <c r="N198" i="46"/>
  <c r="P198" i="46"/>
  <c r="Q198" i="46"/>
  <c r="R198" i="46"/>
  <c r="N199" i="46"/>
  <c r="P199" i="46"/>
  <c r="Q199" i="46"/>
  <c r="R199" i="46"/>
  <c r="N200" i="46"/>
  <c r="P200" i="46"/>
  <c r="Q200" i="46"/>
  <c r="R200" i="46"/>
  <c r="N201" i="46"/>
  <c r="P201" i="46"/>
  <c r="Q201" i="46"/>
  <c r="R201" i="46"/>
  <c r="N202" i="46"/>
  <c r="P202" i="46"/>
  <c r="Q202" i="46"/>
  <c r="R202" i="46"/>
  <c r="N203" i="46"/>
  <c r="P203" i="46"/>
  <c r="Q203" i="46"/>
  <c r="R203" i="46"/>
  <c r="N204" i="46"/>
  <c r="P204" i="46"/>
  <c r="Q204" i="46"/>
  <c r="R204" i="46"/>
  <c r="N205" i="46"/>
  <c r="P205" i="46"/>
  <c r="Q205" i="46"/>
  <c r="R205" i="46"/>
  <c r="N206" i="46"/>
  <c r="P206" i="46"/>
  <c r="Q206" i="46"/>
  <c r="R206" i="46"/>
  <c r="N207" i="46"/>
  <c r="P207" i="46"/>
  <c r="Q207" i="46"/>
  <c r="R207" i="46"/>
  <c r="N208" i="46"/>
  <c r="P208" i="46"/>
  <c r="Q208" i="46"/>
  <c r="R208" i="46"/>
  <c r="N209" i="46"/>
  <c r="P209" i="46"/>
  <c r="Q209" i="46"/>
  <c r="R209" i="46"/>
  <c r="N210" i="46"/>
  <c r="P210" i="46"/>
  <c r="Q210" i="46"/>
  <c r="R210" i="46"/>
  <c r="N211" i="46"/>
  <c r="P211" i="46"/>
  <c r="Q211" i="46"/>
  <c r="R211" i="46"/>
  <c r="N212" i="46"/>
  <c r="P212" i="46"/>
  <c r="Q212" i="46"/>
  <c r="R212" i="46"/>
  <c r="N213" i="46"/>
  <c r="P213" i="46"/>
  <c r="Q213" i="46"/>
  <c r="R213" i="46"/>
  <c r="N214" i="46"/>
  <c r="P214" i="46"/>
  <c r="Q214" i="46"/>
  <c r="R214" i="46"/>
  <c r="N215" i="46"/>
  <c r="P215" i="46"/>
  <c r="Q215" i="46"/>
  <c r="R215" i="46"/>
  <c r="N216" i="46"/>
  <c r="P216" i="46"/>
  <c r="Q216" i="46"/>
  <c r="R216" i="46"/>
  <c r="N217" i="46"/>
  <c r="P217" i="46"/>
  <c r="Q217" i="46"/>
  <c r="R217" i="46"/>
  <c r="N218" i="46"/>
  <c r="P218" i="46"/>
  <c r="Q218" i="46"/>
  <c r="R218" i="46"/>
  <c r="N219" i="46"/>
  <c r="P219" i="46"/>
  <c r="Q219" i="46"/>
  <c r="R219" i="46"/>
  <c r="N220" i="46"/>
  <c r="P220" i="46"/>
  <c r="Q220" i="46"/>
  <c r="R220" i="46"/>
  <c r="N221" i="46"/>
  <c r="P221" i="46"/>
  <c r="Q221" i="46"/>
  <c r="R221" i="46"/>
  <c r="N222" i="46"/>
  <c r="P222" i="46"/>
  <c r="Q222" i="46"/>
  <c r="R222" i="46"/>
  <c r="N223" i="46"/>
  <c r="P223" i="46"/>
  <c r="Q223" i="46"/>
  <c r="R223" i="46"/>
  <c r="N224" i="46"/>
  <c r="P224" i="46"/>
  <c r="Q224" i="46"/>
  <c r="R224" i="46"/>
  <c r="N225" i="46"/>
  <c r="P225" i="46"/>
  <c r="Q225" i="46"/>
  <c r="R225" i="46"/>
  <c r="N226" i="46"/>
  <c r="P226" i="46"/>
  <c r="Q226" i="46"/>
  <c r="R226" i="46"/>
  <c r="N227" i="46"/>
  <c r="P227" i="46"/>
  <c r="Q227" i="46"/>
  <c r="R227" i="46"/>
  <c r="N228" i="46"/>
  <c r="P228" i="46"/>
  <c r="Q228" i="46"/>
  <c r="R228" i="46"/>
  <c r="N229" i="46"/>
  <c r="P229" i="46"/>
  <c r="Q229" i="46"/>
  <c r="R229" i="46"/>
  <c r="N230" i="46"/>
  <c r="P230" i="46"/>
  <c r="Q230" i="46"/>
  <c r="R230" i="46"/>
  <c r="N231" i="46"/>
  <c r="P231" i="46"/>
  <c r="Q231" i="46"/>
  <c r="R231" i="46"/>
  <c r="N232" i="46"/>
  <c r="P232" i="46"/>
  <c r="Q232" i="46"/>
  <c r="R232" i="46"/>
  <c r="N233" i="46"/>
  <c r="P233" i="46"/>
  <c r="Q233" i="46"/>
  <c r="R233" i="46"/>
  <c r="N234" i="46"/>
  <c r="P234" i="46"/>
  <c r="Q234" i="46"/>
  <c r="R234" i="46"/>
  <c r="N235" i="46"/>
  <c r="P235" i="46"/>
  <c r="Q235" i="46"/>
  <c r="R235" i="46"/>
  <c r="N236" i="46"/>
  <c r="P236" i="46"/>
  <c r="Q236" i="46"/>
  <c r="R236" i="46"/>
  <c r="N237" i="46"/>
  <c r="P237" i="46"/>
  <c r="Q237" i="46"/>
  <c r="R237" i="46"/>
  <c r="N238" i="46"/>
  <c r="P238" i="46"/>
  <c r="Q238" i="46"/>
  <c r="R238" i="46"/>
  <c r="N239" i="46"/>
  <c r="P239" i="46"/>
  <c r="Q239" i="46"/>
  <c r="R239" i="46"/>
  <c r="N240" i="46"/>
  <c r="P240" i="46"/>
  <c r="Q240" i="46"/>
  <c r="R240" i="46"/>
  <c r="N241" i="46"/>
  <c r="P241" i="46"/>
  <c r="Q241" i="46"/>
  <c r="R241" i="46"/>
  <c r="N242" i="46"/>
  <c r="P242" i="46"/>
  <c r="Q242" i="46"/>
  <c r="R242" i="46"/>
  <c r="N243" i="46"/>
  <c r="P243" i="46"/>
  <c r="Q243" i="46"/>
  <c r="R243" i="46"/>
  <c r="N244" i="46"/>
  <c r="P244" i="46"/>
  <c r="Q244" i="46"/>
  <c r="R244" i="46"/>
  <c r="N245" i="46"/>
  <c r="P245" i="46"/>
  <c r="Q245" i="46"/>
  <c r="R245" i="46"/>
  <c r="N246" i="46"/>
  <c r="P246" i="46"/>
  <c r="Q246" i="46"/>
  <c r="R246" i="46"/>
  <c r="N247" i="46"/>
  <c r="P247" i="46"/>
  <c r="Q247" i="46"/>
  <c r="R247" i="46"/>
  <c r="N248" i="46"/>
  <c r="P248" i="46"/>
  <c r="Q248" i="46"/>
  <c r="R248" i="46"/>
  <c r="N249" i="46"/>
  <c r="P249" i="46"/>
  <c r="Q249" i="46"/>
  <c r="R249" i="46"/>
  <c r="N250" i="46"/>
  <c r="P250" i="46"/>
  <c r="Q250" i="46"/>
  <c r="R250" i="46"/>
  <c r="N251" i="46"/>
  <c r="P251" i="46"/>
  <c r="Q251" i="46"/>
  <c r="R251" i="46"/>
  <c r="N252" i="46"/>
  <c r="P252" i="46"/>
  <c r="Q252" i="46"/>
  <c r="R252" i="46"/>
  <c r="N253" i="46"/>
  <c r="P253" i="46"/>
  <c r="Q253" i="46"/>
  <c r="R253" i="46"/>
  <c r="N254" i="46"/>
  <c r="P254" i="46"/>
  <c r="Q254" i="46"/>
  <c r="R254" i="46"/>
  <c r="N255" i="46"/>
  <c r="P255" i="46"/>
  <c r="Q255" i="46"/>
  <c r="R255" i="46"/>
  <c r="N256" i="46"/>
  <c r="P256" i="46"/>
  <c r="Q256" i="46"/>
  <c r="R256" i="46"/>
  <c r="N257" i="46"/>
  <c r="P257" i="46"/>
  <c r="Q257" i="46"/>
  <c r="R257" i="46"/>
  <c r="N258" i="46"/>
  <c r="P258" i="46"/>
  <c r="Q258" i="46"/>
  <c r="R258" i="46"/>
  <c r="N259" i="46"/>
  <c r="P259" i="46"/>
  <c r="Q259" i="46"/>
  <c r="R259" i="46"/>
  <c r="N260" i="46"/>
  <c r="P260" i="46"/>
  <c r="Q260" i="46"/>
  <c r="R260" i="46"/>
  <c r="N261" i="46"/>
  <c r="P261" i="46"/>
  <c r="Q261" i="46"/>
  <c r="R261" i="46"/>
  <c r="N262" i="46"/>
  <c r="P262" i="46"/>
  <c r="Q262" i="46"/>
  <c r="R262" i="46"/>
  <c r="N263" i="46"/>
  <c r="P263" i="46"/>
  <c r="Q263" i="46"/>
  <c r="R263" i="46"/>
  <c r="N264" i="46"/>
  <c r="P264" i="46"/>
  <c r="Q264" i="46"/>
  <c r="R264" i="46"/>
  <c r="N265" i="46"/>
  <c r="P265" i="46"/>
  <c r="Q265" i="46"/>
  <c r="R265" i="46"/>
  <c r="N266" i="46"/>
  <c r="P266" i="46"/>
  <c r="Q266" i="46"/>
  <c r="R266" i="46"/>
  <c r="N267" i="46"/>
  <c r="P267" i="46"/>
  <c r="Q267" i="46"/>
  <c r="R267" i="46"/>
  <c r="N268" i="46"/>
  <c r="P268" i="46"/>
  <c r="Q268" i="46"/>
  <c r="R268" i="46"/>
  <c r="N269" i="46"/>
  <c r="P269" i="46"/>
  <c r="Q269" i="46"/>
  <c r="R269" i="46"/>
  <c r="N270" i="46"/>
  <c r="P270" i="46"/>
  <c r="Q270" i="46"/>
  <c r="R270" i="46"/>
  <c r="N271" i="46"/>
  <c r="P271" i="46"/>
  <c r="Q271" i="46"/>
  <c r="R271" i="46"/>
  <c r="N272" i="46"/>
  <c r="P272" i="46"/>
  <c r="Q272" i="46"/>
  <c r="R272" i="46"/>
  <c r="N273" i="46"/>
  <c r="P273" i="46"/>
  <c r="Q273" i="46"/>
  <c r="R273" i="46"/>
  <c r="N274" i="46"/>
  <c r="P274" i="46"/>
  <c r="Q274" i="46"/>
  <c r="R274" i="46"/>
  <c r="N275" i="46"/>
  <c r="P275" i="46"/>
  <c r="Q275" i="46"/>
  <c r="R275" i="46"/>
  <c r="N276" i="46"/>
  <c r="P276" i="46"/>
  <c r="Q276" i="46"/>
  <c r="R276" i="46"/>
  <c r="N277" i="46"/>
  <c r="P277" i="46"/>
  <c r="Q277" i="46"/>
  <c r="R277" i="46"/>
  <c r="N278" i="46"/>
  <c r="P278" i="46"/>
  <c r="Q278" i="46"/>
  <c r="R278" i="46"/>
  <c r="N279" i="46"/>
  <c r="P279" i="46"/>
  <c r="Q279" i="46"/>
  <c r="R279" i="46"/>
  <c r="N280" i="46"/>
  <c r="P280" i="46"/>
  <c r="Q280" i="46"/>
  <c r="R280" i="46"/>
  <c r="N281" i="46"/>
  <c r="P281" i="46"/>
  <c r="Q281" i="46"/>
  <c r="R281" i="46"/>
  <c r="N282" i="46"/>
  <c r="P282" i="46"/>
  <c r="Q282" i="46"/>
  <c r="R282" i="46"/>
  <c r="N283" i="46"/>
  <c r="P283" i="46"/>
  <c r="Q283" i="46"/>
  <c r="R283" i="46"/>
  <c r="N284" i="46"/>
  <c r="P284" i="46"/>
  <c r="Q284" i="46"/>
  <c r="R284" i="46"/>
  <c r="N285" i="46"/>
  <c r="P285" i="46"/>
  <c r="Q285" i="46"/>
  <c r="R285" i="46"/>
  <c r="N286" i="46"/>
  <c r="P286" i="46"/>
  <c r="Q286" i="46"/>
  <c r="R286" i="46"/>
  <c r="N287" i="46"/>
  <c r="P287" i="46"/>
  <c r="Q287" i="46"/>
  <c r="R287" i="46"/>
  <c r="N288" i="46"/>
  <c r="P288" i="46"/>
  <c r="Q288" i="46"/>
  <c r="R288" i="46"/>
  <c r="N289" i="46"/>
  <c r="P289" i="46"/>
  <c r="Q289" i="46"/>
  <c r="R289" i="46"/>
  <c r="N290" i="46"/>
  <c r="P290" i="46"/>
  <c r="Q290" i="46"/>
  <c r="R290" i="46"/>
  <c r="N291" i="46"/>
  <c r="P291" i="46"/>
  <c r="Q291" i="46"/>
  <c r="R291" i="46"/>
  <c r="N292" i="46"/>
  <c r="P292" i="46"/>
  <c r="Q292" i="46"/>
  <c r="R292" i="46"/>
  <c r="N293" i="46"/>
  <c r="P293" i="46"/>
  <c r="Q293" i="46"/>
  <c r="R293" i="46"/>
  <c r="N294" i="46"/>
  <c r="P294" i="46"/>
  <c r="Q294" i="46"/>
  <c r="R294" i="46"/>
  <c r="N295" i="46"/>
  <c r="P295" i="46"/>
  <c r="Q295" i="46"/>
  <c r="R295" i="46"/>
  <c r="N296" i="46"/>
  <c r="P296" i="46"/>
  <c r="Q296" i="46"/>
  <c r="R296" i="46"/>
  <c r="N297" i="46"/>
  <c r="P297" i="46"/>
  <c r="Q297" i="46"/>
  <c r="R297" i="46"/>
  <c r="N298" i="46"/>
  <c r="P298" i="46"/>
  <c r="Q298" i="46"/>
  <c r="R298" i="46"/>
  <c r="N299" i="46"/>
  <c r="P299" i="46"/>
  <c r="Q299" i="46"/>
  <c r="R299" i="46"/>
  <c r="N300" i="46"/>
  <c r="P300" i="46"/>
  <c r="Q300" i="46"/>
  <c r="R300" i="46"/>
  <c r="N301" i="46"/>
  <c r="P301" i="46"/>
  <c r="Q301" i="46"/>
  <c r="R301" i="46"/>
  <c r="N302" i="46"/>
  <c r="P302" i="46"/>
  <c r="Q302" i="46"/>
  <c r="R302" i="46"/>
  <c r="N303" i="46"/>
  <c r="P303" i="46"/>
  <c r="Q303" i="46"/>
  <c r="R303" i="46"/>
  <c r="N304" i="46"/>
  <c r="P304" i="46"/>
  <c r="Q304" i="46"/>
  <c r="R304" i="46"/>
  <c r="N305" i="46"/>
  <c r="P305" i="46"/>
  <c r="Q305" i="46"/>
  <c r="R305" i="46"/>
  <c r="N306" i="46"/>
  <c r="P306" i="46"/>
  <c r="Q306" i="46"/>
  <c r="R306" i="46"/>
  <c r="N307" i="46"/>
  <c r="P307" i="46"/>
  <c r="Q307" i="46"/>
  <c r="R307" i="46"/>
  <c r="N308" i="46"/>
  <c r="P308" i="46"/>
  <c r="Q308" i="46"/>
  <c r="R308" i="46"/>
  <c r="N309" i="46"/>
  <c r="P309" i="46"/>
  <c r="Q309" i="46"/>
  <c r="R309" i="46"/>
  <c r="N310" i="46"/>
  <c r="P310" i="46"/>
  <c r="Q310" i="46"/>
  <c r="R310" i="46"/>
  <c r="N311" i="46"/>
  <c r="P311" i="46"/>
  <c r="Q311" i="46"/>
  <c r="R311" i="46"/>
  <c r="N312" i="46"/>
  <c r="P312" i="46"/>
  <c r="Q312" i="46"/>
  <c r="R312" i="46"/>
  <c r="N313" i="46"/>
  <c r="P313" i="46"/>
  <c r="Q313" i="46"/>
  <c r="R313" i="46"/>
  <c r="S313" i="46"/>
  <c r="N314" i="46"/>
  <c r="P314" i="46"/>
  <c r="Q314" i="46"/>
  <c r="R314" i="46"/>
  <c r="N315" i="46"/>
  <c r="P315" i="46"/>
  <c r="Q315" i="46"/>
  <c r="R315" i="46"/>
  <c r="N316" i="46"/>
  <c r="P316" i="46"/>
  <c r="Q316" i="46"/>
  <c r="R316" i="46"/>
  <c r="N317" i="46"/>
  <c r="P317" i="46"/>
  <c r="Q317" i="46"/>
  <c r="R317" i="46"/>
  <c r="N318" i="46"/>
  <c r="P318" i="46"/>
  <c r="Q318" i="46"/>
  <c r="R318" i="46"/>
  <c r="N319" i="46"/>
  <c r="P319" i="46"/>
  <c r="Q319" i="46"/>
  <c r="R319" i="46"/>
  <c r="N320" i="46"/>
  <c r="P320" i="46"/>
  <c r="Q320" i="46"/>
  <c r="R320" i="46"/>
  <c r="N321" i="46"/>
  <c r="P321" i="46"/>
  <c r="Q321" i="46"/>
  <c r="R321" i="46"/>
  <c r="N322" i="46"/>
  <c r="P322" i="46"/>
  <c r="Q322" i="46"/>
  <c r="R322" i="46"/>
  <c r="N323" i="46"/>
  <c r="P323" i="46"/>
  <c r="Q323" i="46"/>
  <c r="R323" i="46"/>
  <c r="N324" i="46"/>
  <c r="P324" i="46"/>
  <c r="Q324" i="46"/>
  <c r="R324" i="46"/>
  <c r="N325" i="46"/>
  <c r="P325" i="46"/>
  <c r="Q325" i="46"/>
  <c r="R325" i="46"/>
  <c r="N326" i="46"/>
  <c r="P326" i="46"/>
  <c r="Q326" i="46"/>
  <c r="R326" i="46"/>
  <c r="N327" i="46"/>
  <c r="P327" i="46"/>
  <c r="Q327" i="46"/>
  <c r="R327" i="46"/>
  <c r="N328" i="46"/>
  <c r="P328" i="46"/>
  <c r="Q328" i="46"/>
  <c r="R328" i="46"/>
  <c r="N329" i="46"/>
  <c r="P329" i="46"/>
  <c r="Q329" i="46"/>
  <c r="R329" i="46"/>
  <c r="N330" i="46"/>
  <c r="P330" i="46"/>
  <c r="Q330" i="46"/>
  <c r="R330" i="46"/>
  <c r="N331" i="46"/>
  <c r="P331" i="46"/>
  <c r="Q331" i="46"/>
  <c r="R331" i="46"/>
  <c r="N332" i="46"/>
  <c r="P332" i="46"/>
  <c r="Q332" i="46"/>
  <c r="R332" i="46"/>
  <c r="N333" i="46"/>
  <c r="P333" i="46"/>
  <c r="Q333" i="46"/>
  <c r="R333" i="46"/>
  <c r="N334" i="46"/>
  <c r="P334" i="46"/>
  <c r="Q334" i="46"/>
  <c r="R334" i="46"/>
  <c r="N335" i="46"/>
  <c r="P335" i="46"/>
  <c r="Q335" i="46"/>
  <c r="R335" i="46"/>
  <c r="N336" i="46"/>
  <c r="P336" i="46"/>
  <c r="Q336" i="46"/>
  <c r="R336" i="46"/>
  <c r="N337" i="46"/>
  <c r="P337" i="46"/>
  <c r="Q337" i="46"/>
  <c r="R337" i="46"/>
  <c r="N338" i="46"/>
  <c r="P338" i="46"/>
  <c r="Q338" i="46"/>
  <c r="R338" i="46"/>
  <c r="N339" i="46"/>
  <c r="P339" i="46"/>
  <c r="Q339" i="46"/>
  <c r="R339" i="46"/>
  <c r="N340" i="46"/>
  <c r="P340" i="46"/>
  <c r="Q340" i="46"/>
  <c r="R340" i="46"/>
  <c r="N341" i="46"/>
  <c r="P341" i="46"/>
  <c r="Q341" i="46"/>
  <c r="R341" i="46"/>
  <c r="N342" i="46"/>
  <c r="P342" i="46"/>
  <c r="Q342" i="46"/>
  <c r="R342" i="46"/>
  <c r="N343" i="46"/>
  <c r="P343" i="46"/>
  <c r="Q343" i="46"/>
  <c r="R343" i="46"/>
  <c r="N344" i="46"/>
  <c r="P344" i="46"/>
  <c r="Q344" i="46"/>
  <c r="R344" i="46"/>
  <c r="N345" i="46"/>
  <c r="P345" i="46"/>
  <c r="Q345" i="46"/>
  <c r="R345" i="46"/>
  <c r="S345" i="46"/>
  <c r="N346" i="46"/>
  <c r="P346" i="46"/>
  <c r="Q346" i="46"/>
  <c r="R346" i="46"/>
  <c r="N347" i="46"/>
  <c r="P347" i="46"/>
  <c r="Q347" i="46"/>
  <c r="R347" i="46"/>
  <c r="N348" i="46"/>
  <c r="P348" i="46"/>
  <c r="Q348" i="46"/>
  <c r="R348" i="46"/>
  <c r="N349" i="46"/>
  <c r="P349" i="46"/>
  <c r="Q349" i="46"/>
  <c r="R349" i="46"/>
  <c r="N350" i="46"/>
  <c r="P350" i="46"/>
  <c r="Q350" i="46"/>
  <c r="R350" i="46"/>
  <c r="N351" i="46"/>
  <c r="P351" i="46"/>
  <c r="Q351" i="46"/>
  <c r="R351" i="46"/>
  <c r="N352" i="46"/>
  <c r="P352" i="46"/>
  <c r="Q352" i="46"/>
  <c r="R352" i="46"/>
  <c r="N353" i="46"/>
  <c r="P353" i="46"/>
  <c r="Q353" i="46"/>
  <c r="R353" i="46"/>
  <c r="N354" i="46"/>
  <c r="P354" i="46"/>
  <c r="Q354" i="46"/>
  <c r="R354" i="46"/>
  <c r="N355" i="46"/>
  <c r="P355" i="46"/>
  <c r="Q355" i="46"/>
  <c r="R355" i="46"/>
  <c r="N356" i="46"/>
  <c r="P356" i="46"/>
  <c r="Q356" i="46"/>
  <c r="R356" i="46"/>
  <c r="N357" i="46"/>
  <c r="P357" i="46"/>
  <c r="Q357" i="46"/>
  <c r="R357" i="46"/>
  <c r="N358" i="46"/>
  <c r="P358" i="46"/>
  <c r="Q358" i="46"/>
  <c r="R358" i="46"/>
  <c r="N359" i="46"/>
  <c r="P359" i="46"/>
  <c r="Q359" i="46"/>
  <c r="R359" i="46"/>
  <c r="N360" i="46"/>
  <c r="P360" i="46"/>
  <c r="Q360" i="46"/>
  <c r="R360" i="46"/>
  <c r="N361" i="46"/>
  <c r="P361" i="46"/>
  <c r="Q361" i="46"/>
  <c r="R361" i="46"/>
  <c r="N362" i="46"/>
  <c r="P362" i="46"/>
  <c r="Q362" i="46"/>
  <c r="R362" i="46"/>
  <c r="N363" i="46"/>
  <c r="P363" i="46"/>
  <c r="Q363" i="46"/>
  <c r="R363" i="46"/>
  <c r="N364" i="46"/>
  <c r="P364" i="46"/>
  <c r="Q364" i="46"/>
  <c r="R364" i="46"/>
  <c r="N365" i="46"/>
  <c r="P365" i="46"/>
  <c r="Q365" i="46"/>
  <c r="R365" i="46"/>
  <c r="N366" i="46"/>
  <c r="P366" i="46"/>
  <c r="Q366" i="46"/>
  <c r="R366" i="46"/>
  <c r="N367" i="46"/>
  <c r="P367" i="46"/>
  <c r="Q367" i="46"/>
  <c r="R367" i="46"/>
  <c r="N368" i="46"/>
  <c r="P368" i="46"/>
  <c r="Q368" i="46"/>
  <c r="R368" i="46"/>
  <c r="N369" i="46"/>
  <c r="P369" i="46"/>
  <c r="Q369" i="46"/>
  <c r="R369" i="46"/>
  <c r="N370" i="46"/>
  <c r="O370" i="46"/>
  <c r="P370" i="46"/>
  <c r="Q370" i="46"/>
  <c r="R370" i="46"/>
  <c r="S370" i="46"/>
  <c r="N371" i="46"/>
  <c r="O371" i="46"/>
  <c r="P371" i="46"/>
  <c r="Q371" i="46"/>
  <c r="R371" i="46"/>
  <c r="S371" i="46"/>
  <c r="N372" i="46"/>
  <c r="O372" i="46"/>
  <c r="P372" i="46"/>
  <c r="Q372" i="46"/>
  <c r="R372" i="46"/>
  <c r="S372" i="46"/>
  <c r="N373" i="46"/>
  <c r="O373" i="46"/>
  <c r="P373" i="46"/>
  <c r="Q373" i="46"/>
  <c r="R373" i="46"/>
  <c r="S373" i="46"/>
  <c r="N374" i="46"/>
  <c r="O374" i="46"/>
  <c r="P374" i="46"/>
  <c r="Q374" i="46"/>
  <c r="R374" i="46"/>
  <c r="S374" i="46"/>
  <c r="N375" i="46"/>
  <c r="O375" i="46"/>
  <c r="P375" i="46"/>
  <c r="Q375" i="46"/>
  <c r="R375" i="46"/>
  <c r="S375" i="46"/>
  <c r="N376" i="46"/>
  <c r="O376" i="46"/>
  <c r="P376" i="46"/>
  <c r="Q376" i="46"/>
  <c r="R376" i="46"/>
  <c r="S376" i="46"/>
  <c r="N377" i="46"/>
  <c r="O377" i="46"/>
  <c r="P377" i="46"/>
  <c r="Q377" i="46"/>
  <c r="R377" i="46"/>
  <c r="S377" i="46"/>
  <c r="N378" i="46"/>
  <c r="O378" i="46"/>
  <c r="P378" i="46"/>
  <c r="Q378" i="46"/>
  <c r="R378" i="46"/>
  <c r="S378" i="46"/>
  <c r="N379" i="46"/>
  <c r="O379" i="46"/>
  <c r="P379" i="46"/>
  <c r="Q379" i="46"/>
  <c r="R379" i="46"/>
  <c r="S379" i="46"/>
  <c r="N380" i="46"/>
  <c r="O380" i="46"/>
  <c r="P380" i="46"/>
  <c r="Q380" i="46"/>
  <c r="R380" i="46"/>
  <c r="S380" i="46"/>
  <c r="N381" i="46"/>
  <c r="O381" i="46"/>
  <c r="P381" i="46"/>
  <c r="Q381" i="46"/>
  <c r="R381" i="46"/>
  <c r="S381" i="46"/>
  <c r="N382" i="46"/>
  <c r="O382" i="46"/>
  <c r="P382" i="46"/>
  <c r="Q382" i="46"/>
  <c r="R382" i="46"/>
  <c r="S382" i="46"/>
  <c r="N383" i="46"/>
  <c r="O383" i="46"/>
  <c r="P383" i="46"/>
  <c r="Q383" i="46"/>
  <c r="R383" i="46"/>
  <c r="S383" i="46"/>
  <c r="N384" i="46"/>
  <c r="O384" i="46"/>
  <c r="P384" i="46"/>
  <c r="Q384" i="46"/>
  <c r="R384" i="46"/>
  <c r="S384" i="46"/>
  <c r="N385" i="46"/>
  <c r="O385" i="46"/>
  <c r="P385" i="46"/>
  <c r="Q385" i="46"/>
  <c r="R385" i="46"/>
  <c r="S385" i="46"/>
  <c r="N386" i="46"/>
  <c r="O386" i="46"/>
  <c r="P386" i="46"/>
  <c r="Q386" i="46"/>
  <c r="R386" i="46"/>
  <c r="S386" i="46"/>
  <c r="N387" i="46"/>
  <c r="O387" i="46"/>
  <c r="P387" i="46"/>
  <c r="Q387" i="46"/>
  <c r="R387" i="46"/>
  <c r="S387" i="46"/>
  <c r="N388" i="46"/>
  <c r="O388" i="46"/>
  <c r="P388" i="46"/>
  <c r="Q388" i="46"/>
  <c r="R388" i="46"/>
  <c r="S388" i="46"/>
  <c r="N389" i="46"/>
  <c r="O389" i="46"/>
  <c r="P389" i="46"/>
  <c r="Q389" i="46"/>
  <c r="R389" i="46"/>
  <c r="S389" i="46"/>
  <c r="N390" i="46"/>
  <c r="O390" i="46"/>
  <c r="P390" i="46"/>
  <c r="Q390" i="46"/>
  <c r="R390" i="46"/>
  <c r="S390" i="46"/>
  <c r="N391" i="46"/>
  <c r="O391" i="46"/>
  <c r="P391" i="46"/>
  <c r="Q391" i="46"/>
  <c r="R391" i="46"/>
  <c r="S391" i="46"/>
  <c r="N392" i="46"/>
  <c r="O392" i="46"/>
  <c r="P392" i="46"/>
  <c r="Q392" i="46"/>
  <c r="R392" i="46"/>
  <c r="S392" i="46"/>
  <c r="N393" i="46"/>
  <c r="O393" i="46"/>
  <c r="P393" i="46"/>
  <c r="Q393" i="46"/>
  <c r="R393" i="46"/>
  <c r="S393" i="46"/>
  <c r="N394" i="46"/>
  <c r="O394" i="46"/>
  <c r="P394" i="46"/>
  <c r="Q394" i="46"/>
  <c r="R394" i="46"/>
  <c r="S394" i="46"/>
  <c r="N395" i="46"/>
  <c r="O395" i="46"/>
  <c r="P395" i="46"/>
  <c r="Q395" i="46"/>
  <c r="R395" i="46"/>
  <c r="S395" i="46"/>
  <c r="N396" i="46"/>
  <c r="O396" i="46"/>
  <c r="P396" i="46"/>
  <c r="Q396" i="46"/>
  <c r="R396" i="46"/>
  <c r="S396" i="46"/>
  <c r="N397" i="46"/>
  <c r="O397" i="46"/>
  <c r="P397" i="46"/>
  <c r="Q397" i="46"/>
  <c r="R397" i="46"/>
  <c r="S397" i="46"/>
  <c r="N398" i="46"/>
  <c r="O398" i="46"/>
  <c r="P398" i="46"/>
  <c r="Q398" i="46"/>
  <c r="R398" i="46"/>
  <c r="S398" i="46"/>
  <c r="N399" i="46"/>
  <c r="O399" i="46"/>
  <c r="P399" i="46"/>
  <c r="Q399" i="46"/>
  <c r="R399" i="46"/>
  <c r="S399" i="46"/>
  <c r="N400" i="46"/>
  <c r="O400" i="46"/>
  <c r="P400" i="46"/>
  <c r="Q400" i="46"/>
  <c r="R400" i="46"/>
  <c r="S400" i="46"/>
  <c r="N401" i="46"/>
  <c r="O401" i="46"/>
  <c r="P401" i="46"/>
  <c r="Q401" i="46"/>
  <c r="R401" i="46"/>
  <c r="S401" i="46"/>
  <c r="N402" i="46"/>
  <c r="O402" i="46"/>
  <c r="P402" i="46"/>
  <c r="Q402" i="46"/>
  <c r="R402" i="46"/>
  <c r="S402" i="46"/>
  <c r="N403" i="46"/>
  <c r="O403" i="46"/>
  <c r="P403" i="46"/>
  <c r="Q403" i="46"/>
  <c r="R403" i="46"/>
  <c r="S403" i="46"/>
  <c r="N404" i="46"/>
  <c r="O404" i="46"/>
  <c r="P404" i="46"/>
  <c r="Q404" i="46"/>
  <c r="R404" i="46"/>
  <c r="S404" i="46"/>
  <c r="N405" i="46"/>
  <c r="O405" i="46"/>
  <c r="P405" i="46"/>
  <c r="Q405" i="46"/>
  <c r="R405" i="46"/>
  <c r="S405" i="46"/>
  <c r="N406" i="46"/>
  <c r="O406" i="46"/>
  <c r="P406" i="46"/>
  <c r="Q406" i="46"/>
  <c r="R406" i="46"/>
  <c r="S406" i="46"/>
  <c r="N407" i="46"/>
  <c r="O407" i="46"/>
  <c r="P407" i="46"/>
  <c r="Q407" i="46"/>
  <c r="R407" i="46"/>
  <c r="S407" i="46"/>
  <c r="N408" i="46"/>
  <c r="O408" i="46"/>
  <c r="P408" i="46"/>
  <c r="Q408" i="46"/>
  <c r="R408" i="46"/>
  <c r="S408" i="46"/>
  <c r="N409" i="46"/>
  <c r="O409" i="46"/>
  <c r="P409" i="46"/>
  <c r="Q409" i="46"/>
  <c r="R409" i="46"/>
  <c r="S409" i="46"/>
  <c r="N410" i="46"/>
  <c r="O410" i="46"/>
  <c r="P410" i="46"/>
  <c r="Q410" i="46"/>
  <c r="R410" i="46"/>
  <c r="S410" i="46"/>
  <c r="N411" i="46"/>
  <c r="O411" i="46"/>
  <c r="P411" i="46"/>
  <c r="Q411" i="46"/>
  <c r="R411" i="46"/>
  <c r="S411" i="46"/>
  <c r="N412" i="46"/>
  <c r="O412" i="46"/>
  <c r="P412" i="46"/>
  <c r="Q412" i="46"/>
  <c r="R412" i="46"/>
  <c r="S412" i="46"/>
  <c r="N413" i="46"/>
  <c r="O413" i="46"/>
  <c r="P413" i="46"/>
  <c r="Q413" i="46"/>
  <c r="R413" i="46"/>
  <c r="S413" i="46"/>
  <c r="N414" i="46"/>
  <c r="O414" i="46"/>
  <c r="P414" i="46"/>
  <c r="Q414" i="46"/>
  <c r="R414" i="46"/>
  <c r="S414" i="46"/>
  <c r="N415" i="46"/>
  <c r="O415" i="46"/>
  <c r="P415" i="46"/>
  <c r="Q415" i="46"/>
  <c r="R415" i="46"/>
  <c r="S415" i="46"/>
  <c r="N416" i="46"/>
  <c r="O416" i="46"/>
  <c r="P416" i="46"/>
  <c r="Q416" i="46"/>
  <c r="R416" i="46"/>
  <c r="S416" i="46"/>
  <c r="N417" i="46"/>
  <c r="O417" i="46"/>
  <c r="P417" i="46"/>
  <c r="Q417" i="46"/>
  <c r="R417" i="46"/>
  <c r="S417" i="46"/>
  <c r="N418" i="46"/>
  <c r="O418" i="46"/>
  <c r="P418" i="46"/>
  <c r="Q418" i="46"/>
  <c r="R418" i="46"/>
  <c r="S418" i="46"/>
  <c r="N419" i="46"/>
  <c r="O419" i="46"/>
  <c r="P419" i="46"/>
  <c r="Q419" i="46"/>
  <c r="R419" i="46"/>
  <c r="S419" i="46"/>
  <c r="N420" i="46"/>
  <c r="O420" i="46"/>
  <c r="P420" i="46"/>
  <c r="Q420" i="46"/>
  <c r="R420" i="46"/>
  <c r="S420" i="46"/>
  <c r="N421" i="46"/>
  <c r="O421" i="46"/>
  <c r="P421" i="46"/>
  <c r="Q421" i="46"/>
  <c r="R421" i="46"/>
  <c r="S421" i="46"/>
  <c r="N422" i="46"/>
  <c r="O422" i="46"/>
  <c r="P422" i="46"/>
  <c r="Q422" i="46"/>
  <c r="R422" i="46"/>
  <c r="S422" i="46"/>
  <c r="N423" i="46"/>
  <c r="O423" i="46"/>
  <c r="P423" i="46"/>
  <c r="Q423" i="46"/>
  <c r="R423" i="46"/>
  <c r="S423" i="46"/>
  <c r="N424" i="46"/>
  <c r="O424" i="46"/>
  <c r="P424" i="46"/>
  <c r="Q424" i="46"/>
  <c r="R424" i="46"/>
  <c r="S424" i="46"/>
  <c r="N425" i="46"/>
  <c r="O425" i="46"/>
  <c r="P425" i="46"/>
  <c r="Q425" i="46"/>
  <c r="R425" i="46"/>
  <c r="S425" i="46"/>
  <c r="N426" i="46"/>
  <c r="O426" i="46"/>
  <c r="P426" i="46"/>
  <c r="Q426" i="46"/>
  <c r="R426" i="46"/>
  <c r="S426" i="46"/>
  <c r="N427" i="46"/>
  <c r="O427" i="46"/>
  <c r="P427" i="46"/>
  <c r="Q427" i="46"/>
  <c r="R427" i="46"/>
  <c r="S427" i="46"/>
  <c r="N428" i="46"/>
  <c r="O428" i="46"/>
  <c r="P428" i="46"/>
  <c r="Q428" i="46"/>
  <c r="R428" i="46"/>
  <c r="S428" i="46"/>
  <c r="N429" i="46"/>
  <c r="O429" i="46"/>
  <c r="P429" i="46"/>
  <c r="Q429" i="46"/>
  <c r="R429" i="46"/>
  <c r="S429" i="46"/>
  <c r="N430" i="46"/>
  <c r="O430" i="46"/>
  <c r="P430" i="46"/>
  <c r="Q430" i="46"/>
  <c r="R430" i="46"/>
  <c r="S430" i="46"/>
  <c r="N431" i="46"/>
  <c r="O431" i="46"/>
  <c r="P431" i="46"/>
  <c r="Q431" i="46"/>
  <c r="R431" i="46"/>
  <c r="S431" i="46"/>
  <c r="N432" i="46"/>
  <c r="O432" i="46"/>
  <c r="P432" i="46"/>
  <c r="Q432" i="46"/>
  <c r="R432" i="46"/>
  <c r="S432" i="46"/>
  <c r="N433" i="46"/>
  <c r="O433" i="46"/>
  <c r="P433" i="46"/>
  <c r="Q433" i="46"/>
  <c r="R433" i="46"/>
  <c r="S433" i="46"/>
  <c r="N434" i="46"/>
  <c r="O434" i="46"/>
  <c r="P434" i="46"/>
  <c r="Q434" i="46"/>
  <c r="R434" i="46"/>
  <c r="S434" i="46"/>
  <c r="N435" i="46"/>
  <c r="O435" i="46"/>
  <c r="P435" i="46"/>
  <c r="Q435" i="46"/>
  <c r="R435" i="46"/>
  <c r="S435" i="46"/>
  <c r="N436" i="46"/>
  <c r="O436" i="46"/>
  <c r="P436" i="46"/>
  <c r="Q436" i="46"/>
  <c r="R436" i="46"/>
  <c r="S436" i="46"/>
  <c r="N437" i="46"/>
  <c r="O437" i="46"/>
  <c r="P437" i="46"/>
  <c r="Q437" i="46"/>
  <c r="R437" i="46"/>
  <c r="S437" i="46"/>
  <c r="N438" i="46"/>
  <c r="O438" i="46"/>
  <c r="P438" i="46"/>
  <c r="Q438" i="46"/>
  <c r="R438" i="46"/>
  <c r="S438" i="46"/>
  <c r="N439" i="46"/>
  <c r="O439" i="46"/>
  <c r="P439" i="46"/>
  <c r="Q439" i="46"/>
  <c r="R439" i="46"/>
  <c r="S439" i="46"/>
  <c r="N440" i="46"/>
  <c r="O440" i="46"/>
  <c r="P440" i="46"/>
  <c r="Q440" i="46"/>
  <c r="R440" i="46"/>
  <c r="S440" i="46"/>
  <c r="N441" i="46"/>
  <c r="O441" i="46"/>
  <c r="P441" i="46"/>
  <c r="Q441" i="46"/>
  <c r="R441" i="46"/>
  <c r="S441" i="46"/>
  <c r="N442" i="46"/>
  <c r="O442" i="46"/>
  <c r="P442" i="46"/>
  <c r="Q442" i="46"/>
  <c r="R442" i="46"/>
  <c r="S442" i="46"/>
  <c r="N443" i="46"/>
  <c r="O443" i="46"/>
  <c r="P443" i="46"/>
  <c r="Q443" i="46"/>
  <c r="R443" i="46"/>
  <c r="S443" i="46"/>
  <c r="N444" i="46"/>
  <c r="O444" i="46"/>
  <c r="P444" i="46"/>
  <c r="Q444" i="46"/>
  <c r="R444" i="46"/>
  <c r="S444" i="46"/>
  <c r="N445" i="46"/>
  <c r="O445" i="46"/>
  <c r="P445" i="46"/>
  <c r="Q445" i="46"/>
  <c r="R445" i="46"/>
  <c r="S445" i="46"/>
  <c r="N446" i="46"/>
  <c r="O446" i="46"/>
  <c r="P446" i="46"/>
  <c r="Q446" i="46"/>
  <c r="R446" i="46"/>
  <c r="S446" i="46"/>
  <c r="N447" i="46"/>
  <c r="O447" i="46"/>
  <c r="P447" i="46"/>
  <c r="Q447" i="46"/>
  <c r="R447" i="46"/>
  <c r="S447" i="46"/>
  <c r="N448" i="46"/>
  <c r="O448" i="46"/>
  <c r="P448" i="46"/>
  <c r="Q448" i="46"/>
  <c r="R448" i="46"/>
  <c r="S448" i="46"/>
  <c r="N449" i="46"/>
  <c r="O449" i="46"/>
  <c r="P449" i="46"/>
  <c r="Q449" i="46"/>
  <c r="R449" i="46"/>
  <c r="S449" i="46"/>
  <c r="N450" i="46"/>
  <c r="O450" i="46"/>
  <c r="P450" i="46"/>
  <c r="Q450" i="46"/>
  <c r="R450" i="46"/>
  <c r="S450" i="46"/>
  <c r="N451" i="46"/>
  <c r="O451" i="46"/>
  <c r="P451" i="46"/>
  <c r="Q451" i="46"/>
  <c r="R451" i="46"/>
  <c r="S451" i="46"/>
  <c r="N452" i="46"/>
  <c r="O452" i="46"/>
  <c r="P452" i="46"/>
  <c r="Q452" i="46"/>
  <c r="R452" i="46"/>
  <c r="S452" i="46"/>
  <c r="N453" i="46"/>
  <c r="O453" i="46"/>
  <c r="P453" i="46"/>
  <c r="Q453" i="46"/>
  <c r="R453" i="46"/>
  <c r="S453" i="46"/>
  <c r="N454" i="46"/>
  <c r="O454" i="46"/>
  <c r="P454" i="46"/>
  <c r="Q454" i="46"/>
  <c r="R454" i="46"/>
  <c r="S454" i="46"/>
  <c r="N455" i="46"/>
  <c r="O455" i="46"/>
  <c r="P455" i="46"/>
  <c r="Q455" i="46"/>
  <c r="R455" i="46"/>
  <c r="S455" i="46"/>
  <c r="N456" i="46"/>
  <c r="O456" i="46"/>
  <c r="P456" i="46"/>
  <c r="Q456" i="46"/>
  <c r="R456" i="46"/>
  <c r="S456" i="46"/>
  <c r="N457" i="46"/>
  <c r="O457" i="46"/>
  <c r="P457" i="46"/>
  <c r="Q457" i="46"/>
  <c r="R457" i="46"/>
  <c r="S457" i="46"/>
  <c r="N458" i="46"/>
  <c r="O458" i="46"/>
  <c r="P458" i="46"/>
  <c r="Q458" i="46"/>
  <c r="R458" i="46"/>
  <c r="S458" i="46"/>
  <c r="N459" i="46"/>
  <c r="O459" i="46"/>
  <c r="P459" i="46"/>
  <c r="Q459" i="46"/>
  <c r="R459" i="46"/>
  <c r="S459" i="46"/>
  <c r="N460" i="46"/>
  <c r="O460" i="46"/>
  <c r="P460" i="46"/>
  <c r="Q460" i="46"/>
  <c r="R460" i="46"/>
  <c r="S460" i="46"/>
  <c r="N461" i="46"/>
  <c r="O461" i="46"/>
  <c r="P461" i="46"/>
  <c r="Q461" i="46"/>
  <c r="R461" i="46"/>
  <c r="S461" i="46"/>
  <c r="N462" i="46"/>
  <c r="O462" i="46"/>
  <c r="P462" i="46"/>
  <c r="Q462" i="46"/>
  <c r="R462" i="46"/>
  <c r="S462" i="46"/>
  <c r="N463" i="46"/>
  <c r="O463" i="46"/>
  <c r="P463" i="46"/>
  <c r="Q463" i="46"/>
  <c r="R463" i="46"/>
  <c r="S463" i="46"/>
  <c r="N464" i="46"/>
  <c r="O464" i="46"/>
  <c r="P464" i="46"/>
  <c r="Q464" i="46"/>
  <c r="R464" i="46"/>
  <c r="S464" i="46"/>
  <c r="N465" i="46"/>
  <c r="O465" i="46"/>
  <c r="P465" i="46"/>
  <c r="Q465" i="46"/>
  <c r="R465" i="46"/>
  <c r="S465" i="46"/>
  <c r="N466" i="46"/>
  <c r="O466" i="46"/>
  <c r="P466" i="46"/>
  <c r="Q466" i="46"/>
  <c r="R466" i="46"/>
  <c r="S466" i="46"/>
  <c r="N467" i="46"/>
  <c r="O467" i="46"/>
  <c r="P467" i="46"/>
  <c r="Q467" i="46"/>
  <c r="R467" i="46"/>
  <c r="S467" i="46"/>
  <c r="N468" i="46"/>
  <c r="O468" i="46"/>
  <c r="P468" i="46"/>
  <c r="Q468" i="46"/>
  <c r="R468" i="46"/>
  <c r="S468" i="46"/>
  <c r="N469" i="46"/>
  <c r="O469" i="46"/>
  <c r="P469" i="46"/>
  <c r="Q469" i="46"/>
  <c r="R469" i="46"/>
  <c r="S469" i="46"/>
  <c r="N470" i="46"/>
  <c r="O470" i="46"/>
  <c r="P470" i="46"/>
  <c r="Q470" i="46"/>
  <c r="R470" i="46"/>
  <c r="S470" i="46"/>
  <c r="N471" i="46"/>
  <c r="O471" i="46"/>
  <c r="P471" i="46"/>
  <c r="Q471" i="46"/>
  <c r="R471" i="46"/>
  <c r="S471" i="46"/>
  <c r="N472" i="46"/>
  <c r="O472" i="46"/>
  <c r="P472" i="46"/>
  <c r="Q472" i="46"/>
  <c r="R472" i="46"/>
  <c r="S472" i="46"/>
  <c r="N473" i="46"/>
  <c r="O473" i="46"/>
  <c r="P473" i="46"/>
  <c r="Q473" i="46"/>
  <c r="R473" i="46"/>
  <c r="S473" i="46"/>
  <c r="N474" i="46"/>
  <c r="O474" i="46"/>
  <c r="P474" i="46"/>
  <c r="Q474" i="46"/>
  <c r="R474" i="46"/>
  <c r="S474" i="46"/>
  <c r="N475" i="46"/>
  <c r="O475" i="46"/>
  <c r="P475" i="46"/>
  <c r="Q475" i="46"/>
  <c r="R475" i="46"/>
  <c r="S475" i="46"/>
  <c r="N476" i="46"/>
  <c r="O476" i="46"/>
  <c r="P476" i="46"/>
  <c r="Q476" i="46"/>
  <c r="R476" i="46"/>
  <c r="S476" i="46"/>
  <c r="N477" i="46"/>
  <c r="O477" i="46"/>
  <c r="P477" i="46"/>
  <c r="Q477" i="46"/>
  <c r="R477" i="46"/>
  <c r="S477" i="46"/>
  <c r="N478" i="46"/>
  <c r="O478" i="46"/>
  <c r="P478" i="46"/>
  <c r="Q478" i="46"/>
  <c r="R478" i="46"/>
  <c r="S478" i="46"/>
  <c r="N479" i="46"/>
  <c r="O479" i="46"/>
  <c r="P479" i="46"/>
  <c r="Q479" i="46"/>
  <c r="R479" i="46"/>
  <c r="S479" i="46"/>
  <c r="N480" i="46"/>
  <c r="O480" i="46"/>
  <c r="P480" i="46"/>
  <c r="Q480" i="46"/>
  <c r="R480" i="46"/>
  <c r="S480" i="46"/>
  <c r="N481" i="46"/>
  <c r="O481" i="46"/>
  <c r="P481" i="46"/>
  <c r="Q481" i="46"/>
  <c r="R481" i="46"/>
  <c r="S481" i="46"/>
  <c r="N482" i="46"/>
  <c r="O482" i="46"/>
  <c r="P482" i="46"/>
  <c r="Q482" i="46"/>
  <c r="R482" i="46"/>
  <c r="S482" i="46"/>
  <c r="N483" i="46"/>
  <c r="O483" i="46"/>
  <c r="P483" i="46"/>
  <c r="Q483" i="46"/>
  <c r="R483" i="46"/>
  <c r="S483" i="46"/>
  <c r="N484" i="46"/>
  <c r="O484" i="46"/>
  <c r="P484" i="46"/>
  <c r="Q484" i="46"/>
  <c r="R484" i="46"/>
  <c r="S484" i="46"/>
  <c r="N485" i="46"/>
  <c r="O485" i="46"/>
  <c r="P485" i="46"/>
  <c r="Q485" i="46"/>
  <c r="R485" i="46"/>
  <c r="S485" i="46"/>
  <c r="N486" i="46"/>
  <c r="O486" i="46"/>
  <c r="P486" i="46"/>
  <c r="Q486" i="46"/>
  <c r="R486" i="46"/>
  <c r="S486" i="46"/>
  <c r="N487" i="46"/>
  <c r="O487" i="46"/>
  <c r="P487" i="46"/>
  <c r="Q487" i="46"/>
  <c r="R487" i="46"/>
  <c r="S487" i="46"/>
  <c r="N488" i="46"/>
  <c r="O488" i="46"/>
  <c r="P488" i="46"/>
  <c r="Q488" i="46"/>
  <c r="R488" i="46"/>
  <c r="S488" i="46"/>
  <c r="N489" i="46"/>
  <c r="O489" i="46"/>
  <c r="P489" i="46"/>
  <c r="Q489" i="46"/>
  <c r="R489" i="46"/>
  <c r="S489" i="46"/>
  <c r="N490" i="46"/>
  <c r="O490" i="46"/>
  <c r="P490" i="46"/>
  <c r="Q490" i="46"/>
  <c r="R490" i="46"/>
  <c r="S490" i="46"/>
  <c r="N491" i="46"/>
  <c r="O491" i="46"/>
  <c r="P491" i="46"/>
  <c r="Q491" i="46"/>
  <c r="R491" i="46"/>
  <c r="S491" i="46"/>
  <c r="N492" i="46"/>
  <c r="O492" i="46"/>
  <c r="P492" i="46"/>
  <c r="Q492" i="46"/>
  <c r="R492" i="46"/>
  <c r="S492" i="46"/>
  <c r="N493" i="46"/>
  <c r="O493" i="46"/>
  <c r="P493" i="46"/>
  <c r="Q493" i="46"/>
  <c r="R493" i="46"/>
  <c r="S493" i="46"/>
  <c r="N494" i="46"/>
  <c r="O494" i="46"/>
  <c r="P494" i="46"/>
  <c r="Q494" i="46"/>
  <c r="R494" i="46"/>
  <c r="S494" i="46"/>
  <c r="N495" i="46"/>
  <c r="O495" i="46"/>
  <c r="P495" i="46"/>
  <c r="Q495" i="46"/>
  <c r="R495" i="46"/>
  <c r="S495" i="46"/>
  <c r="N496" i="46"/>
  <c r="O496" i="46"/>
  <c r="P496" i="46"/>
  <c r="Q496" i="46"/>
  <c r="R496" i="46"/>
  <c r="S496" i="46"/>
  <c r="N497" i="46"/>
  <c r="O497" i="46"/>
  <c r="P497" i="46"/>
  <c r="Q497" i="46"/>
  <c r="R497" i="46"/>
  <c r="S497" i="46"/>
  <c r="N498" i="46"/>
  <c r="O498" i="46"/>
  <c r="P498" i="46"/>
  <c r="Q498" i="46"/>
  <c r="R498" i="46"/>
  <c r="S498" i="46"/>
  <c r="N499" i="46"/>
  <c r="O499" i="46"/>
  <c r="P499" i="46"/>
  <c r="Q499" i="46"/>
  <c r="R499" i="46"/>
  <c r="S499" i="46"/>
  <c r="N500" i="46"/>
  <c r="O500" i="46"/>
  <c r="P500" i="46"/>
  <c r="Q500" i="46"/>
  <c r="R500" i="46"/>
  <c r="S500" i="46"/>
  <c r="N501" i="46"/>
  <c r="O501" i="46"/>
  <c r="P501" i="46"/>
  <c r="Q501" i="46"/>
  <c r="R501" i="46"/>
  <c r="S501" i="46"/>
  <c r="N502" i="46"/>
  <c r="O502" i="46"/>
  <c r="P502" i="46"/>
  <c r="Q502" i="46"/>
  <c r="R502" i="46"/>
  <c r="S502" i="46"/>
  <c r="N503" i="46"/>
  <c r="O503" i="46"/>
  <c r="P503" i="46"/>
  <c r="Q503" i="46"/>
  <c r="R503" i="46"/>
  <c r="S503" i="46"/>
  <c r="N504" i="46"/>
  <c r="O504" i="46"/>
  <c r="P504" i="46"/>
  <c r="Q504" i="46"/>
  <c r="R504" i="46"/>
  <c r="S504" i="46"/>
  <c r="N505" i="46"/>
  <c r="O505" i="46"/>
  <c r="P505" i="46"/>
  <c r="Q505" i="46"/>
  <c r="R505" i="46"/>
  <c r="S505" i="46"/>
  <c r="N506" i="46"/>
  <c r="O506" i="46"/>
  <c r="P506" i="46"/>
  <c r="Q506" i="46"/>
  <c r="R506" i="46"/>
  <c r="S506" i="46"/>
  <c r="N507" i="46"/>
  <c r="O507" i="46"/>
  <c r="P507" i="46"/>
  <c r="Q507" i="46"/>
  <c r="R507" i="46"/>
  <c r="S507" i="46"/>
  <c r="N508" i="46"/>
  <c r="O508" i="46"/>
  <c r="P508" i="46"/>
  <c r="Q508" i="46"/>
  <c r="R508" i="46"/>
  <c r="S508" i="46"/>
  <c r="N509" i="46"/>
  <c r="O509" i="46"/>
  <c r="P509" i="46"/>
  <c r="Q509" i="46"/>
  <c r="R509" i="46"/>
  <c r="S509" i="46"/>
  <c r="N510" i="46"/>
  <c r="O510" i="46"/>
  <c r="P510" i="46"/>
  <c r="Q510" i="46"/>
  <c r="R510" i="46"/>
  <c r="S510" i="46"/>
  <c r="N511" i="46"/>
  <c r="O511" i="46"/>
  <c r="P511" i="46"/>
  <c r="Q511" i="46"/>
  <c r="R511" i="46"/>
  <c r="S511" i="46"/>
  <c r="N512" i="46"/>
  <c r="O512" i="46"/>
  <c r="P512" i="46"/>
  <c r="Q512" i="46"/>
  <c r="R512" i="46"/>
  <c r="S512" i="46"/>
  <c r="N513" i="46"/>
  <c r="O513" i="46"/>
  <c r="P513" i="46"/>
  <c r="Q513" i="46"/>
  <c r="R513" i="46"/>
  <c r="S513" i="46"/>
  <c r="N514" i="46"/>
  <c r="O514" i="46"/>
  <c r="P514" i="46"/>
  <c r="Q514" i="46"/>
  <c r="R514" i="46"/>
  <c r="S514" i="46"/>
  <c r="N515" i="46"/>
  <c r="O515" i="46"/>
  <c r="P515" i="46"/>
  <c r="Q515" i="46"/>
  <c r="R515" i="46"/>
  <c r="S515" i="46"/>
  <c r="N516" i="46"/>
  <c r="O516" i="46"/>
  <c r="P516" i="46"/>
  <c r="Q516" i="46"/>
  <c r="R516" i="46"/>
  <c r="S516" i="46"/>
  <c r="N517" i="46"/>
  <c r="O517" i="46"/>
  <c r="P517" i="46"/>
  <c r="Q517" i="46"/>
  <c r="R517" i="46"/>
  <c r="S517" i="46"/>
  <c r="N518" i="46"/>
  <c r="O518" i="46"/>
  <c r="P518" i="46"/>
  <c r="Q518" i="46"/>
  <c r="R518" i="46"/>
  <c r="S518" i="46"/>
  <c r="N519" i="46"/>
  <c r="O519" i="46"/>
  <c r="P519" i="46"/>
  <c r="Q519" i="46"/>
  <c r="R519" i="46"/>
  <c r="S519" i="46"/>
  <c r="N520" i="46"/>
  <c r="O520" i="46"/>
  <c r="P520" i="46"/>
  <c r="Q520" i="46"/>
  <c r="R520" i="46"/>
  <c r="S520" i="46"/>
  <c r="N521" i="46"/>
  <c r="O521" i="46"/>
  <c r="P521" i="46"/>
  <c r="Q521" i="46"/>
  <c r="R521" i="46"/>
  <c r="S521" i="46"/>
  <c r="N522" i="46"/>
  <c r="O522" i="46"/>
  <c r="P522" i="46"/>
  <c r="Q522" i="46"/>
  <c r="R522" i="46"/>
  <c r="S522" i="46"/>
  <c r="N523" i="46"/>
  <c r="O523" i="46"/>
  <c r="P523" i="46"/>
  <c r="Q523" i="46"/>
  <c r="R523" i="46"/>
  <c r="S523" i="46"/>
  <c r="N524" i="46"/>
  <c r="O524" i="46"/>
  <c r="P524" i="46"/>
  <c r="Q524" i="46"/>
  <c r="R524" i="46"/>
  <c r="S524" i="46"/>
  <c r="N525" i="46"/>
  <c r="O525" i="46"/>
  <c r="P525" i="46"/>
  <c r="Q525" i="46"/>
  <c r="R525" i="46"/>
  <c r="S525" i="46"/>
  <c r="N526" i="46"/>
  <c r="O526" i="46"/>
  <c r="P526" i="46"/>
  <c r="Q526" i="46"/>
  <c r="R526" i="46"/>
  <c r="S526" i="46"/>
  <c r="N527" i="46"/>
  <c r="O527" i="46"/>
  <c r="P527" i="46"/>
  <c r="Q527" i="46"/>
  <c r="R527" i="46"/>
  <c r="S527" i="46"/>
  <c r="N528" i="46"/>
  <c r="O528" i="46"/>
  <c r="P528" i="46"/>
  <c r="Q528" i="46"/>
  <c r="R528" i="46"/>
  <c r="S528" i="46"/>
  <c r="N529" i="46"/>
  <c r="O529" i="46"/>
  <c r="P529" i="46"/>
  <c r="Q529" i="46"/>
  <c r="R529" i="46"/>
  <c r="S529" i="46"/>
  <c r="N530" i="46"/>
  <c r="O530" i="46"/>
  <c r="P530" i="46"/>
  <c r="Q530" i="46"/>
  <c r="R530" i="46"/>
  <c r="S530" i="46"/>
  <c r="N531" i="46"/>
  <c r="O531" i="46"/>
  <c r="P531" i="46"/>
  <c r="Q531" i="46"/>
  <c r="R531" i="46"/>
  <c r="S531" i="46"/>
  <c r="N532" i="46"/>
  <c r="O532" i="46"/>
  <c r="P532" i="46"/>
  <c r="Q532" i="46"/>
  <c r="R532" i="46"/>
  <c r="S532" i="46"/>
  <c r="N533" i="46"/>
  <c r="O533" i="46"/>
  <c r="P533" i="46"/>
  <c r="Q533" i="46"/>
  <c r="R533" i="46"/>
  <c r="S533" i="46"/>
  <c r="N534" i="46"/>
  <c r="O534" i="46"/>
  <c r="P534" i="46"/>
  <c r="Q534" i="46"/>
  <c r="R534" i="46"/>
  <c r="S534" i="46"/>
  <c r="N535" i="46"/>
  <c r="O535" i="46"/>
  <c r="P535" i="46"/>
  <c r="Q535" i="46"/>
  <c r="R535" i="46"/>
  <c r="S535" i="46"/>
  <c r="N536" i="46"/>
  <c r="O536" i="46"/>
  <c r="P536" i="46"/>
  <c r="Q536" i="46"/>
  <c r="R536" i="46"/>
  <c r="S536" i="46"/>
  <c r="N537" i="46"/>
  <c r="O537" i="46"/>
  <c r="P537" i="46"/>
  <c r="Q537" i="46"/>
  <c r="R537" i="46"/>
  <c r="S537" i="46"/>
  <c r="N538" i="46"/>
  <c r="O538" i="46"/>
  <c r="P538" i="46"/>
  <c r="Q538" i="46"/>
  <c r="R538" i="46"/>
  <c r="S538" i="46"/>
  <c r="N539" i="46"/>
  <c r="O539" i="46"/>
  <c r="P539" i="46"/>
  <c r="Q539" i="46"/>
  <c r="R539" i="46"/>
  <c r="S539" i="46"/>
  <c r="N540" i="46"/>
  <c r="O540" i="46"/>
  <c r="P540" i="46"/>
  <c r="Q540" i="46"/>
  <c r="R540" i="46"/>
  <c r="S540" i="46"/>
  <c r="N541" i="46"/>
  <c r="O541" i="46"/>
  <c r="P541" i="46"/>
  <c r="Q541" i="46"/>
  <c r="R541" i="46"/>
  <c r="S541" i="46"/>
  <c r="N542" i="46"/>
  <c r="O542" i="46"/>
  <c r="P542" i="46"/>
  <c r="Q542" i="46"/>
  <c r="R542" i="46"/>
  <c r="S542" i="46"/>
  <c r="N543" i="46"/>
  <c r="O543" i="46"/>
  <c r="P543" i="46"/>
  <c r="Q543" i="46"/>
  <c r="R543" i="46"/>
  <c r="S543" i="46"/>
  <c r="N544" i="46"/>
  <c r="O544" i="46"/>
  <c r="P544" i="46"/>
  <c r="Q544" i="46"/>
  <c r="R544" i="46"/>
  <c r="S544" i="46"/>
  <c r="N545" i="46"/>
  <c r="O545" i="46"/>
  <c r="P545" i="46"/>
  <c r="Q545" i="46"/>
  <c r="R545" i="46"/>
  <c r="S545" i="46"/>
  <c r="N546" i="46"/>
  <c r="O546" i="46"/>
  <c r="P546" i="46"/>
  <c r="Q546" i="46"/>
  <c r="R546" i="46"/>
  <c r="S546" i="46"/>
  <c r="N547" i="46"/>
  <c r="O547" i="46"/>
  <c r="P547" i="46"/>
  <c r="Q547" i="46"/>
  <c r="R547" i="46"/>
  <c r="S547" i="46"/>
  <c r="N548" i="46"/>
  <c r="O548" i="46"/>
  <c r="P548" i="46"/>
  <c r="Q548" i="46"/>
  <c r="R548" i="46"/>
  <c r="S548" i="46"/>
  <c r="N549" i="46"/>
  <c r="O549" i="46"/>
  <c r="P549" i="46"/>
  <c r="Q549" i="46"/>
  <c r="R549" i="46"/>
  <c r="S549" i="46"/>
  <c r="N550" i="46"/>
  <c r="O550" i="46"/>
  <c r="P550" i="46"/>
  <c r="Q550" i="46"/>
  <c r="R550" i="46"/>
  <c r="S550" i="46"/>
  <c r="N551" i="46"/>
  <c r="O551" i="46"/>
  <c r="P551" i="46"/>
  <c r="Q551" i="46"/>
  <c r="R551" i="46"/>
  <c r="S551" i="46"/>
  <c r="N552" i="46"/>
  <c r="O552" i="46"/>
  <c r="P552" i="46"/>
  <c r="Q552" i="46"/>
  <c r="R552" i="46"/>
  <c r="S552" i="46"/>
  <c r="N553" i="46"/>
  <c r="O553" i="46"/>
  <c r="P553" i="46"/>
  <c r="Q553" i="46"/>
  <c r="R553" i="46"/>
  <c r="S553" i="46"/>
  <c r="N554" i="46"/>
  <c r="O554" i="46"/>
  <c r="P554" i="46"/>
  <c r="Q554" i="46"/>
  <c r="R554" i="46"/>
  <c r="S554" i="46"/>
  <c r="N555" i="46"/>
  <c r="O555" i="46"/>
  <c r="P555" i="46"/>
  <c r="Q555" i="46"/>
  <c r="R555" i="46"/>
  <c r="S555" i="46"/>
  <c r="N556" i="46"/>
  <c r="O556" i="46"/>
  <c r="P556" i="46"/>
  <c r="Q556" i="46"/>
  <c r="R556" i="46"/>
  <c r="S556" i="46"/>
  <c r="N557" i="46"/>
  <c r="O557" i="46"/>
  <c r="P557" i="46"/>
  <c r="Q557" i="46"/>
  <c r="R557" i="46"/>
  <c r="S557" i="46"/>
  <c r="N558" i="46"/>
  <c r="O558" i="46"/>
  <c r="P558" i="46"/>
  <c r="Q558" i="46"/>
  <c r="R558" i="46"/>
  <c r="S558" i="46"/>
  <c r="N559" i="46"/>
  <c r="O559" i="46"/>
  <c r="P559" i="46"/>
  <c r="Q559" i="46"/>
  <c r="R559" i="46"/>
  <c r="S559" i="46"/>
  <c r="N560" i="46"/>
  <c r="O560" i="46"/>
  <c r="P560" i="46"/>
  <c r="Q560" i="46"/>
  <c r="R560" i="46"/>
  <c r="S560" i="46"/>
  <c r="N561" i="46"/>
  <c r="O561" i="46"/>
  <c r="P561" i="46"/>
  <c r="Q561" i="46"/>
  <c r="R561" i="46"/>
  <c r="S561" i="46"/>
  <c r="N562" i="46"/>
  <c r="O562" i="46"/>
  <c r="P562" i="46"/>
  <c r="Q562" i="46"/>
  <c r="R562" i="46"/>
  <c r="S562" i="46"/>
  <c r="N563" i="46"/>
  <c r="O563" i="46"/>
  <c r="P563" i="46"/>
  <c r="Q563" i="46"/>
  <c r="R563" i="46"/>
  <c r="S563" i="46"/>
  <c r="N564" i="46"/>
  <c r="O564" i="46"/>
  <c r="P564" i="46"/>
  <c r="Q564" i="46"/>
  <c r="R564" i="46"/>
  <c r="S564" i="46"/>
  <c r="N565" i="46"/>
  <c r="O565" i="46"/>
  <c r="P565" i="46"/>
  <c r="Q565" i="46"/>
  <c r="R565" i="46"/>
  <c r="S565" i="46"/>
  <c r="N566" i="46"/>
  <c r="O566" i="46"/>
  <c r="P566" i="46"/>
  <c r="Q566" i="46"/>
  <c r="R566" i="46"/>
  <c r="S566" i="46"/>
  <c r="N567" i="46"/>
  <c r="O567" i="46"/>
  <c r="P567" i="46"/>
  <c r="Q567" i="46"/>
  <c r="R567" i="46"/>
  <c r="S567" i="46"/>
  <c r="N568" i="46"/>
  <c r="O568" i="46"/>
  <c r="P568" i="46"/>
  <c r="Q568" i="46"/>
  <c r="R568" i="46"/>
  <c r="S568" i="46"/>
  <c r="N569" i="46"/>
  <c r="O569" i="46"/>
  <c r="P569" i="46"/>
  <c r="Q569" i="46"/>
  <c r="R569" i="46"/>
  <c r="S569" i="46"/>
  <c r="N570" i="46"/>
  <c r="O570" i="46"/>
  <c r="P570" i="46"/>
  <c r="Q570" i="46"/>
  <c r="R570" i="46"/>
  <c r="S570" i="46"/>
  <c r="N571" i="46"/>
  <c r="O571" i="46"/>
  <c r="P571" i="46"/>
  <c r="Q571" i="46"/>
  <c r="R571" i="46"/>
  <c r="S571" i="46"/>
  <c r="N572" i="46"/>
  <c r="O572" i="46"/>
  <c r="P572" i="46"/>
  <c r="Q572" i="46"/>
  <c r="R572" i="46"/>
  <c r="S572" i="46"/>
  <c r="N573" i="46"/>
  <c r="O573" i="46"/>
  <c r="P573" i="46"/>
  <c r="Q573" i="46"/>
  <c r="R573" i="46"/>
  <c r="S573" i="46"/>
  <c r="N574" i="46"/>
  <c r="O574" i="46"/>
  <c r="P574" i="46"/>
  <c r="Q574" i="46"/>
  <c r="R574" i="46"/>
  <c r="S574" i="46"/>
  <c r="N575" i="46"/>
  <c r="O575" i="46"/>
  <c r="P575" i="46"/>
  <c r="Q575" i="46"/>
  <c r="R575" i="46"/>
  <c r="S575" i="46"/>
  <c r="N576" i="46"/>
  <c r="O576" i="46"/>
  <c r="P576" i="46"/>
  <c r="Q576" i="46"/>
  <c r="R576" i="46"/>
  <c r="S576" i="46"/>
  <c r="N577" i="46"/>
  <c r="O577" i="46"/>
  <c r="P577" i="46"/>
  <c r="Q577" i="46"/>
  <c r="R577" i="46"/>
  <c r="S577" i="46"/>
  <c r="N578" i="46"/>
  <c r="O578" i="46"/>
  <c r="P578" i="46"/>
  <c r="Q578" i="46"/>
  <c r="R578" i="46"/>
  <c r="S578" i="46"/>
  <c r="N579" i="46"/>
  <c r="O579" i="46"/>
  <c r="P579" i="46"/>
  <c r="Q579" i="46"/>
  <c r="R579" i="46"/>
  <c r="S579" i="46"/>
  <c r="N580" i="46"/>
  <c r="O580" i="46"/>
  <c r="P580" i="46"/>
  <c r="Q580" i="46"/>
  <c r="R580" i="46"/>
  <c r="S580" i="46"/>
  <c r="N581" i="46"/>
  <c r="O581" i="46"/>
  <c r="P581" i="46"/>
  <c r="Q581" i="46"/>
  <c r="R581" i="46"/>
  <c r="S581" i="46"/>
  <c r="N582" i="46"/>
  <c r="O582" i="46"/>
  <c r="P582" i="46"/>
  <c r="Q582" i="46"/>
  <c r="R582" i="46"/>
  <c r="S582" i="46"/>
  <c r="N583" i="46"/>
  <c r="O583" i="46"/>
  <c r="P583" i="46"/>
  <c r="Q583" i="46"/>
  <c r="R583" i="46"/>
  <c r="S583" i="46"/>
  <c r="N584" i="46"/>
  <c r="O584" i="46"/>
  <c r="P584" i="46"/>
  <c r="Q584" i="46"/>
  <c r="R584" i="46"/>
  <c r="S584" i="46"/>
  <c r="N585" i="46"/>
  <c r="O585" i="46"/>
  <c r="P585" i="46"/>
  <c r="Q585" i="46"/>
  <c r="R585" i="46"/>
  <c r="S585" i="46"/>
  <c r="N586" i="46"/>
  <c r="O586" i="46"/>
  <c r="P586" i="46"/>
  <c r="Q586" i="46"/>
  <c r="R586" i="46"/>
  <c r="S586" i="46"/>
  <c r="N587" i="46"/>
  <c r="O587" i="46"/>
  <c r="P587" i="46"/>
  <c r="Q587" i="46"/>
  <c r="R587" i="46"/>
  <c r="S587" i="46"/>
  <c r="N588" i="46"/>
  <c r="O588" i="46"/>
  <c r="P588" i="46"/>
  <c r="Q588" i="46"/>
  <c r="R588" i="46"/>
  <c r="S588" i="46"/>
  <c r="N589" i="46"/>
  <c r="O589" i="46"/>
  <c r="P589" i="46"/>
  <c r="Q589" i="46"/>
  <c r="R589" i="46"/>
  <c r="S589" i="46"/>
  <c r="N590" i="46"/>
  <c r="O590" i="46"/>
  <c r="P590" i="46"/>
  <c r="Q590" i="46"/>
  <c r="R590" i="46"/>
  <c r="S590" i="46"/>
  <c r="N591" i="46"/>
  <c r="O591" i="46"/>
  <c r="P591" i="46"/>
  <c r="Q591" i="46"/>
  <c r="R591" i="46"/>
  <c r="S591" i="46"/>
  <c r="N592" i="46"/>
  <c r="O592" i="46"/>
  <c r="P592" i="46"/>
  <c r="Q592" i="46"/>
  <c r="R592" i="46"/>
  <c r="S592" i="46"/>
  <c r="N593" i="46"/>
  <c r="O593" i="46"/>
  <c r="P593" i="46"/>
  <c r="Q593" i="46"/>
  <c r="R593" i="46"/>
  <c r="S593" i="46"/>
  <c r="N594" i="46"/>
  <c r="O594" i="46"/>
  <c r="P594" i="46"/>
  <c r="Q594" i="46"/>
  <c r="R594" i="46"/>
  <c r="S594" i="46"/>
  <c r="N595" i="46"/>
  <c r="O595" i="46"/>
  <c r="P595" i="46"/>
  <c r="Q595" i="46"/>
  <c r="R595" i="46"/>
  <c r="S595" i="46"/>
  <c r="N596" i="46"/>
  <c r="O596" i="46"/>
  <c r="P596" i="46"/>
  <c r="Q596" i="46"/>
  <c r="R596" i="46"/>
  <c r="S596" i="46"/>
  <c r="N597" i="46"/>
  <c r="O597" i="46"/>
  <c r="P597" i="46"/>
  <c r="Q597" i="46"/>
  <c r="R597" i="46"/>
  <c r="S597" i="46"/>
  <c r="N598" i="46"/>
  <c r="O598" i="46"/>
  <c r="P598" i="46"/>
  <c r="Q598" i="46"/>
  <c r="R598" i="46"/>
  <c r="S598" i="46"/>
  <c r="N599" i="46"/>
  <c r="O599" i="46"/>
  <c r="P599" i="46"/>
  <c r="Q599" i="46"/>
  <c r="R599" i="46"/>
  <c r="S599" i="46"/>
  <c r="N600" i="46"/>
  <c r="O600" i="46"/>
  <c r="P600" i="46"/>
  <c r="Q600" i="46"/>
  <c r="R600" i="46"/>
  <c r="S600" i="46"/>
  <c r="N601" i="46"/>
  <c r="O601" i="46"/>
  <c r="P601" i="46"/>
  <c r="Q601" i="46"/>
  <c r="R601" i="46"/>
  <c r="S601" i="46"/>
  <c r="N602" i="46"/>
  <c r="O602" i="46"/>
  <c r="P602" i="46"/>
  <c r="Q602" i="46"/>
  <c r="R602" i="46"/>
  <c r="S602" i="46"/>
  <c r="N603" i="46"/>
  <c r="O603" i="46"/>
  <c r="P603" i="46"/>
  <c r="Q603" i="46"/>
  <c r="R603" i="46"/>
  <c r="S603" i="46"/>
  <c r="N604" i="46"/>
  <c r="O604" i="46"/>
  <c r="P604" i="46"/>
  <c r="Q604" i="46"/>
  <c r="R604" i="46"/>
  <c r="S604" i="46"/>
  <c r="N605" i="46"/>
  <c r="O605" i="46"/>
  <c r="P605" i="46"/>
  <c r="Q605" i="46"/>
  <c r="R605" i="46"/>
  <c r="S605" i="46"/>
  <c r="N606" i="46"/>
  <c r="O606" i="46"/>
  <c r="P606" i="46"/>
  <c r="Q606" i="46"/>
  <c r="R606" i="46"/>
  <c r="S606" i="46"/>
  <c r="N607" i="46"/>
  <c r="O607" i="46"/>
  <c r="P607" i="46"/>
  <c r="Q607" i="46"/>
  <c r="R607" i="46"/>
  <c r="S607" i="46"/>
  <c r="N608" i="46"/>
  <c r="O608" i="46"/>
  <c r="P608" i="46"/>
  <c r="Q608" i="46"/>
  <c r="R608" i="46"/>
  <c r="S608" i="46"/>
  <c r="N609" i="46"/>
  <c r="O609" i="46"/>
  <c r="P609" i="46"/>
  <c r="Q609" i="46"/>
  <c r="R609" i="46"/>
  <c r="S609" i="46"/>
  <c r="N610" i="46"/>
  <c r="O610" i="46"/>
  <c r="P610" i="46"/>
  <c r="Q610" i="46"/>
  <c r="R610" i="46"/>
  <c r="S610" i="46"/>
  <c r="N611" i="46"/>
  <c r="O611" i="46"/>
  <c r="P611" i="46"/>
  <c r="Q611" i="46"/>
  <c r="R611" i="46"/>
  <c r="S611" i="46"/>
  <c r="N612" i="46"/>
  <c r="O612" i="46"/>
  <c r="P612" i="46"/>
  <c r="Q612" i="46"/>
  <c r="R612" i="46"/>
  <c r="S612" i="46"/>
  <c r="N613" i="46"/>
  <c r="O613" i="46"/>
  <c r="P613" i="46"/>
  <c r="Q613" i="46"/>
  <c r="R613" i="46"/>
  <c r="S613" i="46"/>
  <c r="N614" i="46"/>
  <c r="O614" i="46"/>
  <c r="P614" i="46"/>
  <c r="Q614" i="46"/>
  <c r="R614" i="46"/>
  <c r="S614" i="46"/>
  <c r="N615" i="46"/>
  <c r="O615" i="46"/>
  <c r="P615" i="46"/>
  <c r="Q615" i="46"/>
  <c r="R615" i="46"/>
  <c r="S615" i="46"/>
  <c r="N616" i="46"/>
  <c r="O616" i="46"/>
  <c r="P616" i="46"/>
  <c r="Q616" i="46"/>
  <c r="R616" i="46"/>
  <c r="S616" i="46"/>
  <c r="N617" i="46"/>
  <c r="O617" i="46"/>
  <c r="P617" i="46"/>
  <c r="Q617" i="46"/>
  <c r="R617" i="46"/>
  <c r="S617" i="46"/>
  <c r="N618" i="46"/>
  <c r="O618" i="46"/>
  <c r="P618" i="46"/>
  <c r="Q618" i="46"/>
  <c r="R618" i="46"/>
  <c r="S618" i="46"/>
  <c r="N619" i="46"/>
  <c r="O619" i="46"/>
  <c r="P619" i="46"/>
  <c r="Q619" i="46"/>
  <c r="R619" i="46"/>
  <c r="S619" i="46"/>
  <c r="N620" i="46"/>
  <c r="O620" i="46"/>
  <c r="P620" i="46"/>
  <c r="Q620" i="46"/>
  <c r="R620" i="46"/>
  <c r="S620" i="46"/>
  <c r="N621" i="46"/>
  <c r="O621" i="46"/>
  <c r="P621" i="46"/>
  <c r="Q621" i="46"/>
  <c r="R621" i="46"/>
  <c r="S621" i="46"/>
  <c r="N622" i="46"/>
  <c r="O622" i="46"/>
  <c r="P622" i="46"/>
  <c r="Q622" i="46"/>
  <c r="R622" i="46"/>
  <c r="S622" i="46"/>
  <c r="N623" i="46"/>
  <c r="O623" i="46"/>
  <c r="P623" i="46"/>
  <c r="Q623" i="46"/>
  <c r="R623" i="46"/>
  <c r="S623" i="46"/>
  <c r="N624" i="46"/>
  <c r="O624" i="46"/>
  <c r="P624" i="46"/>
  <c r="Q624" i="46"/>
  <c r="R624" i="46"/>
  <c r="S624" i="46"/>
  <c r="N625" i="46"/>
  <c r="O625" i="46"/>
  <c r="P625" i="46"/>
  <c r="Q625" i="46"/>
  <c r="R625" i="46"/>
  <c r="S625" i="46"/>
  <c r="N626" i="46"/>
  <c r="O626" i="46"/>
  <c r="P626" i="46"/>
  <c r="Q626" i="46"/>
  <c r="R626" i="46"/>
  <c r="S626" i="46"/>
  <c r="N627" i="46"/>
  <c r="O627" i="46"/>
  <c r="P627" i="46"/>
  <c r="Q627" i="46"/>
  <c r="R627" i="46"/>
  <c r="S627" i="46"/>
  <c r="N628" i="46"/>
  <c r="O628" i="46"/>
  <c r="P628" i="46"/>
  <c r="Q628" i="46"/>
  <c r="R628" i="46"/>
  <c r="S628" i="46"/>
  <c r="N629" i="46"/>
  <c r="O629" i="46"/>
  <c r="P629" i="46"/>
  <c r="Q629" i="46"/>
  <c r="R629" i="46"/>
  <c r="S629" i="46"/>
  <c r="N630" i="46"/>
  <c r="O630" i="46"/>
  <c r="P630" i="46"/>
  <c r="Q630" i="46"/>
  <c r="R630" i="46"/>
  <c r="S630" i="46"/>
  <c r="N631" i="46"/>
  <c r="O631" i="46"/>
  <c r="P631" i="46"/>
  <c r="Q631" i="46"/>
  <c r="R631" i="46"/>
  <c r="S631" i="46"/>
  <c r="N632" i="46"/>
  <c r="O632" i="46"/>
  <c r="P632" i="46"/>
  <c r="Q632" i="46"/>
  <c r="R632" i="46"/>
  <c r="S632" i="46"/>
  <c r="N633" i="46"/>
  <c r="O633" i="46"/>
  <c r="P633" i="46"/>
  <c r="Q633" i="46"/>
  <c r="R633" i="46"/>
  <c r="S633" i="46"/>
  <c r="N634" i="46"/>
  <c r="O634" i="46"/>
  <c r="P634" i="46"/>
  <c r="Q634" i="46"/>
  <c r="R634" i="46"/>
  <c r="S634" i="46"/>
  <c r="N635" i="46"/>
  <c r="O635" i="46"/>
  <c r="P635" i="46"/>
  <c r="Q635" i="46"/>
  <c r="R635" i="46"/>
  <c r="S635" i="46"/>
  <c r="N636" i="46"/>
  <c r="O636" i="46"/>
  <c r="P636" i="46"/>
  <c r="Q636" i="46"/>
  <c r="R636" i="46"/>
  <c r="S636" i="46"/>
  <c r="N637" i="46"/>
  <c r="O637" i="46"/>
  <c r="P637" i="46"/>
  <c r="Q637" i="46"/>
  <c r="R637" i="46"/>
  <c r="S637" i="46"/>
  <c r="N638" i="46"/>
  <c r="O638" i="46"/>
  <c r="P638" i="46"/>
  <c r="Q638" i="46"/>
  <c r="R638" i="46"/>
  <c r="S638" i="46"/>
  <c r="N639" i="46"/>
  <c r="O639" i="46"/>
  <c r="P639" i="46"/>
  <c r="Q639" i="46"/>
  <c r="R639" i="46"/>
  <c r="S639" i="46"/>
  <c r="N640" i="46"/>
  <c r="O640" i="46"/>
  <c r="P640" i="46"/>
  <c r="Q640" i="46"/>
  <c r="R640" i="46"/>
  <c r="S640" i="46"/>
  <c r="N641" i="46"/>
  <c r="O641" i="46"/>
  <c r="P641" i="46"/>
  <c r="Q641" i="46"/>
  <c r="R641" i="46"/>
  <c r="S641" i="46"/>
  <c r="N642" i="46"/>
  <c r="O642" i="46"/>
  <c r="P642" i="46"/>
  <c r="Q642" i="46"/>
  <c r="R642" i="46"/>
  <c r="S642" i="46"/>
  <c r="N643" i="46"/>
  <c r="O643" i="46"/>
  <c r="P643" i="46"/>
  <c r="Q643" i="46"/>
  <c r="R643" i="46"/>
  <c r="S643" i="46"/>
  <c r="N644" i="46"/>
  <c r="O644" i="46"/>
  <c r="P644" i="46"/>
  <c r="Q644" i="46"/>
  <c r="R644" i="46"/>
  <c r="S644" i="46"/>
  <c r="N645" i="46"/>
  <c r="O645" i="46"/>
  <c r="P645" i="46"/>
  <c r="Q645" i="46"/>
  <c r="R645" i="46"/>
  <c r="S645" i="46"/>
  <c r="N646" i="46"/>
  <c r="O646" i="46"/>
  <c r="P646" i="46"/>
  <c r="Q646" i="46"/>
  <c r="R646" i="46"/>
  <c r="S646" i="46"/>
  <c r="N647" i="46"/>
  <c r="O647" i="46"/>
  <c r="P647" i="46"/>
  <c r="Q647" i="46"/>
  <c r="R647" i="46"/>
  <c r="S647" i="46"/>
  <c r="N648" i="46"/>
  <c r="O648" i="46"/>
  <c r="P648" i="46"/>
  <c r="Q648" i="46"/>
  <c r="R648" i="46"/>
  <c r="S648" i="46"/>
  <c r="N649" i="46"/>
  <c r="O649" i="46"/>
  <c r="P649" i="46"/>
  <c r="Q649" i="46"/>
  <c r="R649" i="46"/>
  <c r="S649" i="46"/>
  <c r="N650" i="46"/>
  <c r="O650" i="46"/>
  <c r="P650" i="46"/>
  <c r="Q650" i="46"/>
  <c r="R650" i="46"/>
  <c r="S650" i="46"/>
  <c r="N651" i="46"/>
  <c r="O651" i="46"/>
  <c r="P651" i="46"/>
  <c r="Q651" i="46"/>
  <c r="R651" i="46"/>
  <c r="S651" i="46"/>
  <c r="N652" i="46"/>
  <c r="O652" i="46"/>
  <c r="P652" i="46"/>
  <c r="Q652" i="46"/>
  <c r="R652" i="46"/>
  <c r="S652" i="46"/>
  <c r="N653" i="46"/>
  <c r="O653" i="46"/>
  <c r="P653" i="46"/>
  <c r="Q653" i="46"/>
  <c r="R653" i="46"/>
  <c r="S653" i="46"/>
  <c r="N654" i="46"/>
  <c r="O654" i="46"/>
  <c r="P654" i="46"/>
  <c r="Q654" i="46"/>
  <c r="R654" i="46"/>
  <c r="S654" i="46"/>
  <c r="N655" i="46"/>
  <c r="O655" i="46"/>
  <c r="P655" i="46"/>
  <c r="Q655" i="46"/>
  <c r="R655" i="46"/>
  <c r="S655" i="46"/>
  <c r="N656" i="46"/>
  <c r="O656" i="46"/>
  <c r="P656" i="46"/>
  <c r="Q656" i="46"/>
  <c r="R656" i="46"/>
  <c r="S656" i="46"/>
  <c r="N657" i="46"/>
  <c r="O657" i="46"/>
  <c r="P657" i="46"/>
  <c r="Q657" i="46"/>
  <c r="R657" i="46"/>
  <c r="S657" i="46"/>
  <c r="N658" i="46"/>
  <c r="O658" i="46"/>
  <c r="P658" i="46"/>
  <c r="Q658" i="46"/>
  <c r="R658" i="46"/>
  <c r="S658" i="46"/>
  <c r="N659" i="46"/>
  <c r="O659" i="46"/>
  <c r="P659" i="46"/>
  <c r="Q659" i="46"/>
  <c r="R659" i="46"/>
  <c r="S659" i="46"/>
  <c r="N660" i="46"/>
  <c r="O660" i="46"/>
  <c r="P660" i="46"/>
  <c r="Q660" i="46"/>
  <c r="R660" i="46"/>
  <c r="S660" i="46"/>
  <c r="N661" i="46"/>
  <c r="O661" i="46"/>
  <c r="P661" i="46"/>
  <c r="Q661" i="46"/>
  <c r="R661" i="46"/>
  <c r="S661" i="46"/>
  <c r="N662" i="46"/>
  <c r="O662" i="46"/>
  <c r="P662" i="46"/>
  <c r="Q662" i="46"/>
  <c r="R662" i="46"/>
  <c r="S662" i="46"/>
  <c r="N663" i="46"/>
  <c r="O663" i="46"/>
  <c r="P663" i="46"/>
  <c r="Q663" i="46"/>
  <c r="R663" i="46"/>
  <c r="S663" i="46"/>
  <c r="N664" i="46"/>
  <c r="O664" i="46"/>
  <c r="P664" i="46"/>
  <c r="Q664" i="46"/>
  <c r="R664" i="46"/>
  <c r="S664" i="46"/>
  <c r="N665" i="46"/>
  <c r="O665" i="46"/>
  <c r="P665" i="46"/>
  <c r="Q665" i="46"/>
  <c r="R665" i="46"/>
  <c r="S665" i="46"/>
  <c r="N666" i="46"/>
  <c r="O666" i="46"/>
  <c r="P666" i="46"/>
  <c r="Q666" i="46"/>
  <c r="R666" i="46"/>
  <c r="S666" i="46"/>
  <c r="N667" i="46"/>
  <c r="O667" i="46"/>
  <c r="P667" i="46"/>
  <c r="Q667" i="46"/>
  <c r="R667" i="46"/>
  <c r="S667" i="46"/>
  <c r="N668" i="46"/>
  <c r="O668" i="46"/>
  <c r="P668" i="46"/>
  <c r="Q668" i="46"/>
  <c r="R668" i="46"/>
  <c r="S668" i="46"/>
  <c r="N669" i="46"/>
  <c r="O669" i="46"/>
  <c r="P669" i="46"/>
  <c r="Q669" i="46"/>
  <c r="R669" i="46"/>
  <c r="S669" i="46"/>
  <c r="N670" i="46"/>
  <c r="O670" i="46"/>
  <c r="P670" i="46"/>
  <c r="Q670" i="46"/>
  <c r="R670" i="46"/>
  <c r="S670" i="46"/>
  <c r="N671" i="46"/>
  <c r="O671" i="46"/>
  <c r="P671" i="46"/>
  <c r="Q671" i="46"/>
  <c r="R671" i="46"/>
  <c r="S671" i="46"/>
  <c r="N672" i="46"/>
  <c r="O672" i="46"/>
  <c r="P672" i="46"/>
  <c r="Q672" i="46"/>
  <c r="R672" i="46"/>
  <c r="S672" i="46"/>
  <c r="N673" i="46"/>
  <c r="O673" i="46"/>
  <c r="P673" i="46"/>
  <c r="Q673" i="46"/>
  <c r="R673" i="46"/>
  <c r="S673" i="46"/>
  <c r="N674" i="46"/>
  <c r="O674" i="46"/>
  <c r="P674" i="46"/>
  <c r="Q674" i="46"/>
  <c r="R674" i="46"/>
  <c r="S674" i="46"/>
  <c r="N675" i="46"/>
  <c r="O675" i="46"/>
  <c r="P675" i="46"/>
  <c r="Q675" i="46"/>
  <c r="R675" i="46"/>
  <c r="S675" i="46"/>
  <c r="N676" i="46"/>
  <c r="O676" i="46"/>
  <c r="P676" i="46"/>
  <c r="Q676" i="46"/>
  <c r="R676" i="46"/>
  <c r="S676" i="46"/>
  <c r="N677" i="46"/>
  <c r="O677" i="46"/>
  <c r="P677" i="46"/>
  <c r="Q677" i="46"/>
  <c r="R677" i="46"/>
  <c r="S677" i="46"/>
  <c r="N678" i="46"/>
  <c r="O678" i="46"/>
  <c r="P678" i="46"/>
  <c r="Q678" i="46"/>
  <c r="R678" i="46"/>
  <c r="S678" i="46"/>
  <c r="N679" i="46"/>
  <c r="O679" i="46"/>
  <c r="P679" i="46"/>
  <c r="Q679" i="46"/>
  <c r="R679" i="46"/>
  <c r="S679" i="46"/>
  <c r="N680" i="46"/>
  <c r="O680" i="46"/>
  <c r="P680" i="46"/>
  <c r="Q680" i="46"/>
  <c r="R680" i="46"/>
  <c r="S680" i="46"/>
  <c r="N681" i="46"/>
  <c r="O681" i="46"/>
  <c r="P681" i="46"/>
  <c r="Q681" i="46"/>
  <c r="R681" i="46"/>
  <c r="S681" i="46"/>
  <c r="N682" i="46"/>
  <c r="O682" i="46"/>
  <c r="P682" i="46"/>
  <c r="Q682" i="46"/>
  <c r="R682" i="46"/>
  <c r="S682" i="46"/>
  <c r="N683" i="46"/>
  <c r="O683" i="46"/>
  <c r="P683" i="46"/>
  <c r="Q683" i="46"/>
  <c r="R683" i="46"/>
  <c r="S683" i="46"/>
  <c r="N684" i="46"/>
  <c r="O684" i="46"/>
  <c r="P684" i="46"/>
  <c r="Q684" i="46"/>
  <c r="R684" i="46"/>
  <c r="S684" i="46"/>
  <c r="N685" i="46"/>
  <c r="O685" i="46"/>
  <c r="P685" i="46"/>
  <c r="Q685" i="46"/>
  <c r="R685" i="46"/>
  <c r="S685" i="46"/>
  <c r="N686" i="46"/>
  <c r="O686" i="46"/>
  <c r="P686" i="46"/>
  <c r="Q686" i="46"/>
  <c r="R686" i="46"/>
  <c r="S686" i="46"/>
  <c r="N687" i="46"/>
  <c r="O687" i="46"/>
  <c r="P687" i="46"/>
  <c r="Q687" i="46"/>
  <c r="R687" i="46"/>
  <c r="S687" i="46"/>
  <c r="N688" i="46"/>
  <c r="O688" i="46"/>
  <c r="P688" i="46"/>
  <c r="Q688" i="46"/>
  <c r="R688" i="46"/>
  <c r="S688" i="46"/>
  <c r="N689" i="46"/>
  <c r="O689" i="46"/>
  <c r="P689" i="46"/>
  <c r="Q689" i="46"/>
  <c r="R689" i="46"/>
  <c r="S689" i="46"/>
  <c r="N690" i="46"/>
  <c r="O690" i="46"/>
  <c r="P690" i="46"/>
  <c r="Q690" i="46"/>
  <c r="R690" i="46"/>
  <c r="S690" i="46"/>
  <c r="N691" i="46"/>
  <c r="O691" i="46"/>
  <c r="P691" i="46"/>
  <c r="Q691" i="46"/>
  <c r="R691" i="46"/>
  <c r="S691" i="46"/>
  <c r="N692" i="46"/>
  <c r="O692" i="46"/>
  <c r="P692" i="46"/>
  <c r="Q692" i="46"/>
  <c r="R692" i="46"/>
  <c r="S692" i="46"/>
  <c r="N693" i="46"/>
  <c r="O693" i="46"/>
  <c r="P693" i="46"/>
  <c r="Q693" i="46"/>
  <c r="R693" i="46"/>
  <c r="S693" i="46"/>
  <c r="N694" i="46"/>
  <c r="O694" i="46"/>
  <c r="P694" i="46"/>
  <c r="Q694" i="46"/>
  <c r="R694" i="46"/>
  <c r="S694" i="46"/>
  <c r="N695" i="46"/>
  <c r="O695" i="46"/>
  <c r="P695" i="46"/>
  <c r="Q695" i="46"/>
  <c r="R695" i="46"/>
  <c r="S695" i="46"/>
  <c r="N696" i="46"/>
  <c r="O696" i="46"/>
  <c r="P696" i="46"/>
  <c r="Q696" i="46"/>
  <c r="R696" i="46"/>
  <c r="S696" i="46"/>
  <c r="N697" i="46"/>
  <c r="O697" i="46"/>
  <c r="P697" i="46"/>
  <c r="Q697" i="46"/>
  <c r="R697" i="46"/>
  <c r="S697" i="46"/>
  <c r="N698" i="46"/>
  <c r="O698" i="46"/>
  <c r="P698" i="46"/>
  <c r="Q698" i="46"/>
  <c r="R698" i="46"/>
  <c r="S698" i="46"/>
  <c r="N699" i="46"/>
  <c r="O699" i="46"/>
  <c r="P699" i="46"/>
  <c r="Q699" i="46"/>
  <c r="R699" i="46"/>
  <c r="S699" i="46"/>
  <c r="N700" i="46"/>
  <c r="O700" i="46"/>
  <c r="P700" i="46"/>
  <c r="Q700" i="46"/>
  <c r="R700" i="46"/>
  <c r="S700" i="46"/>
  <c r="N701" i="46"/>
  <c r="O701" i="46"/>
  <c r="P701" i="46"/>
  <c r="Q701" i="46"/>
  <c r="R701" i="46"/>
  <c r="S701" i="46"/>
  <c r="N702" i="46"/>
  <c r="O702" i="46"/>
  <c r="P702" i="46"/>
  <c r="Q702" i="46"/>
  <c r="R702" i="46"/>
  <c r="S702" i="46"/>
  <c r="N703" i="46"/>
  <c r="O703" i="46"/>
  <c r="P703" i="46"/>
  <c r="Q703" i="46"/>
  <c r="R703" i="46"/>
  <c r="S703" i="46"/>
  <c r="N704" i="46"/>
  <c r="O704" i="46"/>
  <c r="P704" i="46"/>
  <c r="Q704" i="46"/>
  <c r="R704" i="46"/>
  <c r="S704" i="46"/>
  <c r="N705" i="46"/>
  <c r="O705" i="46"/>
  <c r="P705" i="46"/>
  <c r="Q705" i="46"/>
  <c r="R705" i="46"/>
  <c r="S705" i="46"/>
  <c r="N706" i="46"/>
  <c r="O706" i="46"/>
  <c r="P706" i="46"/>
  <c r="Q706" i="46"/>
  <c r="R706" i="46"/>
  <c r="S706" i="46"/>
  <c r="N707" i="46"/>
  <c r="O707" i="46"/>
  <c r="P707" i="46"/>
  <c r="Q707" i="46"/>
  <c r="R707" i="46"/>
  <c r="S707" i="46"/>
  <c r="N708" i="46"/>
  <c r="O708" i="46"/>
  <c r="P708" i="46"/>
  <c r="Q708" i="46"/>
  <c r="R708" i="46"/>
  <c r="S708" i="46"/>
  <c r="N709" i="46"/>
  <c r="O709" i="46"/>
  <c r="P709" i="46"/>
  <c r="Q709" i="46"/>
  <c r="R709" i="46"/>
  <c r="S709" i="46"/>
  <c r="N710" i="46"/>
  <c r="O710" i="46"/>
  <c r="P710" i="46"/>
  <c r="Q710" i="46"/>
  <c r="R710" i="46"/>
  <c r="S710" i="46"/>
  <c r="N711" i="46"/>
  <c r="O711" i="46"/>
  <c r="P711" i="46"/>
  <c r="Q711" i="46"/>
  <c r="R711" i="46"/>
  <c r="S711" i="46"/>
  <c r="N712" i="46"/>
  <c r="O712" i="46"/>
  <c r="P712" i="46"/>
  <c r="Q712" i="46"/>
  <c r="R712" i="46"/>
  <c r="S712" i="46"/>
  <c r="N713" i="46"/>
  <c r="O713" i="46"/>
  <c r="P713" i="46"/>
  <c r="Q713" i="46"/>
  <c r="R713" i="46"/>
  <c r="S713" i="46"/>
  <c r="N714" i="46"/>
  <c r="O714" i="46"/>
  <c r="P714" i="46"/>
  <c r="Q714" i="46"/>
  <c r="R714" i="46"/>
  <c r="S714" i="46"/>
  <c r="N715" i="46"/>
  <c r="O715" i="46"/>
  <c r="P715" i="46"/>
  <c r="Q715" i="46"/>
  <c r="R715" i="46"/>
  <c r="S715" i="46"/>
  <c r="N716" i="46"/>
  <c r="O716" i="46"/>
  <c r="P716" i="46"/>
  <c r="Q716" i="46"/>
  <c r="R716" i="46"/>
  <c r="S716" i="46"/>
  <c r="N717" i="46"/>
  <c r="O717" i="46"/>
  <c r="P717" i="46"/>
  <c r="Q717" i="46"/>
  <c r="R717" i="46"/>
  <c r="S717" i="46"/>
  <c r="N718" i="46"/>
  <c r="O718" i="46"/>
  <c r="P718" i="46"/>
  <c r="Q718" i="46"/>
  <c r="R718" i="46"/>
  <c r="S718" i="46"/>
  <c r="N719" i="46"/>
  <c r="O719" i="46"/>
  <c r="P719" i="46"/>
  <c r="Q719" i="46"/>
  <c r="R719" i="46"/>
  <c r="S719" i="46"/>
  <c r="N720" i="46"/>
  <c r="O720" i="46"/>
  <c r="P720" i="46"/>
  <c r="Q720" i="46"/>
  <c r="R720" i="46"/>
  <c r="S720" i="46"/>
  <c r="N721" i="46"/>
  <c r="O721" i="46"/>
  <c r="P721" i="46"/>
  <c r="Q721" i="46"/>
  <c r="R721" i="46"/>
  <c r="S721" i="46"/>
  <c r="N722" i="46"/>
  <c r="O722" i="46"/>
  <c r="P722" i="46"/>
  <c r="Q722" i="46"/>
  <c r="R722" i="46"/>
  <c r="S722" i="46"/>
  <c r="N723" i="46"/>
  <c r="O723" i="46"/>
  <c r="P723" i="46"/>
  <c r="Q723" i="46"/>
  <c r="R723" i="46"/>
  <c r="S723" i="46"/>
  <c r="N724" i="46"/>
  <c r="O724" i="46"/>
  <c r="P724" i="46"/>
  <c r="Q724" i="46"/>
  <c r="R724" i="46"/>
  <c r="S724" i="46"/>
  <c r="N725" i="46"/>
  <c r="O725" i="46"/>
  <c r="P725" i="46"/>
  <c r="Q725" i="46"/>
  <c r="R725" i="46"/>
  <c r="S725" i="46"/>
  <c r="N726" i="46"/>
  <c r="O726" i="46"/>
  <c r="P726" i="46"/>
  <c r="Q726" i="46"/>
  <c r="R726" i="46"/>
  <c r="S726" i="46"/>
  <c r="N727" i="46"/>
  <c r="O727" i="46"/>
  <c r="P727" i="46"/>
  <c r="Q727" i="46"/>
  <c r="R727" i="46"/>
  <c r="S727" i="46"/>
  <c r="N728" i="46"/>
  <c r="O728" i="46"/>
  <c r="P728" i="46"/>
  <c r="Q728" i="46"/>
  <c r="R728" i="46"/>
  <c r="S728" i="46"/>
  <c r="N729" i="46"/>
  <c r="O729" i="46"/>
  <c r="P729" i="46"/>
  <c r="Q729" i="46"/>
  <c r="R729" i="46"/>
  <c r="S729" i="46"/>
  <c r="N730" i="46"/>
  <c r="O730" i="46"/>
  <c r="P730" i="46"/>
  <c r="Q730" i="46"/>
  <c r="R730" i="46"/>
  <c r="S730" i="46"/>
  <c r="N731" i="46"/>
  <c r="O731" i="46"/>
  <c r="P731" i="46"/>
  <c r="Q731" i="46"/>
  <c r="R731" i="46"/>
  <c r="S731" i="46"/>
  <c r="N732" i="46"/>
  <c r="O732" i="46"/>
  <c r="P732" i="46"/>
  <c r="Q732" i="46"/>
  <c r="R732" i="46"/>
  <c r="S732" i="46"/>
  <c r="N733" i="46"/>
  <c r="O733" i="46"/>
  <c r="P733" i="46"/>
  <c r="Q733" i="46"/>
  <c r="R733" i="46"/>
  <c r="S733" i="46"/>
  <c r="N734" i="46"/>
  <c r="O734" i="46"/>
  <c r="P734" i="46"/>
  <c r="Q734" i="46"/>
  <c r="R734" i="46"/>
  <c r="S734" i="46"/>
  <c r="N735" i="46"/>
  <c r="O735" i="46"/>
  <c r="P735" i="46"/>
  <c r="Q735" i="46"/>
  <c r="R735" i="46"/>
  <c r="S735" i="46"/>
  <c r="N736" i="46"/>
  <c r="O736" i="46"/>
  <c r="P736" i="46"/>
  <c r="Q736" i="46"/>
  <c r="R736" i="46"/>
  <c r="S736" i="46"/>
  <c r="N4" i="46"/>
  <c r="P4" i="46"/>
  <c r="Q4" i="46"/>
  <c r="R4" i="46"/>
  <c r="N5" i="46"/>
  <c r="P5" i="46"/>
  <c r="Q5" i="46"/>
  <c r="R5" i="46"/>
  <c r="N6" i="46"/>
  <c r="P6" i="46"/>
  <c r="Q6" i="46"/>
  <c r="R6" i="46"/>
  <c r="N7" i="46"/>
  <c r="P7" i="46"/>
  <c r="Q7" i="46"/>
  <c r="R7" i="46"/>
  <c r="N8" i="46"/>
  <c r="P8" i="46"/>
  <c r="Q8" i="46"/>
  <c r="R8" i="46"/>
  <c r="N9" i="46"/>
  <c r="P9" i="46"/>
  <c r="Q9" i="46"/>
  <c r="R9" i="46"/>
  <c r="N10" i="46"/>
  <c r="P10" i="46"/>
  <c r="Q10" i="46"/>
  <c r="R10" i="46"/>
  <c r="N11" i="46"/>
  <c r="P11" i="46"/>
  <c r="Q11" i="46"/>
  <c r="R11" i="46"/>
  <c r="N12" i="46"/>
  <c r="P12" i="46"/>
  <c r="Q12" i="46"/>
  <c r="R12" i="46"/>
  <c r="N13" i="46"/>
  <c r="P13" i="46"/>
  <c r="Q13" i="46"/>
  <c r="R13" i="46"/>
  <c r="N14" i="46"/>
  <c r="P14" i="46"/>
  <c r="Q14" i="46"/>
  <c r="R14" i="46"/>
  <c r="N15" i="46"/>
  <c r="P15" i="46"/>
  <c r="Q15" i="46"/>
  <c r="R15" i="46"/>
  <c r="N16" i="46"/>
  <c r="P16" i="46"/>
  <c r="Q16" i="46"/>
  <c r="R16" i="46"/>
  <c r="N17" i="46"/>
  <c r="P17" i="46"/>
  <c r="Q17" i="46"/>
  <c r="R17" i="46"/>
  <c r="N18" i="46"/>
  <c r="P18" i="46"/>
  <c r="Q18" i="46"/>
  <c r="R18" i="46"/>
  <c r="N19" i="46"/>
  <c r="P19" i="46"/>
  <c r="Q19" i="46"/>
  <c r="R19" i="46"/>
  <c r="N20" i="46"/>
  <c r="P20" i="46"/>
  <c r="Q20" i="46"/>
  <c r="R20" i="46"/>
  <c r="N21" i="46"/>
  <c r="P21" i="46"/>
  <c r="Q21" i="46"/>
  <c r="R21" i="46"/>
  <c r="N22" i="46"/>
  <c r="P22" i="46"/>
  <c r="Q22" i="46"/>
  <c r="R22" i="46"/>
  <c r="N23" i="46"/>
  <c r="P23" i="46"/>
  <c r="Q23" i="46"/>
  <c r="R23" i="46"/>
  <c r="N24" i="46"/>
  <c r="P24" i="46"/>
  <c r="Q24" i="46"/>
  <c r="R24" i="46"/>
  <c r="N25" i="46"/>
  <c r="P25" i="46"/>
  <c r="Q25" i="46"/>
  <c r="R25" i="46"/>
  <c r="N26" i="46"/>
  <c r="P26" i="46"/>
  <c r="Q26" i="46"/>
  <c r="R26" i="46"/>
  <c r="N27" i="46"/>
  <c r="P27" i="46"/>
  <c r="Q27" i="46"/>
  <c r="R27" i="46"/>
  <c r="N28" i="46"/>
  <c r="P28" i="46"/>
  <c r="Q28" i="46"/>
  <c r="R28" i="46"/>
  <c r="N29" i="46"/>
  <c r="P29" i="46"/>
  <c r="Q29" i="46"/>
  <c r="R29" i="46"/>
  <c r="S29" i="46"/>
  <c r="N30" i="46"/>
  <c r="P30" i="46"/>
  <c r="Q30" i="46"/>
  <c r="R30" i="46"/>
  <c r="N31" i="46"/>
  <c r="P31" i="46"/>
  <c r="Q31" i="46"/>
  <c r="R31" i="46"/>
  <c r="N32" i="46"/>
  <c r="P32" i="46"/>
  <c r="Q32" i="46"/>
  <c r="R32" i="46"/>
  <c r="N33" i="46"/>
  <c r="P33" i="46"/>
  <c r="Q33" i="46"/>
  <c r="R33" i="46"/>
  <c r="S33" i="46"/>
  <c r="N34" i="46"/>
  <c r="P34" i="46"/>
  <c r="Q34" i="46"/>
  <c r="R34" i="46"/>
  <c r="N35" i="46"/>
  <c r="P35" i="46"/>
  <c r="Q35" i="46"/>
  <c r="R35" i="46"/>
  <c r="N36" i="46"/>
  <c r="P36" i="46"/>
  <c r="Q36" i="46"/>
  <c r="R36" i="46"/>
  <c r="N37" i="46"/>
  <c r="P37" i="46"/>
  <c r="Q37" i="46"/>
  <c r="R37" i="46"/>
  <c r="N38" i="46"/>
  <c r="P38" i="46"/>
  <c r="Q38" i="46"/>
  <c r="R38" i="46"/>
  <c r="N39" i="46"/>
  <c r="P39" i="46"/>
  <c r="Q39" i="46"/>
  <c r="R39" i="46"/>
  <c r="N40" i="46"/>
  <c r="P40" i="46"/>
  <c r="Q40" i="46"/>
  <c r="R40" i="46"/>
  <c r="N41" i="46"/>
  <c r="P41" i="46"/>
  <c r="Q41" i="46"/>
  <c r="R41" i="46"/>
  <c r="N42" i="46"/>
  <c r="P42" i="46"/>
  <c r="Q42" i="46"/>
  <c r="R42" i="46"/>
  <c r="N43" i="46"/>
  <c r="O43" i="46"/>
  <c r="P43" i="46"/>
  <c r="Q43" i="46"/>
  <c r="R43" i="46"/>
  <c r="N44" i="46"/>
  <c r="P44" i="46"/>
  <c r="Q44" i="46"/>
  <c r="R44" i="46"/>
  <c r="N45" i="46"/>
  <c r="P45" i="46"/>
  <c r="Q45" i="46"/>
  <c r="R45" i="46"/>
  <c r="N46" i="46"/>
  <c r="P46" i="46"/>
  <c r="Q46" i="46"/>
  <c r="R46" i="46"/>
  <c r="N47" i="46"/>
  <c r="P47" i="46"/>
  <c r="Q47" i="46"/>
  <c r="R47" i="46"/>
  <c r="N48" i="46"/>
  <c r="P48" i="46"/>
  <c r="Q48" i="46"/>
  <c r="R48" i="46"/>
  <c r="N49" i="46"/>
  <c r="P49" i="46"/>
  <c r="Q49" i="46"/>
  <c r="R49" i="46"/>
  <c r="N50" i="46"/>
  <c r="P50" i="46"/>
  <c r="Q50" i="46"/>
  <c r="R50" i="46"/>
  <c r="Q3" i="46"/>
  <c r="J1822" i="50"/>
  <c r="J1821" i="50"/>
  <c r="J1820" i="50"/>
  <c r="J1819" i="50"/>
  <c r="J1818" i="50"/>
  <c r="J1817" i="50"/>
  <c r="J1816" i="50"/>
  <c r="J1815" i="50"/>
  <c r="J1814" i="50"/>
  <c r="J1813" i="50"/>
  <c r="J1812" i="50"/>
  <c r="J1811" i="50"/>
  <c r="J1810" i="50"/>
  <c r="J1809" i="50"/>
  <c r="J1808" i="50"/>
  <c r="J1807" i="50"/>
  <c r="J1806" i="50"/>
  <c r="J1805" i="50"/>
  <c r="J1804" i="50"/>
  <c r="J1803" i="50"/>
  <c r="J1802" i="50"/>
  <c r="J1801" i="50"/>
  <c r="J1800" i="50"/>
  <c r="J1799" i="50"/>
  <c r="J1798" i="50"/>
  <c r="J1797" i="50"/>
  <c r="J1796" i="50"/>
  <c r="J1795" i="50"/>
  <c r="J1794" i="50"/>
  <c r="J1793" i="50"/>
  <c r="J1792" i="50"/>
  <c r="J1791" i="50"/>
  <c r="J1790" i="50"/>
  <c r="J1789" i="50"/>
  <c r="J1788" i="50"/>
  <c r="J1787" i="50"/>
  <c r="J1786" i="50"/>
  <c r="J1785" i="50"/>
  <c r="J1784" i="50"/>
  <c r="J1783" i="50"/>
  <c r="J1782" i="50"/>
  <c r="J1781" i="50"/>
  <c r="J1780" i="50"/>
  <c r="J1779" i="50"/>
  <c r="J1778" i="50"/>
  <c r="J1777" i="50"/>
  <c r="J1776" i="50"/>
  <c r="J1775" i="50"/>
  <c r="J1774" i="50"/>
  <c r="J1773" i="50"/>
  <c r="J1772" i="50"/>
  <c r="J1771" i="50"/>
  <c r="J1770" i="50"/>
  <c r="J1769" i="50"/>
  <c r="J1768" i="50"/>
  <c r="J1767" i="50"/>
  <c r="J1766" i="50"/>
  <c r="J1765" i="50"/>
  <c r="J1764" i="50"/>
  <c r="J1763" i="50"/>
  <c r="J1762" i="50"/>
  <c r="J1761" i="50"/>
  <c r="J1760" i="50"/>
  <c r="J1759" i="50"/>
  <c r="J1758" i="50"/>
  <c r="J1757" i="50"/>
  <c r="J1756" i="50"/>
  <c r="J1755" i="50"/>
  <c r="J1754" i="50"/>
  <c r="J1753" i="50"/>
  <c r="J1752" i="50"/>
  <c r="J1751" i="50"/>
  <c r="J1750" i="50"/>
  <c r="J1749" i="50"/>
  <c r="J1748" i="50"/>
  <c r="J1747" i="50"/>
  <c r="J1746" i="50"/>
  <c r="J1745" i="50"/>
  <c r="J1744" i="50"/>
  <c r="J1743" i="50"/>
  <c r="J1742" i="50"/>
  <c r="J1741" i="50"/>
  <c r="J1740" i="50"/>
  <c r="J1739" i="50"/>
  <c r="J1738" i="50"/>
  <c r="J1737" i="50"/>
  <c r="J1736" i="50"/>
  <c r="J1735" i="50"/>
  <c r="J1734" i="50"/>
  <c r="J1733" i="50"/>
  <c r="J1732" i="50"/>
  <c r="J1731" i="50"/>
  <c r="J1730" i="50"/>
  <c r="J1729" i="50"/>
  <c r="J1728" i="50"/>
  <c r="J1727" i="50"/>
  <c r="J1726" i="50"/>
  <c r="J1725" i="50"/>
  <c r="J1724" i="50"/>
  <c r="J1723" i="50"/>
  <c r="J1722" i="50"/>
  <c r="J1721" i="50"/>
  <c r="J1720" i="50"/>
  <c r="J1719" i="50"/>
  <c r="J1718" i="50"/>
  <c r="J1717" i="50"/>
  <c r="J1716" i="50"/>
  <c r="J1715" i="50"/>
  <c r="J1714" i="50"/>
  <c r="J1713" i="50"/>
  <c r="J1712" i="50"/>
  <c r="J1711" i="50"/>
  <c r="J1710" i="50"/>
  <c r="J1709" i="50"/>
  <c r="J1708" i="50"/>
  <c r="J1707" i="50"/>
  <c r="J1706" i="50"/>
  <c r="J1705" i="50"/>
  <c r="J1704" i="50"/>
  <c r="J1703" i="50"/>
  <c r="J1702" i="50"/>
  <c r="J1701" i="50"/>
  <c r="J1700" i="50"/>
  <c r="J1699" i="50"/>
  <c r="J1698" i="50"/>
  <c r="J1697" i="50"/>
  <c r="J1696" i="50"/>
  <c r="J1695" i="50"/>
  <c r="J1694" i="50"/>
  <c r="J1693" i="50"/>
  <c r="J1692" i="50"/>
  <c r="J1691" i="50"/>
  <c r="J1690" i="50"/>
  <c r="J1689" i="50"/>
  <c r="J1688" i="50"/>
  <c r="J1687" i="50"/>
  <c r="J1686" i="50"/>
  <c r="J1685" i="50"/>
  <c r="J1684" i="50"/>
  <c r="J1683" i="50"/>
  <c r="J1682" i="50"/>
  <c r="J1681" i="50"/>
  <c r="J1680" i="50"/>
  <c r="J1679" i="50"/>
  <c r="J1678" i="50"/>
  <c r="J1677" i="50"/>
  <c r="J1676" i="50"/>
  <c r="J1675" i="50"/>
  <c r="J1674" i="50"/>
  <c r="J1673" i="50"/>
  <c r="J1672" i="50"/>
  <c r="J1671" i="50"/>
  <c r="J1670" i="50"/>
  <c r="J1669" i="50"/>
  <c r="J1668" i="50"/>
  <c r="J1667" i="50"/>
  <c r="J1666" i="50"/>
  <c r="J1665" i="50"/>
  <c r="J1664" i="50"/>
  <c r="J1663" i="50"/>
  <c r="J1662" i="50"/>
  <c r="J1661" i="50"/>
  <c r="J1660" i="50"/>
  <c r="J1659" i="50"/>
  <c r="J1658" i="50"/>
  <c r="J1657" i="50"/>
  <c r="J1656" i="50"/>
  <c r="J1655" i="50"/>
  <c r="J1654" i="50"/>
  <c r="J1653" i="50"/>
  <c r="J1652" i="50"/>
  <c r="J1651" i="50"/>
  <c r="J1650" i="50"/>
  <c r="J1649" i="50"/>
  <c r="J1648" i="50"/>
  <c r="J1647" i="50"/>
  <c r="J1646" i="50"/>
  <c r="J1645" i="50"/>
  <c r="J1644" i="50"/>
  <c r="J1643" i="50"/>
  <c r="J1642" i="50"/>
  <c r="J1641" i="50"/>
  <c r="J1640" i="50"/>
  <c r="J1639" i="50"/>
  <c r="J1638" i="50"/>
  <c r="J1637" i="50"/>
  <c r="J1636" i="50"/>
  <c r="J1635" i="50"/>
  <c r="J1634" i="50"/>
  <c r="J1633" i="50"/>
  <c r="J1632" i="50"/>
  <c r="J1631" i="50"/>
  <c r="J1630" i="50"/>
  <c r="J1629" i="50"/>
  <c r="J1628" i="50"/>
  <c r="J1627" i="50"/>
  <c r="J1626" i="50"/>
  <c r="J1625" i="50"/>
  <c r="J1624" i="50"/>
  <c r="J1623" i="50"/>
  <c r="J1622" i="50"/>
  <c r="J1621" i="50"/>
  <c r="J1620" i="50"/>
  <c r="J1619" i="50"/>
  <c r="J1618" i="50"/>
  <c r="J1617" i="50"/>
  <c r="J1616" i="50"/>
  <c r="J1615" i="50"/>
  <c r="J1614" i="50"/>
  <c r="J1613" i="50"/>
  <c r="J1612" i="50"/>
  <c r="J1611" i="50"/>
  <c r="J1610" i="50"/>
  <c r="J1609" i="50"/>
  <c r="J1608" i="50"/>
  <c r="J1607" i="50"/>
  <c r="J1606" i="50"/>
  <c r="J1605" i="50"/>
  <c r="J1604" i="50"/>
  <c r="J1603" i="50"/>
  <c r="J1602" i="50"/>
  <c r="J1601" i="50"/>
  <c r="J1600" i="50"/>
  <c r="J1599" i="50"/>
  <c r="J1598" i="50"/>
  <c r="J1597" i="50"/>
  <c r="J1596" i="50"/>
  <c r="J1595" i="50"/>
  <c r="J1594" i="50"/>
  <c r="J1593" i="50"/>
  <c r="J1592" i="50"/>
  <c r="J1591" i="50"/>
  <c r="J1590" i="50"/>
  <c r="J1589" i="50"/>
  <c r="J1588" i="50"/>
  <c r="J1587" i="50"/>
  <c r="J1586" i="50"/>
  <c r="J1585" i="50"/>
  <c r="J1584" i="50"/>
  <c r="J1583" i="50"/>
  <c r="J1582" i="50"/>
  <c r="J1581" i="50"/>
  <c r="J1580" i="50"/>
  <c r="J1579" i="50"/>
  <c r="J1578" i="50"/>
  <c r="J1577" i="50"/>
  <c r="J1576" i="50"/>
  <c r="J1575" i="50"/>
  <c r="J1574" i="50"/>
  <c r="J1573" i="50"/>
  <c r="J1572" i="50"/>
  <c r="J1571" i="50"/>
  <c r="J1570" i="50"/>
  <c r="J1569" i="50"/>
  <c r="J1568" i="50"/>
  <c r="J1567" i="50"/>
  <c r="J1566" i="50"/>
  <c r="J1565" i="50"/>
  <c r="J1564" i="50"/>
  <c r="J1563" i="50"/>
  <c r="J1562" i="50"/>
  <c r="J1561" i="50"/>
  <c r="J1560" i="50"/>
  <c r="J1559" i="50"/>
  <c r="J1558" i="50"/>
  <c r="J1557" i="50"/>
  <c r="J1556" i="50"/>
  <c r="J1555" i="50"/>
  <c r="J1554" i="50"/>
  <c r="J1553" i="50"/>
  <c r="J1552" i="50"/>
  <c r="J1551" i="50"/>
  <c r="J1550" i="50"/>
  <c r="J1549" i="50"/>
  <c r="J1548" i="50"/>
  <c r="J1547" i="50"/>
  <c r="J1546" i="50"/>
  <c r="J1545" i="50"/>
  <c r="J1544" i="50"/>
  <c r="J1543" i="50"/>
  <c r="J1542" i="50"/>
  <c r="J1541" i="50"/>
  <c r="J1540" i="50"/>
  <c r="J1539" i="50"/>
  <c r="J1538" i="50"/>
  <c r="J1537" i="50"/>
  <c r="J1536" i="50"/>
  <c r="J1535" i="50"/>
  <c r="J1534" i="50"/>
  <c r="J1533" i="50"/>
  <c r="J1532" i="50"/>
  <c r="J1531" i="50"/>
  <c r="J1530" i="50"/>
  <c r="J1529" i="50"/>
  <c r="J1528" i="50"/>
  <c r="J1527" i="50"/>
  <c r="J1526" i="50"/>
  <c r="J1525" i="50"/>
  <c r="J1524" i="50"/>
  <c r="J1523" i="50"/>
  <c r="J1522" i="50"/>
  <c r="J1521" i="50"/>
  <c r="J1520" i="50"/>
  <c r="J1519" i="50"/>
  <c r="J1518" i="50"/>
  <c r="J1517" i="50"/>
  <c r="J1516" i="50"/>
  <c r="J1515" i="50"/>
  <c r="J1514" i="50"/>
  <c r="J1513" i="50"/>
  <c r="J1512" i="50"/>
  <c r="J1511" i="50"/>
  <c r="J1510" i="50"/>
  <c r="J1509" i="50"/>
  <c r="J1508" i="50"/>
  <c r="J1507" i="50"/>
  <c r="J1506" i="50"/>
  <c r="J1505" i="50"/>
  <c r="J1504" i="50"/>
  <c r="J1503" i="50"/>
  <c r="J1502" i="50"/>
  <c r="J1501" i="50"/>
  <c r="J1500" i="50"/>
  <c r="J1499" i="50"/>
  <c r="J1498" i="50"/>
  <c r="J1497" i="50"/>
  <c r="J1496" i="50"/>
  <c r="J1495" i="50"/>
  <c r="J1494" i="50"/>
  <c r="J1493" i="50"/>
  <c r="J1492" i="50"/>
  <c r="J1491" i="50"/>
  <c r="J1490" i="50"/>
  <c r="J1489" i="50"/>
  <c r="J1488" i="50"/>
  <c r="J1487" i="50"/>
  <c r="J1486" i="50"/>
  <c r="J1485" i="50"/>
  <c r="J1484" i="50"/>
  <c r="J1483" i="50"/>
  <c r="J1482" i="50"/>
  <c r="J1481" i="50"/>
  <c r="J1480" i="50"/>
  <c r="J1479" i="50"/>
  <c r="J1478" i="50"/>
  <c r="J1477" i="50"/>
  <c r="J1476" i="50"/>
  <c r="J1475" i="50"/>
  <c r="J1474" i="50"/>
  <c r="J1473" i="50"/>
  <c r="J1472" i="50"/>
  <c r="J1471" i="50"/>
  <c r="J1470" i="50"/>
  <c r="J1469" i="50"/>
  <c r="J1468" i="50"/>
  <c r="J1467" i="50"/>
  <c r="J1466" i="50"/>
  <c r="J1465" i="50"/>
  <c r="J1464" i="50"/>
  <c r="J1463" i="50"/>
  <c r="J1462" i="50"/>
  <c r="J1461" i="50"/>
  <c r="J1460" i="50"/>
  <c r="J1459" i="50"/>
  <c r="J1458" i="50"/>
  <c r="J1457" i="50"/>
  <c r="J1456" i="50"/>
  <c r="J1455" i="50"/>
  <c r="J1454" i="50"/>
  <c r="J1453" i="50"/>
  <c r="J1452" i="50"/>
  <c r="J1451" i="50"/>
  <c r="J1450" i="50"/>
  <c r="J1449" i="50"/>
  <c r="J1448" i="50"/>
  <c r="J1447" i="50"/>
  <c r="J1446" i="50"/>
  <c r="J1445" i="50"/>
  <c r="J1444" i="50"/>
  <c r="J1443" i="50"/>
  <c r="J1442" i="50"/>
  <c r="J1441" i="50"/>
  <c r="J1440" i="50"/>
  <c r="J1439" i="50"/>
  <c r="J1438" i="50"/>
  <c r="J1437" i="50"/>
  <c r="J1436" i="50"/>
  <c r="J1435" i="50"/>
  <c r="J1434" i="50"/>
  <c r="J1433" i="50"/>
  <c r="J1432" i="50"/>
  <c r="J1431" i="50"/>
  <c r="J1430" i="50"/>
  <c r="J1429" i="50"/>
  <c r="J1428" i="50"/>
  <c r="J1427" i="50"/>
  <c r="J1426" i="50"/>
  <c r="J1425" i="50"/>
  <c r="J1424" i="50"/>
  <c r="J1423" i="50"/>
  <c r="J1422" i="50"/>
  <c r="J1421" i="50"/>
  <c r="J1420" i="50"/>
  <c r="J1419" i="50"/>
  <c r="J1418" i="50"/>
  <c r="J1417" i="50"/>
  <c r="J1416" i="50"/>
  <c r="J1415" i="50"/>
  <c r="J1414" i="50"/>
  <c r="J1413" i="50"/>
  <c r="J1412" i="50"/>
  <c r="J1411" i="50"/>
  <c r="J1410" i="50"/>
  <c r="J1409" i="50"/>
  <c r="J1408" i="50"/>
  <c r="J1407" i="50"/>
  <c r="J1406" i="50"/>
  <c r="J1405" i="50"/>
  <c r="J1404" i="50"/>
  <c r="J1403" i="50"/>
  <c r="J1402" i="50"/>
  <c r="J1401" i="50"/>
  <c r="J1400" i="50"/>
  <c r="J1399" i="50"/>
  <c r="J1398" i="50"/>
  <c r="J1397" i="50"/>
  <c r="J1396" i="50"/>
  <c r="J1395" i="50"/>
  <c r="J1394" i="50"/>
  <c r="J1393" i="50"/>
  <c r="J1392" i="50"/>
  <c r="J1391" i="50"/>
  <c r="J1390" i="50"/>
  <c r="J1389" i="50"/>
  <c r="J1388" i="50"/>
  <c r="J1387" i="50"/>
  <c r="J1386" i="50"/>
  <c r="J1385" i="50"/>
  <c r="J1384" i="50"/>
  <c r="J1383" i="50"/>
  <c r="J1382" i="50"/>
  <c r="J1381" i="50"/>
  <c r="J1380" i="50"/>
  <c r="J1379" i="50"/>
  <c r="J1378" i="50"/>
  <c r="J1377" i="50"/>
  <c r="J1376" i="50"/>
  <c r="J1375" i="50"/>
  <c r="J1374" i="50"/>
  <c r="J1373" i="50"/>
  <c r="J1372" i="50"/>
  <c r="J1371" i="50"/>
  <c r="J1370" i="50"/>
  <c r="J1369" i="50"/>
  <c r="J1368" i="50"/>
  <c r="J1367" i="50"/>
  <c r="J1366" i="50"/>
  <c r="J1365" i="50"/>
  <c r="J1364" i="50"/>
  <c r="J1363" i="50"/>
  <c r="J1362" i="50"/>
  <c r="J1361" i="50"/>
  <c r="J1360" i="50"/>
  <c r="J1359" i="50"/>
  <c r="J1358" i="50"/>
  <c r="J1357" i="50"/>
  <c r="J1356" i="50"/>
  <c r="J1355" i="50"/>
  <c r="J1354" i="50"/>
  <c r="J1353" i="50"/>
  <c r="J1352" i="50"/>
  <c r="J1351" i="50"/>
  <c r="J1350" i="50"/>
  <c r="J1349" i="50"/>
  <c r="J1348" i="50"/>
  <c r="J1347" i="50"/>
  <c r="J1346" i="50"/>
  <c r="J1345" i="50"/>
  <c r="J1344" i="50"/>
  <c r="J1343" i="50"/>
  <c r="J1342" i="50"/>
  <c r="J1341" i="50"/>
  <c r="J1340" i="50"/>
  <c r="J1339" i="50"/>
  <c r="J1338" i="50"/>
  <c r="J1337" i="50"/>
  <c r="J1336" i="50"/>
  <c r="J1335" i="50"/>
  <c r="J1334" i="50"/>
  <c r="J1333" i="50"/>
  <c r="J1332" i="50"/>
  <c r="J1331" i="50"/>
  <c r="J1330" i="50"/>
  <c r="J1329" i="50"/>
  <c r="J1328" i="50"/>
  <c r="J1327" i="50"/>
  <c r="J1326" i="50"/>
  <c r="J1325" i="50"/>
  <c r="J1324" i="50"/>
  <c r="J1323" i="50"/>
  <c r="J1322" i="50"/>
  <c r="J1321" i="50"/>
  <c r="J1320" i="50"/>
  <c r="J1319" i="50"/>
  <c r="J1318" i="50"/>
  <c r="J1317" i="50"/>
  <c r="J1316" i="50"/>
  <c r="J1315" i="50"/>
  <c r="J1314" i="50"/>
  <c r="J1313" i="50"/>
  <c r="J1312" i="50"/>
  <c r="J1311" i="50"/>
  <c r="J1310" i="50"/>
  <c r="J1309" i="50"/>
  <c r="J1308" i="50"/>
  <c r="J1307" i="50"/>
  <c r="J1306" i="50"/>
  <c r="J1305" i="50"/>
  <c r="J1304" i="50"/>
  <c r="J1303" i="50"/>
  <c r="J1302" i="50"/>
  <c r="J1301" i="50"/>
  <c r="J1300" i="50"/>
  <c r="J1299" i="50"/>
  <c r="J1298" i="50"/>
  <c r="J1297" i="50"/>
  <c r="J1296" i="50"/>
  <c r="J1295" i="50"/>
  <c r="J1294" i="50"/>
  <c r="J1293" i="50"/>
  <c r="J1292" i="50"/>
  <c r="J1291" i="50"/>
  <c r="J1290" i="50"/>
  <c r="J1289" i="50"/>
  <c r="J1288" i="50"/>
  <c r="J1287" i="50"/>
  <c r="J1286" i="50"/>
  <c r="J1285" i="50"/>
  <c r="J1284" i="50"/>
  <c r="J1283" i="50"/>
  <c r="J1282" i="50"/>
  <c r="J1281" i="50"/>
  <c r="J1280" i="50"/>
  <c r="J1279" i="50"/>
  <c r="J1278" i="50"/>
  <c r="J1277" i="50"/>
  <c r="J1276" i="50"/>
  <c r="J1275" i="50"/>
  <c r="J1274" i="50"/>
  <c r="J1273" i="50"/>
  <c r="J1272" i="50"/>
  <c r="J1271" i="50"/>
  <c r="J1270" i="50"/>
  <c r="J1269" i="50"/>
  <c r="J1268" i="50"/>
  <c r="J1267" i="50"/>
  <c r="J1266" i="50"/>
  <c r="J1265" i="50"/>
  <c r="J1264" i="50"/>
  <c r="J1263" i="50"/>
  <c r="J1262" i="50"/>
  <c r="J1261" i="50"/>
  <c r="J1260" i="50"/>
  <c r="J1259" i="50"/>
  <c r="J1258" i="50"/>
  <c r="J1257" i="50"/>
  <c r="J1256" i="50"/>
  <c r="J1255" i="50"/>
  <c r="J1254" i="50"/>
  <c r="J1253" i="50"/>
  <c r="J1252" i="50"/>
  <c r="J1251" i="50"/>
  <c r="J1250" i="50"/>
  <c r="J1249" i="50"/>
  <c r="J1248" i="50"/>
  <c r="J1247" i="50"/>
  <c r="J1246" i="50"/>
  <c r="J1245" i="50"/>
  <c r="J1244" i="50"/>
  <c r="J1243" i="50"/>
  <c r="J1242" i="50"/>
  <c r="J1241" i="50"/>
  <c r="J1240" i="50"/>
  <c r="J1239" i="50"/>
  <c r="J1238" i="50"/>
  <c r="J1237" i="50"/>
  <c r="J1236" i="50"/>
  <c r="J1235" i="50"/>
  <c r="J1234" i="50"/>
  <c r="J1233" i="50"/>
  <c r="J1232" i="50"/>
  <c r="J1231" i="50"/>
  <c r="J1230" i="50"/>
  <c r="J1229" i="50"/>
  <c r="J1228" i="50"/>
  <c r="J1227" i="50"/>
  <c r="J1226" i="50"/>
  <c r="J1225" i="50"/>
  <c r="J1224" i="50"/>
  <c r="J1223" i="50"/>
  <c r="J1222" i="50"/>
  <c r="J1221" i="50"/>
  <c r="J1220" i="50"/>
  <c r="J1219" i="50"/>
  <c r="J1218" i="50"/>
  <c r="J1217" i="50"/>
  <c r="J1216" i="50"/>
  <c r="J1215" i="50"/>
  <c r="J1214" i="50"/>
  <c r="J1213" i="50"/>
  <c r="J1212" i="50"/>
  <c r="J1211" i="50"/>
  <c r="J1210" i="50"/>
  <c r="J1209" i="50"/>
  <c r="J1208" i="50"/>
  <c r="J1207" i="50"/>
  <c r="J1206" i="50"/>
  <c r="J1205" i="50"/>
  <c r="J1204" i="50"/>
  <c r="J1203" i="50"/>
  <c r="J1202" i="50"/>
  <c r="J1201" i="50"/>
  <c r="J1200" i="50"/>
  <c r="J1199" i="50"/>
  <c r="J1198" i="50"/>
  <c r="J1197" i="50"/>
  <c r="J1196" i="50"/>
  <c r="J1195" i="50"/>
  <c r="J1194" i="50"/>
  <c r="J1193" i="50"/>
  <c r="J1192" i="50"/>
  <c r="J1191" i="50"/>
  <c r="J1190" i="50"/>
  <c r="J1189" i="50"/>
  <c r="J1188" i="50"/>
  <c r="J1187" i="50"/>
  <c r="J1186" i="50"/>
  <c r="J1185" i="50"/>
  <c r="J1184" i="50"/>
  <c r="J1183" i="50"/>
  <c r="J1182" i="50"/>
  <c r="J1181" i="50"/>
  <c r="J1180" i="50"/>
  <c r="J1179" i="50"/>
  <c r="J1178" i="50"/>
  <c r="J1177" i="50"/>
  <c r="J1176" i="50"/>
  <c r="J1175" i="50"/>
  <c r="J1174" i="50"/>
  <c r="J1173" i="50"/>
  <c r="J1172" i="50"/>
  <c r="J1171" i="50"/>
  <c r="J1170" i="50"/>
  <c r="J1169" i="50"/>
  <c r="J1168" i="50"/>
  <c r="J1167" i="50"/>
  <c r="J1166" i="50"/>
  <c r="J1165" i="50"/>
  <c r="J1164" i="50"/>
  <c r="J1163" i="50"/>
  <c r="J1162" i="50"/>
  <c r="J1161" i="50"/>
  <c r="J1160" i="50"/>
  <c r="J1159" i="50"/>
  <c r="J1158" i="50"/>
  <c r="J1157" i="50"/>
  <c r="J1156" i="50"/>
  <c r="J1155" i="50"/>
  <c r="J1154" i="50"/>
  <c r="J1153" i="50"/>
  <c r="J1152" i="50"/>
  <c r="J1151" i="50"/>
  <c r="J1150" i="50"/>
  <c r="J1149" i="50"/>
  <c r="J1148" i="50"/>
  <c r="J1147" i="50"/>
  <c r="J1146" i="50"/>
  <c r="J1145" i="50"/>
  <c r="J1144" i="50"/>
  <c r="J1143" i="50"/>
  <c r="J1142" i="50"/>
  <c r="J1141" i="50"/>
  <c r="J1140" i="50"/>
  <c r="J1139" i="50"/>
  <c r="J1138" i="50"/>
  <c r="J1137" i="50"/>
  <c r="J1136" i="50"/>
  <c r="J1135" i="50"/>
  <c r="J1134" i="50"/>
  <c r="J1133" i="50"/>
  <c r="J1132" i="50"/>
  <c r="J1131" i="50"/>
  <c r="J1130" i="50"/>
  <c r="J1129" i="50"/>
  <c r="J1128" i="50"/>
  <c r="J1127" i="50"/>
  <c r="J1126" i="50"/>
  <c r="J1125" i="50"/>
  <c r="J1124" i="50"/>
  <c r="J1123" i="50"/>
  <c r="J1122" i="50"/>
  <c r="J1121" i="50"/>
  <c r="J1120" i="50"/>
  <c r="J1119" i="50"/>
  <c r="J1118" i="50"/>
  <c r="J1117" i="50"/>
  <c r="J1116" i="50"/>
  <c r="J1115" i="50"/>
  <c r="J1114" i="50"/>
  <c r="J1113" i="50"/>
  <c r="J1112" i="50"/>
  <c r="J1111" i="50"/>
  <c r="J1110" i="50"/>
  <c r="J1109" i="50"/>
  <c r="J1108" i="50"/>
  <c r="J1107" i="50"/>
  <c r="J1106" i="50"/>
  <c r="J1105" i="50"/>
  <c r="J1104" i="50"/>
  <c r="J1103" i="50"/>
  <c r="J1102" i="50"/>
  <c r="J1101" i="50"/>
  <c r="J1100" i="50"/>
  <c r="J1099" i="50"/>
  <c r="J1098" i="50"/>
  <c r="J1097" i="50"/>
  <c r="J1096" i="50"/>
  <c r="J1095" i="50"/>
  <c r="J1094" i="50"/>
  <c r="J1093" i="50"/>
  <c r="J1092" i="50"/>
  <c r="J1091" i="50"/>
  <c r="J1090" i="50"/>
  <c r="J1089" i="50"/>
  <c r="J1088" i="50"/>
  <c r="J1087" i="50"/>
  <c r="J1086" i="50"/>
  <c r="J1085" i="50"/>
  <c r="J1084" i="50"/>
  <c r="J1083" i="50"/>
  <c r="J1082" i="50"/>
  <c r="J1081" i="50"/>
  <c r="J1080" i="50"/>
  <c r="J1079" i="50"/>
  <c r="J1078" i="50"/>
  <c r="J1077" i="50"/>
  <c r="J1076" i="50"/>
  <c r="J1075" i="50"/>
  <c r="J1074" i="50"/>
  <c r="J1073" i="50"/>
  <c r="J1072" i="50"/>
  <c r="J1071" i="50"/>
  <c r="J1070" i="50"/>
  <c r="J1069" i="50"/>
  <c r="J1068" i="50"/>
  <c r="J1067" i="50"/>
  <c r="J1066" i="50"/>
  <c r="J1065" i="50"/>
  <c r="J1064" i="50"/>
  <c r="J1063" i="50"/>
  <c r="J1062" i="50"/>
  <c r="J1061" i="50"/>
  <c r="J1060" i="50"/>
  <c r="J1059" i="50"/>
  <c r="J1058" i="50"/>
  <c r="J1057" i="50"/>
  <c r="J1056" i="50"/>
  <c r="J1055" i="50"/>
  <c r="J1054" i="50"/>
  <c r="J1053" i="50"/>
  <c r="J1052" i="50"/>
  <c r="J1051" i="50"/>
  <c r="J1050" i="50"/>
  <c r="J1049" i="50"/>
  <c r="J1048" i="50"/>
  <c r="J1047" i="50"/>
  <c r="J1046" i="50"/>
  <c r="J1045" i="50"/>
  <c r="J1044" i="50"/>
  <c r="J1043" i="50"/>
  <c r="J1042" i="50"/>
  <c r="J1041" i="50"/>
  <c r="J1040" i="50"/>
  <c r="J1039" i="50"/>
  <c r="J1038" i="50"/>
  <c r="J1037" i="50"/>
  <c r="J1036" i="50"/>
  <c r="J1035" i="50"/>
  <c r="J1034" i="50"/>
  <c r="J1033" i="50"/>
  <c r="J1032" i="50"/>
  <c r="J1031" i="50"/>
  <c r="J1030" i="50"/>
  <c r="J1029" i="50"/>
  <c r="J1028" i="50"/>
  <c r="J1027" i="50"/>
  <c r="J1026" i="50"/>
  <c r="J1025" i="50"/>
  <c r="J1024" i="50"/>
  <c r="J1023" i="50"/>
  <c r="J1022" i="50"/>
  <c r="J1021" i="50"/>
  <c r="J1020" i="50"/>
  <c r="J1019" i="50"/>
  <c r="J1018" i="50"/>
  <c r="J1017" i="50"/>
  <c r="J1016" i="50"/>
  <c r="J1015" i="50"/>
  <c r="J1014" i="50"/>
  <c r="J1013" i="50"/>
  <c r="J1012" i="50"/>
  <c r="J1011" i="50"/>
  <c r="J1010" i="50"/>
  <c r="J1009" i="50"/>
  <c r="J1008" i="50"/>
  <c r="J1007" i="50"/>
  <c r="J1006" i="50"/>
  <c r="J1005" i="50"/>
  <c r="J1004" i="50"/>
  <c r="J1003" i="50"/>
  <c r="J1002" i="50"/>
  <c r="J1001" i="50"/>
  <c r="J1000" i="50"/>
  <c r="J999" i="50"/>
  <c r="J998" i="50"/>
  <c r="J997" i="50"/>
  <c r="J996" i="50"/>
  <c r="J995" i="50"/>
  <c r="J994" i="50"/>
  <c r="J993" i="50"/>
  <c r="J992" i="50"/>
  <c r="J991" i="50"/>
  <c r="J990" i="50"/>
  <c r="J989" i="50"/>
  <c r="J988" i="50"/>
  <c r="J987" i="50"/>
  <c r="J986" i="50"/>
  <c r="J985" i="50"/>
  <c r="J984" i="50"/>
  <c r="J983" i="50"/>
  <c r="J982" i="50"/>
  <c r="J981" i="50"/>
  <c r="J980" i="50"/>
  <c r="J979" i="50"/>
  <c r="J978" i="50"/>
  <c r="J977" i="50"/>
  <c r="J976" i="50"/>
  <c r="J975" i="50"/>
  <c r="J974" i="50"/>
  <c r="J973" i="50"/>
  <c r="J972" i="50"/>
  <c r="J971" i="50"/>
  <c r="J970" i="50"/>
  <c r="J969" i="50"/>
  <c r="J968" i="50"/>
  <c r="J967" i="50"/>
  <c r="J966" i="50"/>
  <c r="J965" i="50"/>
  <c r="J964" i="50"/>
  <c r="J963" i="50"/>
  <c r="J962" i="50"/>
  <c r="J961" i="50"/>
  <c r="J960" i="50"/>
  <c r="J959" i="50"/>
  <c r="J958" i="50"/>
  <c r="J957" i="50"/>
  <c r="J956" i="50"/>
  <c r="J955" i="50"/>
  <c r="J954" i="50"/>
  <c r="J953" i="50"/>
  <c r="J952" i="50"/>
  <c r="J951" i="50"/>
  <c r="J950" i="50"/>
  <c r="J949" i="50"/>
  <c r="J948" i="50"/>
  <c r="J947" i="50"/>
  <c r="J946" i="50"/>
  <c r="J945" i="50"/>
  <c r="J944" i="50"/>
  <c r="J943" i="50"/>
  <c r="J942" i="50"/>
  <c r="J941" i="50"/>
  <c r="J940" i="50"/>
  <c r="J939" i="50"/>
  <c r="J938" i="50"/>
  <c r="J937" i="50"/>
  <c r="J936" i="50"/>
  <c r="J935" i="50"/>
  <c r="J934" i="50"/>
  <c r="J933" i="50"/>
  <c r="J932" i="50"/>
  <c r="J931" i="50"/>
  <c r="J930" i="50"/>
  <c r="J929" i="50"/>
  <c r="J928" i="50"/>
  <c r="J927" i="50"/>
  <c r="J926" i="50"/>
  <c r="J925" i="50"/>
  <c r="J924" i="50"/>
  <c r="J923" i="50"/>
  <c r="J922" i="50"/>
  <c r="J921" i="50"/>
  <c r="J920" i="50"/>
  <c r="J919" i="50"/>
  <c r="J918" i="50"/>
  <c r="J917" i="50"/>
  <c r="J916" i="50"/>
  <c r="J915" i="50"/>
  <c r="J914" i="50"/>
  <c r="J913" i="50"/>
  <c r="J912" i="50"/>
  <c r="J911" i="50"/>
  <c r="J910" i="50"/>
  <c r="J909" i="50"/>
  <c r="J908" i="50"/>
  <c r="J907" i="50"/>
  <c r="J906" i="50"/>
  <c r="J905" i="50"/>
  <c r="J904" i="50"/>
  <c r="J903" i="50"/>
  <c r="J902" i="50"/>
  <c r="J901" i="50"/>
  <c r="J900" i="50"/>
  <c r="J899" i="50"/>
  <c r="J898" i="50"/>
  <c r="J897" i="50"/>
  <c r="J896" i="50"/>
  <c r="J895" i="50"/>
  <c r="J894" i="50"/>
  <c r="J893" i="50"/>
  <c r="J892" i="50"/>
  <c r="J891" i="50"/>
  <c r="J890" i="50"/>
  <c r="J889" i="50"/>
  <c r="J888" i="50"/>
  <c r="J887" i="50"/>
  <c r="J886" i="50"/>
  <c r="J885" i="50"/>
  <c r="J884" i="50"/>
  <c r="J883" i="50"/>
  <c r="J882" i="50"/>
  <c r="J881" i="50"/>
  <c r="J880" i="50"/>
  <c r="J879" i="50"/>
  <c r="J878" i="50"/>
  <c r="J877" i="50"/>
  <c r="J876" i="50"/>
  <c r="J875" i="50"/>
  <c r="J874" i="50"/>
  <c r="J873" i="50"/>
  <c r="J872" i="50"/>
  <c r="J871" i="50"/>
  <c r="J870" i="50"/>
  <c r="J869" i="50"/>
  <c r="J868" i="50"/>
  <c r="J867" i="50"/>
  <c r="J866" i="50"/>
  <c r="J865" i="50"/>
  <c r="J864" i="50"/>
  <c r="J863" i="50"/>
  <c r="J862" i="50"/>
  <c r="J861" i="50"/>
  <c r="J860" i="50"/>
  <c r="J859" i="50"/>
  <c r="J858" i="50"/>
  <c r="J857" i="50"/>
  <c r="J856" i="50"/>
  <c r="J855" i="50"/>
  <c r="J854" i="50"/>
  <c r="J853" i="50"/>
  <c r="J852" i="50"/>
  <c r="J851" i="50"/>
  <c r="J850" i="50"/>
  <c r="J849" i="50"/>
  <c r="J848" i="50"/>
  <c r="J847" i="50"/>
  <c r="J846" i="50"/>
  <c r="J845" i="50"/>
  <c r="J844" i="50"/>
  <c r="J843" i="50"/>
  <c r="J842" i="50"/>
  <c r="J841" i="50"/>
  <c r="J840" i="50"/>
  <c r="J839" i="50"/>
  <c r="J838" i="50"/>
  <c r="J837" i="50"/>
  <c r="J836" i="50"/>
  <c r="J835" i="50"/>
  <c r="J834" i="50"/>
  <c r="J833" i="50"/>
  <c r="J832" i="50"/>
  <c r="J831" i="50"/>
  <c r="J830" i="50"/>
  <c r="J829" i="50"/>
  <c r="J828" i="50"/>
  <c r="J827" i="50"/>
  <c r="J826" i="50"/>
  <c r="J825" i="50"/>
  <c r="J824" i="50"/>
  <c r="J823" i="50"/>
  <c r="J822" i="50"/>
  <c r="J821" i="50"/>
  <c r="J820" i="50"/>
  <c r="J819" i="50"/>
  <c r="J818" i="50"/>
  <c r="J817" i="50"/>
  <c r="J816" i="50"/>
  <c r="J815" i="50"/>
  <c r="J814" i="50"/>
  <c r="J813" i="50"/>
  <c r="J812" i="50"/>
  <c r="J811" i="50"/>
  <c r="J810" i="50"/>
  <c r="J809" i="50"/>
  <c r="J808" i="50"/>
  <c r="J807" i="50"/>
  <c r="J806" i="50"/>
  <c r="J805" i="50"/>
  <c r="J804" i="50"/>
  <c r="J803" i="50"/>
  <c r="J802" i="50"/>
  <c r="J801" i="50"/>
  <c r="J800" i="50"/>
  <c r="J799" i="50"/>
  <c r="J798" i="50"/>
  <c r="J797" i="50"/>
  <c r="J796" i="50"/>
  <c r="J795" i="50"/>
  <c r="J794" i="50"/>
  <c r="J793" i="50"/>
  <c r="J792" i="50"/>
  <c r="J791" i="50"/>
  <c r="J790" i="50"/>
  <c r="J789" i="50"/>
  <c r="J788" i="50"/>
  <c r="J787" i="50"/>
  <c r="J786" i="50"/>
  <c r="J785" i="50"/>
  <c r="J784" i="50"/>
  <c r="J783" i="50"/>
  <c r="J782" i="50"/>
  <c r="J781" i="50"/>
  <c r="J780" i="50"/>
  <c r="J779" i="50"/>
  <c r="J778" i="50"/>
  <c r="J777" i="50"/>
  <c r="J776" i="50"/>
  <c r="J775" i="50"/>
  <c r="J774" i="50"/>
  <c r="J773" i="50"/>
  <c r="J772" i="50"/>
  <c r="J771" i="50"/>
  <c r="J770" i="50"/>
  <c r="J769" i="50"/>
  <c r="J768" i="50"/>
  <c r="J767" i="50"/>
  <c r="J766" i="50"/>
  <c r="J765" i="50"/>
  <c r="J764" i="50"/>
  <c r="J763" i="50"/>
  <c r="J762" i="50"/>
  <c r="J761" i="50"/>
  <c r="J760" i="50"/>
  <c r="J759" i="50"/>
  <c r="J758" i="50"/>
  <c r="J757" i="50"/>
  <c r="J756" i="50"/>
  <c r="J755" i="50"/>
  <c r="J754" i="50"/>
  <c r="J753" i="50"/>
  <c r="J752" i="50"/>
  <c r="J751" i="50"/>
  <c r="J750" i="50"/>
  <c r="J749" i="50"/>
  <c r="J748" i="50"/>
  <c r="J747" i="50"/>
  <c r="J746" i="50"/>
  <c r="J745" i="50"/>
  <c r="J744" i="50"/>
  <c r="J743" i="50"/>
  <c r="J742" i="50"/>
  <c r="J741" i="50"/>
  <c r="J740" i="50"/>
  <c r="J739" i="50"/>
  <c r="J738" i="50"/>
  <c r="J737" i="50"/>
  <c r="J736" i="50"/>
  <c r="J735" i="50"/>
  <c r="J734" i="50"/>
  <c r="J733" i="50"/>
  <c r="J732" i="50"/>
  <c r="J731" i="50"/>
  <c r="J730" i="50"/>
  <c r="J729" i="50"/>
  <c r="J728" i="50"/>
  <c r="J727" i="50"/>
  <c r="J726" i="50"/>
  <c r="J725" i="50"/>
  <c r="J724" i="50"/>
  <c r="J723" i="50"/>
  <c r="J722" i="50"/>
  <c r="J721" i="50"/>
  <c r="J720" i="50"/>
  <c r="J719" i="50"/>
  <c r="J718" i="50"/>
  <c r="J717" i="50"/>
  <c r="J716" i="50"/>
  <c r="J715" i="50"/>
  <c r="J714" i="50"/>
  <c r="J713" i="50"/>
  <c r="J712" i="50"/>
  <c r="J711" i="50"/>
  <c r="J710" i="50"/>
  <c r="J709" i="50"/>
  <c r="J708" i="50"/>
  <c r="J707" i="50"/>
  <c r="J706" i="50"/>
  <c r="J705" i="50"/>
  <c r="J704" i="50"/>
  <c r="J703" i="50"/>
  <c r="J702" i="50"/>
  <c r="J701" i="50"/>
  <c r="J700" i="50"/>
  <c r="J699" i="50"/>
  <c r="J698" i="50"/>
  <c r="J697" i="50"/>
  <c r="J696" i="50"/>
  <c r="J695" i="50"/>
  <c r="J694" i="50"/>
  <c r="J693" i="50"/>
  <c r="J692" i="50"/>
  <c r="J691" i="50"/>
  <c r="J690" i="50"/>
  <c r="J689" i="50"/>
  <c r="J688" i="50"/>
  <c r="J687" i="50"/>
  <c r="J686" i="50"/>
  <c r="J685" i="50"/>
  <c r="J684" i="50"/>
  <c r="J683" i="50"/>
  <c r="J682" i="50"/>
  <c r="J681" i="50"/>
  <c r="J680" i="50"/>
  <c r="J679" i="50"/>
  <c r="J678" i="50"/>
  <c r="J677" i="50"/>
  <c r="J676" i="50"/>
  <c r="J675" i="50"/>
  <c r="J674" i="50"/>
  <c r="J673" i="50"/>
  <c r="J672" i="50"/>
  <c r="J671" i="50"/>
  <c r="J670" i="50"/>
  <c r="J669" i="50"/>
  <c r="J668" i="50"/>
  <c r="J667" i="50"/>
  <c r="J666" i="50"/>
  <c r="J665" i="50"/>
  <c r="J664" i="50"/>
  <c r="J663" i="50"/>
  <c r="J662" i="50"/>
  <c r="J661" i="50"/>
  <c r="J660" i="50"/>
  <c r="J659" i="50"/>
  <c r="J658" i="50"/>
  <c r="J657" i="50"/>
  <c r="J656" i="50"/>
  <c r="J655" i="50"/>
  <c r="J654" i="50"/>
  <c r="J653" i="50"/>
  <c r="J652" i="50"/>
  <c r="J651" i="50"/>
  <c r="J650" i="50"/>
  <c r="J649" i="50"/>
  <c r="J648" i="50"/>
  <c r="J647" i="50"/>
  <c r="J646" i="50"/>
  <c r="J645" i="50"/>
  <c r="J644" i="50"/>
  <c r="J643" i="50"/>
  <c r="J642" i="50"/>
  <c r="J641" i="50"/>
  <c r="J640" i="50"/>
  <c r="J639" i="50"/>
  <c r="J638" i="50"/>
  <c r="J637" i="50"/>
  <c r="J636" i="50"/>
  <c r="J635" i="50"/>
  <c r="J634" i="50"/>
  <c r="J633" i="50"/>
  <c r="J632" i="50"/>
  <c r="J631" i="50"/>
  <c r="J630" i="50"/>
  <c r="J629" i="50"/>
  <c r="J628" i="50"/>
  <c r="J627" i="50"/>
  <c r="J626" i="50"/>
  <c r="J625" i="50"/>
  <c r="J624" i="50"/>
  <c r="J623" i="50"/>
  <c r="J622" i="50"/>
  <c r="J621" i="50"/>
  <c r="J620" i="50"/>
  <c r="J619" i="50"/>
  <c r="J618" i="50"/>
  <c r="J617" i="50"/>
  <c r="J616" i="50"/>
  <c r="J615" i="50"/>
  <c r="J614" i="50"/>
  <c r="J613" i="50"/>
  <c r="J612" i="50"/>
  <c r="J611" i="50"/>
  <c r="J610" i="50"/>
  <c r="J609" i="50"/>
  <c r="J608" i="50"/>
  <c r="J607" i="50"/>
  <c r="J606" i="50"/>
  <c r="J605" i="50"/>
  <c r="J604" i="50"/>
  <c r="J603" i="50"/>
  <c r="J602" i="50"/>
  <c r="J601" i="50"/>
  <c r="J600" i="50"/>
  <c r="J599" i="50"/>
  <c r="J598" i="50"/>
  <c r="J597" i="50"/>
  <c r="J596" i="50"/>
  <c r="J595" i="50"/>
  <c r="J594" i="50"/>
  <c r="J593" i="50"/>
  <c r="J592" i="50"/>
  <c r="J591" i="50"/>
  <c r="J590" i="50"/>
  <c r="J589" i="50"/>
  <c r="J588" i="50"/>
  <c r="J587" i="50"/>
  <c r="J586" i="50"/>
  <c r="J585" i="50"/>
  <c r="J584" i="50"/>
  <c r="J583" i="50"/>
  <c r="J582" i="50"/>
  <c r="J581" i="50"/>
  <c r="J580" i="50"/>
  <c r="J579" i="50"/>
  <c r="J578" i="50"/>
  <c r="J577" i="50"/>
  <c r="J576" i="50"/>
  <c r="J575" i="50"/>
  <c r="J574" i="50"/>
  <c r="J573" i="50"/>
  <c r="J572" i="50"/>
  <c r="J571" i="50"/>
  <c r="J570" i="50"/>
  <c r="J569" i="50"/>
  <c r="J568" i="50"/>
  <c r="J567" i="50"/>
  <c r="J566" i="50"/>
  <c r="J565" i="50"/>
  <c r="J564" i="50"/>
  <c r="J563" i="50"/>
  <c r="J562" i="50"/>
  <c r="J561" i="50"/>
  <c r="J560" i="50"/>
  <c r="J559" i="50"/>
  <c r="J558" i="50"/>
  <c r="J557" i="50"/>
  <c r="J556" i="50"/>
  <c r="J555" i="50"/>
  <c r="J554" i="50"/>
  <c r="J553" i="50"/>
  <c r="J552" i="50"/>
  <c r="J551" i="50"/>
  <c r="J550" i="50"/>
  <c r="J549" i="50"/>
  <c r="J548" i="50"/>
  <c r="J547" i="50"/>
  <c r="J546" i="50"/>
  <c r="J545" i="50"/>
  <c r="J544" i="50"/>
  <c r="J543" i="50"/>
  <c r="J542" i="50"/>
  <c r="J541" i="50"/>
  <c r="J540" i="50"/>
  <c r="J539" i="50"/>
  <c r="J538" i="50"/>
  <c r="J537" i="50"/>
  <c r="J536" i="50"/>
  <c r="J535" i="50"/>
  <c r="J534" i="50"/>
  <c r="J533" i="50"/>
  <c r="J532" i="50"/>
  <c r="J531" i="50"/>
  <c r="J530" i="50"/>
  <c r="J529" i="50"/>
  <c r="J528" i="50"/>
  <c r="J527" i="50"/>
  <c r="J526" i="50"/>
  <c r="J525" i="50"/>
  <c r="J524" i="50"/>
  <c r="J523" i="50"/>
  <c r="J522" i="50"/>
  <c r="J521" i="50"/>
  <c r="J520" i="50"/>
  <c r="J519" i="50"/>
  <c r="J518" i="50"/>
  <c r="J517" i="50"/>
  <c r="J516" i="50"/>
  <c r="J515" i="50"/>
  <c r="J514" i="50"/>
  <c r="J513" i="50"/>
  <c r="J512" i="50"/>
  <c r="J511" i="50"/>
  <c r="J510" i="50"/>
  <c r="J509" i="50"/>
  <c r="J508" i="50"/>
  <c r="J507" i="50"/>
  <c r="J506" i="50"/>
  <c r="J505" i="50"/>
  <c r="J504" i="50"/>
  <c r="J503" i="50"/>
  <c r="J502" i="50"/>
  <c r="J501" i="50"/>
  <c r="J500" i="50"/>
  <c r="J499" i="50"/>
  <c r="J498" i="50"/>
  <c r="J497" i="50"/>
  <c r="J496" i="50"/>
  <c r="J495" i="50"/>
  <c r="J494" i="50"/>
  <c r="J493" i="50"/>
  <c r="J492" i="50"/>
  <c r="J491" i="50"/>
  <c r="J490" i="50"/>
  <c r="J489" i="50"/>
  <c r="J488" i="50"/>
  <c r="J487" i="50"/>
  <c r="J486" i="50"/>
  <c r="J485" i="50"/>
  <c r="J484" i="50"/>
  <c r="J483" i="50"/>
  <c r="J482" i="50"/>
  <c r="J481" i="50"/>
  <c r="J480" i="50"/>
  <c r="J479" i="50"/>
  <c r="J478" i="50"/>
  <c r="J477" i="50"/>
  <c r="J476" i="50"/>
  <c r="J475" i="50"/>
  <c r="J474" i="50"/>
  <c r="J473" i="50"/>
  <c r="J472" i="50"/>
  <c r="J471" i="50"/>
  <c r="J470" i="50"/>
  <c r="J469" i="50"/>
  <c r="J468" i="50"/>
  <c r="J467" i="50"/>
  <c r="J466" i="50"/>
  <c r="J465" i="50"/>
  <c r="J464" i="50"/>
  <c r="J463" i="50"/>
  <c r="J462" i="50"/>
  <c r="J461" i="50"/>
  <c r="J460" i="50"/>
  <c r="J459" i="50"/>
  <c r="J458" i="50"/>
  <c r="J457" i="50"/>
  <c r="J456" i="50"/>
  <c r="J455" i="50"/>
  <c r="J454" i="50"/>
  <c r="J453" i="50"/>
  <c r="J452" i="50"/>
  <c r="J451" i="50"/>
  <c r="J450" i="50"/>
  <c r="J449" i="50"/>
  <c r="J448" i="50"/>
  <c r="J447" i="50"/>
  <c r="J446" i="50"/>
  <c r="J445" i="50"/>
  <c r="J444" i="50"/>
  <c r="J443" i="50"/>
  <c r="J442" i="50"/>
  <c r="J441" i="50"/>
  <c r="J440" i="50"/>
  <c r="J439" i="50"/>
  <c r="J438" i="50"/>
  <c r="J437" i="50"/>
  <c r="J436" i="50"/>
  <c r="J435" i="50"/>
  <c r="J434" i="50"/>
  <c r="J433" i="50"/>
  <c r="J432" i="50"/>
  <c r="J431" i="50"/>
  <c r="J430" i="50"/>
  <c r="J429" i="50"/>
  <c r="J428" i="50"/>
  <c r="J427" i="50"/>
  <c r="J426" i="50"/>
  <c r="J425" i="50"/>
  <c r="J424" i="50"/>
  <c r="J423" i="50"/>
  <c r="J422" i="50"/>
  <c r="J421" i="50"/>
  <c r="J420" i="50"/>
  <c r="J419" i="50"/>
  <c r="J418" i="50"/>
  <c r="J417" i="50"/>
  <c r="J416" i="50"/>
  <c r="J415" i="50"/>
  <c r="J414" i="50"/>
  <c r="J413" i="50"/>
  <c r="J412" i="50"/>
  <c r="J411" i="50"/>
  <c r="J410" i="50"/>
  <c r="J409" i="50"/>
  <c r="J408" i="50"/>
  <c r="J407" i="50"/>
  <c r="J406" i="50"/>
  <c r="J405" i="50"/>
  <c r="J404" i="50"/>
  <c r="J403" i="50"/>
  <c r="J402" i="50"/>
  <c r="J401" i="50"/>
  <c r="J400" i="50"/>
  <c r="J399" i="50"/>
  <c r="J398" i="50"/>
  <c r="J397" i="50"/>
  <c r="J396" i="50"/>
  <c r="J395" i="50"/>
  <c r="J394" i="50"/>
  <c r="J393" i="50"/>
  <c r="J392" i="50"/>
  <c r="J391" i="50"/>
  <c r="J390" i="50"/>
  <c r="J389" i="50"/>
  <c r="J388" i="50"/>
  <c r="J387" i="50"/>
  <c r="J386" i="50"/>
  <c r="J385" i="50"/>
  <c r="J384" i="50"/>
  <c r="J383" i="50"/>
  <c r="J382" i="50"/>
  <c r="J381" i="50"/>
  <c r="J380" i="50"/>
  <c r="J379" i="50"/>
  <c r="J378" i="50"/>
  <c r="J377" i="50"/>
  <c r="J376" i="50"/>
  <c r="J375" i="50"/>
  <c r="J374" i="50"/>
  <c r="J373" i="50"/>
  <c r="J372" i="50"/>
  <c r="J371" i="50"/>
  <c r="J370" i="50"/>
  <c r="J369" i="50"/>
  <c r="J368" i="50"/>
  <c r="S369" i="46" s="1"/>
  <c r="J367" i="50"/>
  <c r="S368" i="46" s="1"/>
  <c r="J366" i="50"/>
  <c r="S367" i="46" s="1"/>
  <c r="J365" i="50"/>
  <c r="S366" i="46" s="1"/>
  <c r="J364" i="50"/>
  <c r="S365" i="46" s="1"/>
  <c r="J363" i="50"/>
  <c r="S364" i="46" s="1"/>
  <c r="J362" i="50"/>
  <c r="S363" i="46" s="1"/>
  <c r="J361" i="50"/>
  <c r="S362" i="46" s="1"/>
  <c r="J360" i="50"/>
  <c r="S361" i="46" s="1"/>
  <c r="J359" i="50"/>
  <c r="S360" i="46" s="1"/>
  <c r="J358" i="50"/>
  <c r="S359" i="46" s="1"/>
  <c r="J357" i="50"/>
  <c r="S358" i="46" s="1"/>
  <c r="J356" i="50"/>
  <c r="S357" i="46" s="1"/>
  <c r="J355" i="50"/>
  <c r="S356" i="46" s="1"/>
  <c r="J354" i="50"/>
  <c r="S355" i="46" s="1"/>
  <c r="J353" i="50"/>
  <c r="S354" i="46" s="1"/>
  <c r="J352" i="50"/>
  <c r="S353" i="46" s="1"/>
  <c r="J351" i="50"/>
  <c r="S352" i="46" s="1"/>
  <c r="J350" i="50"/>
  <c r="S351" i="46" s="1"/>
  <c r="J349" i="50"/>
  <c r="S350" i="46" s="1"/>
  <c r="J348" i="50"/>
  <c r="S349" i="46" s="1"/>
  <c r="J347" i="50"/>
  <c r="S348" i="46" s="1"/>
  <c r="J346" i="50"/>
  <c r="S347" i="46" s="1"/>
  <c r="J345" i="50"/>
  <c r="S346" i="46" s="1"/>
  <c r="J344" i="50"/>
  <c r="J343" i="50"/>
  <c r="S344" i="46" s="1"/>
  <c r="J342" i="50"/>
  <c r="S343" i="46" s="1"/>
  <c r="J341" i="50"/>
  <c r="S342" i="46" s="1"/>
  <c r="J340" i="50"/>
  <c r="S341" i="46" s="1"/>
  <c r="J339" i="50"/>
  <c r="S340" i="46" s="1"/>
  <c r="J338" i="50"/>
  <c r="S339" i="46" s="1"/>
  <c r="J337" i="50"/>
  <c r="S338" i="46" s="1"/>
  <c r="J336" i="50"/>
  <c r="S337" i="46" s="1"/>
  <c r="J335" i="50"/>
  <c r="S336" i="46" s="1"/>
  <c r="J334" i="50"/>
  <c r="S335" i="46" s="1"/>
  <c r="J333" i="50"/>
  <c r="S334" i="46" s="1"/>
  <c r="J332" i="50"/>
  <c r="S333" i="46" s="1"/>
  <c r="J331" i="50"/>
  <c r="S332" i="46" s="1"/>
  <c r="J330" i="50"/>
  <c r="S331" i="46" s="1"/>
  <c r="J329" i="50"/>
  <c r="S330" i="46" s="1"/>
  <c r="J328" i="50"/>
  <c r="S329" i="46" s="1"/>
  <c r="J327" i="50"/>
  <c r="S328" i="46" s="1"/>
  <c r="J326" i="50"/>
  <c r="S327" i="46" s="1"/>
  <c r="J325" i="50"/>
  <c r="S326" i="46" s="1"/>
  <c r="J324" i="50"/>
  <c r="S325" i="46" s="1"/>
  <c r="J323" i="50"/>
  <c r="S324" i="46" s="1"/>
  <c r="J322" i="50"/>
  <c r="S323" i="46" s="1"/>
  <c r="J321" i="50"/>
  <c r="S322" i="46" s="1"/>
  <c r="J320" i="50"/>
  <c r="S321" i="46" s="1"/>
  <c r="J319" i="50"/>
  <c r="S320" i="46" s="1"/>
  <c r="J318" i="50"/>
  <c r="S319" i="46" s="1"/>
  <c r="J317" i="50"/>
  <c r="S318" i="46" s="1"/>
  <c r="J316" i="50"/>
  <c r="S317" i="46" s="1"/>
  <c r="J315" i="50"/>
  <c r="S316" i="46" s="1"/>
  <c r="J314" i="50"/>
  <c r="S315" i="46" s="1"/>
  <c r="J313" i="50"/>
  <c r="S314" i="46" s="1"/>
  <c r="J312" i="50"/>
  <c r="J311" i="50"/>
  <c r="S312" i="46" s="1"/>
  <c r="J310" i="50"/>
  <c r="S311" i="46" s="1"/>
  <c r="J309" i="50"/>
  <c r="S310" i="46" s="1"/>
  <c r="J308" i="50"/>
  <c r="S309" i="46" s="1"/>
  <c r="J307" i="50"/>
  <c r="S308" i="46" s="1"/>
  <c r="J306" i="50"/>
  <c r="S307" i="46" s="1"/>
  <c r="J305" i="50"/>
  <c r="S306" i="46" s="1"/>
  <c r="J304" i="50"/>
  <c r="S305" i="46" s="1"/>
  <c r="J303" i="50"/>
  <c r="S304" i="46" s="1"/>
  <c r="J302" i="50"/>
  <c r="S303" i="46" s="1"/>
  <c r="J301" i="50"/>
  <c r="S302" i="46" s="1"/>
  <c r="J300" i="50"/>
  <c r="S301" i="46" s="1"/>
  <c r="J299" i="50"/>
  <c r="S300" i="46" s="1"/>
  <c r="J298" i="50"/>
  <c r="S299" i="46" s="1"/>
  <c r="J297" i="50"/>
  <c r="S298" i="46" s="1"/>
  <c r="J296" i="50"/>
  <c r="S297" i="46" s="1"/>
  <c r="J295" i="50"/>
  <c r="S296" i="46" s="1"/>
  <c r="J294" i="50"/>
  <c r="S295" i="46" s="1"/>
  <c r="J293" i="50"/>
  <c r="S294" i="46" s="1"/>
  <c r="J292" i="50"/>
  <c r="S293" i="46" s="1"/>
  <c r="J291" i="50"/>
  <c r="S292" i="46" s="1"/>
  <c r="J290" i="50"/>
  <c r="S291" i="46" s="1"/>
  <c r="J289" i="50"/>
  <c r="S290" i="46" s="1"/>
  <c r="J288" i="50"/>
  <c r="S289" i="46" s="1"/>
  <c r="J287" i="50"/>
  <c r="S288" i="46" s="1"/>
  <c r="J286" i="50"/>
  <c r="S287" i="46" s="1"/>
  <c r="J285" i="50"/>
  <c r="S286" i="46" s="1"/>
  <c r="J284" i="50"/>
  <c r="S285" i="46" s="1"/>
  <c r="J283" i="50"/>
  <c r="S284" i="46" s="1"/>
  <c r="J282" i="50"/>
  <c r="S283" i="46" s="1"/>
  <c r="J281" i="50"/>
  <c r="S282" i="46" s="1"/>
  <c r="J280" i="50"/>
  <c r="S281" i="46" s="1"/>
  <c r="J279" i="50"/>
  <c r="S280" i="46" s="1"/>
  <c r="J278" i="50"/>
  <c r="S279" i="46" s="1"/>
  <c r="J277" i="50"/>
  <c r="S278" i="46" s="1"/>
  <c r="J276" i="50"/>
  <c r="S277" i="46" s="1"/>
  <c r="J275" i="50"/>
  <c r="S276" i="46" s="1"/>
  <c r="J274" i="50"/>
  <c r="S275" i="46" s="1"/>
  <c r="J273" i="50"/>
  <c r="S274" i="46" s="1"/>
  <c r="J272" i="50"/>
  <c r="S273" i="46" s="1"/>
  <c r="J271" i="50"/>
  <c r="S272" i="46" s="1"/>
  <c r="J270" i="50"/>
  <c r="S271" i="46" s="1"/>
  <c r="J269" i="50"/>
  <c r="S270" i="46" s="1"/>
  <c r="J268" i="50"/>
  <c r="S269" i="46" s="1"/>
  <c r="J267" i="50"/>
  <c r="S268" i="46" s="1"/>
  <c r="J266" i="50"/>
  <c r="S267" i="46" s="1"/>
  <c r="J265" i="50"/>
  <c r="S266" i="46" s="1"/>
  <c r="J264" i="50"/>
  <c r="S265" i="46" s="1"/>
  <c r="J263" i="50"/>
  <c r="S264" i="46" s="1"/>
  <c r="J262" i="50"/>
  <c r="S263" i="46" s="1"/>
  <c r="J261" i="50"/>
  <c r="S262" i="46" s="1"/>
  <c r="J260" i="50"/>
  <c r="S261" i="46" s="1"/>
  <c r="J259" i="50"/>
  <c r="S260" i="46" s="1"/>
  <c r="J258" i="50"/>
  <c r="S259" i="46" s="1"/>
  <c r="J257" i="50"/>
  <c r="S258" i="46" s="1"/>
  <c r="J256" i="50"/>
  <c r="S257" i="46" s="1"/>
  <c r="J255" i="50"/>
  <c r="S256" i="46" s="1"/>
  <c r="J254" i="50"/>
  <c r="S255" i="46" s="1"/>
  <c r="J253" i="50"/>
  <c r="S254" i="46" s="1"/>
  <c r="J252" i="50"/>
  <c r="S253" i="46" s="1"/>
  <c r="J251" i="50"/>
  <c r="S252" i="46" s="1"/>
  <c r="J250" i="50"/>
  <c r="S251" i="46" s="1"/>
  <c r="J249" i="50"/>
  <c r="S250" i="46" s="1"/>
  <c r="J248" i="50"/>
  <c r="S249" i="46" s="1"/>
  <c r="J247" i="50"/>
  <c r="S248" i="46" s="1"/>
  <c r="J246" i="50"/>
  <c r="S247" i="46" s="1"/>
  <c r="J245" i="50"/>
  <c r="S246" i="46" s="1"/>
  <c r="J244" i="50"/>
  <c r="S245" i="46" s="1"/>
  <c r="J243" i="50"/>
  <c r="S244" i="46" s="1"/>
  <c r="J242" i="50"/>
  <c r="S243" i="46" s="1"/>
  <c r="J241" i="50"/>
  <c r="S242" i="46" s="1"/>
  <c r="J240" i="50"/>
  <c r="S241" i="46" s="1"/>
  <c r="J239" i="50"/>
  <c r="S240" i="46" s="1"/>
  <c r="J238" i="50"/>
  <c r="S239" i="46" s="1"/>
  <c r="J237" i="50"/>
  <c r="S238" i="46" s="1"/>
  <c r="J236" i="50"/>
  <c r="S237" i="46" s="1"/>
  <c r="J235" i="50"/>
  <c r="S236" i="46" s="1"/>
  <c r="J234" i="50"/>
  <c r="S235" i="46" s="1"/>
  <c r="J233" i="50"/>
  <c r="S234" i="46" s="1"/>
  <c r="J232" i="50"/>
  <c r="S233" i="46" s="1"/>
  <c r="J231" i="50"/>
  <c r="S232" i="46" s="1"/>
  <c r="J230" i="50"/>
  <c r="S231" i="46" s="1"/>
  <c r="J229" i="50"/>
  <c r="S230" i="46" s="1"/>
  <c r="J228" i="50"/>
  <c r="S229" i="46" s="1"/>
  <c r="J227" i="50"/>
  <c r="S228" i="46" s="1"/>
  <c r="J226" i="50"/>
  <c r="S227" i="46" s="1"/>
  <c r="J225" i="50"/>
  <c r="S226" i="46" s="1"/>
  <c r="J224" i="50"/>
  <c r="S225" i="46" s="1"/>
  <c r="J223" i="50"/>
  <c r="S224" i="46" s="1"/>
  <c r="J222" i="50"/>
  <c r="S223" i="46" s="1"/>
  <c r="J221" i="50"/>
  <c r="S222" i="46" s="1"/>
  <c r="J220" i="50"/>
  <c r="S221" i="46" s="1"/>
  <c r="J219" i="50"/>
  <c r="S220" i="46" s="1"/>
  <c r="J218" i="50"/>
  <c r="S219" i="46" s="1"/>
  <c r="J217" i="50"/>
  <c r="S218" i="46" s="1"/>
  <c r="J216" i="50"/>
  <c r="S217" i="46" s="1"/>
  <c r="J215" i="50"/>
  <c r="S216" i="46" s="1"/>
  <c r="J214" i="50"/>
  <c r="S215" i="46" s="1"/>
  <c r="J213" i="50"/>
  <c r="S214" i="46" s="1"/>
  <c r="J212" i="50"/>
  <c r="S213" i="46" s="1"/>
  <c r="J211" i="50"/>
  <c r="S212" i="46" s="1"/>
  <c r="J210" i="50"/>
  <c r="S211" i="46" s="1"/>
  <c r="J209" i="50"/>
  <c r="S210" i="46" s="1"/>
  <c r="J208" i="50"/>
  <c r="S209" i="46" s="1"/>
  <c r="J207" i="50"/>
  <c r="S208" i="46" s="1"/>
  <c r="J206" i="50"/>
  <c r="S207" i="46" s="1"/>
  <c r="J205" i="50"/>
  <c r="S206" i="46" s="1"/>
  <c r="J204" i="50"/>
  <c r="S205" i="46" s="1"/>
  <c r="J203" i="50"/>
  <c r="S204" i="46" s="1"/>
  <c r="J202" i="50"/>
  <c r="S203" i="46" s="1"/>
  <c r="J201" i="50"/>
  <c r="S202" i="46" s="1"/>
  <c r="J200" i="50"/>
  <c r="S201" i="46" s="1"/>
  <c r="J199" i="50"/>
  <c r="S200" i="46" s="1"/>
  <c r="J198" i="50"/>
  <c r="S199" i="46" s="1"/>
  <c r="J197" i="50"/>
  <c r="S198" i="46" s="1"/>
  <c r="J196" i="50"/>
  <c r="S197" i="46" s="1"/>
  <c r="J195" i="50"/>
  <c r="S196" i="46" s="1"/>
  <c r="J194" i="50"/>
  <c r="S195" i="46" s="1"/>
  <c r="J193" i="50"/>
  <c r="S194" i="46" s="1"/>
  <c r="J192" i="50"/>
  <c r="S193" i="46" s="1"/>
  <c r="J191" i="50"/>
  <c r="S192" i="46" s="1"/>
  <c r="J190" i="50"/>
  <c r="S191" i="46" s="1"/>
  <c r="J189" i="50"/>
  <c r="S190" i="46" s="1"/>
  <c r="J188" i="50"/>
  <c r="S189" i="46" s="1"/>
  <c r="J187" i="50"/>
  <c r="S188" i="46" s="1"/>
  <c r="J186" i="50"/>
  <c r="S187" i="46" s="1"/>
  <c r="J185" i="50"/>
  <c r="S186" i="46" s="1"/>
  <c r="J184" i="50"/>
  <c r="S185" i="46" s="1"/>
  <c r="J183" i="50"/>
  <c r="S184" i="46" s="1"/>
  <c r="J182" i="50"/>
  <c r="S183" i="46" s="1"/>
  <c r="J181" i="50"/>
  <c r="S182" i="46" s="1"/>
  <c r="J180" i="50"/>
  <c r="S181" i="46" s="1"/>
  <c r="J179" i="50"/>
  <c r="S180" i="46" s="1"/>
  <c r="J178" i="50"/>
  <c r="S179" i="46" s="1"/>
  <c r="J177" i="50"/>
  <c r="S178" i="46" s="1"/>
  <c r="J176" i="50"/>
  <c r="S177" i="46" s="1"/>
  <c r="J175" i="50"/>
  <c r="S176" i="46" s="1"/>
  <c r="J174" i="50"/>
  <c r="S175" i="46" s="1"/>
  <c r="J173" i="50"/>
  <c r="S174" i="46" s="1"/>
  <c r="J172" i="50"/>
  <c r="S173" i="46" s="1"/>
  <c r="J171" i="50"/>
  <c r="S172" i="46" s="1"/>
  <c r="J170" i="50"/>
  <c r="S171" i="46" s="1"/>
  <c r="J169" i="50"/>
  <c r="S170" i="46" s="1"/>
  <c r="J168" i="50"/>
  <c r="S169" i="46" s="1"/>
  <c r="J167" i="50"/>
  <c r="S168" i="46" s="1"/>
  <c r="J166" i="50"/>
  <c r="S167" i="46" s="1"/>
  <c r="J165" i="50"/>
  <c r="S166" i="46" s="1"/>
  <c r="J164" i="50"/>
  <c r="S165" i="46" s="1"/>
  <c r="J163" i="50"/>
  <c r="S164" i="46" s="1"/>
  <c r="J162" i="50"/>
  <c r="S163" i="46" s="1"/>
  <c r="J161" i="50"/>
  <c r="S162" i="46" s="1"/>
  <c r="J160" i="50"/>
  <c r="S161" i="46" s="1"/>
  <c r="J159" i="50"/>
  <c r="S160" i="46" s="1"/>
  <c r="J158" i="50"/>
  <c r="S159" i="46" s="1"/>
  <c r="J157" i="50"/>
  <c r="S158" i="46" s="1"/>
  <c r="J156" i="50"/>
  <c r="S157" i="46" s="1"/>
  <c r="J155" i="50"/>
  <c r="S156" i="46" s="1"/>
  <c r="J154" i="50"/>
  <c r="S155" i="46" s="1"/>
  <c r="J153" i="50"/>
  <c r="S154" i="46" s="1"/>
  <c r="J152" i="50"/>
  <c r="S153" i="46" s="1"/>
  <c r="J151" i="50"/>
  <c r="S152" i="46" s="1"/>
  <c r="J150" i="50"/>
  <c r="S151" i="46" s="1"/>
  <c r="J149" i="50"/>
  <c r="S150" i="46" s="1"/>
  <c r="J148" i="50"/>
  <c r="S149" i="46" s="1"/>
  <c r="J147" i="50"/>
  <c r="S148" i="46" s="1"/>
  <c r="J146" i="50"/>
  <c r="S147" i="46" s="1"/>
  <c r="J145" i="50"/>
  <c r="S146" i="46" s="1"/>
  <c r="J144" i="50"/>
  <c r="S145" i="46" s="1"/>
  <c r="J143" i="50"/>
  <c r="S144" i="46" s="1"/>
  <c r="J142" i="50"/>
  <c r="S143" i="46" s="1"/>
  <c r="J141" i="50"/>
  <c r="S142" i="46" s="1"/>
  <c r="J140" i="50"/>
  <c r="S141" i="46" s="1"/>
  <c r="J139" i="50"/>
  <c r="S140" i="46" s="1"/>
  <c r="J138" i="50"/>
  <c r="S139" i="46" s="1"/>
  <c r="J137" i="50"/>
  <c r="S138" i="46" s="1"/>
  <c r="J136" i="50"/>
  <c r="S137" i="46" s="1"/>
  <c r="J135" i="50"/>
  <c r="S136" i="46" s="1"/>
  <c r="J134" i="50"/>
  <c r="S135" i="46" s="1"/>
  <c r="J133" i="50"/>
  <c r="S134" i="46" s="1"/>
  <c r="J132" i="50"/>
  <c r="S133" i="46" s="1"/>
  <c r="J131" i="50"/>
  <c r="S132" i="46" s="1"/>
  <c r="J130" i="50"/>
  <c r="S131" i="46" s="1"/>
  <c r="J129" i="50"/>
  <c r="S130" i="46" s="1"/>
  <c r="J128" i="50"/>
  <c r="S129" i="46" s="1"/>
  <c r="J127" i="50"/>
  <c r="S128" i="46" s="1"/>
  <c r="J126" i="50"/>
  <c r="S127" i="46" s="1"/>
  <c r="J125" i="50"/>
  <c r="S126" i="46" s="1"/>
  <c r="J124" i="50"/>
  <c r="S125" i="46" s="1"/>
  <c r="J123" i="50"/>
  <c r="S124" i="46" s="1"/>
  <c r="J122" i="50"/>
  <c r="S123" i="46" s="1"/>
  <c r="J121" i="50"/>
  <c r="S122" i="46" s="1"/>
  <c r="J120" i="50"/>
  <c r="S121" i="46" s="1"/>
  <c r="J119" i="50"/>
  <c r="S120" i="46" s="1"/>
  <c r="J118" i="50"/>
  <c r="S119" i="46" s="1"/>
  <c r="J117" i="50"/>
  <c r="S118" i="46" s="1"/>
  <c r="J116" i="50"/>
  <c r="S117" i="46" s="1"/>
  <c r="J115" i="50"/>
  <c r="S116" i="46" s="1"/>
  <c r="J114" i="50"/>
  <c r="S115" i="46" s="1"/>
  <c r="J113" i="50"/>
  <c r="S114" i="46" s="1"/>
  <c r="J112" i="50"/>
  <c r="S113" i="46" s="1"/>
  <c r="J111" i="50"/>
  <c r="S112" i="46" s="1"/>
  <c r="J110" i="50"/>
  <c r="S111" i="46" s="1"/>
  <c r="J109" i="50"/>
  <c r="S110" i="46" s="1"/>
  <c r="J108" i="50"/>
  <c r="S109" i="46" s="1"/>
  <c r="J107" i="50"/>
  <c r="S108" i="46" s="1"/>
  <c r="J106" i="50"/>
  <c r="S107" i="46" s="1"/>
  <c r="J105" i="50"/>
  <c r="S106" i="46" s="1"/>
  <c r="J104" i="50"/>
  <c r="S105" i="46" s="1"/>
  <c r="J103" i="50"/>
  <c r="S104" i="46" s="1"/>
  <c r="J102" i="50"/>
  <c r="S103" i="46" s="1"/>
  <c r="J101" i="50"/>
  <c r="S102" i="46" s="1"/>
  <c r="J100" i="50"/>
  <c r="S101" i="46" s="1"/>
  <c r="J99" i="50"/>
  <c r="S100" i="46" s="1"/>
  <c r="J98" i="50"/>
  <c r="S99" i="46" s="1"/>
  <c r="J97" i="50"/>
  <c r="S98" i="46" s="1"/>
  <c r="J96" i="50"/>
  <c r="S97" i="46" s="1"/>
  <c r="J95" i="50"/>
  <c r="S96" i="46" s="1"/>
  <c r="J94" i="50"/>
  <c r="S95" i="46" s="1"/>
  <c r="J93" i="50"/>
  <c r="S94" i="46" s="1"/>
  <c r="J92" i="50"/>
  <c r="S93" i="46" s="1"/>
  <c r="J91" i="50"/>
  <c r="S92" i="46" s="1"/>
  <c r="J90" i="50"/>
  <c r="S91" i="46" s="1"/>
  <c r="J89" i="50"/>
  <c r="S90" i="46" s="1"/>
  <c r="J88" i="50"/>
  <c r="S89" i="46" s="1"/>
  <c r="J87" i="50"/>
  <c r="S88" i="46" s="1"/>
  <c r="J86" i="50"/>
  <c r="S87" i="46" s="1"/>
  <c r="J85" i="50"/>
  <c r="S86" i="46" s="1"/>
  <c r="J84" i="50"/>
  <c r="S85" i="46" s="1"/>
  <c r="J83" i="50"/>
  <c r="S84" i="46" s="1"/>
  <c r="J82" i="50"/>
  <c r="S83" i="46" s="1"/>
  <c r="J81" i="50"/>
  <c r="S82" i="46" s="1"/>
  <c r="J80" i="50"/>
  <c r="S81" i="46" s="1"/>
  <c r="J79" i="50"/>
  <c r="S80" i="46" s="1"/>
  <c r="J78" i="50"/>
  <c r="S79" i="46" s="1"/>
  <c r="J77" i="50"/>
  <c r="S78" i="46" s="1"/>
  <c r="J76" i="50"/>
  <c r="S77" i="46" s="1"/>
  <c r="J75" i="50"/>
  <c r="S76" i="46" s="1"/>
  <c r="J74" i="50"/>
  <c r="S75" i="46" s="1"/>
  <c r="J73" i="50"/>
  <c r="S74" i="46" s="1"/>
  <c r="J72" i="50"/>
  <c r="S73" i="46" s="1"/>
  <c r="J71" i="50"/>
  <c r="S72" i="46" s="1"/>
  <c r="J70" i="50"/>
  <c r="S71" i="46" s="1"/>
  <c r="J69" i="50"/>
  <c r="S70" i="46" s="1"/>
  <c r="J68" i="50"/>
  <c r="S69" i="46" s="1"/>
  <c r="J67" i="50"/>
  <c r="S68" i="46" s="1"/>
  <c r="J66" i="50"/>
  <c r="S67" i="46" s="1"/>
  <c r="J65" i="50"/>
  <c r="S66" i="46" s="1"/>
  <c r="J64" i="50"/>
  <c r="S65" i="46" s="1"/>
  <c r="J63" i="50"/>
  <c r="S64" i="46" s="1"/>
  <c r="J62" i="50"/>
  <c r="S63" i="46" s="1"/>
  <c r="J61" i="50"/>
  <c r="S62" i="46" s="1"/>
  <c r="J60" i="50"/>
  <c r="S61" i="46" s="1"/>
  <c r="J59" i="50"/>
  <c r="S60" i="46" s="1"/>
  <c r="J58" i="50"/>
  <c r="S59" i="46" s="1"/>
  <c r="J57" i="50"/>
  <c r="S58" i="46" s="1"/>
  <c r="J56" i="50"/>
  <c r="S57" i="46" s="1"/>
  <c r="J55" i="50"/>
  <c r="S56" i="46" s="1"/>
  <c r="J54" i="50"/>
  <c r="S55" i="46" s="1"/>
  <c r="J53" i="50"/>
  <c r="S54" i="46" s="1"/>
  <c r="J52" i="50"/>
  <c r="S53" i="46" s="1"/>
  <c r="J51" i="50"/>
  <c r="S52" i="46" s="1"/>
  <c r="J50" i="50"/>
  <c r="S51" i="46" s="1"/>
  <c r="J49" i="50"/>
  <c r="S50" i="46" s="1"/>
  <c r="J48" i="50"/>
  <c r="S49" i="46" s="1"/>
  <c r="J47" i="50"/>
  <c r="S48" i="46" s="1"/>
  <c r="J46" i="50"/>
  <c r="S47" i="46" s="1"/>
  <c r="J45" i="50"/>
  <c r="S46" i="46" s="1"/>
  <c r="J44" i="50"/>
  <c r="S45" i="46" s="1"/>
  <c r="J43" i="50"/>
  <c r="S44" i="46" s="1"/>
  <c r="J42" i="50"/>
  <c r="S43" i="46" s="1"/>
  <c r="J41" i="50"/>
  <c r="S42" i="46" s="1"/>
  <c r="J40" i="50"/>
  <c r="S41" i="46" s="1"/>
  <c r="J39" i="50"/>
  <c r="S40" i="46" s="1"/>
  <c r="J38" i="50"/>
  <c r="S39" i="46" s="1"/>
  <c r="J37" i="50"/>
  <c r="S38" i="46" s="1"/>
  <c r="J36" i="50"/>
  <c r="S37" i="46" s="1"/>
  <c r="J35" i="50"/>
  <c r="S36" i="46" s="1"/>
  <c r="J34" i="50"/>
  <c r="S35" i="46" s="1"/>
  <c r="J33" i="50"/>
  <c r="S34" i="46" s="1"/>
  <c r="J32" i="50"/>
  <c r="J31" i="50"/>
  <c r="S32" i="46" s="1"/>
  <c r="J30" i="50"/>
  <c r="S31" i="46" s="1"/>
  <c r="J29" i="50"/>
  <c r="S30" i="46" s="1"/>
  <c r="J28" i="50"/>
  <c r="J27" i="50"/>
  <c r="S28" i="46" s="1"/>
  <c r="J26" i="50"/>
  <c r="S27" i="46" s="1"/>
  <c r="J25" i="50"/>
  <c r="S26" i="46" s="1"/>
  <c r="J24" i="50"/>
  <c r="S25" i="46" s="1"/>
  <c r="J23" i="50"/>
  <c r="S24" i="46" s="1"/>
  <c r="J22" i="50"/>
  <c r="S23" i="46" s="1"/>
  <c r="J21" i="50"/>
  <c r="S22" i="46" s="1"/>
  <c r="J20" i="50"/>
  <c r="S21" i="46" s="1"/>
  <c r="J19" i="50"/>
  <c r="S20" i="46" s="1"/>
  <c r="J18" i="50"/>
  <c r="S19" i="46" s="1"/>
  <c r="J17" i="50"/>
  <c r="S18" i="46" s="1"/>
  <c r="J16" i="50"/>
  <c r="S17" i="46" s="1"/>
  <c r="J15" i="50"/>
  <c r="S16" i="46" s="1"/>
  <c r="J14" i="50"/>
  <c r="S15" i="46" s="1"/>
  <c r="J13" i="50"/>
  <c r="S14" i="46" s="1"/>
  <c r="J12" i="50"/>
  <c r="S13" i="46" s="1"/>
  <c r="J11" i="50"/>
  <c r="S12" i="46" s="1"/>
  <c r="J10" i="50"/>
  <c r="S11" i="46" s="1"/>
  <c r="J9" i="50"/>
  <c r="S10" i="46" s="1"/>
  <c r="J8" i="50"/>
  <c r="S9" i="46" s="1"/>
  <c r="J7" i="50"/>
  <c r="S8" i="46" s="1"/>
  <c r="J6" i="50"/>
  <c r="S7" i="46" s="1"/>
  <c r="J5" i="50"/>
  <c r="S6" i="46" s="1"/>
  <c r="J4" i="50"/>
  <c r="S5" i="46" s="1"/>
  <c r="J3" i="50"/>
  <c r="S4" i="46" s="1"/>
  <c r="J2" i="50"/>
  <c r="I3" i="50"/>
  <c r="O4" i="46" s="1"/>
  <c r="I4" i="50"/>
  <c r="O5" i="46" s="1"/>
  <c r="I5" i="50"/>
  <c r="O6" i="46" s="1"/>
  <c r="I6" i="50"/>
  <c r="O7" i="46" s="1"/>
  <c r="I7" i="50"/>
  <c r="O8" i="46" s="1"/>
  <c r="I8" i="50"/>
  <c r="O9" i="46" s="1"/>
  <c r="I9" i="50"/>
  <c r="O10" i="46" s="1"/>
  <c r="I10" i="50"/>
  <c r="O11" i="46" s="1"/>
  <c r="I11" i="50"/>
  <c r="O12" i="46" s="1"/>
  <c r="I12" i="50"/>
  <c r="O13" i="46" s="1"/>
  <c r="I13" i="50"/>
  <c r="O14" i="46" s="1"/>
  <c r="I14" i="50"/>
  <c r="O15" i="46" s="1"/>
  <c r="I15" i="50"/>
  <c r="O16" i="46" s="1"/>
  <c r="I16" i="50"/>
  <c r="O17" i="46" s="1"/>
  <c r="I17" i="50"/>
  <c r="O18" i="46" s="1"/>
  <c r="I18" i="50"/>
  <c r="O19" i="46" s="1"/>
  <c r="I19" i="50"/>
  <c r="O20" i="46" s="1"/>
  <c r="I20" i="50"/>
  <c r="O21" i="46" s="1"/>
  <c r="I21" i="50"/>
  <c r="O22" i="46" s="1"/>
  <c r="I22" i="50"/>
  <c r="O23" i="46" s="1"/>
  <c r="I23" i="50"/>
  <c r="O24" i="46" s="1"/>
  <c r="I24" i="50"/>
  <c r="O25" i="46" s="1"/>
  <c r="I25" i="50"/>
  <c r="O26" i="46" s="1"/>
  <c r="I26" i="50"/>
  <c r="O27" i="46" s="1"/>
  <c r="I27" i="50"/>
  <c r="O28" i="46" s="1"/>
  <c r="I28" i="50"/>
  <c r="O29" i="46" s="1"/>
  <c r="I29" i="50"/>
  <c r="O30" i="46" s="1"/>
  <c r="I30" i="50"/>
  <c r="O31" i="46" s="1"/>
  <c r="I31" i="50"/>
  <c r="O32" i="46" s="1"/>
  <c r="I32" i="50"/>
  <c r="O33" i="46" s="1"/>
  <c r="I33" i="50"/>
  <c r="O34" i="46" s="1"/>
  <c r="I34" i="50"/>
  <c r="O35" i="46" s="1"/>
  <c r="I35" i="50"/>
  <c r="O36" i="46" s="1"/>
  <c r="I36" i="50"/>
  <c r="O37" i="46" s="1"/>
  <c r="I37" i="50"/>
  <c r="O38" i="46" s="1"/>
  <c r="I38" i="50"/>
  <c r="O39" i="46" s="1"/>
  <c r="I39" i="50"/>
  <c r="O40" i="46" s="1"/>
  <c r="I40" i="50"/>
  <c r="O41" i="46" s="1"/>
  <c r="I41" i="50"/>
  <c r="O42" i="46" s="1"/>
  <c r="I42" i="50"/>
  <c r="I43" i="50"/>
  <c r="O44" i="46" s="1"/>
  <c r="I44" i="50"/>
  <c r="O45" i="46" s="1"/>
  <c r="I45" i="50"/>
  <c r="O46" i="46" s="1"/>
  <c r="I46" i="50"/>
  <c r="O47" i="46" s="1"/>
  <c r="I47" i="50"/>
  <c r="O48" i="46" s="1"/>
  <c r="I48" i="50"/>
  <c r="O49" i="46" s="1"/>
  <c r="I49" i="50"/>
  <c r="O50" i="46" s="1"/>
  <c r="I50" i="50"/>
  <c r="O51" i="46" s="1"/>
  <c r="I51" i="50"/>
  <c r="O52" i="46" s="1"/>
  <c r="I52" i="50"/>
  <c r="O53" i="46" s="1"/>
  <c r="I53" i="50"/>
  <c r="O54" i="46" s="1"/>
  <c r="I54" i="50"/>
  <c r="O55" i="46" s="1"/>
  <c r="I55" i="50"/>
  <c r="O56" i="46" s="1"/>
  <c r="I56" i="50"/>
  <c r="O57" i="46" s="1"/>
  <c r="I57" i="50"/>
  <c r="O58" i="46" s="1"/>
  <c r="I58" i="50"/>
  <c r="O59" i="46" s="1"/>
  <c r="I59" i="50"/>
  <c r="O60" i="46" s="1"/>
  <c r="I60" i="50"/>
  <c r="O61" i="46" s="1"/>
  <c r="I61" i="50"/>
  <c r="O62" i="46" s="1"/>
  <c r="I62" i="50"/>
  <c r="O63" i="46" s="1"/>
  <c r="I63" i="50"/>
  <c r="O64" i="46" s="1"/>
  <c r="I64" i="50"/>
  <c r="O65" i="46" s="1"/>
  <c r="I65" i="50"/>
  <c r="O66" i="46" s="1"/>
  <c r="I66" i="50"/>
  <c r="O67" i="46" s="1"/>
  <c r="I67" i="50"/>
  <c r="O68" i="46" s="1"/>
  <c r="I68" i="50"/>
  <c r="O69" i="46" s="1"/>
  <c r="I69" i="50"/>
  <c r="O70" i="46" s="1"/>
  <c r="I70" i="50"/>
  <c r="O71" i="46" s="1"/>
  <c r="I71" i="50"/>
  <c r="O72" i="46" s="1"/>
  <c r="I72" i="50"/>
  <c r="O73" i="46" s="1"/>
  <c r="I73" i="50"/>
  <c r="O74" i="46" s="1"/>
  <c r="I74" i="50"/>
  <c r="O75" i="46" s="1"/>
  <c r="I75" i="50"/>
  <c r="O76" i="46" s="1"/>
  <c r="I76" i="50"/>
  <c r="O77" i="46" s="1"/>
  <c r="I77" i="50"/>
  <c r="O78" i="46" s="1"/>
  <c r="I78" i="50"/>
  <c r="O79" i="46" s="1"/>
  <c r="I79" i="50"/>
  <c r="O80" i="46" s="1"/>
  <c r="I80" i="50"/>
  <c r="O81" i="46" s="1"/>
  <c r="I81" i="50"/>
  <c r="O82" i="46" s="1"/>
  <c r="I82" i="50"/>
  <c r="O83" i="46" s="1"/>
  <c r="I83" i="50"/>
  <c r="O84" i="46" s="1"/>
  <c r="I84" i="50"/>
  <c r="O85" i="46" s="1"/>
  <c r="I85" i="50"/>
  <c r="O86" i="46" s="1"/>
  <c r="I86" i="50"/>
  <c r="O87" i="46" s="1"/>
  <c r="I87" i="50"/>
  <c r="O88" i="46" s="1"/>
  <c r="I88" i="50"/>
  <c r="O89" i="46" s="1"/>
  <c r="I89" i="50"/>
  <c r="O90" i="46" s="1"/>
  <c r="I90" i="50"/>
  <c r="O91" i="46" s="1"/>
  <c r="I91" i="50"/>
  <c r="O92" i="46" s="1"/>
  <c r="I92" i="50"/>
  <c r="O93" i="46" s="1"/>
  <c r="I93" i="50"/>
  <c r="O94" i="46" s="1"/>
  <c r="I94" i="50"/>
  <c r="O95" i="46" s="1"/>
  <c r="I95" i="50"/>
  <c r="O96" i="46" s="1"/>
  <c r="I96" i="50"/>
  <c r="O97" i="46" s="1"/>
  <c r="I97" i="50"/>
  <c r="O98" i="46" s="1"/>
  <c r="I98" i="50"/>
  <c r="O99" i="46" s="1"/>
  <c r="I99" i="50"/>
  <c r="O100" i="46" s="1"/>
  <c r="I100" i="50"/>
  <c r="O101" i="46" s="1"/>
  <c r="I101" i="50"/>
  <c r="O102" i="46" s="1"/>
  <c r="I102" i="50"/>
  <c r="O103" i="46" s="1"/>
  <c r="I103" i="50"/>
  <c r="O104" i="46" s="1"/>
  <c r="I104" i="50"/>
  <c r="O105" i="46" s="1"/>
  <c r="I105" i="50"/>
  <c r="O106" i="46" s="1"/>
  <c r="I106" i="50"/>
  <c r="O107" i="46" s="1"/>
  <c r="I107" i="50"/>
  <c r="O108" i="46" s="1"/>
  <c r="I108" i="50"/>
  <c r="O109" i="46" s="1"/>
  <c r="I109" i="50"/>
  <c r="O110" i="46" s="1"/>
  <c r="I110" i="50"/>
  <c r="O111" i="46" s="1"/>
  <c r="I111" i="50"/>
  <c r="O112" i="46" s="1"/>
  <c r="I112" i="50"/>
  <c r="O113" i="46" s="1"/>
  <c r="I113" i="50"/>
  <c r="O114" i="46" s="1"/>
  <c r="I114" i="50"/>
  <c r="O115" i="46" s="1"/>
  <c r="I115" i="50"/>
  <c r="O116" i="46" s="1"/>
  <c r="I116" i="50"/>
  <c r="O117" i="46" s="1"/>
  <c r="I117" i="50"/>
  <c r="O118" i="46" s="1"/>
  <c r="I118" i="50"/>
  <c r="O119" i="46" s="1"/>
  <c r="I119" i="50"/>
  <c r="O120" i="46" s="1"/>
  <c r="I120" i="50"/>
  <c r="O121" i="46" s="1"/>
  <c r="I121" i="50"/>
  <c r="O122" i="46" s="1"/>
  <c r="I122" i="50"/>
  <c r="O123" i="46" s="1"/>
  <c r="I123" i="50"/>
  <c r="O124" i="46" s="1"/>
  <c r="I124" i="50"/>
  <c r="O125" i="46" s="1"/>
  <c r="I125" i="50"/>
  <c r="O126" i="46" s="1"/>
  <c r="I126" i="50"/>
  <c r="O127" i="46" s="1"/>
  <c r="I127" i="50"/>
  <c r="O128" i="46" s="1"/>
  <c r="I128" i="50"/>
  <c r="O129" i="46" s="1"/>
  <c r="I129" i="50"/>
  <c r="O130" i="46" s="1"/>
  <c r="I130" i="50"/>
  <c r="O131" i="46" s="1"/>
  <c r="I131" i="50"/>
  <c r="O132" i="46" s="1"/>
  <c r="I132" i="50"/>
  <c r="O133" i="46" s="1"/>
  <c r="I133" i="50"/>
  <c r="O134" i="46" s="1"/>
  <c r="I134" i="50"/>
  <c r="O135" i="46" s="1"/>
  <c r="I135" i="50"/>
  <c r="I136" i="50"/>
  <c r="O137" i="46" s="1"/>
  <c r="I137" i="50"/>
  <c r="O138" i="46" s="1"/>
  <c r="I138" i="50"/>
  <c r="O139" i="46" s="1"/>
  <c r="I139" i="50"/>
  <c r="O140" i="46" s="1"/>
  <c r="I140" i="50"/>
  <c r="O141" i="46" s="1"/>
  <c r="I141" i="50"/>
  <c r="O142" i="46" s="1"/>
  <c r="I142" i="50"/>
  <c r="O143" i="46" s="1"/>
  <c r="I143" i="50"/>
  <c r="O144" i="46" s="1"/>
  <c r="I144" i="50"/>
  <c r="O145" i="46" s="1"/>
  <c r="I145" i="50"/>
  <c r="O146" i="46" s="1"/>
  <c r="I146" i="50"/>
  <c r="O147" i="46" s="1"/>
  <c r="I147" i="50"/>
  <c r="O148" i="46" s="1"/>
  <c r="I148" i="50"/>
  <c r="O149" i="46" s="1"/>
  <c r="I149" i="50"/>
  <c r="O150" i="46" s="1"/>
  <c r="I150" i="50"/>
  <c r="O151" i="46" s="1"/>
  <c r="I151" i="50"/>
  <c r="O152" i="46" s="1"/>
  <c r="I152" i="50"/>
  <c r="O153" i="46" s="1"/>
  <c r="I153" i="50"/>
  <c r="O154" i="46" s="1"/>
  <c r="I154" i="50"/>
  <c r="O155" i="46" s="1"/>
  <c r="I155" i="50"/>
  <c r="O156" i="46" s="1"/>
  <c r="I156" i="50"/>
  <c r="O157" i="46" s="1"/>
  <c r="I157" i="50"/>
  <c r="O158" i="46" s="1"/>
  <c r="I158" i="50"/>
  <c r="O159" i="46" s="1"/>
  <c r="I159" i="50"/>
  <c r="O160" i="46" s="1"/>
  <c r="I160" i="50"/>
  <c r="O161" i="46" s="1"/>
  <c r="I161" i="50"/>
  <c r="O162" i="46" s="1"/>
  <c r="I162" i="50"/>
  <c r="O163" i="46" s="1"/>
  <c r="I163" i="50"/>
  <c r="O164" i="46" s="1"/>
  <c r="I164" i="50"/>
  <c r="O165" i="46" s="1"/>
  <c r="I165" i="50"/>
  <c r="O166" i="46" s="1"/>
  <c r="I166" i="50"/>
  <c r="O167" i="46" s="1"/>
  <c r="I167" i="50"/>
  <c r="O168" i="46" s="1"/>
  <c r="I168" i="50"/>
  <c r="O169" i="46" s="1"/>
  <c r="I169" i="50"/>
  <c r="O170" i="46" s="1"/>
  <c r="I170" i="50"/>
  <c r="O171" i="46" s="1"/>
  <c r="I171" i="50"/>
  <c r="O172" i="46" s="1"/>
  <c r="I172" i="50"/>
  <c r="O173" i="46" s="1"/>
  <c r="I173" i="50"/>
  <c r="O174" i="46" s="1"/>
  <c r="I174" i="50"/>
  <c r="O175" i="46" s="1"/>
  <c r="I175" i="50"/>
  <c r="O176" i="46" s="1"/>
  <c r="I176" i="50"/>
  <c r="O177" i="46" s="1"/>
  <c r="I177" i="50"/>
  <c r="O178" i="46" s="1"/>
  <c r="I178" i="50"/>
  <c r="O179" i="46" s="1"/>
  <c r="I179" i="50"/>
  <c r="O180" i="46" s="1"/>
  <c r="I180" i="50"/>
  <c r="O181" i="46" s="1"/>
  <c r="I181" i="50"/>
  <c r="O182" i="46" s="1"/>
  <c r="I182" i="50"/>
  <c r="O183" i="46" s="1"/>
  <c r="I183" i="50"/>
  <c r="O184" i="46" s="1"/>
  <c r="I184" i="50"/>
  <c r="O185" i="46" s="1"/>
  <c r="I185" i="50"/>
  <c r="O186" i="46" s="1"/>
  <c r="I186" i="50"/>
  <c r="O187" i="46" s="1"/>
  <c r="I187" i="50"/>
  <c r="O188" i="46" s="1"/>
  <c r="I188" i="50"/>
  <c r="O189" i="46" s="1"/>
  <c r="I189" i="50"/>
  <c r="O190" i="46" s="1"/>
  <c r="I190" i="50"/>
  <c r="O191" i="46" s="1"/>
  <c r="I191" i="50"/>
  <c r="O192" i="46" s="1"/>
  <c r="I192" i="50"/>
  <c r="O193" i="46" s="1"/>
  <c r="I193" i="50"/>
  <c r="O194" i="46" s="1"/>
  <c r="I194" i="50"/>
  <c r="O195" i="46" s="1"/>
  <c r="I195" i="50"/>
  <c r="O196" i="46" s="1"/>
  <c r="I196" i="50"/>
  <c r="O197" i="46" s="1"/>
  <c r="I197" i="50"/>
  <c r="O198" i="46" s="1"/>
  <c r="I198" i="50"/>
  <c r="O199" i="46" s="1"/>
  <c r="I199" i="50"/>
  <c r="O200" i="46" s="1"/>
  <c r="I200" i="50"/>
  <c r="O201" i="46" s="1"/>
  <c r="I201" i="50"/>
  <c r="O202" i="46" s="1"/>
  <c r="I202" i="50"/>
  <c r="O203" i="46" s="1"/>
  <c r="I203" i="50"/>
  <c r="O204" i="46" s="1"/>
  <c r="I204" i="50"/>
  <c r="O205" i="46" s="1"/>
  <c r="I205" i="50"/>
  <c r="O206" i="46" s="1"/>
  <c r="I206" i="50"/>
  <c r="O207" i="46" s="1"/>
  <c r="I207" i="50"/>
  <c r="O208" i="46" s="1"/>
  <c r="I208" i="50"/>
  <c r="O209" i="46" s="1"/>
  <c r="I209" i="50"/>
  <c r="O210" i="46" s="1"/>
  <c r="I210" i="50"/>
  <c r="O211" i="46" s="1"/>
  <c r="I211" i="50"/>
  <c r="O212" i="46" s="1"/>
  <c r="I212" i="50"/>
  <c r="O213" i="46" s="1"/>
  <c r="I213" i="50"/>
  <c r="O214" i="46" s="1"/>
  <c r="I214" i="50"/>
  <c r="O215" i="46" s="1"/>
  <c r="I215" i="50"/>
  <c r="O216" i="46" s="1"/>
  <c r="I216" i="50"/>
  <c r="O217" i="46" s="1"/>
  <c r="I217" i="50"/>
  <c r="O218" i="46" s="1"/>
  <c r="I218" i="50"/>
  <c r="O219" i="46" s="1"/>
  <c r="I219" i="50"/>
  <c r="O220" i="46" s="1"/>
  <c r="I220" i="50"/>
  <c r="O221" i="46" s="1"/>
  <c r="I221" i="50"/>
  <c r="O222" i="46" s="1"/>
  <c r="I222" i="50"/>
  <c r="O223" i="46" s="1"/>
  <c r="I223" i="50"/>
  <c r="O224" i="46" s="1"/>
  <c r="I224" i="50"/>
  <c r="O225" i="46" s="1"/>
  <c r="I225" i="50"/>
  <c r="O226" i="46" s="1"/>
  <c r="I226" i="50"/>
  <c r="O227" i="46" s="1"/>
  <c r="I227" i="50"/>
  <c r="O228" i="46" s="1"/>
  <c r="I228" i="50"/>
  <c r="O229" i="46" s="1"/>
  <c r="I229" i="50"/>
  <c r="O230" i="46" s="1"/>
  <c r="I230" i="50"/>
  <c r="O231" i="46" s="1"/>
  <c r="I231" i="50"/>
  <c r="O232" i="46" s="1"/>
  <c r="I232" i="50"/>
  <c r="O233" i="46" s="1"/>
  <c r="I233" i="50"/>
  <c r="O234" i="46" s="1"/>
  <c r="I234" i="50"/>
  <c r="O235" i="46" s="1"/>
  <c r="I235" i="50"/>
  <c r="O236" i="46" s="1"/>
  <c r="I236" i="50"/>
  <c r="O237" i="46" s="1"/>
  <c r="I237" i="50"/>
  <c r="O238" i="46" s="1"/>
  <c r="I238" i="50"/>
  <c r="O239" i="46" s="1"/>
  <c r="I239" i="50"/>
  <c r="O240" i="46" s="1"/>
  <c r="I240" i="50"/>
  <c r="O241" i="46" s="1"/>
  <c r="I241" i="50"/>
  <c r="O242" i="46" s="1"/>
  <c r="I242" i="50"/>
  <c r="O243" i="46" s="1"/>
  <c r="I243" i="50"/>
  <c r="O244" i="46" s="1"/>
  <c r="I244" i="50"/>
  <c r="O245" i="46" s="1"/>
  <c r="I245" i="50"/>
  <c r="O246" i="46" s="1"/>
  <c r="I246" i="50"/>
  <c r="O247" i="46" s="1"/>
  <c r="I247" i="50"/>
  <c r="O248" i="46" s="1"/>
  <c r="I248" i="50"/>
  <c r="O249" i="46" s="1"/>
  <c r="I249" i="50"/>
  <c r="O250" i="46" s="1"/>
  <c r="I250" i="50"/>
  <c r="O251" i="46" s="1"/>
  <c r="I251" i="50"/>
  <c r="O252" i="46" s="1"/>
  <c r="I252" i="50"/>
  <c r="O253" i="46" s="1"/>
  <c r="I253" i="50"/>
  <c r="O254" i="46" s="1"/>
  <c r="I254" i="50"/>
  <c r="O255" i="46" s="1"/>
  <c r="I255" i="50"/>
  <c r="O256" i="46" s="1"/>
  <c r="I256" i="50"/>
  <c r="O257" i="46" s="1"/>
  <c r="I257" i="50"/>
  <c r="O258" i="46" s="1"/>
  <c r="I258" i="50"/>
  <c r="O259" i="46" s="1"/>
  <c r="I259" i="50"/>
  <c r="O260" i="46" s="1"/>
  <c r="I260" i="50"/>
  <c r="O261" i="46" s="1"/>
  <c r="I261" i="50"/>
  <c r="O262" i="46" s="1"/>
  <c r="I262" i="50"/>
  <c r="O263" i="46" s="1"/>
  <c r="I263" i="50"/>
  <c r="O264" i="46" s="1"/>
  <c r="I264" i="50"/>
  <c r="O265" i="46" s="1"/>
  <c r="I265" i="50"/>
  <c r="O266" i="46" s="1"/>
  <c r="I266" i="50"/>
  <c r="O267" i="46" s="1"/>
  <c r="I267" i="50"/>
  <c r="O268" i="46" s="1"/>
  <c r="I268" i="50"/>
  <c r="O269" i="46" s="1"/>
  <c r="I269" i="50"/>
  <c r="O270" i="46" s="1"/>
  <c r="I270" i="50"/>
  <c r="O271" i="46" s="1"/>
  <c r="I271" i="50"/>
  <c r="O272" i="46" s="1"/>
  <c r="I272" i="50"/>
  <c r="O273" i="46" s="1"/>
  <c r="I273" i="50"/>
  <c r="O274" i="46" s="1"/>
  <c r="I274" i="50"/>
  <c r="O275" i="46" s="1"/>
  <c r="I275" i="50"/>
  <c r="O276" i="46" s="1"/>
  <c r="I276" i="50"/>
  <c r="O277" i="46" s="1"/>
  <c r="I277" i="50"/>
  <c r="O278" i="46" s="1"/>
  <c r="I278" i="50"/>
  <c r="O279" i="46" s="1"/>
  <c r="I279" i="50"/>
  <c r="O280" i="46" s="1"/>
  <c r="I280" i="50"/>
  <c r="O281" i="46" s="1"/>
  <c r="I281" i="50"/>
  <c r="O282" i="46" s="1"/>
  <c r="I282" i="50"/>
  <c r="O283" i="46" s="1"/>
  <c r="I283" i="50"/>
  <c r="O284" i="46" s="1"/>
  <c r="I284" i="50"/>
  <c r="O285" i="46" s="1"/>
  <c r="I285" i="50"/>
  <c r="O286" i="46" s="1"/>
  <c r="I286" i="50"/>
  <c r="O287" i="46" s="1"/>
  <c r="I287" i="50"/>
  <c r="O288" i="46" s="1"/>
  <c r="I288" i="50"/>
  <c r="O289" i="46" s="1"/>
  <c r="I289" i="50"/>
  <c r="O290" i="46" s="1"/>
  <c r="I290" i="50"/>
  <c r="O291" i="46" s="1"/>
  <c r="I291" i="50"/>
  <c r="O292" i="46" s="1"/>
  <c r="I292" i="50"/>
  <c r="O293" i="46" s="1"/>
  <c r="I293" i="50"/>
  <c r="O294" i="46" s="1"/>
  <c r="I294" i="50"/>
  <c r="O295" i="46" s="1"/>
  <c r="I295" i="50"/>
  <c r="O296" i="46" s="1"/>
  <c r="I296" i="50"/>
  <c r="O297" i="46" s="1"/>
  <c r="I297" i="50"/>
  <c r="O298" i="46" s="1"/>
  <c r="I298" i="50"/>
  <c r="O299" i="46" s="1"/>
  <c r="I299" i="50"/>
  <c r="O300" i="46" s="1"/>
  <c r="I300" i="50"/>
  <c r="O301" i="46" s="1"/>
  <c r="I301" i="50"/>
  <c r="O302" i="46" s="1"/>
  <c r="I302" i="50"/>
  <c r="O303" i="46" s="1"/>
  <c r="I303" i="50"/>
  <c r="O304" i="46" s="1"/>
  <c r="I304" i="50"/>
  <c r="O305" i="46" s="1"/>
  <c r="I305" i="50"/>
  <c r="O306" i="46" s="1"/>
  <c r="I306" i="50"/>
  <c r="O307" i="46" s="1"/>
  <c r="I307" i="50"/>
  <c r="O308" i="46" s="1"/>
  <c r="I308" i="50"/>
  <c r="O309" i="46" s="1"/>
  <c r="I309" i="50"/>
  <c r="O310" i="46" s="1"/>
  <c r="I310" i="50"/>
  <c r="O311" i="46" s="1"/>
  <c r="I311" i="50"/>
  <c r="O312" i="46" s="1"/>
  <c r="I312" i="50"/>
  <c r="O313" i="46" s="1"/>
  <c r="I313" i="50"/>
  <c r="O314" i="46" s="1"/>
  <c r="I314" i="50"/>
  <c r="O315" i="46" s="1"/>
  <c r="I315" i="50"/>
  <c r="O316" i="46" s="1"/>
  <c r="I316" i="50"/>
  <c r="O317" i="46" s="1"/>
  <c r="I317" i="50"/>
  <c r="O318" i="46" s="1"/>
  <c r="I318" i="50"/>
  <c r="O319" i="46" s="1"/>
  <c r="I319" i="50"/>
  <c r="O320" i="46" s="1"/>
  <c r="I320" i="50"/>
  <c r="O321" i="46" s="1"/>
  <c r="I321" i="50"/>
  <c r="O322" i="46" s="1"/>
  <c r="I322" i="50"/>
  <c r="O323" i="46" s="1"/>
  <c r="I323" i="50"/>
  <c r="O324" i="46" s="1"/>
  <c r="I324" i="50"/>
  <c r="O325" i="46" s="1"/>
  <c r="I325" i="50"/>
  <c r="O326" i="46" s="1"/>
  <c r="I326" i="50"/>
  <c r="O327" i="46" s="1"/>
  <c r="I327" i="50"/>
  <c r="O328" i="46" s="1"/>
  <c r="I328" i="50"/>
  <c r="O329" i="46" s="1"/>
  <c r="I329" i="50"/>
  <c r="O330" i="46" s="1"/>
  <c r="I330" i="50"/>
  <c r="O331" i="46" s="1"/>
  <c r="I331" i="50"/>
  <c r="O332" i="46" s="1"/>
  <c r="I332" i="50"/>
  <c r="O333" i="46" s="1"/>
  <c r="I333" i="50"/>
  <c r="O334" i="46" s="1"/>
  <c r="I334" i="50"/>
  <c r="O335" i="46" s="1"/>
  <c r="I335" i="50"/>
  <c r="O336" i="46" s="1"/>
  <c r="I336" i="50"/>
  <c r="O337" i="46" s="1"/>
  <c r="I337" i="50"/>
  <c r="O338" i="46" s="1"/>
  <c r="I338" i="50"/>
  <c r="O339" i="46" s="1"/>
  <c r="I339" i="50"/>
  <c r="O340" i="46" s="1"/>
  <c r="I340" i="50"/>
  <c r="O341" i="46" s="1"/>
  <c r="I341" i="50"/>
  <c r="O342" i="46" s="1"/>
  <c r="I342" i="50"/>
  <c r="O343" i="46" s="1"/>
  <c r="I343" i="50"/>
  <c r="O344" i="46" s="1"/>
  <c r="I344" i="50"/>
  <c r="O345" i="46" s="1"/>
  <c r="I345" i="50"/>
  <c r="O346" i="46" s="1"/>
  <c r="I346" i="50"/>
  <c r="O347" i="46" s="1"/>
  <c r="I347" i="50"/>
  <c r="O348" i="46" s="1"/>
  <c r="I348" i="50"/>
  <c r="O349" i="46" s="1"/>
  <c r="I349" i="50"/>
  <c r="O350" i="46" s="1"/>
  <c r="I350" i="50"/>
  <c r="O351" i="46" s="1"/>
  <c r="I351" i="50"/>
  <c r="O352" i="46" s="1"/>
  <c r="I352" i="50"/>
  <c r="O353" i="46" s="1"/>
  <c r="I353" i="50"/>
  <c r="O354" i="46" s="1"/>
  <c r="I354" i="50"/>
  <c r="O355" i="46" s="1"/>
  <c r="I355" i="50"/>
  <c r="O356" i="46" s="1"/>
  <c r="I356" i="50"/>
  <c r="O357" i="46" s="1"/>
  <c r="I357" i="50"/>
  <c r="O358" i="46" s="1"/>
  <c r="I358" i="50"/>
  <c r="O359" i="46" s="1"/>
  <c r="I359" i="50"/>
  <c r="O360" i="46" s="1"/>
  <c r="I360" i="50"/>
  <c r="O361" i="46" s="1"/>
  <c r="I361" i="50"/>
  <c r="O362" i="46" s="1"/>
  <c r="I362" i="50"/>
  <c r="O363" i="46" s="1"/>
  <c r="I363" i="50"/>
  <c r="O364" i="46" s="1"/>
  <c r="I364" i="50"/>
  <c r="O365" i="46" s="1"/>
  <c r="I365" i="50"/>
  <c r="O366" i="46" s="1"/>
  <c r="I366" i="50"/>
  <c r="O367" i="46" s="1"/>
  <c r="I367" i="50"/>
  <c r="O368" i="46" s="1"/>
  <c r="I368" i="50"/>
  <c r="O369" i="46" s="1"/>
  <c r="I369" i="50"/>
  <c r="I370" i="50"/>
  <c r="I371" i="50"/>
  <c r="I372" i="50"/>
  <c r="I373" i="50"/>
  <c r="I374" i="50"/>
  <c r="I375" i="50"/>
  <c r="I376" i="50"/>
  <c r="I377" i="50"/>
  <c r="I378" i="50"/>
  <c r="I379" i="50"/>
  <c r="I380" i="50"/>
  <c r="I381" i="50"/>
  <c r="I382" i="50"/>
  <c r="I383" i="50"/>
  <c r="I384" i="50"/>
  <c r="I385" i="50"/>
  <c r="I386" i="50"/>
  <c r="I387" i="50"/>
  <c r="I388" i="50"/>
  <c r="I389" i="50"/>
  <c r="I390" i="50"/>
  <c r="I391" i="50"/>
  <c r="I392" i="50"/>
  <c r="I393" i="50"/>
  <c r="I394" i="50"/>
  <c r="I395" i="50"/>
  <c r="I396" i="50"/>
  <c r="I397" i="50"/>
  <c r="I398" i="50"/>
  <c r="I399" i="50"/>
  <c r="I400" i="50"/>
  <c r="I401" i="50"/>
  <c r="I402" i="50"/>
  <c r="I403" i="50"/>
  <c r="I404" i="50"/>
  <c r="I405" i="50"/>
  <c r="I406" i="50"/>
  <c r="I407" i="50"/>
  <c r="I408" i="50"/>
  <c r="I409" i="50"/>
  <c r="I410" i="50"/>
  <c r="I411" i="50"/>
  <c r="I412" i="50"/>
  <c r="I413" i="50"/>
  <c r="I414" i="50"/>
  <c r="I415" i="50"/>
  <c r="I416" i="50"/>
  <c r="I417" i="50"/>
  <c r="I418" i="50"/>
  <c r="I419" i="50"/>
  <c r="I420" i="50"/>
  <c r="I421" i="50"/>
  <c r="I422" i="50"/>
  <c r="I423" i="50"/>
  <c r="I424" i="50"/>
  <c r="I425" i="50"/>
  <c r="I426" i="50"/>
  <c r="I427" i="50"/>
  <c r="I428" i="50"/>
  <c r="I429" i="50"/>
  <c r="I430" i="50"/>
  <c r="I431" i="50"/>
  <c r="I432" i="50"/>
  <c r="I433" i="50"/>
  <c r="I434" i="50"/>
  <c r="I435" i="50"/>
  <c r="I436" i="50"/>
  <c r="I437" i="50"/>
  <c r="I438" i="50"/>
  <c r="I439" i="50"/>
  <c r="I440" i="50"/>
  <c r="I441" i="50"/>
  <c r="I442" i="50"/>
  <c r="I443" i="50"/>
  <c r="I444" i="50"/>
  <c r="I445" i="50"/>
  <c r="I446" i="50"/>
  <c r="I447" i="50"/>
  <c r="I448" i="50"/>
  <c r="I449" i="50"/>
  <c r="I450" i="50"/>
  <c r="I451" i="50"/>
  <c r="I452" i="50"/>
  <c r="I453" i="50"/>
  <c r="I454" i="50"/>
  <c r="I455" i="50"/>
  <c r="I456" i="50"/>
  <c r="I457" i="50"/>
  <c r="I458" i="50"/>
  <c r="I459" i="50"/>
  <c r="I460" i="50"/>
  <c r="I461" i="50"/>
  <c r="I462" i="50"/>
  <c r="I463" i="50"/>
  <c r="I464" i="50"/>
  <c r="I465" i="50"/>
  <c r="I466" i="50"/>
  <c r="I467" i="50"/>
  <c r="I468" i="50"/>
  <c r="I469" i="50"/>
  <c r="I470" i="50"/>
  <c r="I471" i="50"/>
  <c r="I472" i="50"/>
  <c r="I473" i="50"/>
  <c r="I474" i="50"/>
  <c r="I475" i="50"/>
  <c r="I476" i="50"/>
  <c r="I477" i="50"/>
  <c r="I478" i="50"/>
  <c r="I479" i="50"/>
  <c r="I480" i="50"/>
  <c r="I481" i="50"/>
  <c r="I482" i="50"/>
  <c r="I483" i="50"/>
  <c r="I484" i="50"/>
  <c r="I485" i="50"/>
  <c r="I486" i="50"/>
  <c r="I487" i="50"/>
  <c r="I488" i="50"/>
  <c r="I489" i="50"/>
  <c r="I490" i="50"/>
  <c r="I491" i="50"/>
  <c r="I492" i="50"/>
  <c r="I493" i="50"/>
  <c r="I494" i="50"/>
  <c r="I495" i="50"/>
  <c r="I496" i="50"/>
  <c r="I497" i="50"/>
  <c r="I498" i="50"/>
  <c r="I499" i="50"/>
  <c r="I500" i="50"/>
  <c r="I501" i="50"/>
  <c r="I502" i="50"/>
  <c r="I503" i="50"/>
  <c r="I504" i="50"/>
  <c r="I505" i="50"/>
  <c r="I506" i="50"/>
  <c r="I507" i="50"/>
  <c r="I508" i="50"/>
  <c r="I509" i="50"/>
  <c r="I510" i="50"/>
  <c r="I511" i="50"/>
  <c r="I512" i="50"/>
  <c r="I513" i="50"/>
  <c r="I514" i="50"/>
  <c r="I515" i="50"/>
  <c r="I516" i="50"/>
  <c r="I517" i="50"/>
  <c r="I518" i="50"/>
  <c r="I519" i="50"/>
  <c r="I520" i="50"/>
  <c r="I521" i="50"/>
  <c r="I522" i="50"/>
  <c r="I523" i="50"/>
  <c r="I524" i="50"/>
  <c r="I525" i="50"/>
  <c r="I526" i="50"/>
  <c r="I527" i="50"/>
  <c r="I528" i="50"/>
  <c r="I529" i="50"/>
  <c r="I530" i="50"/>
  <c r="I531" i="50"/>
  <c r="I532" i="50"/>
  <c r="I533" i="50"/>
  <c r="I534" i="50"/>
  <c r="I535" i="50"/>
  <c r="I536" i="50"/>
  <c r="I537" i="50"/>
  <c r="I538" i="50"/>
  <c r="I539" i="50"/>
  <c r="I540" i="50"/>
  <c r="I541" i="50"/>
  <c r="I542" i="50"/>
  <c r="I543" i="50"/>
  <c r="I544" i="50"/>
  <c r="I545" i="50"/>
  <c r="I546" i="50"/>
  <c r="I547" i="50"/>
  <c r="I548" i="50"/>
  <c r="I549" i="50"/>
  <c r="I550" i="50"/>
  <c r="I551" i="50"/>
  <c r="I552" i="50"/>
  <c r="I553" i="50"/>
  <c r="I554" i="50"/>
  <c r="I555" i="50"/>
  <c r="I556" i="50"/>
  <c r="I557" i="50"/>
  <c r="I558" i="50"/>
  <c r="I559" i="50"/>
  <c r="I560" i="50"/>
  <c r="I561" i="50"/>
  <c r="I562" i="50"/>
  <c r="I563" i="50"/>
  <c r="I564" i="50"/>
  <c r="I565" i="50"/>
  <c r="I566" i="50"/>
  <c r="I567" i="50"/>
  <c r="I568" i="50"/>
  <c r="I569" i="50"/>
  <c r="I570" i="50"/>
  <c r="I571" i="50"/>
  <c r="I572" i="50"/>
  <c r="I573" i="50"/>
  <c r="I574" i="50"/>
  <c r="I575" i="50"/>
  <c r="I576" i="50"/>
  <c r="I577" i="50"/>
  <c r="I578" i="50"/>
  <c r="I579" i="50"/>
  <c r="I580" i="50"/>
  <c r="I581" i="50"/>
  <c r="I582" i="50"/>
  <c r="I583" i="50"/>
  <c r="I584" i="50"/>
  <c r="I585" i="50"/>
  <c r="I586" i="50"/>
  <c r="I587" i="50"/>
  <c r="I588" i="50"/>
  <c r="I589" i="50"/>
  <c r="I590" i="50"/>
  <c r="I591" i="50"/>
  <c r="I592" i="50"/>
  <c r="I593" i="50"/>
  <c r="I594" i="50"/>
  <c r="I595" i="50"/>
  <c r="I596" i="50"/>
  <c r="I597" i="50"/>
  <c r="I598" i="50"/>
  <c r="I599" i="50"/>
  <c r="I600" i="50"/>
  <c r="I601" i="50"/>
  <c r="I602" i="50"/>
  <c r="I603" i="50"/>
  <c r="I604" i="50"/>
  <c r="I605" i="50"/>
  <c r="I606" i="50"/>
  <c r="I607" i="50"/>
  <c r="I608" i="50"/>
  <c r="I609" i="50"/>
  <c r="I610" i="50"/>
  <c r="I611" i="50"/>
  <c r="I612" i="50"/>
  <c r="I613" i="50"/>
  <c r="I614" i="50"/>
  <c r="I615" i="50"/>
  <c r="I616" i="50"/>
  <c r="I617" i="50"/>
  <c r="I618" i="50"/>
  <c r="I619" i="50"/>
  <c r="I620" i="50"/>
  <c r="I621" i="50"/>
  <c r="I622" i="50"/>
  <c r="I623" i="50"/>
  <c r="I624" i="50"/>
  <c r="I625" i="50"/>
  <c r="I626" i="50"/>
  <c r="I627" i="50"/>
  <c r="I628" i="50"/>
  <c r="I629" i="50"/>
  <c r="I630" i="50"/>
  <c r="I631" i="50"/>
  <c r="I632" i="50"/>
  <c r="I633" i="50"/>
  <c r="I634" i="50"/>
  <c r="I635" i="50"/>
  <c r="I636" i="50"/>
  <c r="I637" i="50"/>
  <c r="I638" i="50"/>
  <c r="I639" i="50"/>
  <c r="I640" i="50"/>
  <c r="I641" i="50"/>
  <c r="I642" i="50"/>
  <c r="I643" i="50"/>
  <c r="I644" i="50"/>
  <c r="I645" i="50"/>
  <c r="I646" i="50"/>
  <c r="I647" i="50"/>
  <c r="I648" i="50"/>
  <c r="I649" i="50"/>
  <c r="I650" i="50"/>
  <c r="I651" i="50"/>
  <c r="I652" i="50"/>
  <c r="I653" i="50"/>
  <c r="I654" i="50"/>
  <c r="I655" i="50"/>
  <c r="I656" i="50"/>
  <c r="I657" i="50"/>
  <c r="I658" i="50"/>
  <c r="I659" i="50"/>
  <c r="I660" i="50"/>
  <c r="I661" i="50"/>
  <c r="I662" i="50"/>
  <c r="I663" i="50"/>
  <c r="I664" i="50"/>
  <c r="I665" i="50"/>
  <c r="I666" i="50"/>
  <c r="I667" i="50"/>
  <c r="I668" i="50"/>
  <c r="I669" i="50"/>
  <c r="I670" i="50"/>
  <c r="I671" i="50"/>
  <c r="I672" i="50"/>
  <c r="I673" i="50"/>
  <c r="I674" i="50"/>
  <c r="I675" i="50"/>
  <c r="I676" i="50"/>
  <c r="I677" i="50"/>
  <c r="I678" i="50"/>
  <c r="I679" i="50"/>
  <c r="I680" i="50"/>
  <c r="I681" i="50"/>
  <c r="I682" i="50"/>
  <c r="I683" i="50"/>
  <c r="I684" i="50"/>
  <c r="I685" i="50"/>
  <c r="I686" i="50"/>
  <c r="I687" i="50"/>
  <c r="I688" i="50"/>
  <c r="I689" i="50"/>
  <c r="I690" i="50"/>
  <c r="I691" i="50"/>
  <c r="I692" i="50"/>
  <c r="I693" i="50"/>
  <c r="I694" i="50"/>
  <c r="I695" i="50"/>
  <c r="I696" i="50"/>
  <c r="I697" i="50"/>
  <c r="I698" i="50"/>
  <c r="I699" i="50"/>
  <c r="I700" i="50"/>
  <c r="I701" i="50"/>
  <c r="I702" i="50"/>
  <c r="I703" i="50"/>
  <c r="I704" i="50"/>
  <c r="I705" i="50"/>
  <c r="I706" i="50"/>
  <c r="I707" i="50"/>
  <c r="I708" i="50"/>
  <c r="I709" i="50"/>
  <c r="I710" i="50"/>
  <c r="I711" i="50"/>
  <c r="I712" i="50"/>
  <c r="I713" i="50"/>
  <c r="I714" i="50"/>
  <c r="I715" i="50"/>
  <c r="I716" i="50"/>
  <c r="I717" i="50"/>
  <c r="I718" i="50"/>
  <c r="I719" i="50"/>
  <c r="I720" i="50"/>
  <c r="I721" i="50"/>
  <c r="I722" i="50"/>
  <c r="I723" i="50"/>
  <c r="I724" i="50"/>
  <c r="I725" i="50"/>
  <c r="I726" i="50"/>
  <c r="I727" i="50"/>
  <c r="I728" i="50"/>
  <c r="I729" i="50"/>
  <c r="I730" i="50"/>
  <c r="I731" i="50"/>
  <c r="I732" i="50"/>
  <c r="I733" i="50"/>
  <c r="I734" i="50"/>
  <c r="I735" i="50"/>
  <c r="I736" i="50"/>
  <c r="I737" i="50"/>
  <c r="I738" i="50"/>
  <c r="I739" i="50"/>
  <c r="I740" i="50"/>
  <c r="I741" i="50"/>
  <c r="I742" i="50"/>
  <c r="I743" i="50"/>
  <c r="I744" i="50"/>
  <c r="I745" i="50"/>
  <c r="I746" i="50"/>
  <c r="I747" i="50"/>
  <c r="I748" i="50"/>
  <c r="I749" i="50"/>
  <c r="I750" i="50"/>
  <c r="I751" i="50"/>
  <c r="I752" i="50"/>
  <c r="I753" i="50"/>
  <c r="I754" i="50"/>
  <c r="I755" i="50"/>
  <c r="I756" i="50"/>
  <c r="I757" i="50"/>
  <c r="I758" i="50"/>
  <c r="I759" i="50"/>
  <c r="I760" i="50"/>
  <c r="I761" i="50"/>
  <c r="I762" i="50"/>
  <c r="I763" i="50"/>
  <c r="I764" i="50"/>
  <c r="I765" i="50"/>
  <c r="I766" i="50"/>
  <c r="I767" i="50"/>
  <c r="I768" i="50"/>
  <c r="I769" i="50"/>
  <c r="I770" i="50"/>
  <c r="I771" i="50"/>
  <c r="I772" i="50"/>
  <c r="I773" i="50"/>
  <c r="I774" i="50"/>
  <c r="I775" i="50"/>
  <c r="I776" i="50"/>
  <c r="I777" i="50"/>
  <c r="I778" i="50"/>
  <c r="I779" i="50"/>
  <c r="I780" i="50"/>
  <c r="I781" i="50"/>
  <c r="I782" i="50"/>
  <c r="I783" i="50"/>
  <c r="I784" i="50"/>
  <c r="I785" i="50"/>
  <c r="I786" i="50"/>
  <c r="I787" i="50"/>
  <c r="I788" i="50"/>
  <c r="I789" i="50"/>
  <c r="I790" i="50"/>
  <c r="I791" i="50"/>
  <c r="I792" i="50"/>
  <c r="I793" i="50"/>
  <c r="I794" i="50"/>
  <c r="I795" i="50"/>
  <c r="I796" i="50"/>
  <c r="I797" i="50"/>
  <c r="I798" i="50"/>
  <c r="I799" i="50"/>
  <c r="I800" i="50"/>
  <c r="I801" i="50"/>
  <c r="I802" i="50"/>
  <c r="I803" i="50"/>
  <c r="I804" i="50"/>
  <c r="I805" i="50"/>
  <c r="I806" i="50"/>
  <c r="I807" i="50"/>
  <c r="I808" i="50"/>
  <c r="I809" i="50"/>
  <c r="I810" i="50"/>
  <c r="I811" i="50"/>
  <c r="I812" i="50"/>
  <c r="I813" i="50"/>
  <c r="I814" i="50"/>
  <c r="I815" i="50"/>
  <c r="I816" i="50"/>
  <c r="I817" i="50"/>
  <c r="I818" i="50"/>
  <c r="I819" i="50"/>
  <c r="I820" i="50"/>
  <c r="I821" i="50"/>
  <c r="I822" i="50"/>
  <c r="I823" i="50"/>
  <c r="I824" i="50"/>
  <c r="I825" i="50"/>
  <c r="I826" i="50"/>
  <c r="I827" i="50"/>
  <c r="I828" i="50"/>
  <c r="I829" i="50"/>
  <c r="I830" i="50"/>
  <c r="I831" i="50"/>
  <c r="I832" i="50"/>
  <c r="I833" i="50"/>
  <c r="I834" i="50"/>
  <c r="I835" i="50"/>
  <c r="I836" i="50"/>
  <c r="I837" i="50"/>
  <c r="I838" i="50"/>
  <c r="I839" i="50"/>
  <c r="I840" i="50"/>
  <c r="I841" i="50"/>
  <c r="I842" i="50"/>
  <c r="I843" i="50"/>
  <c r="I844" i="50"/>
  <c r="I845" i="50"/>
  <c r="I846" i="50"/>
  <c r="I847" i="50"/>
  <c r="I848" i="50"/>
  <c r="I849" i="50"/>
  <c r="I850" i="50"/>
  <c r="I851" i="50"/>
  <c r="I852" i="50"/>
  <c r="I853" i="50"/>
  <c r="I854" i="50"/>
  <c r="I855" i="50"/>
  <c r="I856" i="50"/>
  <c r="I857" i="50"/>
  <c r="I858" i="50"/>
  <c r="I859" i="50"/>
  <c r="I860" i="50"/>
  <c r="I861" i="50"/>
  <c r="I862" i="50"/>
  <c r="I863" i="50"/>
  <c r="I864" i="50"/>
  <c r="I865" i="50"/>
  <c r="I866" i="50"/>
  <c r="I867" i="50"/>
  <c r="I868" i="50"/>
  <c r="I869" i="50"/>
  <c r="I870" i="50"/>
  <c r="I871" i="50"/>
  <c r="I872" i="50"/>
  <c r="I873" i="50"/>
  <c r="I874" i="50"/>
  <c r="I875" i="50"/>
  <c r="I876" i="50"/>
  <c r="I877" i="50"/>
  <c r="I878" i="50"/>
  <c r="I879" i="50"/>
  <c r="I880" i="50"/>
  <c r="I881" i="50"/>
  <c r="I882" i="50"/>
  <c r="I883" i="50"/>
  <c r="I884" i="50"/>
  <c r="I885" i="50"/>
  <c r="I886" i="50"/>
  <c r="I887" i="50"/>
  <c r="I888" i="50"/>
  <c r="I889" i="50"/>
  <c r="I890" i="50"/>
  <c r="I891" i="50"/>
  <c r="I892" i="50"/>
  <c r="I893" i="50"/>
  <c r="I894" i="50"/>
  <c r="I895" i="50"/>
  <c r="I896" i="50"/>
  <c r="I897" i="50"/>
  <c r="I898" i="50"/>
  <c r="I899" i="50"/>
  <c r="I900" i="50"/>
  <c r="I901" i="50"/>
  <c r="I902" i="50"/>
  <c r="I903" i="50"/>
  <c r="I904" i="50"/>
  <c r="I905" i="50"/>
  <c r="I906" i="50"/>
  <c r="I907" i="50"/>
  <c r="I908" i="50"/>
  <c r="I909" i="50"/>
  <c r="I910" i="50"/>
  <c r="I911" i="50"/>
  <c r="I912" i="50"/>
  <c r="I913" i="50"/>
  <c r="I914" i="50"/>
  <c r="I915" i="50"/>
  <c r="I916" i="50"/>
  <c r="I917" i="50"/>
  <c r="I918" i="50"/>
  <c r="I919" i="50"/>
  <c r="I920" i="50"/>
  <c r="I921" i="50"/>
  <c r="I922" i="50"/>
  <c r="I923" i="50"/>
  <c r="I924" i="50"/>
  <c r="I925" i="50"/>
  <c r="I926" i="50"/>
  <c r="I927" i="50"/>
  <c r="I928" i="50"/>
  <c r="I929" i="50"/>
  <c r="I930" i="50"/>
  <c r="I931" i="50"/>
  <c r="I932" i="50"/>
  <c r="I933" i="50"/>
  <c r="I934" i="50"/>
  <c r="I935" i="50"/>
  <c r="I936" i="50"/>
  <c r="I937" i="50"/>
  <c r="I938" i="50"/>
  <c r="I939" i="50"/>
  <c r="I940" i="50"/>
  <c r="I941" i="50"/>
  <c r="I942" i="50"/>
  <c r="I943" i="50"/>
  <c r="I944" i="50"/>
  <c r="I945" i="50"/>
  <c r="I946" i="50"/>
  <c r="I947" i="50"/>
  <c r="I948" i="50"/>
  <c r="I949" i="50"/>
  <c r="I950" i="50"/>
  <c r="I951" i="50"/>
  <c r="I952" i="50"/>
  <c r="I953" i="50"/>
  <c r="I954" i="50"/>
  <c r="I955" i="50"/>
  <c r="I956" i="50"/>
  <c r="I957" i="50"/>
  <c r="I958" i="50"/>
  <c r="I959" i="50"/>
  <c r="I960" i="50"/>
  <c r="I961" i="50"/>
  <c r="I962" i="50"/>
  <c r="I963" i="50"/>
  <c r="I964" i="50"/>
  <c r="I965" i="50"/>
  <c r="I966" i="50"/>
  <c r="I967" i="50"/>
  <c r="I968" i="50"/>
  <c r="I969" i="50"/>
  <c r="I970" i="50"/>
  <c r="I971" i="50"/>
  <c r="I972" i="50"/>
  <c r="I973" i="50"/>
  <c r="I974" i="50"/>
  <c r="I975" i="50"/>
  <c r="I976" i="50"/>
  <c r="I977" i="50"/>
  <c r="I978" i="50"/>
  <c r="I979" i="50"/>
  <c r="I980" i="50"/>
  <c r="I981" i="50"/>
  <c r="I982" i="50"/>
  <c r="I983" i="50"/>
  <c r="I984" i="50"/>
  <c r="I985" i="50"/>
  <c r="I986" i="50"/>
  <c r="I987" i="50"/>
  <c r="I988" i="50"/>
  <c r="I989" i="50"/>
  <c r="I990" i="50"/>
  <c r="I991" i="50"/>
  <c r="I992" i="50"/>
  <c r="I993" i="50"/>
  <c r="I994" i="50"/>
  <c r="I995" i="50"/>
  <c r="I996" i="50"/>
  <c r="I997" i="50"/>
  <c r="I998" i="50"/>
  <c r="I999" i="50"/>
  <c r="I1000" i="50"/>
  <c r="I1001" i="50"/>
  <c r="I1002" i="50"/>
  <c r="I1003" i="50"/>
  <c r="I1004" i="50"/>
  <c r="I1005" i="50"/>
  <c r="I1006" i="50"/>
  <c r="I1007" i="50"/>
  <c r="I1008" i="50"/>
  <c r="I1009" i="50"/>
  <c r="I1010" i="50"/>
  <c r="I1011" i="50"/>
  <c r="I1012" i="50"/>
  <c r="I1013" i="50"/>
  <c r="I1014" i="50"/>
  <c r="I1015" i="50"/>
  <c r="I1016" i="50"/>
  <c r="I1017" i="50"/>
  <c r="I1018" i="50"/>
  <c r="I1019" i="50"/>
  <c r="I1020" i="50"/>
  <c r="I1021" i="50"/>
  <c r="I1022" i="50"/>
  <c r="I1023" i="50"/>
  <c r="I1024" i="50"/>
  <c r="I1025" i="50"/>
  <c r="I1026" i="50"/>
  <c r="I1027" i="50"/>
  <c r="I1028" i="50"/>
  <c r="I1029" i="50"/>
  <c r="I1030" i="50"/>
  <c r="I1031" i="50"/>
  <c r="I1032" i="50"/>
  <c r="I1033" i="50"/>
  <c r="I1034" i="50"/>
  <c r="I1035" i="50"/>
  <c r="I1036" i="50"/>
  <c r="I1037" i="50"/>
  <c r="I1038" i="50"/>
  <c r="I1039" i="50"/>
  <c r="I1040" i="50"/>
  <c r="I1041" i="50"/>
  <c r="I1042" i="50"/>
  <c r="I1043" i="50"/>
  <c r="I1044" i="50"/>
  <c r="I1045" i="50"/>
  <c r="I1046" i="50"/>
  <c r="I1047" i="50"/>
  <c r="I1048" i="50"/>
  <c r="I1049" i="50"/>
  <c r="I1050" i="50"/>
  <c r="I1051" i="50"/>
  <c r="I1052" i="50"/>
  <c r="I1053" i="50"/>
  <c r="I1054" i="50"/>
  <c r="I1055" i="50"/>
  <c r="I1056" i="50"/>
  <c r="I1057" i="50"/>
  <c r="I1058" i="50"/>
  <c r="I1059" i="50"/>
  <c r="I1060" i="50"/>
  <c r="I1061" i="50"/>
  <c r="I1062" i="50"/>
  <c r="I1063" i="50"/>
  <c r="I1064" i="50"/>
  <c r="I1065" i="50"/>
  <c r="I1066" i="50"/>
  <c r="I1067" i="50"/>
  <c r="I1068" i="50"/>
  <c r="I1069" i="50"/>
  <c r="I1070" i="50"/>
  <c r="I1071" i="50"/>
  <c r="I1072" i="50"/>
  <c r="I1073" i="50"/>
  <c r="I1074" i="50"/>
  <c r="I1075" i="50"/>
  <c r="I1076" i="50"/>
  <c r="I1077" i="50"/>
  <c r="I1078" i="50"/>
  <c r="I1079" i="50"/>
  <c r="I1080" i="50"/>
  <c r="I1081" i="50"/>
  <c r="I1082" i="50"/>
  <c r="I1083" i="50"/>
  <c r="I1084" i="50"/>
  <c r="I1085" i="50"/>
  <c r="I1086" i="50"/>
  <c r="I1087" i="50"/>
  <c r="I1088" i="50"/>
  <c r="I1089" i="50"/>
  <c r="I1090" i="50"/>
  <c r="I1091" i="50"/>
  <c r="I1092" i="50"/>
  <c r="I1093" i="50"/>
  <c r="I1094" i="50"/>
  <c r="I1095" i="50"/>
  <c r="I1096" i="50"/>
  <c r="I1097" i="50"/>
  <c r="I1098" i="50"/>
  <c r="I1099" i="50"/>
  <c r="I1100" i="50"/>
  <c r="I1101" i="50"/>
  <c r="I1102" i="50"/>
  <c r="I1103" i="50"/>
  <c r="I1104" i="50"/>
  <c r="I1105" i="50"/>
  <c r="I1106" i="50"/>
  <c r="I1107" i="50"/>
  <c r="I1108" i="50"/>
  <c r="I1109" i="50"/>
  <c r="I1110" i="50"/>
  <c r="I1111" i="50"/>
  <c r="I1112" i="50"/>
  <c r="I1113" i="50"/>
  <c r="I1114" i="50"/>
  <c r="I1115" i="50"/>
  <c r="I1116" i="50"/>
  <c r="I1117" i="50"/>
  <c r="I1118" i="50"/>
  <c r="I1119" i="50"/>
  <c r="I1120" i="50"/>
  <c r="I1121" i="50"/>
  <c r="I1122" i="50"/>
  <c r="I1123" i="50"/>
  <c r="I1124" i="50"/>
  <c r="I1125" i="50"/>
  <c r="I1126" i="50"/>
  <c r="I1127" i="50"/>
  <c r="I1128" i="50"/>
  <c r="I1129" i="50"/>
  <c r="I1130" i="50"/>
  <c r="I1131" i="50"/>
  <c r="I1132" i="50"/>
  <c r="I1133" i="50"/>
  <c r="I1134" i="50"/>
  <c r="I1135" i="50"/>
  <c r="I1136" i="50"/>
  <c r="I1137" i="50"/>
  <c r="I1138" i="50"/>
  <c r="I1139" i="50"/>
  <c r="I1140" i="50"/>
  <c r="I1141" i="50"/>
  <c r="I1142" i="50"/>
  <c r="I1143" i="50"/>
  <c r="I1144" i="50"/>
  <c r="I1145" i="50"/>
  <c r="I1146" i="50"/>
  <c r="I1147" i="50"/>
  <c r="I1148" i="50"/>
  <c r="I1149" i="50"/>
  <c r="I1150" i="50"/>
  <c r="I1151" i="50"/>
  <c r="I1152" i="50"/>
  <c r="I1153" i="50"/>
  <c r="I1154" i="50"/>
  <c r="I1155" i="50"/>
  <c r="I1156" i="50"/>
  <c r="I1157" i="50"/>
  <c r="I1158" i="50"/>
  <c r="I1159" i="50"/>
  <c r="I1160" i="50"/>
  <c r="I1161" i="50"/>
  <c r="I1162" i="50"/>
  <c r="I1163" i="50"/>
  <c r="I1164" i="50"/>
  <c r="I1165" i="50"/>
  <c r="I1166" i="50"/>
  <c r="I1167" i="50"/>
  <c r="I1168" i="50"/>
  <c r="I1169" i="50"/>
  <c r="I1170" i="50"/>
  <c r="I1171" i="50"/>
  <c r="I1172" i="50"/>
  <c r="I1173" i="50"/>
  <c r="I1174" i="50"/>
  <c r="I1175" i="50"/>
  <c r="I1176" i="50"/>
  <c r="I1177" i="50"/>
  <c r="I1178" i="50"/>
  <c r="I1179" i="50"/>
  <c r="I1180" i="50"/>
  <c r="I1181" i="50"/>
  <c r="I1182" i="50"/>
  <c r="I1183" i="50"/>
  <c r="I1184" i="50"/>
  <c r="I1185" i="50"/>
  <c r="I1186" i="50"/>
  <c r="I1187" i="50"/>
  <c r="I1188" i="50"/>
  <c r="I1189" i="50"/>
  <c r="I1190" i="50"/>
  <c r="I1191" i="50"/>
  <c r="I1192" i="50"/>
  <c r="I1193" i="50"/>
  <c r="I1194" i="50"/>
  <c r="I1195" i="50"/>
  <c r="I1196" i="50"/>
  <c r="I1197" i="50"/>
  <c r="I1198" i="50"/>
  <c r="I1199" i="50"/>
  <c r="I1200" i="50"/>
  <c r="I1201" i="50"/>
  <c r="I1202" i="50"/>
  <c r="I1203" i="50"/>
  <c r="I1204" i="50"/>
  <c r="I1205" i="50"/>
  <c r="I1206" i="50"/>
  <c r="I1207" i="50"/>
  <c r="I1208" i="50"/>
  <c r="I1209" i="50"/>
  <c r="I1210" i="50"/>
  <c r="I1211" i="50"/>
  <c r="I1212" i="50"/>
  <c r="I1213" i="50"/>
  <c r="I1214" i="50"/>
  <c r="I1215" i="50"/>
  <c r="I1216" i="50"/>
  <c r="I1217" i="50"/>
  <c r="I1218" i="50"/>
  <c r="I1219" i="50"/>
  <c r="I1220" i="50"/>
  <c r="I1221" i="50"/>
  <c r="I1222" i="50"/>
  <c r="I1223" i="50"/>
  <c r="I1224" i="50"/>
  <c r="I1225" i="50"/>
  <c r="I1226" i="50"/>
  <c r="I1227" i="50"/>
  <c r="I1228" i="50"/>
  <c r="I1229" i="50"/>
  <c r="I1230" i="50"/>
  <c r="I1231" i="50"/>
  <c r="I1232" i="50"/>
  <c r="I1233" i="50"/>
  <c r="I1234" i="50"/>
  <c r="I1235" i="50"/>
  <c r="I1236" i="50"/>
  <c r="I1237" i="50"/>
  <c r="I1238" i="50"/>
  <c r="I1239" i="50"/>
  <c r="I1240" i="50"/>
  <c r="I1241" i="50"/>
  <c r="I1242" i="50"/>
  <c r="I1243" i="50"/>
  <c r="I1244" i="50"/>
  <c r="I1245" i="50"/>
  <c r="I1246" i="50"/>
  <c r="I1247" i="50"/>
  <c r="I1248" i="50"/>
  <c r="I1249" i="50"/>
  <c r="I1250" i="50"/>
  <c r="I1251" i="50"/>
  <c r="I1252" i="50"/>
  <c r="I1253" i="50"/>
  <c r="I1254" i="50"/>
  <c r="I1255" i="50"/>
  <c r="I1256" i="50"/>
  <c r="I1257" i="50"/>
  <c r="I1258" i="50"/>
  <c r="I1259" i="50"/>
  <c r="I1260" i="50"/>
  <c r="I1261" i="50"/>
  <c r="I1262" i="50"/>
  <c r="I1263" i="50"/>
  <c r="I1264" i="50"/>
  <c r="I1265" i="50"/>
  <c r="I1266" i="50"/>
  <c r="I1267" i="50"/>
  <c r="I1268" i="50"/>
  <c r="I1269" i="50"/>
  <c r="I1270" i="50"/>
  <c r="I1271" i="50"/>
  <c r="I1272" i="50"/>
  <c r="I1273" i="50"/>
  <c r="I1274" i="50"/>
  <c r="I1275" i="50"/>
  <c r="I1276" i="50"/>
  <c r="I1277" i="50"/>
  <c r="I1278" i="50"/>
  <c r="I1279" i="50"/>
  <c r="I1280" i="50"/>
  <c r="I1281" i="50"/>
  <c r="I1282" i="50"/>
  <c r="I1283" i="50"/>
  <c r="I1284" i="50"/>
  <c r="I1285" i="50"/>
  <c r="I1286" i="50"/>
  <c r="I1287" i="50"/>
  <c r="I1288" i="50"/>
  <c r="I1289" i="50"/>
  <c r="I1290" i="50"/>
  <c r="I1291" i="50"/>
  <c r="I1292" i="50"/>
  <c r="I1293" i="50"/>
  <c r="I1294" i="50"/>
  <c r="I1295" i="50"/>
  <c r="I1296" i="50"/>
  <c r="I1297" i="50"/>
  <c r="I1298" i="50"/>
  <c r="I1299" i="50"/>
  <c r="I1300" i="50"/>
  <c r="I1301" i="50"/>
  <c r="I1302" i="50"/>
  <c r="I1303" i="50"/>
  <c r="I1304" i="50"/>
  <c r="I1305" i="50"/>
  <c r="I1306" i="50"/>
  <c r="I1307" i="50"/>
  <c r="I1308" i="50"/>
  <c r="I1309" i="50"/>
  <c r="I1310" i="50"/>
  <c r="I1311" i="50"/>
  <c r="I1312" i="50"/>
  <c r="I1313" i="50"/>
  <c r="I1314" i="50"/>
  <c r="I1315" i="50"/>
  <c r="I1316" i="50"/>
  <c r="I1317" i="50"/>
  <c r="I1318" i="50"/>
  <c r="I1319" i="50"/>
  <c r="I1320" i="50"/>
  <c r="I1321" i="50"/>
  <c r="I1322" i="50"/>
  <c r="I1323" i="50"/>
  <c r="I1324" i="50"/>
  <c r="I1325" i="50"/>
  <c r="I1326" i="50"/>
  <c r="I1327" i="50"/>
  <c r="I1328" i="50"/>
  <c r="I1329" i="50"/>
  <c r="I1330" i="50"/>
  <c r="I1331" i="50"/>
  <c r="I1332" i="50"/>
  <c r="I1333" i="50"/>
  <c r="I1334" i="50"/>
  <c r="I1335" i="50"/>
  <c r="I1336" i="50"/>
  <c r="I1337" i="50"/>
  <c r="I1338" i="50"/>
  <c r="I1339" i="50"/>
  <c r="I1340" i="50"/>
  <c r="I1341" i="50"/>
  <c r="I1342" i="50"/>
  <c r="I1343" i="50"/>
  <c r="I1344" i="50"/>
  <c r="I1345" i="50"/>
  <c r="I1346" i="50"/>
  <c r="I1347" i="50"/>
  <c r="I1348" i="50"/>
  <c r="I1349" i="50"/>
  <c r="I1350" i="50"/>
  <c r="I1351" i="50"/>
  <c r="I1352" i="50"/>
  <c r="I1353" i="50"/>
  <c r="I1354" i="50"/>
  <c r="I1355" i="50"/>
  <c r="I1356" i="50"/>
  <c r="I1357" i="50"/>
  <c r="I1358" i="50"/>
  <c r="I1359" i="50"/>
  <c r="I1360" i="50"/>
  <c r="I1361" i="50"/>
  <c r="I1362" i="50"/>
  <c r="I1363" i="50"/>
  <c r="I1364" i="50"/>
  <c r="I1365" i="50"/>
  <c r="I1366" i="50"/>
  <c r="I1367" i="50"/>
  <c r="I1368" i="50"/>
  <c r="I1369" i="50"/>
  <c r="I1370" i="50"/>
  <c r="I1371" i="50"/>
  <c r="I1372" i="50"/>
  <c r="I1373" i="50"/>
  <c r="I1374" i="50"/>
  <c r="I1375" i="50"/>
  <c r="I1376" i="50"/>
  <c r="I1377" i="50"/>
  <c r="I1378" i="50"/>
  <c r="I1379" i="50"/>
  <c r="I1380" i="50"/>
  <c r="I1381" i="50"/>
  <c r="I1382" i="50"/>
  <c r="I1383" i="50"/>
  <c r="I1384" i="50"/>
  <c r="I1385" i="50"/>
  <c r="I1386" i="50"/>
  <c r="I1387" i="50"/>
  <c r="I1388" i="50"/>
  <c r="I1389" i="50"/>
  <c r="I1390" i="50"/>
  <c r="I1391" i="50"/>
  <c r="I1392" i="50"/>
  <c r="I1393" i="50"/>
  <c r="I1394" i="50"/>
  <c r="I1395" i="50"/>
  <c r="I1396" i="50"/>
  <c r="I1397" i="50"/>
  <c r="I1398" i="50"/>
  <c r="I1399" i="50"/>
  <c r="I1400" i="50"/>
  <c r="I1401" i="50"/>
  <c r="I1402" i="50"/>
  <c r="I1403" i="50"/>
  <c r="I1404" i="50"/>
  <c r="I1405" i="50"/>
  <c r="I1406" i="50"/>
  <c r="I1407" i="50"/>
  <c r="I1408" i="50"/>
  <c r="I1409" i="50"/>
  <c r="I1410" i="50"/>
  <c r="I1411" i="50"/>
  <c r="I1412" i="50"/>
  <c r="I1413" i="50"/>
  <c r="I1414" i="50"/>
  <c r="I1415" i="50"/>
  <c r="I1416" i="50"/>
  <c r="I1417" i="50"/>
  <c r="I1418" i="50"/>
  <c r="I1419" i="50"/>
  <c r="I1420" i="50"/>
  <c r="I1421" i="50"/>
  <c r="I1422" i="50"/>
  <c r="I1423" i="50"/>
  <c r="I1424" i="50"/>
  <c r="I1425" i="50"/>
  <c r="I1426" i="50"/>
  <c r="I1427" i="50"/>
  <c r="I1428" i="50"/>
  <c r="I1429" i="50"/>
  <c r="I1430" i="50"/>
  <c r="I1431" i="50"/>
  <c r="I1432" i="50"/>
  <c r="I1433" i="50"/>
  <c r="I1434" i="50"/>
  <c r="I1435" i="50"/>
  <c r="I1436" i="50"/>
  <c r="I1437" i="50"/>
  <c r="I1438" i="50"/>
  <c r="I1439" i="50"/>
  <c r="I1440" i="50"/>
  <c r="I1441" i="50"/>
  <c r="I1442" i="50"/>
  <c r="I1443" i="50"/>
  <c r="I1444" i="50"/>
  <c r="I1445" i="50"/>
  <c r="I1446" i="50"/>
  <c r="I1447" i="50"/>
  <c r="I1448" i="50"/>
  <c r="I1449" i="50"/>
  <c r="I1450" i="50"/>
  <c r="I1451" i="50"/>
  <c r="I1452" i="50"/>
  <c r="I1453" i="50"/>
  <c r="I1454" i="50"/>
  <c r="I1455" i="50"/>
  <c r="I1456" i="50"/>
  <c r="I1457" i="50"/>
  <c r="I1458" i="50"/>
  <c r="I1459" i="50"/>
  <c r="I1460" i="50"/>
  <c r="I1461" i="50"/>
  <c r="I1462" i="50"/>
  <c r="I1463" i="50"/>
  <c r="I1464" i="50"/>
  <c r="I1465" i="50"/>
  <c r="I1466" i="50"/>
  <c r="I1467" i="50"/>
  <c r="I1468" i="50"/>
  <c r="I1469" i="50"/>
  <c r="I1470" i="50"/>
  <c r="I1471" i="50"/>
  <c r="I1472" i="50"/>
  <c r="I1473" i="50"/>
  <c r="I1474" i="50"/>
  <c r="I1475" i="50"/>
  <c r="I1476" i="50"/>
  <c r="I1477" i="50"/>
  <c r="I1478" i="50"/>
  <c r="I1479" i="50"/>
  <c r="I1480" i="50"/>
  <c r="I1481" i="50"/>
  <c r="I1482" i="50"/>
  <c r="I1483" i="50"/>
  <c r="I1484" i="50"/>
  <c r="I1485" i="50"/>
  <c r="I1486" i="50"/>
  <c r="I1487" i="50"/>
  <c r="I1488" i="50"/>
  <c r="I1489" i="50"/>
  <c r="I1490" i="50"/>
  <c r="I1491" i="50"/>
  <c r="I1492" i="50"/>
  <c r="I1493" i="50"/>
  <c r="I1494" i="50"/>
  <c r="I1495" i="50"/>
  <c r="I1496" i="50"/>
  <c r="I1497" i="50"/>
  <c r="I1498" i="50"/>
  <c r="I1499" i="50"/>
  <c r="I1500" i="50"/>
  <c r="I1501" i="50"/>
  <c r="I1502" i="50"/>
  <c r="I1503" i="50"/>
  <c r="I1504" i="50"/>
  <c r="I1505" i="50"/>
  <c r="I1506" i="50"/>
  <c r="I1507" i="50"/>
  <c r="I1508" i="50"/>
  <c r="I1509" i="50"/>
  <c r="I1510" i="50"/>
  <c r="I1511" i="50"/>
  <c r="I1512" i="50"/>
  <c r="I1513" i="50"/>
  <c r="I1514" i="50"/>
  <c r="I1515" i="50"/>
  <c r="I1516" i="50"/>
  <c r="I1517" i="50"/>
  <c r="I1518" i="50"/>
  <c r="I1519" i="50"/>
  <c r="I1520" i="50"/>
  <c r="I1521" i="50"/>
  <c r="I1522" i="50"/>
  <c r="I1523" i="50"/>
  <c r="I1524" i="50"/>
  <c r="I1525" i="50"/>
  <c r="I1526" i="50"/>
  <c r="I1527" i="50"/>
  <c r="I1528" i="50"/>
  <c r="I1529" i="50"/>
  <c r="I1530" i="50"/>
  <c r="I1531" i="50"/>
  <c r="I1532" i="50"/>
  <c r="I1533" i="50"/>
  <c r="I1534" i="50"/>
  <c r="I1535" i="50"/>
  <c r="I1536" i="50"/>
  <c r="I1537" i="50"/>
  <c r="I1538" i="50"/>
  <c r="I1539" i="50"/>
  <c r="I1540" i="50"/>
  <c r="I1541" i="50"/>
  <c r="I1542" i="50"/>
  <c r="I1543" i="50"/>
  <c r="I1544" i="50"/>
  <c r="I1545" i="50"/>
  <c r="I1546" i="50"/>
  <c r="I1547" i="50"/>
  <c r="I1548" i="50"/>
  <c r="I1549" i="50"/>
  <c r="I1550" i="50"/>
  <c r="I1551" i="50"/>
  <c r="I1552" i="50"/>
  <c r="I1553" i="50"/>
  <c r="I1554" i="50"/>
  <c r="I1555" i="50"/>
  <c r="I1556" i="50"/>
  <c r="I1557" i="50"/>
  <c r="I1558" i="50"/>
  <c r="I1559" i="50"/>
  <c r="I1560" i="50"/>
  <c r="I1561" i="50"/>
  <c r="I1562" i="50"/>
  <c r="I1563" i="50"/>
  <c r="I1564" i="50"/>
  <c r="I1565" i="50"/>
  <c r="I1566" i="50"/>
  <c r="I1567" i="50"/>
  <c r="I1568" i="50"/>
  <c r="I1569" i="50"/>
  <c r="I1570" i="50"/>
  <c r="I1571" i="50"/>
  <c r="I1572" i="50"/>
  <c r="I1573" i="50"/>
  <c r="I1574" i="50"/>
  <c r="I1575" i="50"/>
  <c r="I1576" i="50"/>
  <c r="I1577" i="50"/>
  <c r="I1578" i="50"/>
  <c r="I1579" i="50"/>
  <c r="I1580" i="50"/>
  <c r="I1581" i="50"/>
  <c r="I1582" i="50"/>
  <c r="I1583" i="50"/>
  <c r="I1584" i="50"/>
  <c r="I1585" i="50"/>
  <c r="I1586" i="50"/>
  <c r="I1587" i="50"/>
  <c r="I1588" i="50"/>
  <c r="I1589" i="50"/>
  <c r="I1590" i="50"/>
  <c r="I1591" i="50"/>
  <c r="I1592" i="50"/>
  <c r="I1593" i="50"/>
  <c r="I1594" i="50"/>
  <c r="I1595" i="50"/>
  <c r="I1596" i="50"/>
  <c r="I1597" i="50"/>
  <c r="I1598" i="50"/>
  <c r="I1599" i="50"/>
  <c r="I1600" i="50"/>
  <c r="I1601" i="50"/>
  <c r="I1602" i="50"/>
  <c r="I1603" i="50"/>
  <c r="I1604" i="50"/>
  <c r="I1605" i="50"/>
  <c r="I1606" i="50"/>
  <c r="I1607" i="50"/>
  <c r="I1608" i="50"/>
  <c r="I1609" i="50"/>
  <c r="I1610" i="50"/>
  <c r="I1611" i="50"/>
  <c r="I1612" i="50"/>
  <c r="I1613" i="50"/>
  <c r="I1614" i="50"/>
  <c r="I1615" i="50"/>
  <c r="I1616" i="50"/>
  <c r="I1617" i="50"/>
  <c r="I1618" i="50"/>
  <c r="I1619" i="50"/>
  <c r="I1620" i="50"/>
  <c r="I1621" i="50"/>
  <c r="I1622" i="50"/>
  <c r="I1623" i="50"/>
  <c r="I1624" i="50"/>
  <c r="I1625" i="50"/>
  <c r="I1626" i="50"/>
  <c r="I1627" i="50"/>
  <c r="I1628" i="50"/>
  <c r="I1629" i="50"/>
  <c r="I1630" i="50"/>
  <c r="I1631" i="50"/>
  <c r="I1632" i="50"/>
  <c r="I1633" i="50"/>
  <c r="I1634" i="50"/>
  <c r="I1635" i="50"/>
  <c r="I1636" i="50"/>
  <c r="I1637" i="50"/>
  <c r="I1638" i="50"/>
  <c r="I1639" i="50"/>
  <c r="I1640" i="50"/>
  <c r="I1641" i="50"/>
  <c r="I1642" i="50"/>
  <c r="I1643" i="50"/>
  <c r="I1644" i="50"/>
  <c r="I1645" i="50"/>
  <c r="I1646" i="50"/>
  <c r="I1647" i="50"/>
  <c r="I1648" i="50"/>
  <c r="I1649" i="50"/>
  <c r="I1650" i="50"/>
  <c r="I1651" i="50"/>
  <c r="I1652" i="50"/>
  <c r="I1653" i="50"/>
  <c r="I1654" i="50"/>
  <c r="I1655" i="50"/>
  <c r="I1656" i="50"/>
  <c r="I1657" i="50"/>
  <c r="I1658" i="50"/>
  <c r="I1659" i="50"/>
  <c r="I1660" i="50"/>
  <c r="I1661" i="50"/>
  <c r="I1662" i="50"/>
  <c r="I1663" i="50"/>
  <c r="I1664" i="50"/>
  <c r="I1665" i="50"/>
  <c r="I1666" i="50"/>
  <c r="I1667" i="50"/>
  <c r="I1668" i="50"/>
  <c r="I1669" i="50"/>
  <c r="I1670" i="50"/>
  <c r="I1671" i="50"/>
  <c r="I1672" i="50"/>
  <c r="I1673" i="50"/>
  <c r="I1674" i="50"/>
  <c r="I1675" i="50"/>
  <c r="I1676" i="50"/>
  <c r="I1677" i="50"/>
  <c r="I1678" i="50"/>
  <c r="I1679" i="50"/>
  <c r="I1680" i="50"/>
  <c r="I1681" i="50"/>
  <c r="I1682" i="50"/>
  <c r="I1683" i="50"/>
  <c r="I1684" i="50"/>
  <c r="I1685" i="50"/>
  <c r="I1686" i="50"/>
  <c r="I1687" i="50"/>
  <c r="I1688" i="50"/>
  <c r="I1689" i="50"/>
  <c r="I1690" i="50"/>
  <c r="I1691" i="50"/>
  <c r="I1692" i="50"/>
  <c r="I1693" i="50"/>
  <c r="I1694" i="50"/>
  <c r="I1695" i="50"/>
  <c r="I1696" i="50"/>
  <c r="I1697" i="50"/>
  <c r="I1698" i="50"/>
  <c r="I1699" i="50"/>
  <c r="I1700" i="50"/>
  <c r="I1701" i="50"/>
  <c r="I1702" i="50"/>
  <c r="I1703" i="50"/>
  <c r="I1704" i="50"/>
  <c r="I1705" i="50"/>
  <c r="I1706" i="50"/>
  <c r="I1707" i="50"/>
  <c r="I1708" i="50"/>
  <c r="I1709" i="50"/>
  <c r="I1710" i="50"/>
  <c r="I1711" i="50"/>
  <c r="I1712" i="50"/>
  <c r="I1713" i="50"/>
  <c r="I1714" i="50"/>
  <c r="I1715" i="50"/>
  <c r="I1716" i="50"/>
  <c r="I1717" i="50"/>
  <c r="I1718" i="50"/>
  <c r="I1719" i="50"/>
  <c r="I1720" i="50"/>
  <c r="I1721" i="50"/>
  <c r="I1722" i="50"/>
  <c r="I1723" i="50"/>
  <c r="I1724" i="50"/>
  <c r="I1725" i="50"/>
  <c r="I1726" i="50"/>
  <c r="I1727" i="50"/>
  <c r="I1728" i="50"/>
  <c r="I1729" i="50"/>
  <c r="I1730" i="50"/>
  <c r="I1731" i="50"/>
  <c r="I1732" i="50"/>
  <c r="I1733" i="50"/>
  <c r="I1734" i="50"/>
  <c r="I1735" i="50"/>
  <c r="I1736" i="50"/>
  <c r="I1737" i="50"/>
  <c r="I1738" i="50"/>
  <c r="I1739" i="50"/>
  <c r="I1740" i="50"/>
  <c r="I1741" i="50"/>
  <c r="I1742" i="50"/>
  <c r="I1743" i="50"/>
  <c r="I1744" i="50"/>
  <c r="I1745" i="50"/>
  <c r="I1746" i="50"/>
  <c r="I1747" i="50"/>
  <c r="I1748" i="50"/>
  <c r="I1749" i="50"/>
  <c r="I1750" i="50"/>
  <c r="I1751" i="50"/>
  <c r="I1752" i="50"/>
  <c r="I1753" i="50"/>
  <c r="I1754" i="50"/>
  <c r="I1755" i="50"/>
  <c r="I1756" i="50"/>
  <c r="I1757" i="50"/>
  <c r="I1758" i="50"/>
  <c r="I1759" i="50"/>
  <c r="I1760" i="50"/>
  <c r="I1761" i="50"/>
  <c r="I1762" i="50"/>
  <c r="I1763" i="50"/>
  <c r="I1764" i="50"/>
  <c r="I1765" i="50"/>
  <c r="I1766" i="50"/>
  <c r="I1767" i="50"/>
  <c r="I1768" i="50"/>
  <c r="I1769" i="50"/>
  <c r="I1770" i="50"/>
  <c r="I1771" i="50"/>
  <c r="I1772" i="50"/>
  <c r="I1773" i="50"/>
  <c r="I1774" i="50"/>
  <c r="I1775" i="50"/>
  <c r="I1776" i="50"/>
  <c r="I1777" i="50"/>
  <c r="I1778" i="50"/>
  <c r="I1779" i="50"/>
  <c r="I1780" i="50"/>
  <c r="I1781" i="50"/>
  <c r="I1782" i="50"/>
  <c r="I1783" i="50"/>
  <c r="I1784" i="50"/>
  <c r="I1785" i="50"/>
  <c r="I1786" i="50"/>
  <c r="I1787" i="50"/>
  <c r="I1788" i="50"/>
  <c r="I1789" i="50"/>
  <c r="I1790" i="50"/>
  <c r="I1791" i="50"/>
  <c r="I1792" i="50"/>
  <c r="I1793" i="50"/>
  <c r="I1794" i="50"/>
  <c r="I1795" i="50"/>
  <c r="I1796" i="50"/>
  <c r="I1797" i="50"/>
  <c r="I1798" i="50"/>
  <c r="I1799" i="50"/>
  <c r="I1800" i="50"/>
  <c r="I1801" i="50"/>
  <c r="I1802" i="50"/>
  <c r="I1803" i="50"/>
  <c r="I1804" i="50"/>
  <c r="I1805" i="50"/>
  <c r="I1806" i="50"/>
  <c r="I1807" i="50"/>
  <c r="I1808" i="50"/>
  <c r="I1809" i="50"/>
  <c r="I1810" i="50"/>
  <c r="I1811" i="50"/>
  <c r="I1812" i="50"/>
  <c r="I1813" i="50"/>
  <c r="I1814" i="50"/>
  <c r="I1815" i="50"/>
  <c r="I1816" i="50"/>
  <c r="I1817" i="50"/>
  <c r="I1818" i="50"/>
  <c r="I1819" i="50"/>
  <c r="I1820" i="50"/>
  <c r="I1821" i="50"/>
  <c r="I1822" i="50"/>
  <c r="I2" i="50"/>
  <c r="O3" i="46"/>
  <c r="P3" i="46"/>
  <c r="R3" i="46"/>
  <c r="S3" i="46"/>
  <c r="N3" i="46"/>
  <c r="X494" i="46" l="1"/>
  <c r="Y494" i="46"/>
  <c r="W465" i="46"/>
  <c r="X465" i="46"/>
  <c r="Y465" i="46"/>
  <c r="W489" i="46"/>
  <c r="X489" i="46"/>
  <c r="Y489" i="46"/>
  <c r="W497" i="46"/>
  <c r="X497" i="46"/>
  <c r="Y497" i="46"/>
  <c r="W505" i="46"/>
  <c r="X505" i="46"/>
  <c r="Y505" i="46"/>
  <c r="Y574" i="46"/>
  <c r="Y566" i="46"/>
  <c r="Y558" i="46"/>
  <c r="Y542" i="46"/>
  <c r="Y534" i="46"/>
  <c r="Z510" i="46"/>
  <c r="Z505" i="46"/>
  <c r="Z494" i="46"/>
  <c r="Z489" i="46"/>
  <c r="Z462" i="46"/>
  <c r="X464" i="46"/>
  <c r="Y464" i="46"/>
  <c r="X472" i="46"/>
  <c r="Y472" i="46"/>
  <c r="X480" i="46"/>
  <c r="Y480" i="46"/>
  <c r="X488" i="46"/>
  <c r="Y488" i="46"/>
  <c r="X496" i="46"/>
  <c r="Y496" i="46"/>
  <c r="X504" i="46"/>
  <c r="Y504" i="46"/>
  <c r="X512" i="46"/>
  <c r="Y512" i="46"/>
  <c r="X520" i="46"/>
  <c r="Y520" i="46"/>
  <c r="X580" i="46"/>
  <c r="X578" i="46"/>
  <c r="X576" i="46"/>
  <c r="X574" i="46"/>
  <c r="X572" i="46"/>
  <c r="X570" i="46"/>
  <c r="X568" i="46"/>
  <c r="X566" i="46"/>
  <c r="X564" i="46"/>
  <c r="X562" i="46"/>
  <c r="X560" i="46"/>
  <c r="X558" i="46"/>
  <c r="X556" i="46"/>
  <c r="X554" i="46"/>
  <c r="X552" i="46"/>
  <c r="X550" i="46"/>
  <c r="X548" i="46"/>
  <c r="X546" i="46"/>
  <c r="X544" i="46"/>
  <c r="X542" i="46"/>
  <c r="X540" i="46"/>
  <c r="X538" i="46"/>
  <c r="X536" i="46"/>
  <c r="X534" i="46"/>
  <c r="X532" i="46"/>
  <c r="X530" i="46"/>
  <c r="X528" i="46"/>
  <c r="Z525" i="46"/>
  <c r="X523" i="46"/>
  <c r="Z520" i="46"/>
  <c r="Z504" i="46"/>
  <c r="W494" i="46"/>
  <c r="Z488" i="46"/>
  <c r="W478" i="46"/>
  <c r="Z472" i="46"/>
  <c r="X462" i="46"/>
  <c r="Y462" i="46"/>
  <c r="W473" i="46"/>
  <c r="X473" i="46"/>
  <c r="Y473" i="46"/>
  <c r="W481" i="46"/>
  <c r="X481" i="46"/>
  <c r="Y481" i="46"/>
  <c r="W513" i="46"/>
  <c r="X513" i="46"/>
  <c r="Y513" i="46"/>
  <c r="Y550" i="46"/>
  <c r="W521" i="46"/>
  <c r="Z473" i="46"/>
  <c r="W463" i="46"/>
  <c r="X463" i="46"/>
  <c r="Y463" i="46"/>
  <c r="W471" i="46"/>
  <c r="X471" i="46"/>
  <c r="Y471" i="46"/>
  <c r="W479" i="46"/>
  <c r="X479" i="46"/>
  <c r="Y479" i="46"/>
  <c r="W487" i="46"/>
  <c r="X487" i="46"/>
  <c r="Y487" i="46"/>
  <c r="W495" i="46"/>
  <c r="X495" i="46"/>
  <c r="Y495" i="46"/>
  <c r="W503" i="46"/>
  <c r="X503" i="46"/>
  <c r="Y503" i="46"/>
  <c r="W511" i="46"/>
  <c r="X511" i="46"/>
  <c r="Y511" i="46"/>
  <c r="W519" i="46"/>
  <c r="X519" i="46"/>
  <c r="Y519" i="46"/>
  <c r="W580" i="46"/>
  <c r="W578" i="46"/>
  <c r="W576" i="46"/>
  <c r="W574" i="46"/>
  <c r="W572" i="46"/>
  <c r="W570" i="46"/>
  <c r="W568" i="46"/>
  <c r="W566" i="46"/>
  <c r="W564" i="46"/>
  <c r="W562" i="46"/>
  <c r="W560" i="46"/>
  <c r="W558" i="46"/>
  <c r="W556" i="46"/>
  <c r="W554" i="46"/>
  <c r="W552" i="46"/>
  <c r="W550" i="46"/>
  <c r="W548" i="46"/>
  <c r="W546" i="46"/>
  <c r="W544" i="46"/>
  <c r="W542" i="46"/>
  <c r="W540" i="46"/>
  <c r="W538" i="46"/>
  <c r="W536" i="46"/>
  <c r="W534" i="46"/>
  <c r="W532" i="46"/>
  <c r="W530" i="46"/>
  <c r="W528" i="46"/>
  <c r="Y525" i="46"/>
  <c r="W523" i="46"/>
  <c r="W520" i="46"/>
  <c r="W504" i="46"/>
  <c r="W488" i="46"/>
  <c r="W472" i="46"/>
  <c r="X470" i="46"/>
  <c r="Y470" i="46"/>
  <c r="X478" i="46"/>
  <c r="Y478" i="46"/>
  <c r="X502" i="46"/>
  <c r="Y502" i="46"/>
  <c r="X526" i="46"/>
  <c r="Y526" i="46"/>
  <c r="X486" i="46"/>
  <c r="Y486" i="46"/>
  <c r="X510" i="46"/>
  <c r="Y510" i="46"/>
  <c r="X518" i="46"/>
  <c r="Y518" i="46"/>
  <c r="W461" i="46"/>
  <c r="X461" i="46"/>
  <c r="Y461" i="46"/>
  <c r="W469" i="46"/>
  <c r="X469" i="46"/>
  <c r="Y469" i="46"/>
  <c r="W477" i="46"/>
  <c r="X477" i="46"/>
  <c r="Y477" i="46"/>
  <c r="W493" i="46"/>
  <c r="X493" i="46"/>
  <c r="Y493" i="46"/>
  <c r="W517" i="46"/>
  <c r="X517" i="46"/>
  <c r="Y517" i="46"/>
  <c r="Y577" i="46"/>
  <c r="Y561" i="46"/>
  <c r="Y545" i="46"/>
  <c r="Z497" i="46"/>
  <c r="Z486" i="46"/>
  <c r="Z481" i="46"/>
  <c r="Z465" i="46"/>
  <c r="X460" i="46"/>
  <c r="Y460" i="46"/>
  <c r="X468" i="46"/>
  <c r="Y468" i="46"/>
  <c r="X476" i="46"/>
  <c r="Y476" i="46"/>
  <c r="X484" i="46"/>
  <c r="Y484" i="46"/>
  <c r="X492" i="46"/>
  <c r="Y492" i="46"/>
  <c r="X500" i="46"/>
  <c r="Y500" i="46"/>
  <c r="X508" i="46"/>
  <c r="Y508" i="46"/>
  <c r="X516" i="46"/>
  <c r="Y516" i="46"/>
  <c r="X524" i="46"/>
  <c r="Y524" i="46"/>
  <c r="X579" i="46"/>
  <c r="X577" i="46"/>
  <c r="X575" i="46"/>
  <c r="X573" i="46"/>
  <c r="X571" i="46"/>
  <c r="X569" i="46"/>
  <c r="X567" i="46"/>
  <c r="X565" i="46"/>
  <c r="X563" i="46"/>
  <c r="X561" i="46"/>
  <c r="X559" i="46"/>
  <c r="X557" i="46"/>
  <c r="X555" i="46"/>
  <c r="X553" i="46"/>
  <c r="X551" i="46"/>
  <c r="X549" i="46"/>
  <c r="X547" i="46"/>
  <c r="X545" i="46"/>
  <c r="X543" i="46"/>
  <c r="X541" i="46"/>
  <c r="X539" i="46"/>
  <c r="X537" i="46"/>
  <c r="X535" i="46"/>
  <c r="X533" i="46"/>
  <c r="X531" i="46"/>
  <c r="X529" i="46"/>
  <c r="X527" i="46"/>
  <c r="Z524" i="46"/>
  <c r="Z521" i="46"/>
  <c r="W518" i="46"/>
  <c r="Z512" i="46"/>
  <c r="W502" i="46"/>
  <c r="Z496" i="46"/>
  <c r="W486" i="46"/>
  <c r="Z480" i="46"/>
  <c r="W470" i="46"/>
  <c r="Z464" i="46"/>
  <c r="W485" i="46"/>
  <c r="X485" i="46"/>
  <c r="Y485" i="46"/>
  <c r="W509" i="46"/>
  <c r="X509" i="46"/>
  <c r="Y509" i="46"/>
  <c r="Y537" i="46"/>
  <c r="Z518" i="46"/>
  <c r="W459" i="46"/>
  <c r="X459" i="46"/>
  <c r="Y459" i="46"/>
  <c r="W467" i="46"/>
  <c r="X467" i="46"/>
  <c r="Y467" i="46"/>
  <c r="W475" i="46"/>
  <c r="X475" i="46"/>
  <c r="Y475" i="46"/>
  <c r="W483" i="46"/>
  <c r="X483" i="46"/>
  <c r="Y483" i="46"/>
  <c r="W491" i="46"/>
  <c r="X491" i="46"/>
  <c r="Y491" i="46"/>
  <c r="W499" i="46"/>
  <c r="X499" i="46"/>
  <c r="Y499" i="46"/>
  <c r="W507" i="46"/>
  <c r="X507" i="46"/>
  <c r="Y507" i="46"/>
  <c r="W515" i="46"/>
  <c r="X515" i="46"/>
  <c r="Y515" i="46"/>
  <c r="W573" i="46"/>
  <c r="W569" i="46"/>
  <c r="W565" i="46"/>
  <c r="W557" i="46"/>
  <c r="W553" i="46"/>
  <c r="W549" i="46"/>
  <c r="W541" i="46"/>
  <c r="W533" i="46"/>
  <c r="W529" i="46"/>
  <c r="W524" i="46"/>
  <c r="Y521" i="46"/>
  <c r="Z517" i="46"/>
  <c r="W512" i="46"/>
  <c r="W496" i="46"/>
  <c r="Z485" i="46"/>
  <c r="W480" i="46"/>
  <c r="Z469" i="46"/>
  <c r="W464" i="46"/>
  <c r="W501" i="46"/>
  <c r="X501" i="46"/>
  <c r="Y501" i="46"/>
  <c r="Z513" i="46"/>
  <c r="Z502" i="46"/>
  <c r="Z470" i="46"/>
  <c r="X466" i="46"/>
  <c r="Y466" i="46"/>
  <c r="X474" i="46"/>
  <c r="Y474" i="46"/>
  <c r="X482" i="46"/>
  <c r="Y482" i="46"/>
  <c r="X490" i="46"/>
  <c r="Y490" i="46"/>
  <c r="X498" i="46"/>
  <c r="Y498" i="46"/>
  <c r="X506" i="46"/>
  <c r="Y506" i="46"/>
  <c r="X514" i="46"/>
  <c r="Y514" i="46"/>
  <c r="X522" i="46"/>
  <c r="Y522" i="46"/>
  <c r="Z526" i="46"/>
  <c r="Z516" i="46"/>
  <c r="Z511" i="46"/>
  <c r="W506" i="46"/>
  <c r="Z500" i="46"/>
  <c r="Z495" i="46"/>
  <c r="W490" i="46"/>
  <c r="Z484" i="46"/>
  <c r="Z479" i="46"/>
  <c r="W474" i="46"/>
  <c r="Z468" i="46"/>
  <c r="Z463" i="46"/>
  <c r="L594" i="46"/>
  <c r="L590" i="46"/>
  <c r="L586" i="46"/>
  <c r="L582" i="46"/>
  <c r="L578" i="46"/>
  <c r="L574" i="46"/>
  <c r="L570" i="46"/>
  <c r="L566" i="46"/>
  <c r="L562" i="46"/>
  <c r="L558" i="46"/>
  <c r="L554" i="46"/>
  <c r="L550" i="46"/>
  <c r="L546" i="46"/>
  <c r="L542" i="46"/>
  <c r="L538" i="46"/>
  <c r="L534" i="46"/>
  <c r="L530" i="46"/>
  <c r="L526" i="46"/>
  <c r="L522" i="46"/>
  <c r="L518" i="46"/>
  <c r="L514" i="46"/>
  <c r="L510" i="46"/>
  <c r="L506" i="46"/>
  <c r="L502" i="46"/>
  <c r="L498" i="46"/>
  <c r="L494" i="46"/>
  <c r="L490" i="46"/>
  <c r="L486" i="46"/>
  <c r="L482" i="46"/>
  <c r="L478" i="46"/>
  <c r="L474" i="46"/>
  <c r="L470" i="46"/>
  <c r="L466" i="46"/>
  <c r="L462" i="46"/>
  <c r="L458" i="46"/>
  <c r="L454" i="46"/>
  <c r="L450" i="46"/>
  <c r="L446" i="46"/>
  <c r="L442" i="46"/>
  <c r="L438" i="46"/>
  <c r="L434" i="46"/>
  <c r="L430" i="46"/>
  <c r="L426" i="46"/>
  <c r="L422" i="46"/>
  <c r="L418" i="46"/>
  <c r="L414" i="46"/>
  <c r="L410" i="46"/>
  <c r="L406" i="46"/>
  <c r="L402" i="46"/>
  <c r="L398" i="46"/>
  <c r="L394" i="46"/>
  <c r="L390" i="46"/>
  <c r="L386" i="46"/>
  <c r="L382" i="46"/>
  <c r="L378" i="46"/>
  <c r="L374" i="46"/>
  <c r="L370" i="46"/>
  <c r="L366" i="46"/>
  <c r="L593" i="46"/>
  <c r="L589" i="46"/>
  <c r="L585" i="46"/>
  <c r="L581" i="46"/>
  <c r="L577" i="46"/>
  <c r="L573" i="46"/>
  <c r="L569" i="46"/>
  <c r="L565" i="46"/>
  <c r="L561" i="46"/>
  <c r="L557" i="46"/>
  <c r="L553" i="46"/>
  <c r="L549" i="46"/>
  <c r="L545" i="46"/>
  <c r="L541" i="46"/>
  <c r="L537" i="46"/>
  <c r="L533" i="46"/>
  <c r="L529" i="46"/>
  <c r="L525" i="46"/>
  <c r="L521" i="46"/>
  <c r="L517" i="46"/>
  <c r="L513" i="46"/>
  <c r="L509" i="46"/>
  <c r="L505" i="46"/>
  <c r="L501" i="46"/>
  <c r="L497" i="46"/>
  <c r="L493" i="46"/>
  <c r="L489" i="46"/>
  <c r="L485" i="46"/>
  <c r="L481" i="46"/>
  <c r="L477" i="46"/>
  <c r="L473" i="46"/>
  <c r="L469" i="46"/>
  <c r="L465" i="46"/>
  <c r="L461" i="46"/>
  <c r="L457" i="46"/>
  <c r="L453" i="46"/>
  <c r="L449" i="46"/>
  <c r="L445" i="46"/>
  <c r="L441" i="46"/>
  <c r="L437" i="46"/>
  <c r="L433" i="46"/>
  <c r="L429" i="46"/>
  <c r="L425" i="46"/>
  <c r="L421" i="46"/>
  <c r="L417" i="46"/>
  <c r="L413" i="46"/>
  <c r="L409" i="46"/>
  <c r="L405" i="46"/>
  <c r="L401" i="46"/>
  <c r="L397" i="46"/>
  <c r="L393" i="46"/>
  <c r="L389" i="46"/>
  <c r="L385" i="46"/>
  <c r="L381" i="46"/>
  <c r="L377" i="46"/>
  <c r="L369" i="46"/>
  <c r="L361" i="46"/>
  <c r="L359" i="46"/>
  <c r="L357" i="46"/>
  <c r="L355" i="46"/>
  <c r="L353" i="46"/>
  <c r="L351" i="46"/>
  <c r="L349" i="46"/>
  <c r="L347" i="46"/>
  <c r="L296" i="46"/>
  <c r="L294" i="46"/>
  <c r="L292" i="46"/>
  <c r="L290" i="46"/>
  <c r="L288" i="46"/>
  <c r="L286" i="46"/>
  <c r="L284" i="46"/>
  <c r="L282" i="46"/>
  <c r="L233" i="46"/>
  <c r="L231" i="46"/>
  <c r="L229" i="46"/>
  <c r="L227" i="46"/>
  <c r="L225" i="46"/>
  <c r="L223" i="46"/>
  <c r="L221" i="46"/>
  <c r="L219" i="46"/>
  <c r="L217" i="46"/>
  <c r="L215" i="46"/>
  <c r="L213" i="46"/>
  <c r="L211" i="46"/>
  <c r="L209" i="46"/>
  <c r="L207" i="46"/>
  <c r="L205" i="46"/>
  <c r="L203" i="46"/>
  <c r="L345" i="46"/>
  <c r="L337" i="46"/>
  <c r="L329" i="46"/>
  <c r="L327" i="46"/>
  <c r="L325" i="46"/>
  <c r="L323" i="46"/>
  <c r="L321" i="46"/>
  <c r="L319" i="46"/>
  <c r="L317" i="46"/>
  <c r="L315" i="46"/>
  <c r="L264" i="46"/>
  <c r="L262" i="46"/>
  <c r="L260" i="46"/>
  <c r="L258" i="46"/>
  <c r="L256" i="46"/>
  <c r="L254" i="46"/>
  <c r="L252" i="46"/>
  <c r="L250" i="46"/>
  <c r="L595" i="46"/>
  <c r="L591" i="46"/>
  <c r="L587" i="46"/>
  <c r="L583" i="46"/>
  <c r="L579" i="46"/>
  <c r="L575" i="46"/>
  <c r="L571" i="46"/>
  <c r="L567" i="46"/>
  <c r="L563" i="46"/>
  <c r="L559" i="46"/>
  <c r="L555" i="46"/>
  <c r="L551" i="46"/>
  <c r="L547" i="46"/>
  <c r="L543" i="46"/>
  <c r="L539" i="46"/>
  <c r="L535" i="46"/>
  <c r="L531" i="46"/>
  <c r="L527" i="46"/>
  <c r="L523" i="46"/>
  <c r="L519" i="46"/>
  <c r="L515" i="46"/>
  <c r="L511" i="46"/>
  <c r="L507" i="46"/>
  <c r="L503" i="46"/>
  <c r="L499" i="46"/>
  <c r="L495" i="46"/>
  <c r="L491" i="46"/>
  <c r="L487" i="46"/>
  <c r="L483" i="46"/>
  <c r="L479" i="46"/>
  <c r="L475" i="46"/>
  <c r="L471" i="46"/>
  <c r="L467" i="46"/>
  <c r="L463" i="46"/>
  <c r="L459" i="46"/>
  <c r="L455" i="46"/>
  <c r="L451" i="46"/>
  <c r="L447" i="46"/>
  <c r="L443" i="46"/>
  <c r="L439" i="46"/>
  <c r="L435" i="46"/>
  <c r="L431" i="46"/>
  <c r="L427" i="46"/>
  <c r="L423" i="46"/>
  <c r="L419" i="46"/>
  <c r="L415" i="46"/>
  <c r="L411" i="46"/>
  <c r="L407" i="46"/>
  <c r="L403" i="46"/>
  <c r="L399" i="46"/>
  <c r="L395" i="46"/>
  <c r="L391" i="46"/>
  <c r="L387" i="46"/>
  <c r="L383" i="46"/>
  <c r="L379" i="46"/>
  <c r="L592" i="46"/>
  <c r="L588" i="46"/>
  <c r="L584" i="46"/>
  <c r="L580" i="46"/>
  <c r="L576" i="46"/>
  <c r="L572" i="46"/>
  <c r="L568" i="46"/>
  <c r="L564" i="46"/>
  <c r="L560" i="46"/>
  <c r="L556" i="46"/>
  <c r="L552" i="46"/>
  <c r="L548" i="46"/>
  <c r="L544" i="46"/>
  <c r="L540" i="46"/>
  <c r="L536" i="46"/>
  <c r="L532" i="46"/>
  <c r="L528" i="46"/>
  <c r="L524" i="46"/>
  <c r="L520" i="46"/>
  <c r="L516" i="46"/>
  <c r="L512" i="46"/>
  <c r="L508" i="46"/>
  <c r="L504" i="46"/>
  <c r="L500" i="46"/>
  <c r="L496" i="46"/>
  <c r="L492" i="46"/>
  <c r="L488" i="46"/>
  <c r="L484" i="46"/>
  <c r="L480" i="46"/>
  <c r="L476" i="46"/>
  <c r="L472" i="46"/>
  <c r="L468" i="46"/>
  <c r="L464" i="46"/>
  <c r="L460" i="46"/>
  <c r="L456" i="46"/>
  <c r="L452" i="46"/>
  <c r="L448" i="46"/>
  <c r="L444" i="46"/>
  <c r="L440" i="46"/>
  <c r="L436" i="46"/>
  <c r="L432" i="46"/>
  <c r="L428" i="46"/>
  <c r="L424" i="46"/>
  <c r="L420" i="46"/>
  <c r="L416" i="46"/>
  <c r="L412" i="46"/>
  <c r="L408" i="46"/>
  <c r="L404" i="46"/>
  <c r="L400" i="46"/>
  <c r="L396" i="46"/>
  <c r="L392" i="46"/>
  <c r="L388" i="46"/>
  <c r="L384" i="46"/>
  <c r="L380" i="46"/>
  <c r="L376" i="46"/>
  <c r="L265" i="46"/>
  <c r="L257" i="46"/>
  <c r="L249" i="46"/>
  <c r="L241" i="46"/>
  <c r="L343" i="46"/>
  <c r="L341" i="46"/>
  <c r="L339" i="46"/>
  <c r="L335" i="46"/>
  <c r="L333" i="46"/>
  <c r="L331" i="46"/>
  <c r="L280" i="46"/>
  <c r="L278" i="46"/>
  <c r="L276" i="46"/>
  <c r="L274" i="46"/>
  <c r="L272" i="46"/>
  <c r="L270" i="46"/>
  <c r="L268" i="46"/>
  <c r="L266" i="46"/>
  <c r="L364" i="46"/>
  <c r="L362" i="46"/>
  <c r="L311" i="46"/>
  <c r="L309" i="46"/>
  <c r="L307" i="46"/>
  <c r="L303" i="46"/>
  <c r="L301" i="46"/>
  <c r="L299" i="46"/>
  <c r="L248" i="46"/>
  <c r="L246" i="46"/>
  <c r="L244" i="46"/>
  <c r="L242" i="46"/>
  <c r="L240" i="46"/>
  <c r="L238" i="46"/>
  <c r="L236" i="46"/>
  <c r="L234" i="46"/>
  <c r="L375" i="46"/>
  <c r="L371" i="46"/>
  <c r="L367" i="46"/>
  <c r="L360" i="46"/>
  <c r="L358" i="46"/>
  <c r="L356" i="46"/>
  <c r="L354" i="46"/>
  <c r="L352" i="46"/>
  <c r="L350" i="46"/>
  <c r="L348" i="46"/>
  <c r="L346" i="46"/>
  <c r="L313" i="46"/>
  <c r="L305" i="46"/>
  <c r="L297" i="46"/>
  <c r="L295" i="46"/>
  <c r="L293" i="46"/>
  <c r="L291" i="46"/>
  <c r="L289" i="46"/>
  <c r="L287" i="46"/>
  <c r="L285" i="46"/>
  <c r="L283" i="46"/>
  <c r="L281" i="46"/>
  <c r="L273" i="46"/>
  <c r="L232" i="46"/>
  <c r="L230" i="46"/>
  <c r="L228" i="46"/>
  <c r="L226" i="46"/>
  <c r="L224" i="46"/>
  <c r="L222" i="46"/>
  <c r="L220" i="46"/>
  <c r="L218" i="46"/>
  <c r="L216" i="46"/>
  <c r="L214" i="46"/>
  <c r="L212" i="46"/>
  <c r="L210" i="46"/>
  <c r="L208" i="46"/>
  <c r="L206" i="46"/>
  <c r="L204" i="46"/>
  <c r="L202" i="46"/>
  <c r="L200" i="46"/>
  <c r="L198" i="46"/>
  <c r="L196" i="46"/>
  <c r="L344" i="46"/>
  <c r="L342" i="46"/>
  <c r="L340" i="46"/>
  <c r="L338" i="46"/>
  <c r="L336" i="46"/>
  <c r="L334" i="46"/>
  <c r="L332" i="46"/>
  <c r="L330" i="46"/>
  <c r="L279" i="46"/>
  <c r="L277" i="46"/>
  <c r="L275" i="46"/>
  <c r="L271" i="46"/>
  <c r="L269" i="46"/>
  <c r="L267" i="46"/>
  <c r="L372" i="46"/>
  <c r="L368" i="46"/>
  <c r="L328" i="46"/>
  <c r="L326" i="46"/>
  <c r="L324" i="46"/>
  <c r="L322" i="46"/>
  <c r="L320" i="46"/>
  <c r="L318" i="46"/>
  <c r="L316" i="46"/>
  <c r="L314" i="46"/>
  <c r="L263" i="46"/>
  <c r="L261" i="46"/>
  <c r="L259" i="46"/>
  <c r="L255" i="46"/>
  <c r="L253" i="46"/>
  <c r="L251" i="46"/>
  <c r="L365" i="46"/>
  <c r="L363" i="46"/>
  <c r="L312" i="46"/>
  <c r="L310" i="46"/>
  <c r="L308" i="46"/>
  <c r="L306" i="46"/>
  <c r="L304" i="46"/>
  <c r="L302" i="46"/>
  <c r="L300" i="46"/>
  <c r="L298" i="46"/>
  <c r="L247" i="46"/>
  <c r="L245" i="46"/>
  <c r="L243" i="46"/>
  <c r="L239" i="46"/>
  <c r="L237" i="46"/>
  <c r="L235" i="46"/>
  <c r="L373" i="46"/>
  <c r="L201" i="46"/>
  <c r="L199" i="46"/>
  <c r="L197" i="46"/>
  <c r="L54" i="38" l="1" a="1"/>
  <c r="L54" i="38" s="1"/>
  <c r="AF5" i="47"/>
  <c r="AG5" i="47"/>
  <c r="AE5" i="47"/>
  <c r="N54" i="38" l="1"/>
  <c r="Q54" i="38"/>
  <c r="O54" i="38"/>
  <c r="M54" i="38"/>
  <c r="R54" i="38"/>
  <c r="P54" i="38"/>
  <c r="H667" i="46"/>
  <c r="H581" i="46"/>
  <c r="H582" i="46"/>
  <c r="H583" i="46"/>
  <c r="H584" i="46"/>
  <c r="H585" i="46"/>
  <c r="H586" i="46"/>
  <c r="H587" i="46"/>
  <c r="H588" i="46"/>
  <c r="H589" i="46"/>
  <c r="H590" i="46"/>
  <c r="H591" i="46"/>
  <c r="H592" i="46"/>
  <c r="H593" i="46"/>
  <c r="H594" i="46"/>
  <c r="H595" i="46"/>
  <c r="H596" i="46"/>
  <c r="H597" i="46"/>
  <c r="H598" i="46"/>
  <c r="H599" i="46"/>
  <c r="H600" i="46"/>
  <c r="H601" i="46"/>
  <c r="H602" i="46"/>
  <c r="H603" i="46"/>
  <c r="H604" i="46"/>
  <c r="H605" i="46"/>
  <c r="H606" i="46"/>
  <c r="H607" i="46"/>
  <c r="H608" i="46"/>
  <c r="H609" i="46"/>
  <c r="H610" i="46"/>
  <c r="H611" i="46"/>
  <c r="H612" i="46"/>
  <c r="H613" i="46"/>
  <c r="H614" i="46"/>
  <c r="H615" i="46"/>
  <c r="H616" i="46"/>
  <c r="H617" i="46"/>
  <c r="H618" i="46"/>
  <c r="H619" i="46"/>
  <c r="H620" i="46"/>
  <c r="H621" i="46"/>
  <c r="H622" i="46"/>
  <c r="H623" i="46"/>
  <c r="H624" i="46"/>
  <c r="H625" i="46"/>
  <c r="H626" i="46"/>
  <c r="H627" i="46"/>
  <c r="H628" i="46"/>
  <c r="H629" i="46"/>
  <c r="H630" i="46"/>
  <c r="H631" i="46"/>
  <c r="H632" i="46"/>
  <c r="H633" i="46"/>
  <c r="H634" i="46"/>
  <c r="H635" i="46"/>
  <c r="H636" i="46"/>
  <c r="H637" i="46"/>
  <c r="H638" i="46"/>
  <c r="H639" i="46"/>
  <c r="H640" i="46"/>
  <c r="H641" i="46"/>
  <c r="H642" i="46"/>
  <c r="H643" i="46"/>
  <c r="H644" i="46"/>
  <c r="H645" i="46"/>
  <c r="H646" i="46"/>
  <c r="H647" i="46"/>
  <c r="H648" i="46"/>
  <c r="H649" i="46"/>
  <c r="H650" i="46"/>
  <c r="H651" i="46"/>
  <c r="H652" i="46"/>
  <c r="H653" i="46"/>
  <c r="H654" i="46"/>
  <c r="H655" i="46"/>
  <c r="H656" i="46"/>
  <c r="H657" i="46"/>
  <c r="H658" i="46"/>
  <c r="H659" i="46"/>
  <c r="H660" i="46"/>
  <c r="H661" i="46"/>
  <c r="H662" i="46"/>
  <c r="H663" i="46"/>
  <c r="H664" i="46"/>
  <c r="H665" i="46"/>
  <c r="H666" i="46"/>
  <c r="I581" i="46"/>
  <c r="I582" i="46"/>
  <c r="I583" i="46"/>
  <c r="I584" i="46"/>
  <c r="I585" i="46"/>
  <c r="I586" i="46"/>
  <c r="I587" i="46"/>
  <c r="I588" i="46"/>
  <c r="I589" i="46"/>
  <c r="I590" i="46"/>
  <c r="I591" i="46"/>
  <c r="I592" i="46"/>
  <c r="I593" i="46"/>
  <c r="I594" i="46"/>
  <c r="I595" i="46"/>
  <c r="I596" i="46"/>
  <c r="I597" i="46"/>
  <c r="I598" i="46"/>
  <c r="I599" i="46"/>
  <c r="I600" i="46"/>
  <c r="I601" i="46"/>
  <c r="I602" i="46"/>
  <c r="I603" i="46"/>
  <c r="I604" i="46"/>
  <c r="I605" i="46"/>
  <c r="I606" i="46"/>
  <c r="I607" i="46"/>
  <c r="I608" i="46"/>
  <c r="I609" i="46"/>
  <c r="I610" i="46"/>
  <c r="I611" i="46"/>
  <c r="I612" i="46"/>
  <c r="I613" i="46"/>
  <c r="I614" i="46"/>
  <c r="I615" i="46"/>
  <c r="I616" i="46"/>
  <c r="I617" i="46"/>
  <c r="I618" i="46"/>
  <c r="I619" i="46"/>
  <c r="I620" i="46"/>
  <c r="I621" i="46"/>
  <c r="I622" i="46"/>
  <c r="I623" i="46"/>
  <c r="I624" i="46"/>
  <c r="I625" i="46"/>
  <c r="I626" i="46"/>
  <c r="I627" i="46"/>
  <c r="I628" i="46"/>
  <c r="I629" i="46"/>
  <c r="I630" i="46"/>
  <c r="I631" i="46"/>
  <c r="I632" i="46"/>
  <c r="I633" i="46"/>
  <c r="I634" i="46"/>
  <c r="I635" i="46"/>
  <c r="I636" i="46"/>
  <c r="I637" i="46"/>
  <c r="I638" i="46"/>
  <c r="I639" i="46"/>
  <c r="I640" i="46"/>
  <c r="I641" i="46"/>
  <c r="I642" i="46"/>
  <c r="I643" i="46"/>
  <c r="I644" i="46"/>
  <c r="I645" i="46"/>
  <c r="I646" i="46"/>
  <c r="I647" i="46"/>
  <c r="I648" i="46"/>
  <c r="I649" i="46"/>
  <c r="I650" i="46"/>
  <c r="I651" i="46"/>
  <c r="I652" i="46"/>
  <c r="I653" i="46"/>
  <c r="I654" i="46"/>
  <c r="I655" i="46"/>
  <c r="I656" i="46"/>
  <c r="I657" i="46"/>
  <c r="I658" i="46"/>
  <c r="I659" i="46"/>
  <c r="I660" i="46"/>
  <c r="I661" i="46"/>
  <c r="I662" i="46"/>
  <c r="I663" i="46"/>
  <c r="I664" i="46"/>
  <c r="I665" i="46"/>
  <c r="I666" i="46"/>
  <c r="I667" i="46"/>
  <c r="AH5" i="47" l="1"/>
  <c r="AI5" i="47"/>
  <c r="B12" i="48" l="1"/>
  <c r="B16" i="48"/>
  <c r="B19" i="48"/>
  <c r="C12" i="48"/>
  <c r="C16" i="48"/>
  <c r="C19" i="48"/>
  <c r="Y554" i="12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AA513" i="12" s="1"/>
  <c r="Y512" i="12"/>
  <c r="Y511" i="12"/>
  <c r="Y510" i="12"/>
  <c r="Y509" i="12"/>
  <c r="Y508" i="12"/>
  <c r="Y507" i="12"/>
  <c r="Y506" i="12"/>
  <c r="Y505" i="12"/>
  <c r="AA505" i="12" s="1"/>
  <c r="Y504" i="12"/>
  <c r="Y503" i="12"/>
  <c r="Y502" i="12"/>
  <c r="Y501" i="12"/>
  <c r="Y500" i="12"/>
  <c r="Y499" i="12"/>
  <c r="Y498" i="12"/>
  <c r="AA498" i="12" s="1"/>
  <c r="Y497" i="12"/>
  <c r="AA497" i="12" s="1"/>
  <c r="Y496" i="12"/>
  <c r="Y495" i="12"/>
  <c r="Y494" i="12"/>
  <c r="AA494" i="12" s="1"/>
  <c r="Y493" i="12"/>
  <c r="Y492" i="12"/>
  <c r="Y491" i="12"/>
  <c r="AA491" i="12" s="1"/>
  <c r="Y490" i="12"/>
  <c r="AA490" i="12" s="1"/>
  <c r="Y489" i="12"/>
  <c r="AA489" i="12" s="1"/>
  <c r="Y488" i="12"/>
  <c r="Y487" i="12"/>
  <c r="Y486" i="12"/>
  <c r="Y485" i="12"/>
  <c r="Y484" i="12"/>
  <c r="Y483" i="12"/>
  <c r="AA483" i="12" s="1"/>
  <c r="Y482" i="12"/>
  <c r="AA482" i="12" s="1"/>
  <c r="Y481" i="12"/>
  <c r="AA481" i="12" s="1"/>
  <c r="Y480" i="12"/>
  <c r="Y479" i="12"/>
  <c r="AA479" i="12" s="1"/>
  <c r="Y478" i="12"/>
  <c r="AA478" i="12" s="1"/>
  <c r="Y477" i="12"/>
  <c r="AA477" i="12" s="1"/>
  <c r="Y476" i="12"/>
  <c r="AA476" i="12" s="1"/>
  <c r="Y475" i="12"/>
  <c r="AA475" i="12" s="1"/>
  <c r="Y474" i="12"/>
  <c r="AA474" i="12" s="1"/>
  <c r="Y473" i="12"/>
  <c r="AA473" i="12" s="1"/>
  <c r="Y472" i="12"/>
  <c r="Y471" i="12"/>
  <c r="AA471" i="12" s="1"/>
  <c r="Y470" i="12"/>
  <c r="AA470" i="12" s="1"/>
  <c r="Y469" i="12"/>
  <c r="Y468" i="12"/>
  <c r="Y467" i="12"/>
  <c r="AA467" i="12" s="1"/>
  <c r="Y466" i="12"/>
  <c r="AA466" i="12" s="1"/>
  <c r="Y465" i="12"/>
  <c r="AA465" i="12" s="1"/>
  <c r="Y464" i="12"/>
  <c r="Y463" i="12"/>
  <c r="AA463" i="12" s="1"/>
  <c r="Y462" i="12"/>
  <c r="AA462" i="12" s="1"/>
  <c r="Y461" i="12"/>
  <c r="AA461" i="12" s="1"/>
  <c r="Y460" i="12"/>
  <c r="Y459" i="12"/>
  <c r="AA459" i="12" s="1"/>
  <c r="Y458" i="12"/>
  <c r="AA458" i="12" s="1"/>
  <c r="Y457" i="12"/>
  <c r="AA457" i="12" s="1"/>
  <c r="Y456" i="12"/>
  <c r="Y455" i="12"/>
  <c r="Y454" i="12"/>
  <c r="AA454" i="12" s="1"/>
  <c r="Y453" i="12"/>
  <c r="AA453" i="12" s="1"/>
  <c r="Y452" i="12"/>
  <c r="AA452" i="12" s="1"/>
  <c r="Y451" i="12"/>
  <c r="AA451" i="12" s="1"/>
  <c r="Y450" i="12"/>
  <c r="AA450" i="12" s="1"/>
  <c r="Y449" i="12"/>
  <c r="AA449" i="12" s="1"/>
  <c r="Y448" i="12"/>
  <c r="Y447" i="12"/>
  <c r="Y446" i="12"/>
  <c r="AA446" i="12" s="1"/>
  <c r="Y445" i="12"/>
  <c r="Y444" i="12"/>
  <c r="AA444" i="12" s="1"/>
  <c r="Y443" i="12"/>
  <c r="AA443" i="12" s="1"/>
  <c r="Y442" i="12"/>
  <c r="AA442" i="12" s="1"/>
  <c r="Y441" i="12"/>
  <c r="AA441" i="12" s="1"/>
  <c r="Y440" i="12"/>
  <c r="Y439" i="12"/>
  <c r="AA439" i="12" s="1"/>
  <c r="Y438" i="12"/>
  <c r="Y437" i="12"/>
  <c r="AA437" i="12" s="1"/>
  <c r="Y436" i="12"/>
  <c r="AA436" i="12" s="1"/>
  <c r="Y435" i="12"/>
  <c r="AA435" i="12" s="1"/>
  <c r="Y434" i="12"/>
  <c r="AA434" i="12" s="1"/>
  <c r="Y433" i="12"/>
  <c r="AA433" i="12" s="1"/>
  <c r="Y432" i="12"/>
  <c r="Y431" i="12"/>
  <c r="Y430" i="12"/>
  <c r="AA430" i="12" s="1"/>
  <c r="Y429" i="12"/>
  <c r="Y428" i="12"/>
  <c r="AA428" i="12" s="1"/>
  <c r="Y427" i="12"/>
  <c r="AA427" i="12" s="1"/>
  <c r="Y426" i="12"/>
  <c r="AA426" i="12" s="1"/>
  <c r="Y425" i="12"/>
  <c r="AA425" i="12" s="1"/>
  <c r="Y424" i="12"/>
  <c r="Y423" i="12"/>
  <c r="AA423" i="12" s="1"/>
  <c r="Y422" i="12"/>
  <c r="AA422" i="12" s="1"/>
  <c r="Y421" i="12"/>
  <c r="Y420" i="12"/>
  <c r="Y419" i="12"/>
  <c r="AA419" i="12" s="1"/>
  <c r="Y418" i="12"/>
  <c r="AA418" i="12" s="1"/>
  <c r="Y417" i="12"/>
  <c r="AA417" i="12" s="1"/>
  <c r="Y416" i="12"/>
  <c r="Y415" i="12"/>
  <c r="AA415" i="12" s="1"/>
  <c r="Y414" i="12"/>
  <c r="AA414" i="12" s="1"/>
  <c r="Y413" i="12"/>
  <c r="AA413" i="12" s="1"/>
  <c r="Y412" i="12"/>
  <c r="AA412" i="12" s="1"/>
  <c r="Y411" i="12"/>
  <c r="AA411" i="12" s="1"/>
  <c r="Y410" i="12"/>
  <c r="AA410" i="12" s="1"/>
  <c r="Y409" i="12"/>
  <c r="AA409" i="12" s="1"/>
  <c r="Y408" i="12"/>
  <c r="Y407" i="12"/>
  <c r="Y406" i="12"/>
  <c r="AA406" i="12" s="1"/>
  <c r="Y405" i="12"/>
  <c r="Y404" i="12"/>
  <c r="AA404" i="12" s="1"/>
  <c r="Y403" i="12"/>
  <c r="AA403" i="12" s="1"/>
  <c r="Y402" i="12"/>
  <c r="AA402" i="12" s="1"/>
  <c r="Y401" i="12"/>
  <c r="AA401" i="12" s="1"/>
  <c r="Y400" i="12"/>
  <c r="Y399" i="12"/>
  <c r="Y398" i="12"/>
  <c r="AA398" i="12" s="1"/>
  <c r="Y397" i="12"/>
  <c r="Y396" i="12"/>
  <c r="Y395" i="12"/>
  <c r="AA395" i="12" s="1"/>
  <c r="Y394" i="12"/>
  <c r="AA394" i="12" s="1"/>
  <c r="Y393" i="12"/>
  <c r="AA393" i="12" s="1"/>
  <c r="Y392" i="12"/>
  <c r="Y391" i="12"/>
  <c r="AA391" i="12" s="1"/>
  <c r="Y390" i="12"/>
  <c r="AA390" i="12" s="1"/>
  <c r="Y389" i="12"/>
  <c r="AA389" i="12" s="1"/>
  <c r="Y388" i="12"/>
  <c r="AA388" i="12" s="1"/>
  <c r="Y387" i="12"/>
  <c r="AA387" i="12" s="1"/>
  <c r="Y386" i="12"/>
  <c r="AA386" i="12" s="1"/>
  <c r="Y385" i="12"/>
  <c r="AA385" i="12" s="1"/>
  <c r="Y384" i="12"/>
  <c r="AA384" i="12" s="1"/>
  <c r="Y383" i="12"/>
  <c r="AA383" i="12" s="1"/>
  <c r="Y382" i="12"/>
  <c r="AA382" i="12" s="1"/>
  <c r="Y381" i="12"/>
  <c r="Y380" i="12"/>
  <c r="AA380" i="12" s="1"/>
  <c r="Y379" i="12"/>
  <c r="AA379" i="12" s="1"/>
  <c r="Y378" i="12"/>
  <c r="AA378" i="12" s="1"/>
  <c r="Y377" i="12"/>
  <c r="AA377" i="12" s="1"/>
  <c r="Y376" i="12"/>
  <c r="Y375" i="12"/>
  <c r="Y374" i="12"/>
  <c r="AA374" i="12" s="1"/>
  <c r="Y373" i="12"/>
  <c r="Y372" i="12"/>
  <c r="AA372" i="12" s="1"/>
  <c r="Y371" i="12"/>
  <c r="AA371" i="12" s="1"/>
  <c r="Y370" i="12"/>
  <c r="AA370" i="12" s="1"/>
  <c r="Y369" i="12"/>
  <c r="AA369" i="12" s="1"/>
  <c r="Y368" i="12"/>
  <c r="AA368" i="12" s="1"/>
  <c r="Y367" i="12"/>
  <c r="Y366" i="12"/>
  <c r="AA366" i="12" s="1"/>
  <c r="Y365" i="12"/>
  <c r="Y364" i="12"/>
  <c r="AA364" i="12" s="1"/>
  <c r="Y363" i="12"/>
  <c r="AA363" i="12" s="1"/>
  <c r="Y362" i="12"/>
  <c r="AA362" i="12" s="1"/>
  <c r="Y361" i="12"/>
  <c r="AA361" i="12" s="1"/>
  <c r="Y360" i="12"/>
  <c r="Y359" i="12"/>
  <c r="AA359" i="12" s="1"/>
  <c r="Y358" i="12"/>
  <c r="AA358" i="12" s="1"/>
  <c r="Y357" i="12"/>
  <c r="Y356" i="12"/>
  <c r="AA356" i="12" s="1"/>
  <c r="Y355" i="12"/>
  <c r="AA355" i="12" s="1"/>
  <c r="Y354" i="12"/>
  <c r="AA354" i="12" s="1"/>
  <c r="Y353" i="12"/>
  <c r="AA353" i="12" s="1"/>
  <c r="Y352" i="12"/>
  <c r="AA352" i="12" s="1"/>
  <c r="Y351" i="12"/>
  <c r="AA351" i="12" s="1"/>
  <c r="Y350" i="12"/>
  <c r="AA350" i="12" s="1"/>
  <c r="Y349" i="12"/>
  <c r="AA349" i="12" s="1"/>
  <c r="Y348" i="12"/>
  <c r="AA348" i="12" s="1"/>
  <c r="Y347" i="12"/>
  <c r="AA347" i="12" s="1"/>
  <c r="Y346" i="12"/>
  <c r="AA346" i="12" s="1"/>
  <c r="Y345" i="12"/>
  <c r="AA345" i="12" s="1"/>
  <c r="Y344" i="12"/>
  <c r="Y343" i="12"/>
  <c r="AA343" i="12" s="1"/>
  <c r="Y342" i="12"/>
  <c r="AA342" i="12" s="1"/>
  <c r="Y341" i="12"/>
  <c r="Y340" i="12"/>
  <c r="AA340" i="12" s="1"/>
  <c r="Y339" i="12"/>
  <c r="AA339" i="12" s="1"/>
  <c r="Y338" i="12"/>
  <c r="AA338" i="12" s="1"/>
  <c r="Y337" i="12"/>
  <c r="AA337" i="12" s="1"/>
  <c r="Y336" i="12"/>
  <c r="Y335" i="12"/>
  <c r="AA335" i="12" s="1"/>
  <c r="Y334" i="12"/>
  <c r="AA334" i="12" s="1"/>
  <c r="Y333" i="12"/>
  <c r="Y332" i="12"/>
  <c r="AA332" i="12" s="1"/>
  <c r="Y331" i="12"/>
  <c r="AA331" i="12" s="1"/>
  <c r="Y330" i="12"/>
  <c r="AA330" i="12" s="1"/>
  <c r="Y329" i="12"/>
  <c r="AA329" i="12" s="1"/>
  <c r="Y328" i="12"/>
  <c r="Y327" i="12"/>
  <c r="AA327" i="12" s="1"/>
  <c r="Y326" i="12"/>
  <c r="AA326" i="12" s="1"/>
  <c r="Y325" i="12"/>
  <c r="AA325" i="12" s="1"/>
  <c r="Y324" i="12"/>
  <c r="AA324" i="12" s="1"/>
  <c r="Y323" i="12"/>
  <c r="AA323" i="12" s="1"/>
  <c r="Y322" i="12"/>
  <c r="AA322" i="12" s="1"/>
  <c r="Y321" i="12"/>
  <c r="AA321" i="12" s="1"/>
  <c r="Y320" i="12"/>
  <c r="Y319" i="12"/>
  <c r="AA319" i="12" s="1"/>
  <c r="Y318" i="12"/>
  <c r="AA318" i="12" s="1"/>
  <c r="Y317" i="12"/>
  <c r="Y316" i="12"/>
  <c r="AA316" i="12" s="1"/>
  <c r="Y315" i="12"/>
  <c r="AA315" i="12" s="1"/>
  <c r="Y314" i="12"/>
  <c r="AA314" i="12" s="1"/>
  <c r="Y313" i="12"/>
  <c r="AA313" i="12" s="1"/>
  <c r="Y312" i="12"/>
  <c r="Y311" i="12"/>
  <c r="AA311" i="12" s="1"/>
  <c r="Y310" i="12"/>
  <c r="AA310" i="12" s="1"/>
  <c r="Y309" i="12"/>
  <c r="AA309" i="12" s="1"/>
  <c r="Y308" i="12"/>
  <c r="AA308" i="12" s="1"/>
  <c r="Y307" i="12"/>
  <c r="AA307" i="12" s="1"/>
  <c r="Y306" i="12"/>
  <c r="AA306" i="12" s="1"/>
  <c r="Y305" i="12"/>
  <c r="AA305" i="12" s="1"/>
  <c r="Y304" i="12"/>
  <c r="Y303" i="12"/>
  <c r="AA303" i="12" s="1"/>
  <c r="Y302" i="12"/>
  <c r="AA302" i="12" s="1"/>
  <c r="Y301" i="12"/>
  <c r="AA301" i="12" s="1"/>
  <c r="Y300" i="12"/>
  <c r="AA300" i="12" s="1"/>
  <c r="Y299" i="12"/>
  <c r="AA299" i="12" s="1"/>
  <c r="Y298" i="12"/>
  <c r="AA298" i="12" s="1"/>
  <c r="Y297" i="12"/>
  <c r="AA297" i="12" s="1"/>
  <c r="Y296" i="12"/>
  <c r="Y295" i="12"/>
  <c r="AA295" i="12" s="1"/>
  <c r="Y294" i="12"/>
  <c r="AA294" i="12" s="1"/>
  <c r="Y293" i="12"/>
  <c r="AA293" i="12" s="1"/>
  <c r="Y292" i="12"/>
  <c r="AA292" i="12" s="1"/>
  <c r="Y291" i="12"/>
  <c r="AA291" i="12" s="1"/>
  <c r="Y290" i="12"/>
  <c r="AA290" i="12" s="1"/>
  <c r="Y289" i="12"/>
  <c r="AA289" i="12" s="1"/>
  <c r="Y288" i="12"/>
  <c r="Y287" i="12"/>
  <c r="AA287" i="12" s="1"/>
  <c r="Y286" i="12"/>
  <c r="AA286" i="12" s="1"/>
  <c r="Y285" i="12"/>
  <c r="AA285" i="12" s="1"/>
  <c r="Y284" i="12"/>
  <c r="AA284" i="12" s="1"/>
  <c r="Y283" i="12"/>
  <c r="AA283" i="12" s="1"/>
  <c r="Y282" i="12"/>
  <c r="AA282" i="12" s="1"/>
  <c r="Y281" i="12"/>
  <c r="AA281" i="12" s="1"/>
  <c r="Y280" i="12"/>
  <c r="Y279" i="12"/>
  <c r="AA279" i="12" s="1"/>
  <c r="Y278" i="12"/>
  <c r="AA278" i="12" s="1"/>
  <c r="Y277" i="12"/>
  <c r="AA277" i="12" s="1"/>
  <c r="Y276" i="12"/>
  <c r="AA276" i="12" s="1"/>
  <c r="Y275" i="12"/>
  <c r="AA275" i="12" s="1"/>
  <c r="Y274" i="12"/>
  <c r="AA274" i="12" s="1"/>
  <c r="Y273" i="12"/>
  <c r="AA273" i="12" s="1"/>
  <c r="Y272" i="12"/>
  <c r="Y271" i="12"/>
  <c r="AA271" i="12" s="1"/>
  <c r="Y270" i="12"/>
  <c r="AA270" i="12" s="1"/>
  <c r="Y269" i="12"/>
  <c r="AA269" i="12" s="1"/>
  <c r="Y268" i="12"/>
  <c r="AA268" i="12" s="1"/>
  <c r="Y267" i="12"/>
  <c r="AA267" i="12" s="1"/>
  <c r="Y266" i="12"/>
  <c r="AA266" i="12" s="1"/>
  <c r="Y265" i="12"/>
  <c r="AA265" i="12" s="1"/>
  <c r="Y264" i="12"/>
  <c r="Y263" i="12"/>
  <c r="AA263" i="12" s="1"/>
  <c r="Y262" i="12"/>
  <c r="AA262" i="12" s="1"/>
  <c r="Y261" i="12"/>
  <c r="AA261" i="12" s="1"/>
  <c r="Y260" i="12"/>
  <c r="AA260" i="12" s="1"/>
  <c r="Y259" i="12"/>
  <c r="AA259" i="12" s="1"/>
  <c r="Y258" i="12"/>
  <c r="AA258" i="12" s="1"/>
  <c r="Y257" i="12"/>
  <c r="AA257" i="12" s="1"/>
  <c r="Y256" i="12"/>
  <c r="Y255" i="12"/>
  <c r="AA255" i="12" s="1"/>
  <c r="Y254" i="12"/>
  <c r="AA254" i="12" s="1"/>
  <c r="Y253" i="12"/>
  <c r="AA253" i="12" s="1"/>
  <c r="Y252" i="12"/>
  <c r="AA252" i="12" s="1"/>
  <c r="Y251" i="12"/>
  <c r="AA251" i="12" s="1"/>
  <c r="Y250" i="12"/>
  <c r="AA250" i="12" s="1"/>
  <c r="Y249" i="12"/>
  <c r="AA249" i="12" s="1"/>
  <c r="Y248" i="12"/>
  <c r="Y247" i="12"/>
  <c r="AA247" i="12" s="1"/>
  <c r="Y246" i="12"/>
  <c r="AA246" i="12" s="1"/>
  <c r="Y245" i="12"/>
  <c r="AA245" i="12" s="1"/>
  <c r="Y244" i="12"/>
  <c r="AA244" i="12" s="1"/>
  <c r="Y243" i="12"/>
  <c r="AA243" i="12" s="1"/>
  <c r="Y242" i="12"/>
  <c r="AA242" i="12" s="1"/>
  <c r="Y241" i="12"/>
  <c r="AA241" i="12" s="1"/>
  <c r="Y240" i="12"/>
  <c r="Y239" i="12"/>
  <c r="AA239" i="12" s="1"/>
  <c r="Y238" i="12"/>
  <c r="AA238" i="12" s="1"/>
  <c r="Y237" i="12"/>
  <c r="AA237" i="12" s="1"/>
  <c r="Y236" i="12"/>
  <c r="AA236" i="12" s="1"/>
  <c r="Y235" i="12"/>
  <c r="AA235" i="12" s="1"/>
  <c r="Y234" i="12"/>
  <c r="AA234" i="12" s="1"/>
  <c r="Y233" i="12"/>
  <c r="AA233" i="12" s="1"/>
  <c r="Y232" i="12"/>
  <c r="Y231" i="12"/>
  <c r="AA231" i="12" s="1"/>
  <c r="Y230" i="12"/>
  <c r="AA230" i="12" s="1"/>
  <c r="Y229" i="12"/>
  <c r="AA229" i="12" s="1"/>
  <c r="Y228" i="12"/>
  <c r="AA228" i="12" s="1"/>
  <c r="Y227" i="12"/>
  <c r="AA227" i="12" s="1"/>
  <c r="Y226" i="12"/>
  <c r="AA226" i="12" s="1"/>
  <c r="Y225" i="12"/>
  <c r="AA225" i="12" s="1"/>
  <c r="Y224" i="12"/>
  <c r="Y223" i="12"/>
  <c r="AA223" i="12" s="1"/>
  <c r="Y222" i="12"/>
  <c r="AA222" i="12" s="1"/>
  <c r="Y221" i="12"/>
  <c r="AA221" i="12" s="1"/>
  <c r="Y220" i="12"/>
  <c r="AA220" i="12" s="1"/>
  <c r="Y219" i="12"/>
  <c r="AA219" i="12" s="1"/>
  <c r="Y218" i="12"/>
  <c r="AA218" i="12" s="1"/>
  <c r="Y217" i="12"/>
  <c r="AA217" i="12" s="1"/>
  <c r="Y216" i="12"/>
  <c r="Y215" i="12"/>
  <c r="AA215" i="12" s="1"/>
  <c r="Y214" i="12"/>
  <c r="AA214" i="12" s="1"/>
  <c r="Y213" i="12"/>
  <c r="AA213" i="12" s="1"/>
  <c r="Y212" i="12"/>
  <c r="AA212" i="12" s="1"/>
  <c r="Y211" i="12"/>
  <c r="AA211" i="12" s="1"/>
  <c r="Y210" i="12"/>
  <c r="AA210" i="12" s="1"/>
  <c r="Y209" i="12"/>
  <c r="AA209" i="12" s="1"/>
  <c r="Y208" i="12"/>
  <c r="Y207" i="12"/>
  <c r="AA207" i="12" s="1"/>
  <c r="Y206" i="12"/>
  <c r="AA206" i="12" s="1"/>
  <c r="Y205" i="12"/>
  <c r="AA205" i="12" s="1"/>
  <c r="Y204" i="12"/>
  <c r="AA204" i="12" s="1"/>
  <c r="Y203" i="12"/>
  <c r="AA203" i="12" s="1"/>
  <c r="Y202" i="12"/>
  <c r="AA202" i="12" s="1"/>
  <c r="Y201" i="12"/>
  <c r="AA201" i="12" s="1"/>
  <c r="Y200" i="12"/>
  <c r="Y199" i="12"/>
  <c r="AA199" i="12" s="1"/>
  <c r="Y198" i="12"/>
  <c r="AA198" i="12" s="1"/>
  <c r="Y197" i="12"/>
  <c r="AA197" i="12" s="1"/>
  <c r="Y196" i="12"/>
  <c r="AA196" i="12" s="1"/>
  <c r="Y195" i="12"/>
  <c r="AA195" i="12" s="1"/>
  <c r="Y194" i="12"/>
  <c r="AA194" i="12" s="1"/>
  <c r="Y193" i="12"/>
  <c r="AA193" i="12" s="1"/>
  <c r="Y192" i="12"/>
  <c r="Y191" i="12"/>
  <c r="AA191" i="12" s="1"/>
  <c r="Y190" i="12"/>
  <c r="AA190" i="12" s="1"/>
  <c r="Y189" i="12"/>
  <c r="AA189" i="12" s="1"/>
  <c r="Y188" i="12"/>
  <c r="AA188" i="12" s="1"/>
  <c r="Y187" i="12"/>
  <c r="AA187" i="12" s="1"/>
  <c r="Y186" i="12"/>
  <c r="AA186" i="12" s="1"/>
  <c r="Y185" i="12"/>
  <c r="AA185" i="12" s="1"/>
  <c r="Y184" i="12"/>
  <c r="Y183" i="12"/>
  <c r="AA183" i="12" s="1"/>
  <c r="Y182" i="12"/>
  <c r="AA182" i="12" s="1"/>
  <c r="Y181" i="12"/>
  <c r="AA181" i="12" s="1"/>
  <c r="Y180" i="12"/>
  <c r="AA180" i="12" s="1"/>
  <c r="Y179" i="12"/>
  <c r="AA179" i="12" s="1"/>
  <c r="Y178" i="12"/>
  <c r="AA178" i="12" s="1"/>
  <c r="Y177" i="12"/>
  <c r="AA177" i="12" s="1"/>
  <c r="Y176" i="12"/>
  <c r="Y175" i="12"/>
  <c r="AA175" i="12" s="1"/>
  <c r="Y174" i="12"/>
  <c r="AA174" i="12" s="1"/>
  <c r="Y173" i="12"/>
  <c r="AA173" i="12" s="1"/>
  <c r="Y172" i="12"/>
  <c r="AA172" i="12" s="1"/>
  <c r="Y171" i="12"/>
  <c r="AA171" i="12" s="1"/>
  <c r="Y170" i="12"/>
  <c r="AA170" i="12" s="1"/>
  <c r="Y169" i="12"/>
  <c r="AA169" i="12" s="1"/>
  <c r="Y168" i="12"/>
  <c r="Y167" i="12"/>
  <c r="AA167" i="12" s="1"/>
  <c r="Y166" i="12"/>
  <c r="AA166" i="12" s="1"/>
  <c r="Y165" i="12"/>
  <c r="AA165" i="12" s="1"/>
  <c r="Y164" i="12"/>
  <c r="AA164" i="12" s="1"/>
  <c r="Y163" i="12"/>
  <c r="AA163" i="12" s="1"/>
  <c r="Y162" i="12"/>
  <c r="AA162" i="12" s="1"/>
  <c r="Y161" i="12"/>
  <c r="AA161" i="12" s="1"/>
  <c r="Y160" i="12"/>
  <c r="Y159" i="12"/>
  <c r="AA159" i="12" s="1"/>
  <c r="Y158" i="12"/>
  <c r="AA158" i="12" s="1"/>
  <c r="Y157" i="12"/>
  <c r="AA157" i="12" s="1"/>
  <c r="Y156" i="12"/>
  <c r="AA156" i="12" s="1"/>
  <c r="Y155" i="12"/>
  <c r="AA155" i="12" s="1"/>
  <c r="Y154" i="12"/>
  <c r="AA154" i="12" s="1"/>
  <c r="Y153" i="12"/>
  <c r="AA153" i="12" s="1"/>
  <c r="Y152" i="12"/>
  <c r="Y151" i="12"/>
  <c r="AA151" i="12" s="1"/>
  <c r="Y150" i="12"/>
  <c r="AA150" i="12" s="1"/>
  <c r="Y149" i="12"/>
  <c r="AA149" i="12" s="1"/>
  <c r="Y148" i="12"/>
  <c r="AA148" i="12" s="1"/>
  <c r="Y147" i="12"/>
  <c r="AA147" i="12" s="1"/>
  <c r="Y146" i="12"/>
  <c r="AA146" i="12" s="1"/>
  <c r="Y145" i="12"/>
  <c r="AA145" i="12" s="1"/>
  <c r="Y144" i="12"/>
  <c r="Y143" i="12"/>
  <c r="AA143" i="12" s="1"/>
  <c r="Y142" i="12"/>
  <c r="AA142" i="12" s="1"/>
  <c r="Y141" i="12"/>
  <c r="AA141" i="12" s="1"/>
  <c r="Y140" i="12"/>
  <c r="AA140" i="12" s="1"/>
  <c r="Y139" i="12"/>
  <c r="AA139" i="12" s="1"/>
  <c r="Y138" i="12"/>
  <c r="AA138" i="12" s="1"/>
  <c r="Y137" i="12"/>
  <c r="AA137" i="12" s="1"/>
  <c r="Y136" i="12"/>
  <c r="Y135" i="12"/>
  <c r="AA135" i="12" s="1"/>
  <c r="Y134" i="12"/>
  <c r="AA134" i="12" s="1"/>
  <c r="Y133" i="12"/>
  <c r="AA133" i="12" s="1"/>
  <c r="Y132" i="12"/>
  <c r="AA132" i="12" s="1"/>
  <c r="Y131" i="12"/>
  <c r="AA131" i="12" s="1"/>
  <c r="Y130" i="12"/>
  <c r="AA130" i="12" s="1"/>
  <c r="Y129" i="12"/>
  <c r="AA129" i="12" s="1"/>
  <c r="Y128" i="12"/>
  <c r="Y127" i="12"/>
  <c r="AA127" i="12" s="1"/>
  <c r="Y126" i="12"/>
  <c r="AA126" i="12" s="1"/>
  <c r="Y125" i="12"/>
  <c r="AA125" i="12" s="1"/>
  <c r="Y124" i="12"/>
  <c r="AA124" i="12" s="1"/>
  <c r="Y123" i="12"/>
  <c r="AA123" i="12" s="1"/>
  <c r="Y122" i="12"/>
  <c r="AA122" i="12" s="1"/>
  <c r="Y121" i="12"/>
  <c r="AA121" i="12" s="1"/>
  <c r="Y120" i="12"/>
  <c r="Y119" i="12"/>
  <c r="AA119" i="12" s="1"/>
  <c r="Y118" i="12"/>
  <c r="AA118" i="12" s="1"/>
  <c r="Y117" i="12"/>
  <c r="AA117" i="12" s="1"/>
  <c r="Y116" i="12"/>
  <c r="AA116" i="12" s="1"/>
  <c r="Y115" i="12"/>
  <c r="AA115" i="12" s="1"/>
  <c r="Y114" i="12"/>
  <c r="AA114" i="12" s="1"/>
  <c r="Y113" i="12"/>
  <c r="AA113" i="12" s="1"/>
  <c r="Y112" i="12"/>
  <c r="Y111" i="12"/>
  <c r="AA111" i="12" s="1"/>
  <c r="Y110" i="12"/>
  <c r="AA110" i="12" s="1"/>
  <c r="Y109" i="12"/>
  <c r="AA109" i="12" s="1"/>
  <c r="Y108" i="12"/>
  <c r="AA108" i="12" s="1"/>
  <c r="Y107" i="12"/>
  <c r="AA107" i="12" s="1"/>
  <c r="Y106" i="12"/>
  <c r="AA106" i="12" s="1"/>
  <c r="Y105" i="12"/>
  <c r="AA105" i="12" s="1"/>
  <c r="Y104" i="12"/>
  <c r="Y103" i="12"/>
  <c r="AA103" i="12" s="1"/>
  <c r="Y102" i="12"/>
  <c r="AA102" i="12" s="1"/>
  <c r="Y101" i="12"/>
  <c r="AA101" i="12" s="1"/>
  <c r="Y100" i="12"/>
  <c r="AA100" i="12" s="1"/>
  <c r="Y99" i="12"/>
  <c r="AA99" i="12" s="1"/>
  <c r="Y98" i="12"/>
  <c r="AA98" i="12" s="1"/>
  <c r="Y97" i="12"/>
  <c r="AA97" i="12" s="1"/>
  <c r="Y96" i="12"/>
  <c r="Y95" i="12"/>
  <c r="AA95" i="12" s="1"/>
  <c r="Y94" i="12"/>
  <c r="AA94" i="12" s="1"/>
  <c r="Y93" i="12"/>
  <c r="AA93" i="12" s="1"/>
  <c r="Y92" i="12"/>
  <c r="AA92" i="12" s="1"/>
  <c r="Y91" i="12"/>
  <c r="AA91" i="12" s="1"/>
  <c r="Y90" i="12"/>
  <c r="AA90" i="12" s="1"/>
  <c r="Y89" i="12"/>
  <c r="AA89" i="12" s="1"/>
  <c r="Y88" i="12"/>
  <c r="Y87" i="12"/>
  <c r="AA87" i="12" s="1"/>
  <c r="Y86" i="12"/>
  <c r="AA86" i="12" s="1"/>
  <c r="Y85" i="12"/>
  <c r="AA85" i="12" s="1"/>
  <c r="Y84" i="12"/>
  <c r="AA84" i="12" s="1"/>
  <c r="Y83" i="12"/>
  <c r="AA83" i="12" s="1"/>
  <c r="Y82" i="12"/>
  <c r="AA82" i="12" s="1"/>
  <c r="Y81" i="12"/>
  <c r="AA81" i="12" s="1"/>
  <c r="Y80" i="12"/>
  <c r="Y79" i="12"/>
  <c r="AA79" i="12" s="1"/>
  <c r="Y78" i="12"/>
  <c r="AA78" i="12" s="1"/>
  <c r="Y77" i="12"/>
  <c r="AA77" i="12" s="1"/>
  <c r="Y76" i="12"/>
  <c r="AA76" i="12" s="1"/>
  <c r="Y75" i="12"/>
  <c r="AA75" i="12" s="1"/>
  <c r="Y74" i="12"/>
  <c r="AA74" i="12" s="1"/>
  <c r="Y73" i="12"/>
  <c r="AA73" i="12" s="1"/>
  <c r="Y72" i="12"/>
  <c r="Y71" i="12"/>
  <c r="AA71" i="12" s="1"/>
  <c r="Y70" i="12"/>
  <c r="AA70" i="12" s="1"/>
  <c r="Y69" i="12"/>
  <c r="AA69" i="12" s="1"/>
  <c r="Y68" i="12"/>
  <c r="AA68" i="12" s="1"/>
  <c r="Y67" i="12"/>
  <c r="AA67" i="12" s="1"/>
  <c r="Y66" i="12"/>
  <c r="AA66" i="12" s="1"/>
  <c r="Y65" i="12"/>
  <c r="AA65" i="12" s="1"/>
  <c r="Y64" i="12"/>
  <c r="Y63" i="12"/>
  <c r="AA63" i="12" s="1"/>
  <c r="Y62" i="12"/>
  <c r="AA62" i="12" s="1"/>
  <c r="Y61" i="12"/>
  <c r="AA61" i="12" s="1"/>
  <c r="Y60" i="12"/>
  <c r="AA60" i="12" s="1"/>
  <c r="Y59" i="12"/>
  <c r="AA59" i="12" s="1"/>
  <c r="Y58" i="12"/>
  <c r="AA58" i="12" s="1"/>
  <c r="Y57" i="12"/>
  <c r="AA57" i="12" s="1"/>
  <c r="Y56" i="12"/>
  <c r="Y55" i="12"/>
  <c r="AA55" i="12" s="1"/>
  <c r="Y54" i="12"/>
  <c r="AA54" i="12" s="1"/>
  <c r="Y53" i="12"/>
  <c r="AA53" i="12" s="1"/>
  <c r="Y52" i="12"/>
  <c r="AA52" i="12" s="1"/>
  <c r="Y51" i="12"/>
  <c r="AA51" i="12" s="1"/>
  <c r="Y50" i="12"/>
  <c r="AA50" i="12" s="1"/>
  <c r="Y49" i="12"/>
  <c r="AA49" i="12" s="1"/>
  <c r="Y47" i="12"/>
  <c r="AA47" i="12" s="1"/>
  <c r="Y46" i="12"/>
  <c r="AA46" i="12" s="1"/>
  <c r="Y45" i="12"/>
  <c r="AA45" i="12" s="1"/>
  <c r="Y44" i="12"/>
  <c r="AA44" i="12" s="1"/>
  <c r="Y43" i="12"/>
  <c r="AA43" i="12" s="1"/>
  <c r="Y42" i="12"/>
  <c r="AA42" i="12" s="1"/>
  <c r="Y41" i="12"/>
  <c r="AA41" i="12" s="1"/>
  <c r="Y40" i="12"/>
  <c r="AA40" i="12" s="1"/>
  <c r="Y39" i="12"/>
  <c r="AA39" i="12" s="1"/>
  <c r="Y38" i="12"/>
  <c r="AA38" i="12" s="1"/>
  <c r="Y37" i="12"/>
  <c r="AA37" i="12" s="1"/>
  <c r="Y36" i="12"/>
  <c r="AA36" i="12" s="1"/>
  <c r="Y35" i="12"/>
  <c r="AA35" i="12" s="1"/>
  <c r="Y34" i="12"/>
  <c r="AA34" i="12" s="1"/>
  <c r="Y33" i="12"/>
  <c r="AA33" i="12" s="1"/>
  <c r="Y32" i="12"/>
  <c r="AA32" i="12" s="1"/>
  <c r="Y31" i="12"/>
  <c r="AA31" i="12" s="1"/>
  <c r="Y30" i="12"/>
  <c r="AA30" i="12" s="1"/>
  <c r="Y29" i="12"/>
  <c r="AA29" i="12" s="1"/>
  <c r="Y28" i="12"/>
  <c r="AA28" i="12" s="1"/>
  <c r="Y27" i="12"/>
  <c r="AA27" i="12" s="1"/>
  <c r="Y26" i="12"/>
  <c r="AA26" i="12" s="1"/>
  <c r="Y25" i="12"/>
  <c r="AA25" i="12" s="1"/>
  <c r="Y24" i="12"/>
  <c r="AA24" i="12" s="1"/>
  <c r="Y23" i="12"/>
  <c r="AA23" i="12" s="1"/>
  <c r="Y22" i="12"/>
  <c r="AA22" i="12" s="1"/>
  <c r="Y21" i="12"/>
  <c r="AA21" i="12" s="1"/>
  <c r="Y20" i="12"/>
  <c r="AA20" i="12" s="1"/>
  <c r="Y19" i="12"/>
  <c r="AA19" i="12" s="1"/>
  <c r="Y18" i="12"/>
  <c r="AA18" i="12" s="1"/>
  <c r="Y17" i="12"/>
  <c r="AA17" i="12" s="1"/>
  <c r="Y16" i="12"/>
  <c r="AA16" i="12" s="1"/>
  <c r="Y15" i="12"/>
  <c r="AA15" i="12" s="1"/>
  <c r="Y14" i="12"/>
  <c r="AA14" i="12" s="1"/>
  <c r="Y13" i="12"/>
  <c r="AA13" i="12" s="1"/>
  <c r="Y12" i="12"/>
  <c r="AA12" i="12" s="1"/>
  <c r="Y11" i="12"/>
  <c r="AA11" i="12" s="1"/>
  <c r="Y10" i="12"/>
  <c r="AA10" i="12" s="1"/>
  <c r="Y9" i="12"/>
  <c r="AA9" i="12" s="1"/>
  <c r="Y8" i="12"/>
  <c r="AA8" i="12" s="1"/>
  <c r="Y7" i="12"/>
  <c r="AA7" i="12" s="1"/>
  <c r="Y6" i="12"/>
  <c r="AA6" i="12" s="1"/>
  <c r="Y5" i="12"/>
  <c r="AA5" i="12" s="1"/>
  <c r="Y4" i="12"/>
  <c r="AA4" i="12" s="1"/>
  <c r="Y3" i="12"/>
  <c r="AA3" i="12" s="1"/>
  <c r="Y2" i="12"/>
  <c r="AA2" i="12" s="1"/>
  <c r="Y48" i="12"/>
  <c r="AA48" i="12" s="1"/>
  <c r="AA554" i="12"/>
  <c r="AA553" i="12"/>
  <c r="AA552" i="12"/>
  <c r="AA551" i="12"/>
  <c r="AA550" i="12"/>
  <c r="AA549" i="12"/>
  <c r="AA548" i="12"/>
  <c r="AA547" i="12"/>
  <c r="AA546" i="12"/>
  <c r="AA545" i="12"/>
  <c r="AA544" i="12"/>
  <c r="AA543" i="12"/>
  <c r="AA542" i="12"/>
  <c r="AA541" i="12"/>
  <c r="AA540" i="12"/>
  <c r="AA539" i="12"/>
  <c r="AA538" i="12"/>
  <c r="AA537" i="12"/>
  <c r="AA536" i="12"/>
  <c r="AA535" i="12"/>
  <c r="AA534" i="12"/>
  <c r="AA533" i="12"/>
  <c r="AA532" i="12"/>
  <c r="AA531" i="12"/>
  <c r="AA530" i="12"/>
  <c r="AA529" i="12"/>
  <c r="AA528" i="12"/>
  <c r="AA527" i="12"/>
  <c r="AA526" i="12"/>
  <c r="AA525" i="12"/>
  <c r="AA524" i="12"/>
  <c r="AA523" i="12"/>
  <c r="AA522" i="12"/>
  <c r="AA521" i="12"/>
  <c r="AA520" i="12"/>
  <c r="AA519" i="12"/>
  <c r="AA518" i="12"/>
  <c r="AA517" i="12"/>
  <c r="AA516" i="12"/>
  <c r="AA515" i="12"/>
  <c r="AA514" i="12"/>
  <c r="AA512" i="12"/>
  <c r="AA511" i="12"/>
  <c r="AA510" i="12"/>
  <c r="AA509" i="12"/>
  <c r="AA508" i="12"/>
  <c r="AA507" i="12"/>
  <c r="AA506" i="12"/>
  <c r="AA504" i="12"/>
  <c r="AA503" i="12"/>
  <c r="AA502" i="12"/>
  <c r="AA501" i="12"/>
  <c r="AA500" i="12"/>
  <c r="AA499" i="12"/>
  <c r="AA496" i="12"/>
  <c r="AA495" i="12"/>
  <c r="AA493" i="12"/>
  <c r="AA492" i="12"/>
  <c r="AA488" i="12"/>
  <c r="AA487" i="12"/>
  <c r="AA486" i="12"/>
  <c r="AA485" i="12"/>
  <c r="AA484" i="12"/>
  <c r="AA480" i="12"/>
  <c r="AA472" i="12"/>
  <c r="AA469" i="12"/>
  <c r="AA468" i="12"/>
  <c r="AA464" i="12"/>
  <c r="AA460" i="12"/>
  <c r="AA456" i="12"/>
  <c r="AA455" i="12"/>
  <c r="AA448" i="12"/>
  <c r="AA447" i="12"/>
  <c r="AA445" i="12"/>
  <c r="AA440" i="12"/>
  <c r="AA438" i="12"/>
  <c r="AA432" i="12"/>
  <c r="AA431" i="12"/>
  <c r="AA429" i="12"/>
  <c r="AA424" i="12"/>
  <c r="AA421" i="12"/>
  <c r="AA420" i="12"/>
  <c r="AA416" i="12"/>
  <c r="AA408" i="12"/>
  <c r="AA407" i="12"/>
  <c r="AA405" i="12"/>
  <c r="AA400" i="12"/>
  <c r="AA399" i="12"/>
  <c r="AA397" i="12"/>
  <c r="AA396" i="12"/>
  <c r="AA392" i="12"/>
  <c r="AA381" i="12"/>
  <c r="AA376" i="12"/>
  <c r="AA375" i="12"/>
  <c r="AA373" i="12"/>
  <c r="AA367" i="12"/>
  <c r="AA365" i="12"/>
  <c r="AA360" i="12"/>
  <c r="AA357" i="12"/>
  <c r="AA344" i="12"/>
  <c r="AA341" i="12"/>
  <c r="AA336" i="12"/>
  <c r="AA333" i="12"/>
  <c r="AA328" i="12"/>
  <c r="AA320" i="12"/>
  <c r="AA317" i="12"/>
  <c r="AA312" i="12"/>
  <c r="AA304" i="12"/>
  <c r="AA296" i="12"/>
  <c r="AA288" i="12"/>
  <c r="AA280" i="12"/>
  <c r="AA272" i="12"/>
  <c r="AA264" i="12"/>
  <c r="AA256" i="12"/>
  <c r="AA248" i="12"/>
  <c r="AA240" i="12"/>
  <c r="AA232" i="12"/>
  <c r="AA224" i="12"/>
  <c r="AA216" i="12"/>
  <c r="AA208" i="12"/>
  <c r="AA200" i="12"/>
  <c r="AA192" i="12"/>
  <c r="AA184" i="12"/>
  <c r="AA176" i="12"/>
  <c r="AA168" i="12"/>
  <c r="AA160" i="12"/>
  <c r="AA152" i="12"/>
  <c r="AA144" i="12"/>
  <c r="AA136" i="12"/>
  <c r="AA128" i="12"/>
  <c r="AA120" i="12"/>
  <c r="AA112" i="12"/>
  <c r="AA104" i="12"/>
  <c r="AA96" i="12"/>
  <c r="AA88" i="12"/>
  <c r="AA80" i="12"/>
  <c r="AA72" i="12"/>
  <c r="AA64" i="12"/>
  <c r="AA56" i="12"/>
  <c r="A6" i="47" a="1"/>
  <c r="A6" i="47" l="1"/>
  <c r="D12" i="48"/>
  <c r="E12" i="48" s="1"/>
  <c r="D19" i="48"/>
  <c r="E19" i="48" s="1"/>
  <c r="D16" i="48"/>
  <c r="E16" i="48" s="1"/>
  <c r="A12" i="47"/>
  <c r="A2" i="34"/>
  <c r="W554" i="12"/>
  <c r="W553" i="12"/>
  <c r="W552" i="12"/>
  <c r="W551" i="12"/>
  <c r="W550" i="12"/>
  <c r="W549" i="12"/>
  <c r="W548" i="12"/>
  <c r="W547" i="12"/>
  <c r="W546" i="12"/>
  <c r="W545" i="12"/>
  <c r="W544" i="12"/>
  <c r="W543" i="12"/>
  <c r="W542" i="12"/>
  <c r="W541" i="12"/>
  <c r="W540" i="12"/>
  <c r="W539" i="12"/>
  <c r="W538" i="12"/>
  <c r="W537" i="12"/>
  <c r="W536" i="12"/>
  <c r="W535" i="12"/>
  <c r="W534" i="12"/>
  <c r="W533" i="12"/>
  <c r="W532" i="12"/>
  <c r="W531" i="12"/>
  <c r="W530" i="12"/>
  <c r="W529" i="12"/>
  <c r="W528" i="12"/>
  <c r="W527" i="12"/>
  <c r="W526" i="12"/>
  <c r="W525" i="12"/>
  <c r="W524" i="12"/>
  <c r="W523" i="12"/>
  <c r="W522" i="12"/>
  <c r="W521" i="12"/>
  <c r="W520" i="12"/>
  <c r="W519" i="12"/>
  <c r="W518" i="12"/>
  <c r="W517" i="12"/>
  <c r="W516" i="12"/>
  <c r="W515" i="12"/>
  <c r="W514" i="12"/>
  <c r="W513" i="12"/>
  <c r="W512" i="12"/>
  <c r="W511" i="12"/>
  <c r="W510" i="12"/>
  <c r="W509" i="12"/>
  <c r="W508" i="12"/>
  <c r="W507" i="12"/>
  <c r="W506" i="12"/>
  <c r="W505" i="12"/>
  <c r="W504" i="12"/>
  <c r="W503" i="12"/>
  <c r="W502" i="12"/>
  <c r="W501" i="12"/>
  <c r="W500" i="12"/>
  <c r="W499" i="12"/>
  <c r="W498" i="12"/>
  <c r="W497" i="12"/>
  <c r="W496" i="12"/>
  <c r="W495" i="12"/>
  <c r="W494" i="12"/>
  <c r="W493" i="12"/>
  <c r="W492" i="12"/>
  <c r="W491" i="12"/>
  <c r="W490" i="12"/>
  <c r="W489" i="12"/>
  <c r="W488" i="12"/>
  <c r="W487" i="12"/>
  <c r="W486" i="12"/>
  <c r="W485" i="12"/>
  <c r="W484" i="12"/>
  <c r="W483" i="12"/>
  <c r="W482" i="12"/>
  <c r="W481" i="12"/>
  <c r="W480" i="12"/>
  <c r="W479" i="12"/>
  <c r="W478" i="12"/>
  <c r="W477" i="12"/>
  <c r="W476" i="12"/>
  <c r="W475" i="12"/>
  <c r="W474" i="12"/>
  <c r="W473" i="12"/>
  <c r="W472" i="12"/>
  <c r="W471" i="12"/>
  <c r="W470" i="12"/>
  <c r="W469" i="12"/>
  <c r="W468" i="12"/>
  <c r="W467" i="12"/>
  <c r="W466" i="12"/>
  <c r="W465" i="12"/>
  <c r="W464" i="12"/>
  <c r="W463" i="12"/>
  <c r="W462" i="12"/>
  <c r="W461" i="12"/>
  <c r="W460" i="12"/>
  <c r="W459" i="12"/>
  <c r="W458" i="12"/>
  <c r="W457" i="12"/>
  <c r="W456" i="12"/>
  <c r="W455" i="12"/>
  <c r="W454" i="12"/>
  <c r="W453" i="12"/>
  <c r="W452" i="12"/>
  <c r="W451" i="12"/>
  <c r="W450" i="12"/>
  <c r="W449" i="12"/>
  <c r="W448" i="12"/>
  <c r="W447" i="12"/>
  <c r="W446" i="12"/>
  <c r="W445" i="12"/>
  <c r="W444" i="12"/>
  <c r="W443" i="12"/>
  <c r="W442" i="12"/>
  <c r="W441" i="12"/>
  <c r="W440" i="12"/>
  <c r="W439" i="12"/>
  <c r="W438" i="12"/>
  <c r="W437" i="12"/>
  <c r="W436" i="12"/>
  <c r="W435" i="12"/>
  <c r="W434" i="12"/>
  <c r="W433" i="12"/>
  <c r="W432" i="12"/>
  <c r="W431" i="12"/>
  <c r="W430" i="12"/>
  <c r="W429" i="12"/>
  <c r="W428" i="12"/>
  <c r="W427" i="12"/>
  <c r="W426" i="12"/>
  <c r="W425" i="12"/>
  <c r="W424" i="12"/>
  <c r="W423" i="12"/>
  <c r="W422" i="12"/>
  <c r="W421" i="12"/>
  <c r="W420" i="12"/>
  <c r="W419" i="12"/>
  <c r="W418" i="12"/>
  <c r="W417" i="12"/>
  <c r="W416" i="12"/>
  <c r="W415" i="12"/>
  <c r="W414" i="12"/>
  <c r="W413" i="12"/>
  <c r="W412" i="12"/>
  <c r="W411" i="12"/>
  <c r="W410" i="12"/>
  <c r="W409" i="12"/>
  <c r="W408" i="12"/>
  <c r="W407" i="12"/>
  <c r="W406" i="12"/>
  <c r="W405" i="12"/>
  <c r="W404" i="12"/>
  <c r="W403" i="12"/>
  <c r="W402" i="12"/>
  <c r="W401" i="12"/>
  <c r="W400" i="12"/>
  <c r="W399" i="12"/>
  <c r="W398" i="12"/>
  <c r="W397" i="12"/>
  <c r="W396" i="12"/>
  <c r="W395" i="12"/>
  <c r="W394" i="12"/>
  <c r="W393" i="12"/>
  <c r="W392" i="12"/>
  <c r="W391" i="12"/>
  <c r="W390" i="12"/>
  <c r="W389" i="12"/>
  <c r="W388" i="12"/>
  <c r="W387" i="12"/>
  <c r="W386" i="12"/>
  <c r="W385" i="12"/>
  <c r="W384" i="12"/>
  <c r="W383" i="12"/>
  <c r="W382" i="12"/>
  <c r="W381" i="12"/>
  <c r="W380" i="12"/>
  <c r="W379" i="12"/>
  <c r="W378" i="12"/>
  <c r="W377" i="12"/>
  <c r="W376" i="12"/>
  <c r="W375" i="12"/>
  <c r="W374" i="12"/>
  <c r="W373" i="12"/>
  <c r="W372" i="12"/>
  <c r="W371" i="12"/>
  <c r="W370" i="12"/>
  <c r="W369" i="12"/>
  <c r="W368" i="12"/>
  <c r="W367" i="12"/>
  <c r="W366" i="12"/>
  <c r="W365" i="12"/>
  <c r="W364" i="12"/>
  <c r="W363" i="12"/>
  <c r="W362" i="12"/>
  <c r="W361" i="12"/>
  <c r="W360" i="12"/>
  <c r="W359" i="12"/>
  <c r="W358" i="12"/>
  <c r="W357" i="12"/>
  <c r="W356" i="12"/>
  <c r="W355" i="12"/>
  <c r="W354" i="12"/>
  <c r="W353" i="12"/>
  <c r="W352" i="12"/>
  <c r="W351" i="12"/>
  <c r="W350" i="12"/>
  <c r="W349" i="12"/>
  <c r="W348" i="12"/>
  <c r="W347" i="12"/>
  <c r="W346" i="12"/>
  <c r="W345" i="12"/>
  <c r="W344" i="12"/>
  <c r="W343" i="12"/>
  <c r="W342" i="12"/>
  <c r="W341" i="12"/>
  <c r="W340" i="12"/>
  <c r="W339" i="12"/>
  <c r="W338" i="12"/>
  <c r="W337" i="12"/>
  <c r="W336" i="12"/>
  <c r="W335" i="12"/>
  <c r="W334" i="12"/>
  <c r="W333" i="12"/>
  <c r="W332" i="12"/>
  <c r="W331" i="12"/>
  <c r="W330" i="12"/>
  <c r="W329" i="12"/>
  <c r="W328" i="12"/>
  <c r="W327" i="12"/>
  <c r="W326" i="12"/>
  <c r="W325" i="12"/>
  <c r="W324" i="12"/>
  <c r="W323" i="12"/>
  <c r="W322" i="12"/>
  <c r="W321" i="12"/>
  <c r="W320" i="12"/>
  <c r="W319" i="12"/>
  <c r="W318" i="12"/>
  <c r="W317" i="12"/>
  <c r="W316" i="12"/>
  <c r="W315" i="12"/>
  <c r="W314" i="12"/>
  <c r="W313" i="12"/>
  <c r="W312" i="12"/>
  <c r="W311" i="12"/>
  <c r="W310" i="12"/>
  <c r="W309" i="12"/>
  <c r="W308" i="12"/>
  <c r="W307" i="12"/>
  <c r="W306" i="12"/>
  <c r="W305" i="12"/>
  <c r="W304" i="12"/>
  <c r="W303" i="12"/>
  <c r="W302" i="12"/>
  <c r="W301" i="12"/>
  <c r="W300" i="12"/>
  <c r="W299" i="12"/>
  <c r="W298" i="12"/>
  <c r="W297" i="12"/>
  <c r="W296" i="12"/>
  <c r="W295" i="12"/>
  <c r="W294" i="12"/>
  <c r="W293" i="12"/>
  <c r="W292" i="12"/>
  <c r="W291" i="12"/>
  <c r="W290" i="12"/>
  <c r="W289" i="12"/>
  <c r="W288" i="12"/>
  <c r="W287" i="12"/>
  <c r="W286" i="12"/>
  <c r="W285" i="12"/>
  <c r="W284" i="12"/>
  <c r="W283" i="12"/>
  <c r="W282" i="12"/>
  <c r="W281" i="12"/>
  <c r="W280" i="12"/>
  <c r="W279" i="12"/>
  <c r="W278" i="12"/>
  <c r="W277" i="12"/>
  <c r="W276" i="12"/>
  <c r="W275" i="12"/>
  <c r="W274" i="12"/>
  <c r="W273" i="12"/>
  <c r="W272" i="12"/>
  <c r="W271" i="12"/>
  <c r="W270" i="12"/>
  <c r="W269" i="12"/>
  <c r="W268" i="12"/>
  <c r="W267" i="12"/>
  <c r="W266" i="12"/>
  <c r="W265" i="12"/>
  <c r="W264" i="12"/>
  <c r="W263" i="12"/>
  <c r="W262" i="12"/>
  <c r="W261" i="12"/>
  <c r="W260" i="12"/>
  <c r="W259" i="12"/>
  <c r="W258" i="12"/>
  <c r="W257" i="12"/>
  <c r="W256" i="12"/>
  <c r="W255" i="12"/>
  <c r="W254" i="12"/>
  <c r="W253" i="12"/>
  <c r="W252" i="12"/>
  <c r="W251" i="12"/>
  <c r="W250" i="12"/>
  <c r="W249" i="12"/>
  <c r="W248" i="12"/>
  <c r="W247" i="12"/>
  <c r="W246" i="12"/>
  <c r="W245" i="12"/>
  <c r="W244" i="12"/>
  <c r="W243" i="12"/>
  <c r="W242" i="12"/>
  <c r="W241" i="12"/>
  <c r="W240" i="12"/>
  <c r="W239" i="12"/>
  <c r="W238" i="12"/>
  <c r="W237" i="12"/>
  <c r="W236" i="12"/>
  <c r="W235" i="12"/>
  <c r="W234" i="12"/>
  <c r="W233" i="12"/>
  <c r="W232" i="12"/>
  <c r="W231" i="12"/>
  <c r="W230" i="12"/>
  <c r="W229" i="12"/>
  <c r="W228" i="12"/>
  <c r="W227" i="12"/>
  <c r="W226" i="12"/>
  <c r="W225" i="12"/>
  <c r="W224" i="12"/>
  <c r="W223" i="12"/>
  <c r="W222" i="12"/>
  <c r="W221" i="12"/>
  <c r="W220" i="12"/>
  <c r="W219" i="12"/>
  <c r="W218" i="12"/>
  <c r="W217" i="12"/>
  <c r="W216" i="12"/>
  <c r="W215" i="12"/>
  <c r="W214" i="12"/>
  <c r="W213" i="12"/>
  <c r="W212" i="12"/>
  <c r="W211" i="12"/>
  <c r="W210" i="12"/>
  <c r="W209" i="12"/>
  <c r="W208" i="12"/>
  <c r="W207" i="12"/>
  <c r="W206" i="12"/>
  <c r="W205" i="12"/>
  <c r="W204" i="12"/>
  <c r="W203" i="12"/>
  <c r="W202" i="12"/>
  <c r="W201" i="12"/>
  <c r="W200" i="12"/>
  <c r="W199" i="12"/>
  <c r="W198" i="12"/>
  <c r="W197" i="12"/>
  <c r="W196" i="12"/>
  <c r="W195" i="12"/>
  <c r="W194" i="12"/>
  <c r="W193" i="12"/>
  <c r="W192" i="12"/>
  <c r="W191" i="12"/>
  <c r="W190" i="12"/>
  <c r="W189" i="12"/>
  <c r="W188" i="12"/>
  <c r="W187" i="12"/>
  <c r="W186" i="12"/>
  <c r="W185" i="12"/>
  <c r="W184" i="12"/>
  <c r="W183" i="12"/>
  <c r="W182" i="12"/>
  <c r="W181" i="12"/>
  <c r="W180" i="12"/>
  <c r="W179" i="12"/>
  <c r="W178" i="12"/>
  <c r="W177" i="12"/>
  <c r="W176" i="12"/>
  <c r="W175" i="12"/>
  <c r="W174" i="12"/>
  <c r="W173" i="12"/>
  <c r="W172" i="12"/>
  <c r="W171" i="12"/>
  <c r="W170" i="12"/>
  <c r="W169" i="12"/>
  <c r="W168" i="12"/>
  <c r="W167" i="12"/>
  <c r="W166" i="12"/>
  <c r="W165" i="12"/>
  <c r="W164" i="12"/>
  <c r="W163" i="12"/>
  <c r="W162" i="12"/>
  <c r="W161" i="12"/>
  <c r="W160" i="12"/>
  <c r="W159" i="12"/>
  <c r="W158" i="12"/>
  <c r="W157" i="12"/>
  <c r="W156" i="12"/>
  <c r="W155" i="12"/>
  <c r="W154" i="12"/>
  <c r="W153" i="12"/>
  <c r="W152" i="12"/>
  <c r="W151" i="12"/>
  <c r="W150" i="12"/>
  <c r="W149" i="12"/>
  <c r="W148" i="12"/>
  <c r="W147" i="12"/>
  <c r="W146" i="12"/>
  <c r="W145" i="12"/>
  <c r="W144" i="12"/>
  <c r="W143" i="12"/>
  <c r="W142" i="12"/>
  <c r="W141" i="12"/>
  <c r="W140" i="12"/>
  <c r="W139" i="12"/>
  <c r="W138" i="12"/>
  <c r="W137" i="12"/>
  <c r="W136" i="12"/>
  <c r="W135" i="12"/>
  <c r="W134" i="12"/>
  <c r="W133" i="12"/>
  <c r="W132" i="12"/>
  <c r="W131" i="12"/>
  <c r="W130" i="12"/>
  <c r="W129" i="12"/>
  <c r="W128" i="12"/>
  <c r="W127" i="12"/>
  <c r="W126" i="12"/>
  <c r="W125" i="12"/>
  <c r="W124" i="12"/>
  <c r="W123" i="12"/>
  <c r="W122" i="12"/>
  <c r="W121" i="12"/>
  <c r="W120" i="12"/>
  <c r="W119" i="12"/>
  <c r="W118" i="12"/>
  <c r="W117" i="12"/>
  <c r="W116" i="12"/>
  <c r="W115" i="12"/>
  <c r="W114" i="12"/>
  <c r="W113" i="12"/>
  <c r="W112" i="12"/>
  <c r="W111" i="12"/>
  <c r="W110" i="12"/>
  <c r="W109" i="12"/>
  <c r="W108" i="12"/>
  <c r="W107" i="12"/>
  <c r="W106" i="12"/>
  <c r="W105" i="12"/>
  <c r="W104" i="12"/>
  <c r="W103" i="12"/>
  <c r="W102" i="12"/>
  <c r="W101" i="12"/>
  <c r="W100" i="12"/>
  <c r="W99" i="12"/>
  <c r="W98" i="12"/>
  <c r="W97" i="12"/>
  <c r="W96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W75" i="12"/>
  <c r="W74" i="12"/>
  <c r="W73" i="12"/>
  <c r="W72" i="12"/>
  <c r="W71" i="12"/>
  <c r="W70" i="12"/>
  <c r="W69" i="12"/>
  <c r="W68" i="12"/>
  <c r="W67" i="12"/>
  <c r="W66" i="12"/>
  <c r="W65" i="12"/>
  <c r="W64" i="12"/>
  <c r="W63" i="12"/>
  <c r="W62" i="12"/>
  <c r="W61" i="12"/>
  <c r="W60" i="12"/>
  <c r="W59" i="12"/>
  <c r="W554" i="40"/>
  <c r="W553" i="40"/>
  <c r="W552" i="40"/>
  <c r="W551" i="40"/>
  <c r="W550" i="40"/>
  <c r="W549" i="40"/>
  <c r="W548" i="40"/>
  <c r="W547" i="40"/>
  <c r="W546" i="40"/>
  <c r="W545" i="40"/>
  <c r="W544" i="40"/>
  <c r="W543" i="40"/>
  <c r="W542" i="40"/>
  <c r="W541" i="40"/>
  <c r="W540" i="40"/>
  <c r="W539" i="40"/>
  <c r="W538" i="40"/>
  <c r="W537" i="40"/>
  <c r="W536" i="40"/>
  <c r="W535" i="40"/>
  <c r="W534" i="40"/>
  <c r="W533" i="40"/>
  <c r="W532" i="40"/>
  <c r="W531" i="40"/>
  <c r="W530" i="40"/>
  <c r="W529" i="40"/>
  <c r="W528" i="40"/>
  <c r="W527" i="40"/>
  <c r="W526" i="40"/>
  <c r="W525" i="40"/>
  <c r="W524" i="40"/>
  <c r="W523" i="40"/>
  <c r="W522" i="40"/>
  <c r="W521" i="40"/>
  <c r="W520" i="40"/>
  <c r="W519" i="40"/>
  <c r="W518" i="40"/>
  <c r="W517" i="40"/>
  <c r="W516" i="40"/>
  <c r="W515" i="40"/>
  <c r="W514" i="40"/>
  <c r="W513" i="40"/>
  <c r="W512" i="40"/>
  <c r="W511" i="40"/>
  <c r="W510" i="40"/>
  <c r="W509" i="40"/>
  <c r="W508" i="40"/>
  <c r="W507" i="40"/>
  <c r="W506" i="40"/>
  <c r="W505" i="40"/>
  <c r="W504" i="40"/>
  <c r="W503" i="40"/>
  <c r="W502" i="40"/>
  <c r="W501" i="40"/>
  <c r="W500" i="40"/>
  <c r="W499" i="40"/>
  <c r="W498" i="40"/>
  <c r="W497" i="40"/>
  <c r="W496" i="40"/>
  <c r="W495" i="40"/>
  <c r="W494" i="40"/>
  <c r="W493" i="40"/>
  <c r="W492" i="40"/>
  <c r="W491" i="40"/>
  <c r="W490" i="40"/>
  <c r="W489" i="40"/>
  <c r="W488" i="40"/>
  <c r="W487" i="40"/>
  <c r="W486" i="40"/>
  <c r="W485" i="40"/>
  <c r="W484" i="40"/>
  <c r="W483" i="40"/>
  <c r="W482" i="40"/>
  <c r="W481" i="40"/>
  <c r="W480" i="40"/>
  <c r="W479" i="40"/>
  <c r="W478" i="40"/>
  <c r="W477" i="40"/>
  <c r="W476" i="40"/>
  <c r="W475" i="40"/>
  <c r="W474" i="40"/>
  <c r="W473" i="40"/>
  <c r="W472" i="40"/>
  <c r="W471" i="40"/>
  <c r="W470" i="40"/>
  <c r="W469" i="40"/>
  <c r="W468" i="40"/>
  <c r="W467" i="40"/>
  <c r="W466" i="40"/>
  <c r="W465" i="40"/>
  <c r="W464" i="40"/>
  <c r="W463" i="40"/>
  <c r="W462" i="40"/>
  <c r="W461" i="40"/>
  <c r="W460" i="40"/>
  <c r="W459" i="40"/>
  <c r="W458" i="40"/>
  <c r="W457" i="40"/>
  <c r="W456" i="40"/>
  <c r="W455" i="40"/>
  <c r="W454" i="40"/>
  <c r="W453" i="40"/>
  <c r="W452" i="40"/>
  <c r="W451" i="40"/>
  <c r="W450" i="40"/>
  <c r="W449" i="40"/>
  <c r="W448" i="40"/>
  <c r="W447" i="40"/>
  <c r="W446" i="40"/>
  <c r="W445" i="40"/>
  <c r="W444" i="40"/>
  <c r="W443" i="40"/>
  <c r="W442" i="40"/>
  <c r="W441" i="40"/>
  <c r="W440" i="40"/>
  <c r="W439" i="40"/>
  <c r="W438" i="40"/>
  <c r="W437" i="40"/>
  <c r="W436" i="40"/>
  <c r="W435" i="40"/>
  <c r="W434" i="40"/>
  <c r="W433" i="40"/>
  <c r="W432" i="40"/>
  <c r="W431" i="40"/>
  <c r="W430" i="40"/>
  <c r="W429" i="40"/>
  <c r="W428" i="40"/>
  <c r="W427" i="40"/>
  <c r="W426" i="40"/>
  <c r="W425" i="40"/>
  <c r="W424" i="40"/>
  <c r="W423" i="40"/>
  <c r="W422" i="40"/>
  <c r="W421" i="40"/>
  <c r="W420" i="40"/>
  <c r="W419" i="40"/>
  <c r="W418" i="40"/>
  <c r="W417" i="40"/>
  <c r="W416" i="40"/>
  <c r="W415" i="40"/>
  <c r="W414" i="40"/>
  <c r="W413" i="40"/>
  <c r="W412" i="40"/>
  <c r="W411" i="40"/>
  <c r="W410" i="40"/>
  <c r="W409" i="40"/>
  <c r="W408" i="40"/>
  <c r="W407" i="40"/>
  <c r="W406" i="40"/>
  <c r="W405" i="40"/>
  <c r="W404" i="40"/>
  <c r="W403" i="40"/>
  <c r="W402" i="40"/>
  <c r="W401" i="40"/>
  <c r="W400" i="40"/>
  <c r="W399" i="40"/>
  <c r="W398" i="40"/>
  <c r="W397" i="40"/>
  <c r="W396" i="40"/>
  <c r="W395" i="40"/>
  <c r="W394" i="40"/>
  <c r="W393" i="40"/>
  <c r="W392" i="40"/>
  <c r="W391" i="40"/>
  <c r="W390" i="40"/>
  <c r="W389" i="40"/>
  <c r="W388" i="40"/>
  <c r="W387" i="40"/>
  <c r="W386" i="40"/>
  <c r="W385" i="40"/>
  <c r="W384" i="40"/>
  <c r="W383" i="40"/>
  <c r="W382" i="40"/>
  <c r="W381" i="40"/>
  <c r="W380" i="40"/>
  <c r="W379" i="40"/>
  <c r="W378" i="40"/>
  <c r="W377" i="40"/>
  <c r="W376" i="40"/>
  <c r="W375" i="40"/>
  <c r="W374" i="40"/>
  <c r="W373" i="40"/>
  <c r="W372" i="40"/>
  <c r="W371" i="40"/>
  <c r="W370" i="40"/>
  <c r="W369" i="40"/>
  <c r="W368" i="40"/>
  <c r="W367" i="40"/>
  <c r="W366" i="40"/>
  <c r="W365" i="40"/>
  <c r="W364" i="40"/>
  <c r="W363" i="40"/>
  <c r="W362" i="40"/>
  <c r="W361" i="40"/>
  <c r="W360" i="40"/>
  <c r="W359" i="40"/>
  <c r="W358" i="40"/>
  <c r="W357" i="40"/>
  <c r="W356" i="40"/>
  <c r="W355" i="40"/>
  <c r="W354" i="40"/>
  <c r="W353" i="40"/>
  <c r="W352" i="40"/>
  <c r="W351" i="40"/>
  <c r="W350" i="40"/>
  <c r="W349" i="40"/>
  <c r="W348" i="40"/>
  <c r="W347" i="40"/>
  <c r="W346" i="40"/>
  <c r="W345" i="40"/>
  <c r="W344" i="40"/>
  <c r="W343" i="40"/>
  <c r="W342" i="40"/>
  <c r="W341" i="40"/>
  <c r="W340" i="40"/>
  <c r="W339" i="40"/>
  <c r="W338" i="40"/>
  <c r="W337" i="40"/>
  <c r="W336" i="40"/>
  <c r="W335" i="40"/>
  <c r="W334" i="40"/>
  <c r="W333" i="40"/>
  <c r="W332" i="40"/>
  <c r="W331" i="40"/>
  <c r="W330" i="40"/>
  <c r="W329" i="40"/>
  <c r="W328" i="40"/>
  <c r="W327" i="40"/>
  <c r="W326" i="40"/>
  <c r="W325" i="40"/>
  <c r="W324" i="40"/>
  <c r="W323" i="40"/>
  <c r="W322" i="40"/>
  <c r="W321" i="40"/>
  <c r="W320" i="40"/>
  <c r="W319" i="40"/>
  <c r="W318" i="40"/>
  <c r="W317" i="40"/>
  <c r="W316" i="40"/>
  <c r="W315" i="40"/>
  <c r="W314" i="40"/>
  <c r="W313" i="40"/>
  <c r="W312" i="40"/>
  <c r="W311" i="40"/>
  <c r="W310" i="40"/>
  <c r="W309" i="40"/>
  <c r="W308" i="40"/>
  <c r="W307" i="40"/>
  <c r="W306" i="40"/>
  <c r="W305" i="40"/>
  <c r="W304" i="40"/>
  <c r="W303" i="40"/>
  <c r="W302" i="40"/>
  <c r="W301" i="40"/>
  <c r="W300" i="40"/>
  <c r="W299" i="40"/>
  <c r="W298" i="40"/>
  <c r="W297" i="40"/>
  <c r="W296" i="40"/>
  <c r="W295" i="40"/>
  <c r="W294" i="40"/>
  <c r="W293" i="40"/>
  <c r="W292" i="40"/>
  <c r="W291" i="40"/>
  <c r="W290" i="40"/>
  <c r="W289" i="40"/>
  <c r="W288" i="40"/>
  <c r="W287" i="40"/>
  <c r="W286" i="40"/>
  <c r="W285" i="40"/>
  <c r="W284" i="40"/>
  <c r="W283" i="40"/>
  <c r="W282" i="40"/>
  <c r="W281" i="40"/>
  <c r="W280" i="40"/>
  <c r="W279" i="40"/>
  <c r="W278" i="40"/>
  <c r="W277" i="40"/>
  <c r="W276" i="40"/>
  <c r="W275" i="40"/>
  <c r="W274" i="40"/>
  <c r="W273" i="40"/>
  <c r="W272" i="40"/>
  <c r="W271" i="40"/>
  <c r="W270" i="40"/>
  <c r="W269" i="40"/>
  <c r="W268" i="40"/>
  <c r="W267" i="40"/>
  <c r="W266" i="40"/>
  <c r="W265" i="40"/>
  <c r="W264" i="40"/>
  <c r="W263" i="40"/>
  <c r="W262" i="40"/>
  <c r="W261" i="40"/>
  <c r="W260" i="40"/>
  <c r="W259" i="40"/>
  <c r="W258" i="40"/>
  <c r="W257" i="40"/>
  <c r="W256" i="40"/>
  <c r="W255" i="40"/>
  <c r="W254" i="40"/>
  <c r="W253" i="40"/>
  <c r="W252" i="40"/>
  <c r="W251" i="40"/>
  <c r="W250" i="40"/>
  <c r="W249" i="40"/>
  <c r="W248" i="40"/>
  <c r="W247" i="40"/>
  <c r="W246" i="40"/>
  <c r="W245" i="40"/>
  <c r="W244" i="40"/>
  <c r="W243" i="40"/>
  <c r="W242" i="40"/>
  <c r="W241" i="40"/>
  <c r="W240" i="40"/>
  <c r="W239" i="40"/>
  <c r="W238" i="40"/>
  <c r="W237" i="40"/>
  <c r="W236" i="40"/>
  <c r="W235" i="40"/>
  <c r="W234" i="40"/>
  <c r="W233" i="40"/>
  <c r="W232" i="40"/>
  <c r="W231" i="40"/>
  <c r="W230" i="40"/>
  <c r="W229" i="40"/>
  <c r="W228" i="40"/>
  <c r="W227" i="40"/>
  <c r="W226" i="40"/>
  <c r="W225" i="40"/>
  <c r="W224" i="40"/>
  <c r="W223" i="40"/>
  <c r="W222" i="40"/>
  <c r="W221" i="40"/>
  <c r="W220" i="40"/>
  <c r="W219" i="40"/>
  <c r="W218" i="40"/>
  <c r="W217" i="40"/>
  <c r="W216" i="40"/>
  <c r="W215" i="40"/>
  <c r="W214" i="40"/>
  <c r="W213" i="40"/>
  <c r="W212" i="40"/>
  <c r="W211" i="40"/>
  <c r="W210" i="40"/>
  <c r="W209" i="40"/>
  <c r="W208" i="40"/>
  <c r="W207" i="40"/>
  <c r="W206" i="40"/>
  <c r="W205" i="40"/>
  <c r="W204" i="40"/>
  <c r="W203" i="40"/>
  <c r="W202" i="40"/>
  <c r="W201" i="40"/>
  <c r="W200" i="40"/>
  <c r="W199" i="40"/>
  <c r="W198" i="40"/>
  <c r="W197" i="40"/>
  <c r="W196" i="40"/>
  <c r="W195" i="40"/>
  <c r="W194" i="40"/>
  <c r="W193" i="40"/>
  <c r="W192" i="40"/>
  <c r="W191" i="40"/>
  <c r="W190" i="40"/>
  <c r="W189" i="40"/>
  <c r="W188" i="40"/>
  <c r="W187" i="40"/>
  <c r="W186" i="40"/>
  <c r="W185" i="40"/>
  <c r="W184" i="40"/>
  <c r="W183" i="40"/>
  <c r="W182" i="40"/>
  <c r="W181" i="40"/>
  <c r="W180" i="40"/>
  <c r="W179" i="40"/>
  <c r="W178" i="40"/>
  <c r="W177" i="40"/>
  <c r="W176" i="40"/>
  <c r="W175" i="40"/>
  <c r="W174" i="40"/>
  <c r="W173" i="40"/>
  <c r="W172" i="40"/>
  <c r="W171" i="40"/>
  <c r="W170" i="40"/>
  <c r="W169" i="40"/>
  <c r="W168" i="40"/>
  <c r="W167" i="40"/>
  <c r="W166" i="40"/>
  <c r="W165" i="40"/>
  <c r="W164" i="40"/>
  <c r="W163" i="40"/>
  <c r="W162" i="40"/>
  <c r="W161" i="40"/>
  <c r="W160" i="40"/>
  <c r="W159" i="40"/>
  <c r="W158" i="40"/>
  <c r="W157" i="40"/>
  <c r="W156" i="40"/>
  <c r="W155" i="40"/>
  <c r="W154" i="40"/>
  <c r="W153" i="40"/>
  <c r="W152" i="40"/>
  <c r="W151" i="40"/>
  <c r="W150" i="40"/>
  <c r="W149" i="40"/>
  <c r="W148" i="40"/>
  <c r="W147" i="40"/>
  <c r="W146" i="40"/>
  <c r="W145" i="40"/>
  <c r="W144" i="40"/>
  <c r="W143" i="40"/>
  <c r="W142" i="40"/>
  <c r="W141" i="40"/>
  <c r="W140" i="40"/>
  <c r="W139" i="40"/>
  <c r="W138" i="40"/>
  <c r="W137" i="40"/>
  <c r="W136" i="40"/>
  <c r="W135" i="40"/>
  <c r="W134" i="40"/>
  <c r="W133" i="40"/>
  <c r="W132" i="40"/>
  <c r="W131" i="40"/>
  <c r="W130" i="40"/>
  <c r="W129" i="40"/>
  <c r="W128" i="40"/>
  <c r="W127" i="40"/>
  <c r="W126" i="40"/>
  <c r="W125" i="40"/>
  <c r="W124" i="40"/>
  <c r="W123" i="40"/>
  <c r="W122" i="40"/>
  <c r="W121" i="40"/>
  <c r="W120" i="40"/>
  <c r="W119" i="40"/>
  <c r="W118" i="40"/>
  <c r="W117" i="40"/>
  <c r="W116" i="40"/>
  <c r="W115" i="40"/>
  <c r="W114" i="40"/>
  <c r="W113" i="40"/>
  <c r="W112" i="40"/>
  <c r="W111" i="40"/>
  <c r="W110" i="40"/>
  <c r="W109" i="40"/>
  <c r="W108" i="40"/>
  <c r="W107" i="40"/>
  <c r="W106" i="40"/>
  <c r="W105" i="40"/>
  <c r="W104" i="40"/>
  <c r="W103" i="40"/>
  <c r="W102" i="40"/>
  <c r="W101" i="40"/>
  <c r="W100" i="40"/>
  <c r="W99" i="40"/>
  <c r="W98" i="40"/>
  <c r="W97" i="40"/>
  <c r="W96" i="40"/>
  <c r="W95" i="40"/>
  <c r="W94" i="40"/>
  <c r="W93" i="40"/>
  <c r="W92" i="40"/>
  <c r="W91" i="40"/>
  <c r="W90" i="40"/>
  <c r="W89" i="40"/>
  <c r="W88" i="40"/>
  <c r="W87" i="40"/>
  <c r="W86" i="40"/>
  <c r="W85" i="40"/>
  <c r="W84" i="40"/>
  <c r="W83" i="40"/>
  <c r="W82" i="40"/>
  <c r="W81" i="40"/>
  <c r="W80" i="40"/>
  <c r="W79" i="40"/>
  <c r="W78" i="40"/>
  <c r="W77" i="40"/>
  <c r="W76" i="40"/>
  <c r="W75" i="40"/>
  <c r="W74" i="40"/>
  <c r="W73" i="40"/>
  <c r="W72" i="40"/>
  <c r="W71" i="40"/>
  <c r="W70" i="40"/>
  <c r="W69" i="40"/>
  <c r="W68" i="40"/>
  <c r="W67" i="40"/>
  <c r="W66" i="40"/>
  <c r="W65" i="40"/>
  <c r="W64" i="40"/>
  <c r="W63" i="40"/>
  <c r="W62" i="40"/>
  <c r="W61" i="40"/>
  <c r="W60" i="40"/>
  <c r="W59" i="40"/>
  <c r="C56" i="48" l="1"/>
  <c r="D56" i="48" s="1"/>
  <c r="Y5" i="47"/>
  <c r="B20" i="48"/>
  <c r="B28" i="48"/>
  <c r="C20" i="48"/>
  <c r="C28" i="48"/>
  <c r="C38" i="48"/>
  <c r="B13" i="48"/>
  <c r="B21" i="48"/>
  <c r="B29" i="48"/>
  <c r="C13" i="48"/>
  <c r="C21" i="48"/>
  <c r="C29" i="48"/>
  <c r="B14" i="48"/>
  <c r="B22" i="48"/>
  <c r="B30" i="48"/>
  <c r="C14" i="48"/>
  <c r="C22" i="48"/>
  <c r="C30" i="48"/>
  <c r="B15" i="48"/>
  <c r="B23" i="48"/>
  <c r="B31" i="48"/>
  <c r="C15" i="48"/>
  <c r="C23" i="48"/>
  <c r="C31" i="48"/>
  <c r="B24" i="48"/>
  <c r="B32" i="48"/>
  <c r="C24" i="48"/>
  <c r="C32" i="48"/>
  <c r="B17" i="48"/>
  <c r="B25" i="48"/>
  <c r="B33" i="48"/>
  <c r="C17" i="48"/>
  <c r="C25" i="48"/>
  <c r="C33" i="48"/>
  <c r="B18" i="48"/>
  <c r="B26" i="48"/>
  <c r="B11" i="48"/>
  <c r="C18" i="48"/>
  <c r="C26" i="48"/>
  <c r="C11" i="48"/>
  <c r="B27" i="48"/>
  <c r="C27" i="48"/>
  <c r="C39" i="48"/>
  <c r="D39" i="48" s="1"/>
  <c r="AB5" i="47"/>
  <c r="AC5" i="47" s="1"/>
  <c r="T5" i="47"/>
  <c r="AA5" i="47"/>
  <c r="S5" i="47"/>
  <c r="Z5" i="47"/>
  <c r="R5" i="47"/>
  <c r="X5" i="47"/>
  <c r="W5" i="47"/>
  <c r="V5" i="47"/>
  <c r="U5" i="47"/>
  <c r="P5" i="47"/>
  <c r="AJ42" i="38"/>
  <c r="AG49" i="38"/>
  <c r="AG31" i="38"/>
  <c r="AG44" i="38" s="1"/>
  <c r="AH31" i="38"/>
  <c r="AH32" i="38" s="1"/>
  <c r="AI31" i="38"/>
  <c r="AJ31" i="38"/>
  <c r="AK31" i="38"/>
  <c r="AF31" i="38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P554" i="12"/>
  <c r="O554" i="12"/>
  <c r="P553" i="12"/>
  <c r="O553" i="12"/>
  <c r="P552" i="12"/>
  <c r="O552" i="12"/>
  <c r="P551" i="12"/>
  <c r="O551" i="12"/>
  <c r="P550" i="12"/>
  <c r="O550" i="12"/>
  <c r="P549" i="12"/>
  <c r="O549" i="12"/>
  <c r="P548" i="12"/>
  <c r="O548" i="12"/>
  <c r="P547" i="12"/>
  <c r="O547" i="12"/>
  <c r="P546" i="12"/>
  <c r="O546" i="12"/>
  <c r="P545" i="12"/>
  <c r="O545" i="12"/>
  <c r="P544" i="12"/>
  <c r="O544" i="12"/>
  <c r="P543" i="12"/>
  <c r="O543" i="12"/>
  <c r="P542" i="12"/>
  <c r="O542" i="12"/>
  <c r="P541" i="12"/>
  <c r="O541" i="12"/>
  <c r="P540" i="12"/>
  <c r="O540" i="12"/>
  <c r="P539" i="12"/>
  <c r="O539" i="12"/>
  <c r="P538" i="12"/>
  <c r="O538" i="12"/>
  <c r="P537" i="12"/>
  <c r="O537" i="12"/>
  <c r="P536" i="12"/>
  <c r="O536" i="12"/>
  <c r="P535" i="12"/>
  <c r="O535" i="12"/>
  <c r="P534" i="12"/>
  <c r="O534" i="12"/>
  <c r="P533" i="12"/>
  <c r="O533" i="12"/>
  <c r="P532" i="12"/>
  <c r="O532" i="12"/>
  <c r="P531" i="12"/>
  <c r="O531" i="12"/>
  <c r="P530" i="12"/>
  <c r="O530" i="12"/>
  <c r="P529" i="12"/>
  <c r="O529" i="12"/>
  <c r="P528" i="12"/>
  <c r="O528" i="12"/>
  <c r="P527" i="12"/>
  <c r="O527" i="12"/>
  <c r="P526" i="12"/>
  <c r="O526" i="12"/>
  <c r="P525" i="12"/>
  <c r="O525" i="12"/>
  <c r="P524" i="12"/>
  <c r="O524" i="12"/>
  <c r="P523" i="12"/>
  <c r="O523" i="12"/>
  <c r="P522" i="12"/>
  <c r="O522" i="12"/>
  <c r="P521" i="12"/>
  <c r="O521" i="12"/>
  <c r="P520" i="12"/>
  <c r="O520" i="12"/>
  <c r="P519" i="12"/>
  <c r="O519" i="12"/>
  <c r="P518" i="12"/>
  <c r="O518" i="12"/>
  <c r="P517" i="12"/>
  <c r="O517" i="12"/>
  <c r="P516" i="12"/>
  <c r="O516" i="12"/>
  <c r="P515" i="12"/>
  <c r="O515" i="12"/>
  <c r="P514" i="12"/>
  <c r="O514" i="12"/>
  <c r="O513" i="12"/>
  <c r="O512" i="12"/>
  <c r="O511" i="12"/>
  <c r="O510" i="12"/>
  <c r="O509" i="12"/>
  <c r="O508" i="12"/>
  <c r="O507" i="12"/>
  <c r="O506" i="12"/>
  <c r="O505" i="12"/>
  <c r="O504" i="12"/>
  <c r="O503" i="12"/>
  <c r="O502" i="12"/>
  <c r="O501" i="12"/>
  <c r="O500" i="12"/>
  <c r="O499" i="12"/>
  <c r="O498" i="12"/>
  <c r="O497" i="12"/>
  <c r="O496" i="12"/>
  <c r="O495" i="12"/>
  <c r="O494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N58" i="12"/>
  <c r="O58" i="12" s="1"/>
  <c r="N57" i="12"/>
  <c r="O57" i="12" s="1"/>
  <c r="N56" i="12"/>
  <c r="O56" i="12" s="1"/>
  <c r="N55" i="12"/>
  <c r="O55" i="12" s="1"/>
  <c r="N54" i="12"/>
  <c r="O54" i="12" s="1"/>
  <c r="N53" i="12"/>
  <c r="O53" i="12" s="1"/>
  <c r="N52" i="12"/>
  <c r="O52" i="12" s="1"/>
  <c r="N51" i="12"/>
  <c r="O51" i="12" s="1"/>
  <c r="N50" i="12"/>
  <c r="O50" i="12" s="1"/>
  <c r="N49" i="12"/>
  <c r="O49" i="12" s="1"/>
  <c r="N48" i="12"/>
  <c r="O48" i="12" s="1"/>
  <c r="N47" i="12"/>
  <c r="O47" i="12" s="1"/>
  <c r="N46" i="12"/>
  <c r="O46" i="12" s="1"/>
  <c r="N45" i="12"/>
  <c r="O45" i="12" s="1"/>
  <c r="N44" i="12"/>
  <c r="O44" i="12" s="1"/>
  <c r="N43" i="12"/>
  <c r="O43" i="12" s="1"/>
  <c r="N42" i="12"/>
  <c r="O42" i="12" s="1"/>
  <c r="N41" i="12"/>
  <c r="O41" i="12" s="1"/>
  <c r="N40" i="12"/>
  <c r="O40" i="12" s="1"/>
  <c r="N39" i="12"/>
  <c r="O39" i="12" s="1"/>
  <c r="N38" i="12"/>
  <c r="O38" i="12" s="1"/>
  <c r="N37" i="12"/>
  <c r="O37" i="12" s="1"/>
  <c r="N36" i="12"/>
  <c r="O36" i="12" s="1"/>
  <c r="N35" i="12"/>
  <c r="O35" i="12" s="1"/>
  <c r="N34" i="12"/>
  <c r="O34" i="12" s="1"/>
  <c r="N33" i="12"/>
  <c r="O33" i="12" s="1"/>
  <c r="N32" i="12"/>
  <c r="O32" i="12" s="1"/>
  <c r="N31" i="12"/>
  <c r="O31" i="12" s="1"/>
  <c r="N30" i="12"/>
  <c r="O30" i="12" s="1"/>
  <c r="N29" i="12"/>
  <c r="O29" i="12" s="1"/>
  <c r="N28" i="12"/>
  <c r="O28" i="12" s="1"/>
  <c r="N27" i="12"/>
  <c r="O27" i="12" s="1"/>
  <c r="N26" i="12"/>
  <c r="O26" i="12" s="1"/>
  <c r="N25" i="12"/>
  <c r="O25" i="12" s="1"/>
  <c r="N24" i="12"/>
  <c r="O24" i="12" s="1"/>
  <c r="N23" i="12"/>
  <c r="O23" i="12" s="1"/>
  <c r="N22" i="12"/>
  <c r="O22" i="12" s="1"/>
  <c r="N21" i="12"/>
  <c r="O21" i="12" s="1"/>
  <c r="N20" i="12"/>
  <c r="O20" i="12" s="1"/>
  <c r="N19" i="12"/>
  <c r="O19" i="12" s="1"/>
  <c r="N18" i="12"/>
  <c r="O18" i="12" s="1"/>
  <c r="N17" i="12"/>
  <c r="O17" i="12" s="1"/>
  <c r="N16" i="12"/>
  <c r="O16" i="12" s="1"/>
  <c r="N15" i="12"/>
  <c r="O15" i="12" s="1"/>
  <c r="N14" i="12"/>
  <c r="O14" i="12" s="1"/>
  <c r="N13" i="12"/>
  <c r="O13" i="12" s="1"/>
  <c r="N12" i="12"/>
  <c r="O12" i="12" s="1"/>
  <c r="N11" i="12"/>
  <c r="O11" i="12" s="1"/>
  <c r="N10" i="12"/>
  <c r="O10" i="12" s="1"/>
  <c r="N9" i="12"/>
  <c r="O9" i="12" s="1"/>
  <c r="N8" i="12"/>
  <c r="O8" i="12" s="1"/>
  <c r="N7" i="12"/>
  <c r="O7" i="12" s="1"/>
  <c r="N6" i="12"/>
  <c r="O6" i="12" s="1"/>
  <c r="N5" i="12"/>
  <c r="O5" i="12" s="1"/>
  <c r="N4" i="12"/>
  <c r="O4" i="12" s="1"/>
  <c r="N3" i="12"/>
  <c r="O3" i="12" s="1"/>
  <c r="N2" i="12"/>
  <c r="O2" i="12" s="1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W499" i="36"/>
  <c r="V499" i="36"/>
  <c r="P499" i="36"/>
  <c r="O499" i="36"/>
  <c r="W498" i="36"/>
  <c r="V498" i="36"/>
  <c r="P498" i="36"/>
  <c r="O498" i="36"/>
  <c r="W497" i="36"/>
  <c r="V497" i="36"/>
  <c r="P497" i="36"/>
  <c r="O497" i="36"/>
  <c r="W496" i="36"/>
  <c r="V496" i="36"/>
  <c r="P496" i="36"/>
  <c r="O496" i="36"/>
  <c r="V495" i="36"/>
  <c r="P495" i="36"/>
  <c r="O495" i="36"/>
  <c r="V494" i="36"/>
  <c r="P494" i="36"/>
  <c r="O494" i="36"/>
  <c r="V493" i="36"/>
  <c r="P493" i="36"/>
  <c r="O493" i="36"/>
  <c r="V492" i="36"/>
  <c r="P492" i="36"/>
  <c r="O492" i="36"/>
  <c r="V491" i="36"/>
  <c r="P491" i="36"/>
  <c r="O491" i="36"/>
  <c r="V490" i="36"/>
  <c r="P490" i="36"/>
  <c r="O490" i="36"/>
  <c r="V489" i="36"/>
  <c r="P489" i="36"/>
  <c r="O489" i="36"/>
  <c r="V488" i="36"/>
  <c r="P488" i="36"/>
  <c r="O488" i="36"/>
  <c r="V487" i="36"/>
  <c r="P487" i="36"/>
  <c r="O487" i="36"/>
  <c r="V486" i="36"/>
  <c r="P486" i="36"/>
  <c r="O486" i="36"/>
  <c r="W485" i="36"/>
  <c r="V485" i="36"/>
  <c r="P485" i="36"/>
  <c r="O485" i="36"/>
  <c r="V484" i="36"/>
  <c r="P484" i="36"/>
  <c r="O484" i="36"/>
  <c r="V483" i="36"/>
  <c r="P483" i="36"/>
  <c r="O483" i="36"/>
  <c r="V482" i="36"/>
  <c r="P482" i="36"/>
  <c r="O482" i="36"/>
  <c r="V481" i="36"/>
  <c r="P481" i="36"/>
  <c r="O481" i="36"/>
  <c r="V480" i="36"/>
  <c r="P480" i="36"/>
  <c r="O480" i="36"/>
  <c r="V479" i="36"/>
  <c r="P479" i="36"/>
  <c r="O479" i="36"/>
  <c r="V478" i="36"/>
  <c r="P478" i="36"/>
  <c r="O478" i="36"/>
  <c r="W477" i="36"/>
  <c r="V477" i="36"/>
  <c r="P477" i="36"/>
  <c r="O477" i="36"/>
  <c r="V476" i="36"/>
  <c r="P476" i="36"/>
  <c r="O476" i="36"/>
  <c r="V475" i="36"/>
  <c r="P475" i="36"/>
  <c r="O475" i="36"/>
  <c r="V474" i="36"/>
  <c r="P474" i="36"/>
  <c r="O474" i="36"/>
  <c r="V473" i="36"/>
  <c r="P473" i="36"/>
  <c r="O473" i="36"/>
  <c r="V472" i="36"/>
  <c r="P472" i="36"/>
  <c r="O472" i="36"/>
  <c r="V471" i="36"/>
  <c r="P471" i="36"/>
  <c r="O471" i="36"/>
  <c r="V470" i="36"/>
  <c r="P470" i="36"/>
  <c r="O470" i="36"/>
  <c r="V469" i="36"/>
  <c r="P469" i="36"/>
  <c r="O469" i="36"/>
  <c r="V468" i="36"/>
  <c r="P468" i="36"/>
  <c r="O468" i="36"/>
  <c r="V467" i="36"/>
  <c r="P467" i="36"/>
  <c r="O467" i="36"/>
  <c r="V466" i="36"/>
  <c r="P466" i="36"/>
  <c r="O466" i="36"/>
  <c r="V465" i="36"/>
  <c r="P465" i="36"/>
  <c r="O465" i="36"/>
  <c r="V464" i="36"/>
  <c r="P464" i="36"/>
  <c r="O464" i="36"/>
  <c r="V463" i="36"/>
  <c r="P463" i="36"/>
  <c r="O463" i="36"/>
  <c r="V462" i="36"/>
  <c r="P462" i="36"/>
  <c r="O462" i="36"/>
  <c r="V461" i="36"/>
  <c r="P461" i="36"/>
  <c r="O461" i="36"/>
  <c r="V460" i="36"/>
  <c r="P460" i="36"/>
  <c r="O460" i="36"/>
  <c r="V459" i="36"/>
  <c r="P459" i="36"/>
  <c r="O459" i="36"/>
  <c r="V458" i="36"/>
  <c r="P458" i="36"/>
  <c r="O458" i="36"/>
  <c r="V457" i="36"/>
  <c r="P457" i="36"/>
  <c r="O457" i="36"/>
  <c r="V456" i="36"/>
  <c r="P456" i="36"/>
  <c r="O456" i="36"/>
  <c r="V455" i="36"/>
  <c r="P455" i="36"/>
  <c r="O455" i="36"/>
  <c r="V454" i="36"/>
  <c r="P454" i="36"/>
  <c r="O454" i="36"/>
  <c r="V453" i="36"/>
  <c r="P453" i="36"/>
  <c r="O453" i="36"/>
  <c r="V452" i="36"/>
  <c r="P452" i="36"/>
  <c r="O452" i="36"/>
  <c r="V451" i="36"/>
  <c r="P451" i="36"/>
  <c r="O451" i="36"/>
  <c r="V450" i="36"/>
  <c r="P450" i="36"/>
  <c r="O450" i="36"/>
  <c r="V449" i="36"/>
  <c r="P449" i="36"/>
  <c r="O449" i="36"/>
  <c r="V448" i="36"/>
  <c r="P448" i="36"/>
  <c r="O448" i="36"/>
  <c r="V447" i="36"/>
  <c r="P447" i="36"/>
  <c r="O447" i="36"/>
  <c r="V446" i="36"/>
  <c r="P446" i="36"/>
  <c r="O446" i="36"/>
  <c r="V445" i="36"/>
  <c r="P445" i="36"/>
  <c r="O445" i="36"/>
  <c r="V444" i="36"/>
  <c r="P444" i="36"/>
  <c r="O444" i="36"/>
  <c r="V443" i="36"/>
  <c r="P443" i="36"/>
  <c r="O443" i="36"/>
  <c r="S68" i="40"/>
  <c r="S67" i="40"/>
  <c r="S66" i="40"/>
  <c r="S65" i="40"/>
  <c r="S64" i="40"/>
  <c r="S63" i="40"/>
  <c r="S62" i="40"/>
  <c r="S61" i="40"/>
  <c r="S60" i="40"/>
  <c r="S59" i="40"/>
  <c r="S58" i="40"/>
  <c r="S57" i="40"/>
  <c r="S56" i="40"/>
  <c r="S55" i="40"/>
  <c r="S54" i="40"/>
  <c r="S53" i="40"/>
  <c r="S52" i="40"/>
  <c r="S51" i="40"/>
  <c r="S50" i="40"/>
  <c r="S49" i="40"/>
  <c r="S48" i="40"/>
  <c r="S47" i="40"/>
  <c r="S46" i="40"/>
  <c r="S45" i="40"/>
  <c r="S44" i="40"/>
  <c r="S43" i="40"/>
  <c r="S42" i="40"/>
  <c r="S41" i="40"/>
  <c r="S40" i="40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8" i="40"/>
  <c r="S7" i="40"/>
  <c r="S6" i="40"/>
  <c r="S5" i="40"/>
  <c r="S4" i="40"/>
  <c r="S3" i="40"/>
  <c r="S2" i="40"/>
  <c r="S554" i="12"/>
  <c r="S553" i="12"/>
  <c r="S552" i="12"/>
  <c r="S551" i="12"/>
  <c r="S550" i="12"/>
  <c r="S549" i="12"/>
  <c r="S548" i="12"/>
  <c r="S547" i="12"/>
  <c r="S546" i="12"/>
  <c r="S545" i="12"/>
  <c r="S544" i="12"/>
  <c r="S543" i="12"/>
  <c r="S542" i="12"/>
  <c r="S541" i="12"/>
  <c r="S540" i="12"/>
  <c r="S539" i="12"/>
  <c r="S538" i="12"/>
  <c r="S537" i="12"/>
  <c r="S536" i="12"/>
  <c r="S535" i="12"/>
  <c r="S534" i="12"/>
  <c r="S533" i="12"/>
  <c r="S532" i="12"/>
  <c r="S531" i="12"/>
  <c r="S530" i="12"/>
  <c r="S529" i="12"/>
  <c r="S528" i="12"/>
  <c r="S527" i="12"/>
  <c r="S526" i="12"/>
  <c r="S525" i="12"/>
  <c r="S524" i="12"/>
  <c r="S523" i="12"/>
  <c r="S522" i="12"/>
  <c r="S521" i="12"/>
  <c r="S520" i="12"/>
  <c r="S519" i="12"/>
  <c r="S518" i="12"/>
  <c r="S517" i="12"/>
  <c r="S516" i="12"/>
  <c r="S515" i="12"/>
  <c r="S514" i="12"/>
  <c r="S513" i="12"/>
  <c r="S512" i="12"/>
  <c r="S511" i="12"/>
  <c r="S510" i="12"/>
  <c r="S509" i="12"/>
  <c r="S508" i="12"/>
  <c r="S507" i="12"/>
  <c r="S506" i="12"/>
  <c r="S505" i="12"/>
  <c r="S504" i="12"/>
  <c r="S503" i="12"/>
  <c r="S502" i="12"/>
  <c r="S501" i="12"/>
  <c r="S500" i="12"/>
  <c r="S499" i="12"/>
  <c r="S498" i="12"/>
  <c r="S497" i="12"/>
  <c r="S496" i="12"/>
  <c r="S495" i="12"/>
  <c r="S494" i="12"/>
  <c r="S493" i="12"/>
  <c r="S492" i="12"/>
  <c r="S491" i="12"/>
  <c r="S490" i="12"/>
  <c r="S489" i="12"/>
  <c r="S488" i="12"/>
  <c r="S487" i="12"/>
  <c r="S486" i="12"/>
  <c r="S485" i="12"/>
  <c r="S484" i="12"/>
  <c r="S483" i="12"/>
  <c r="S482" i="12"/>
  <c r="S481" i="12"/>
  <c r="S480" i="12"/>
  <c r="S479" i="12"/>
  <c r="S478" i="12"/>
  <c r="S477" i="12"/>
  <c r="S476" i="12"/>
  <c r="S475" i="12"/>
  <c r="S474" i="12"/>
  <c r="S473" i="12"/>
  <c r="S472" i="12"/>
  <c r="S471" i="12"/>
  <c r="S470" i="12"/>
  <c r="S469" i="12"/>
  <c r="S468" i="12"/>
  <c r="S467" i="12"/>
  <c r="S466" i="12"/>
  <c r="S465" i="12"/>
  <c r="S464" i="12"/>
  <c r="S463" i="12"/>
  <c r="S462" i="12"/>
  <c r="S461" i="12"/>
  <c r="S460" i="12"/>
  <c r="S459" i="12"/>
  <c r="S458" i="12"/>
  <c r="S457" i="12"/>
  <c r="S456" i="12"/>
  <c r="S455" i="12"/>
  <c r="S454" i="12"/>
  <c r="S453" i="12"/>
  <c r="S452" i="12"/>
  <c r="S451" i="12"/>
  <c r="S450" i="12"/>
  <c r="S449" i="12"/>
  <c r="S448" i="12"/>
  <c r="S447" i="12"/>
  <c r="S446" i="12"/>
  <c r="S445" i="12"/>
  <c r="S444" i="12"/>
  <c r="S443" i="12"/>
  <c r="S442" i="12"/>
  <c r="S441" i="12"/>
  <c r="S440" i="12"/>
  <c r="S439" i="12"/>
  <c r="S438" i="12"/>
  <c r="S437" i="12"/>
  <c r="S436" i="12"/>
  <c r="S435" i="12"/>
  <c r="S434" i="12"/>
  <c r="S433" i="12"/>
  <c r="S432" i="12"/>
  <c r="S431" i="12"/>
  <c r="S430" i="12"/>
  <c r="S429" i="12"/>
  <c r="S428" i="12"/>
  <c r="S427" i="12"/>
  <c r="S426" i="12"/>
  <c r="S425" i="12"/>
  <c r="S424" i="12"/>
  <c r="S423" i="12"/>
  <c r="S422" i="12"/>
  <c r="S421" i="12"/>
  <c r="S420" i="12"/>
  <c r="S419" i="12"/>
  <c r="S418" i="12"/>
  <c r="S417" i="12"/>
  <c r="S416" i="12"/>
  <c r="S415" i="12"/>
  <c r="S414" i="12"/>
  <c r="S413" i="12"/>
  <c r="S412" i="12"/>
  <c r="S411" i="12"/>
  <c r="S410" i="12"/>
  <c r="S409" i="12"/>
  <c r="S408" i="12"/>
  <c r="S407" i="12"/>
  <c r="S406" i="12"/>
  <c r="S405" i="12"/>
  <c r="S404" i="12"/>
  <c r="S403" i="12"/>
  <c r="S402" i="12"/>
  <c r="S401" i="12"/>
  <c r="S400" i="12"/>
  <c r="S399" i="12"/>
  <c r="S398" i="12"/>
  <c r="S397" i="12"/>
  <c r="S396" i="12"/>
  <c r="S395" i="12"/>
  <c r="S394" i="12"/>
  <c r="S393" i="12"/>
  <c r="S392" i="12"/>
  <c r="S391" i="12"/>
  <c r="S390" i="12"/>
  <c r="S389" i="12"/>
  <c r="S388" i="12"/>
  <c r="S387" i="12"/>
  <c r="S386" i="12"/>
  <c r="S385" i="12"/>
  <c r="S384" i="12"/>
  <c r="S383" i="12"/>
  <c r="S382" i="12"/>
  <c r="S381" i="12"/>
  <c r="S380" i="12"/>
  <c r="S379" i="12"/>
  <c r="S378" i="12"/>
  <c r="S377" i="12"/>
  <c r="S376" i="12"/>
  <c r="S375" i="12"/>
  <c r="S374" i="12"/>
  <c r="S373" i="12"/>
  <c r="S372" i="12"/>
  <c r="S371" i="12"/>
  <c r="S370" i="12"/>
  <c r="S369" i="12"/>
  <c r="S368" i="12"/>
  <c r="S367" i="12"/>
  <c r="S366" i="12"/>
  <c r="S365" i="12"/>
  <c r="S364" i="12"/>
  <c r="S363" i="12"/>
  <c r="S362" i="12"/>
  <c r="S361" i="12"/>
  <c r="S360" i="12"/>
  <c r="S359" i="12"/>
  <c r="S358" i="12"/>
  <c r="S357" i="12"/>
  <c r="S356" i="12"/>
  <c r="S355" i="12"/>
  <c r="S354" i="12"/>
  <c r="S353" i="12"/>
  <c r="S352" i="12"/>
  <c r="S351" i="12"/>
  <c r="S350" i="12"/>
  <c r="S349" i="12"/>
  <c r="S348" i="12"/>
  <c r="S347" i="12"/>
  <c r="S346" i="12"/>
  <c r="S345" i="12"/>
  <c r="S344" i="12"/>
  <c r="S343" i="12"/>
  <c r="S342" i="12"/>
  <c r="S341" i="12"/>
  <c r="S340" i="12"/>
  <c r="S339" i="12"/>
  <c r="S338" i="12"/>
  <c r="S337" i="12"/>
  <c r="S336" i="12"/>
  <c r="S335" i="12"/>
  <c r="S334" i="12"/>
  <c r="S333" i="12"/>
  <c r="S332" i="12"/>
  <c r="S331" i="12"/>
  <c r="S330" i="12"/>
  <c r="S329" i="12"/>
  <c r="S328" i="12"/>
  <c r="S327" i="12"/>
  <c r="S326" i="12"/>
  <c r="S325" i="12"/>
  <c r="S324" i="12"/>
  <c r="S323" i="12"/>
  <c r="S322" i="12"/>
  <c r="S321" i="12"/>
  <c r="S320" i="12"/>
  <c r="S319" i="12"/>
  <c r="S318" i="12"/>
  <c r="S317" i="12"/>
  <c r="S316" i="12"/>
  <c r="S315" i="12"/>
  <c r="S314" i="12"/>
  <c r="S313" i="12"/>
  <c r="S312" i="12"/>
  <c r="S311" i="12"/>
  <c r="S310" i="12"/>
  <c r="S309" i="12"/>
  <c r="S308" i="12"/>
  <c r="S307" i="12"/>
  <c r="S306" i="12"/>
  <c r="S305" i="12"/>
  <c r="S304" i="12"/>
  <c r="S303" i="12"/>
  <c r="S302" i="12"/>
  <c r="S301" i="12"/>
  <c r="S300" i="12"/>
  <c r="S299" i="12"/>
  <c r="S298" i="12"/>
  <c r="S297" i="12"/>
  <c r="S296" i="12"/>
  <c r="S295" i="12"/>
  <c r="S294" i="12"/>
  <c r="S293" i="12"/>
  <c r="S292" i="12"/>
  <c r="S291" i="12"/>
  <c r="S290" i="12"/>
  <c r="S289" i="12"/>
  <c r="S288" i="12"/>
  <c r="S287" i="12"/>
  <c r="S286" i="12"/>
  <c r="S285" i="12"/>
  <c r="S284" i="12"/>
  <c r="S283" i="12"/>
  <c r="S282" i="12"/>
  <c r="S281" i="12"/>
  <c r="S280" i="12"/>
  <c r="S279" i="12"/>
  <c r="S278" i="12"/>
  <c r="S277" i="12"/>
  <c r="S276" i="12"/>
  <c r="S275" i="12"/>
  <c r="S274" i="12"/>
  <c r="S273" i="12"/>
  <c r="S272" i="12"/>
  <c r="S271" i="12"/>
  <c r="S270" i="12"/>
  <c r="S269" i="12"/>
  <c r="S268" i="12"/>
  <c r="S267" i="12"/>
  <c r="S266" i="12"/>
  <c r="S265" i="12"/>
  <c r="S264" i="12"/>
  <c r="S263" i="12"/>
  <c r="S262" i="12"/>
  <c r="S261" i="12"/>
  <c r="S260" i="12"/>
  <c r="S259" i="12"/>
  <c r="S258" i="12"/>
  <c r="S257" i="12"/>
  <c r="S256" i="12"/>
  <c r="S255" i="12"/>
  <c r="S254" i="12"/>
  <c r="S253" i="12"/>
  <c r="S252" i="12"/>
  <c r="S251" i="12"/>
  <c r="S250" i="12"/>
  <c r="S249" i="12"/>
  <c r="S248" i="12"/>
  <c r="S247" i="12"/>
  <c r="S246" i="12"/>
  <c r="S245" i="12"/>
  <c r="S244" i="12"/>
  <c r="S243" i="12"/>
  <c r="S242" i="12"/>
  <c r="S241" i="12"/>
  <c r="S240" i="12"/>
  <c r="S239" i="12"/>
  <c r="S238" i="12"/>
  <c r="S237" i="12"/>
  <c r="S236" i="12"/>
  <c r="S235" i="12"/>
  <c r="S234" i="12"/>
  <c r="S233" i="12"/>
  <c r="S232" i="12"/>
  <c r="S231" i="12"/>
  <c r="S230" i="12"/>
  <c r="S229" i="12"/>
  <c r="S228" i="12"/>
  <c r="S227" i="12"/>
  <c r="S226" i="12"/>
  <c r="S225" i="12"/>
  <c r="S224" i="12"/>
  <c r="S223" i="12"/>
  <c r="S222" i="12"/>
  <c r="S221" i="12"/>
  <c r="S220" i="12"/>
  <c r="S219" i="12"/>
  <c r="S218" i="12"/>
  <c r="S217" i="12"/>
  <c r="S216" i="12"/>
  <c r="S215" i="12"/>
  <c r="S214" i="12"/>
  <c r="S213" i="12"/>
  <c r="S212" i="12"/>
  <c r="S211" i="12"/>
  <c r="S210" i="12"/>
  <c r="S209" i="12"/>
  <c r="S208" i="12"/>
  <c r="S207" i="12"/>
  <c r="S206" i="12"/>
  <c r="S205" i="12"/>
  <c r="S204" i="12"/>
  <c r="S203" i="12"/>
  <c r="S202" i="12"/>
  <c r="S201" i="12"/>
  <c r="S200" i="12"/>
  <c r="S199" i="12"/>
  <c r="S198" i="12"/>
  <c r="S197" i="12"/>
  <c r="S196" i="12"/>
  <c r="S195" i="12"/>
  <c r="S194" i="12"/>
  <c r="S193" i="12"/>
  <c r="S192" i="12"/>
  <c r="S191" i="12"/>
  <c r="S190" i="12"/>
  <c r="S189" i="12"/>
  <c r="S188" i="12"/>
  <c r="S187" i="12"/>
  <c r="S186" i="12"/>
  <c r="S185" i="12"/>
  <c r="S184" i="12"/>
  <c r="S183" i="12"/>
  <c r="S182" i="12"/>
  <c r="S181" i="12"/>
  <c r="S180" i="12"/>
  <c r="S179" i="12"/>
  <c r="S178" i="12"/>
  <c r="S177" i="12"/>
  <c r="S176" i="12"/>
  <c r="S175" i="12"/>
  <c r="S174" i="12"/>
  <c r="S173" i="12"/>
  <c r="S172" i="12"/>
  <c r="S171" i="12"/>
  <c r="S170" i="12"/>
  <c r="S169" i="12"/>
  <c r="S168" i="12"/>
  <c r="S167" i="12"/>
  <c r="S166" i="12"/>
  <c r="S165" i="12"/>
  <c r="S164" i="12"/>
  <c r="S163" i="12"/>
  <c r="S162" i="12"/>
  <c r="S161" i="12"/>
  <c r="S160" i="12"/>
  <c r="S159" i="12"/>
  <c r="S158" i="12"/>
  <c r="S157" i="12"/>
  <c r="S156" i="12"/>
  <c r="S155" i="12"/>
  <c r="S154" i="12"/>
  <c r="S153" i="12"/>
  <c r="S152" i="12"/>
  <c r="S151" i="12"/>
  <c r="S150" i="12"/>
  <c r="S149" i="12"/>
  <c r="S148" i="12"/>
  <c r="S147" i="12"/>
  <c r="S146" i="12"/>
  <c r="S145" i="12"/>
  <c r="S144" i="12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S125" i="12"/>
  <c r="S124" i="12"/>
  <c r="S123" i="12"/>
  <c r="S122" i="12"/>
  <c r="S121" i="12"/>
  <c r="S120" i="12"/>
  <c r="S119" i="12"/>
  <c r="S118" i="12"/>
  <c r="S117" i="12"/>
  <c r="S116" i="12"/>
  <c r="S115" i="12"/>
  <c r="S114" i="12"/>
  <c r="S113" i="12"/>
  <c r="S112" i="12"/>
  <c r="S111" i="12"/>
  <c r="S110" i="12"/>
  <c r="S109" i="12"/>
  <c r="S108" i="12"/>
  <c r="S107" i="12"/>
  <c r="S106" i="12"/>
  <c r="S105" i="12"/>
  <c r="S104" i="12"/>
  <c r="S103" i="12"/>
  <c r="S102" i="12"/>
  <c r="S101" i="12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56" i="12"/>
  <c r="O421" i="36"/>
  <c r="P421" i="36"/>
  <c r="V421" i="36"/>
  <c r="O422" i="36"/>
  <c r="P422" i="36"/>
  <c r="V422" i="36"/>
  <c r="O423" i="36"/>
  <c r="P423" i="36"/>
  <c r="V423" i="36"/>
  <c r="O424" i="36"/>
  <c r="P424" i="36"/>
  <c r="V424" i="36"/>
  <c r="O425" i="36"/>
  <c r="P425" i="36"/>
  <c r="V425" i="36"/>
  <c r="O426" i="36"/>
  <c r="P426" i="36"/>
  <c r="V426" i="36"/>
  <c r="O427" i="36"/>
  <c r="P427" i="36"/>
  <c r="V427" i="36"/>
  <c r="O428" i="36"/>
  <c r="P428" i="36"/>
  <c r="V428" i="36"/>
  <c r="O429" i="36"/>
  <c r="P429" i="36"/>
  <c r="V429" i="36"/>
  <c r="O430" i="36"/>
  <c r="P430" i="36"/>
  <c r="V430" i="36"/>
  <c r="O431" i="36"/>
  <c r="P431" i="36"/>
  <c r="V431" i="36"/>
  <c r="O432" i="36"/>
  <c r="P432" i="36"/>
  <c r="V432" i="36"/>
  <c r="O433" i="36"/>
  <c r="P433" i="36"/>
  <c r="V433" i="36"/>
  <c r="O434" i="36"/>
  <c r="P434" i="36"/>
  <c r="V434" i="36"/>
  <c r="O435" i="36"/>
  <c r="P435" i="36"/>
  <c r="V435" i="36"/>
  <c r="O436" i="36"/>
  <c r="P436" i="36"/>
  <c r="V436" i="36"/>
  <c r="O437" i="36"/>
  <c r="P437" i="36"/>
  <c r="V437" i="36"/>
  <c r="O438" i="36"/>
  <c r="P438" i="36"/>
  <c r="V438" i="36"/>
  <c r="O439" i="36"/>
  <c r="P439" i="36"/>
  <c r="V439" i="36"/>
  <c r="O440" i="36"/>
  <c r="P440" i="36"/>
  <c r="V440" i="36"/>
  <c r="O441" i="36"/>
  <c r="P441" i="36"/>
  <c r="V441" i="36"/>
  <c r="O442" i="36"/>
  <c r="P442" i="36"/>
  <c r="V442" i="36"/>
  <c r="O418" i="36"/>
  <c r="P418" i="36"/>
  <c r="V418" i="36"/>
  <c r="O419" i="36"/>
  <c r="P419" i="36"/>
  <c r="V419" i="36"/>
  <c r="O420" i="36"/>
  <c r="P420" i="36"/>
  <c r="V420" i="36"/>
  <c r="E458" i="46"/>
  <c r="C458" i="46"/>
  <c r="A458" i="46"/>
  <c r="E457" i="46"/>
  <c r="C457" i="46"/>
  <c r="A457" i="46"/>
  <c r="E456" i="46"/>
  <c r="C456" i="46"/>
  <c r="A456" i="46"/>
  <c r="E455" i="46"/>
  <c r="C455" i="46"/>
  <c r="A455" i="46"/>
  <c r="E454" i="46"/>
  <c r="C454" i="46"/>
  <c r="A454" i="46"/>
  <c r="E453" i="46"/>
  <c r="C453" i="46"/>
  <c r="A453" i="46"/>
  <c r="E452" i="46"/>
  <c r="C452" i="46"/>
  <c r="A452" i="46"/>
  <c r="E451" i="46"/>
  <c r="C451" i="46"/>
  <c r="A451" i="46"/>
  <c r="E450" i="46"/>
  <c r="C450" i="46"/>
  <c r="A450" i="46"/>
  <c r="E449" i="46"/>
  <c r="C449" i="46"/>
  <c r="A449" i="46"/>
  <c r="E448" i="46"/>
  <c r="C448" i="46"/>
  <c r="A448" i="46"/>
  <c r="E447" i="46"/>
  <c r="C447" i="46"/>
  <c r="A447" i="46"/>
  <c r="E446" i="46"/>
  <c r="C446" i="46"/>
  <c r="A446" i="46"/>
  <c r="E445" i="46"/>
  <c r="C445" i="46"/>
  <c r="A445" i="46"/>
  <c r="E444" i="46"/>
  <c r="C444" i="46"/>
  <c r="A444" i="46"/>
  <c r="E443" i="46"/>
  <c r="C443" i="46"/>
  <c r="A443" i="46"/>
  <c r="E442" i="46"/>
  <c r="C442" i="46"/>
  <c r="A442" i="46"/>
  <c r="E441" i="46"/>
  <c r="C441" i="46"/>
  <c r="A441" i="46"/>
  <c r="E440" i="46"/>
  <c r="C440" i="46"/>
  <c r="A440" i="46"/>
  <c r="E439" i="46"/>
  <c r="C439" i="46"/>
  <c r="A439" i="46"/>
  <c r="E438" i="46"/>
  <c r="C438" i="46"/>
  <c r="A438" i="46"/>
  <c r="E437" i="46"/>
  <c r="C437" i="46"/>
  <c r="A437" i="46"/>
  <c r="E436" i="46"/>
  <c r="C436" i="46"/>
  <c r="A436" i="46"/>
  <c r="E435" i="46"/>
  <c r="C435" i="46"/>
  <c r="A435" i="46"/>
  <c r="E434" i="46"/>
  <c r="C434" i="46"/>
  <c r="A434" i="46"/>
  <c r="E433" i="46"/>
  <c r="C433" i="46"/>
  <c r="A433" i="46"/>
  <c r="E432" i="46"/>
  <c r="C432" i="46"/>
  <c r="A432" i="46"/>
  <c r="E431" i="46"/>
  <c r="C431" i="46"/>
  <c r="A431" i="46"/>
  <c r="E430" i="46"/>
  <c r="C430" i="46"/>
  <c r="A430" i="46"/>
  <c r="E429" i="46"/>
  <c r="C429" i="46"/>
  <c r="A429" i="46"/>
  <c r="E428" i="46"/>
  <c r="C428" i="46"/>
  <c r="A428" i="46"/>
  <c r="E427" i="46"/>
  <c r="C427" i="46"/>
  <c r="A427" i="46"/>
  <c r="E426" i="46"/>
  <c r="C426" i="46"/>
  <c r="A426" i="46"/>
  <c r="E425" i="46"/>
  <c r="C425" i="46"/>
  <c r="A425" i="46"/>
  <c r="E424" i="46"/>
  <c r="C424" i="46"/>
  <c r="A424" i="46"/>
  <c r="E423" i="46"/>
  <c r="C423" i="46"/>
  <c r="A423" i="46"/>
  <c r="E422" i="46"/>
  <c r="C422" i="46"/>
  <c r="A422" i="46"/>
  <c r="E421" i="46"/>
  <c r="C421" i="46"/>
  <c r="A421" i="46"/>
  <c r="E420" i="46"/>
  <c r="C420" i="46"/>
  <c r="A420" i="46"/>
  <c r="E419" i="46"/>
  <c r="C419" i="46"/>
  <c r="A419" i="46"/>
  <c r="E418" i="46"/>
  <c r="C418" i="46"/>
  <c r="A418" i="46"/>
  <c r="E417" i="46"/>
  <c r="C417" i="46"/>
  <c r="A417" i="46"/>
  <c r="E416" i="46"/>
  <c r="C416" i="46"/>
  <c r="A416" i="46"/>
  <c r="E415" i="46"/>
  <c r="C415" i="46"/>
  <c r="A415" i="46"/>
  <c r="E414" i="46"/>
  <c r="C414" i="46"/>
  <c r="A414" i="46"/>
  <c r="E413" i="46"/>
  <c r="C413" i="46"/>
  <c r="A413" i="46"/>
  <c r="E412" i="46"/>
  <c r="C412" i="46"/>
  <c r="A412" i="46"/>
  <c r="E411" i="46"/>
  <c r="C411" i="46"/>
  <c r="A411" i="46"/>
  <c r="E410" i="46"/>
  <c r="C410" i="46"/>
  <c r="A410" i="46"/>
  <c r="E409" i="46"/>
  <c r="D409" i="46"/>
  <c r="C409" i="46"/>
  <c r="A409" i="46"/>
  <c r="E408" i="46"/>
  <c r="D408" i="46"/>
  <c r="C408" i="46"/>
  <c r="A408" i="46"/>
  <c r="E407" i="46"/>
  <c r="D407" i="46"/>
  <c r="C407" i="46"/>
  <c r="A407" i="46"/>
  <c r="E406" i="46"/>
  <c r="D406" i="46"/>
  <c r="C406" i="46"/>
  <c r="A406" i="46"/>
  <c r="E405" i="46"/>
  <c r="D405" i="46"/>
  <c r="C405" i="46"/>
  <c r="A405" i="46"/>
  <c r="E404" i="46"/>
  <c r="D404" i="46"/>
  <c r="C404" i="46"/>
  <c r="A404" i="46"/>
  <c r="E403" i="46"/>
  <c r="D403" i="46"/>
  <c r="C403" i="46"/>
  <c r="A403" i="46"/>
  <c r="E402" i="46"/>
  <c r="D402" i="46"/>
  <c r="C402" i="46"/>
  <c r="A402" i="46"/>
  <c r="E401" i="46"/>
  <c r="D401" i="46"/>
  <c r="C401" i="46"/>
  <c r="A401" i="46"/>
  <c r="E400" i="46"/>
  <c r="D400" i="46"/>
  <c r="C400" i="46"/>
  <c r="A400" i="46"/>
  <c r="E399" i="46"/>
  <c r="D399" i="46"/>
  <c r="C399" i="46"/>
  <c r="A399" i="46"/>
  <c r="E398" i="46"/>
  <c r="D398" i="46"/>
  <c r="C398" i="46"/>
  <c r="A398" i="46"/>
  <c r="E397" i="46"/>
  <c r="D397" i="46"/>
  <c r="C397" i="46"/>
  <c r="A397" i="46"/>
  <c r="E396" i="46"/>
  <c r="D396" i="46"/>
  <c r="C396" i="46"/>
  <c r="A396" i="46"/>
  <c r="E395" i="46"/>
  <c r="D395" i="46"/>
  <c r="C395" i="46"/>
  <c r="A395" i="46"/>
  <c r="E394" i="46"/>
  <c r="D394" i="46"/>
  <c r="C394" i="46"/>
  <c r="A394" i="46"/>
  <c r="E393" i="46"/>
  <c r="D393" i="46"/>
  <c r="C393" i="46"/>
  <c r="B393" i="46"/>
  <c r="A393" i="46"/>
  <c r="E392" i="46"/>
  <c r="D392" i="46"/>
  <c r="C392" i="46"/>
  <c r="B392" i="46"/>
  <c r="A392" i="46"/>
  <c r="E391" i="46"/>
  <c r="D391" i="46"/>
  <c r="C391" i="46"/>
  <c r="B391" i="46"/>
  <c r="A391" i="46"/>
  <c r="E390" i="46"/>
  <c r="D390" i="46"/>
  <c r="C390" i="46"/>
  <c r="B390" i="46"/>
  <c r="A390" i="46"/>
  <c r="E389" i="46"/>
  <c r="D389" i="46"/>
  <c r="C389" i="46"/>
  <c r="B389" i="46"/>
  <c r="A389" i="46"/>
  <c r="E388" i="46"/>
  <c r="D388" i="46"/>
  <c r="C388" i="46"/>
  <c r="B388" i="46"/>
  <c r="A388" i="46"/>
  <c r="E387" i="46"/>
  <c r="D387" i="46"/>
  <c r="C387" i="46"/>
  <c r="B387" i="46"/>
  <c r="A387" i="46"/>
  <c r="E386" i="46"/>
  <c r="D386" i="46"/>
  <c r="C386" i="46"/>
  <c r="B386" i="46"/>
  <c r="A386" i="46"/>
  <c r="E385" i="46"/>
  <c r="D385" i="46"/>
  <c r="C385" i="46"/>
  <c r="B385" i="46"/>
  <c r="A385" i="46"/>
  <c r="E384" i="46"/>
  <c r="D384" i="46"/>
  <c r="C384" i="46"/>
  <c r="B384" i="46"/>
  <c r="A384" i="46"/>
  <c r="K383" i="46"/>
  <c r="E383" i="46"/>
  <c r="D383" i="46"/>
  <c r="C383" i="46"/>
  <c r="B383" i="46"/>
  <c r="A383" i="46"/>
  <c r="K382" i="46"/>
  <c r="E382" i="46"/>
  <c r="D382" i="46"/>
  <c r="C382" i="46"/>
  <c r="B382" i="46"/>
  <c r="A382" i="46"/>
  <c r="K381" i="46"/>
  <c r="E381" i="46"/>
  <c r="D381" i="46"/>
  <c r="C381" i="46"/>
  <c r="B381" i="46"/>
  <c r="A381" i="46"/>
  <c r="K380" i="46"/>
  <c r="E380" i="46"/>
  <c r="D380" i="46"/>
  <c r="C380" i="46"/>
  <c r="B380" i="46"/>
  <c r="A380" i="46"/>
  <c r="K379" i="46"/>
  <c r="E379" i="46"/>
  <c r="D379" i="46"/>
  <c r="C379" i="46"/>
  <c r="B379" i="46"/>
  <c r="A379" i="46"/>
  <c r="K378" i="46"/>
  <c r="E378" i="46"/>
  <c r="D378" i="46"/>
  <c r="C378" i="46"/>
  <c r="B378" i="46"/>
  <c r="A378" i="46"/>
  <c r="K377" i="46"/>
  <c r="E377" i="46"/>
  <c r="D377" i="46"/>
  <c r="C377" i="46"/>
  <c r="B377" i="46"/>
  <c r="A377" i="46"/>
  <c r="K376" i="46"/>
  <c r="E376" i="46"/>
  <c r="D376" i="46"/>
  <c r="C376" i="46"/>
  <c r="B376" i="46"/>
  <c r="A376" i="46"/>
  <c r="K375" i="46"/>
  <c r="E375" i="46"/>
  <c r="D375" i="46"/>
  <c r="C375" i="46"/>
  <c r="B375" i="46"/>
  <c r="A375" i="46"/>
  <c r="K374" i="46"/>
  <c r="E374" i="46"/>
  <c r="D374" i="46"/>
  <c r="C374" i="46"/>
  <c r="B374" i="46"/>
  <c r="A374" i="46"/>
  <c r="K373" i="46"/>
  <c r="E373" i="46"/>
  <c r="D373" i="46"/>
  <c r="C373" i="46"/>
  <c r="B373" i="46"/>
  <c r="A373" i="46"/>
  <c r="K372" i="46"/>
  <c r="E372" i="46"/>
  <c r="D372" i="46"/>
  <c r="C372" i="46"/>
  <c r="B372" i="46"/>
  <c r="A372" i="46"/>
  <c r="K371" i="46"/>
  <c r="E371" i="46"/>
  <c r="D371" i="46"/>
  <c r="C371" i="46"/>
  <c r="B371" i="46"/>
  <c r="A371" i="46"/>
  <c r="K370" i="46"/>
  <c r="E370" i="46"/>
  <c r="D370" i="46"/>
  <c r="C370" i="46"/>
  <c r="B370" i="46"/>
  <c r="A370" i="46"/>
  <c r="K369" i="46"/>
  <c r="E369" i="46"/>
  <c r="D369" i="46"/>
  <c r="C369" i="46"/>
  <c r="B369" i="46"/>
  <c r="A369" i="46"/>
  <c r="K368" i="46"/>
  <c r="E368" i="46"/>
  <c r="D368" i="46"/>
  <c r="C368" i="46"/>
  <c r="B368" i="46"/>
  <c r="A368" i="46"/>
  <c r="K367" i="46"/>
  <c r="E367" i="46"/>
  <c r="D367" i="46"/>
  <c r="C367" i="46"/>
  <c r="B367" i="46"/>
  <c r="A367" i="46"/>
  <c r="K366" i="46"/>
  <c r="E366" i="46"/>
  <c r="D366" i="46"/>
  <c r="C366" i="46"/>
  <c r="B366" i="46"/>
  <c r="A366" i="46"/>
  <c r="K365" i="46"/>
  <c r="E365" i="46"/>
  <c r="D365" i="46"/>
  <c r="C365" i="46"/>
  <c r="B365" i="46"/>
  <c r="A365" i="46"/>
  <c r="K364" i="46"/>
  <c r="E364" i="46"/>
  <c r="D364" i="46"/>
  <c r="C364" i="46"/>
  <c r="B364" i="46"/>
  <c r="A364" i="46"/>
  <c r="K363" i="46"/>
  <c r="E363" i="46"/>
  <c r="D363" i="46"/>
  <c r="C363" i="46"/>
  <c r="B363" i="46"/>
  <c r="A363" i="46"/>
  <c r="K362" i="46"/>
  <c r="E362" i="46"/>
  <c r="D362" i="46"/>
  <c r="C362" i="46"/>
  <c r="B362" i="46"/>
  <c r="A362" i="46"/>
  <c r="K361" i="46"/>
  <c r="E361" i="46"/>
  <c r="D361" i="46"/>
  <c r="C361" i="46"/>
  <c r="B361" i="46"/>
  <c r="A361" i="46"/>
  <c r="K360" i="46"/>
  <c r="E360" i="46"/>
  <c r="D360" i="46"/>
  <c r="C360" i="46"/>
  <c r="B360" i="46"/>
  <c r="A360" i="46"/>
  <c r="K359" i="46"/>
  <c r="E359" i="46"/>
  <c r="D359" i="46"/>
  <c r="C359" i="46"/>
  <c r="B359" i="46"/>
  <c r="A359" i="46"/>
  <c r="K358" i="46"/>
  <c r="E358" i="46"/>
  <c r="D358" i="46"/>
  <c r="C358" i="46"/>
  <c r="B358" i="46"/>
  <c r="A358" i="46"/>
  <c r="K357" i="46"/>
  <c r="E357" i="46"/>
  <c r="D357" i="46"/>
  <c r="C357" i="46"/>
  <c r="B357" i="46"/>
  <c r="A357" i="46"/>
  <c r="K356" i="46"/>
  <c r="E356" i="46"/>
  <c r="D356" i="46"/>
  <c r="C356" i="46"/>
  <c r="B356" i="46"/>
  <c r="A356" i="46"/>
  <c r="K355" i="46"/>
  <c r="E355" i="46"/>
  <c r="D355" i="46"/>
  <c r="C355" i="46"/>
  <c r="B355" i="46"/>
  <c r="A355" i="46"/>
  <c r="K354" i="46"/>
  <c r="E354" i="46"/>
  <c r="D354" i="46"/>
  <c r="C354" i="46"/>
  <c r="B354" i="46"/>
  <c r="A354" i="46"/>
  <c r="K353" i="46"/>
  <c r="E353" i="46"/>
  <c r="D353" i="46"/>
  <c r="C353" i="46"/>
  <c r="B353" i="46"/>
  <c r="A353" i="46"/>
  <c r="K352" i="46"/>
  <c r="E352" i="46"/>
  <c r="D352" i="46"/>
  <c r="C352" i="46"/>
  <c r="B352" i="46"/>
  <c r="A352" i="46"/>
  <c r="K351" i="46"/>
  <c r="E351" i="46"/>
  <c r="D351" i="46"/>
  <c r="C351" i="46"/>
  <c r="B351" i="46"/>
  <c r="A351" i="46"/>
  <c r="K350" i="46"/>
  <c r="E350" i="46"/>
  <c r="D350" i="46"/>
  <c r="C350" i="46"/>
  <c r="B350" i="46"/>
  <c r="A350" i="46"/>
  <c r="K349" i="46"/>
  <c r="E349" i="46"/>
  <c r="D349" i="46"/>
  <c r="C349" i="46"/>
  <c r="B349" i="46"/>
  <c r="A349" i="46"/>
  <c r="K348" i="46"/>
  <c r="E348" i="46"/>
  <c r="D348" i="46"/>
  <c r="C348" i="46"/>
  <c r="B348" i="46"/>
  <c r="A348" i="46"/>
  <c r="K347" i="46"/>
  <c r="E347" i="46"/>
  <c r="D347" i="46"/>
  <c r="C347" i="46"/>
  <c r="B347" i="46"/>
  <c r="A347" i="46"/>
  <c r="K346" i="46"/>
  <c r="E346" i="46"/>
  <c r="D346" i="46"/>
  <c r="C346" i="46"/>
  <c r="B346" i="46"/>
  <c r="A346" i="46"/>
  <c r="K345" i="46"/>
  <c r="E345" i="46"/>
  <c r="D345" i="46"/>
  <c r="C345" i="46"/>
  <c r="B345" i="46"/>
  <c r="A345" i="46"/>
  <c r="K344" i="46"/>
  <c r="E344" i="46"/>
  <c r="D344" i="46"/>
  <c r="C344" i="46"/>
  <c r="B344" i="46"/>
  <c r="A344" i="46"/>
  <c r="K343" i="46"/>
  <c r="E343" i="46"/>
  <c r="D343" i="46"/>
  <c r="C343" i="46"/>
  <c r="B343" i="46"/>
  <c r="A343" i="46"/>
  <c r="K342" i="46"/>
  <c r="E342" i="46"/>
  <c r="D342" i="46"/>
  <c r="C342" i="46"/>
  <c r="B342" i="46"/>
  <c r="A342" i="46"/>
  <c r="K341" i="46"/>
  <c r="E341" i="46"/>
  <c r="D341" i="46"/>
  <c r="C341" i="46"/>
  <c r="B341" i="46"/>
  <c r="A341" i="46"/>
  <c r="K340" i="46"/>
  <c r="E340" i="46"/>
  <c r="D340" i="46"/>
  <c r="C340" i="46"/>
  <c r="B340" i="46"/>
  <c r="A340" i="46"/>
  <c r="K339" i="46"/>
  <c r="E339" i="46"/>
  <c r="D339" i="46"/>
  <c r="C339" i="46"/>
  <c r="B339" i="46"/>
  <c r="A339" i="46"/>
  <c r="K338" i="46"/>
  <c r="E338" i="46"/>
  <c r="D338" i="46"/>
  <c r="C338" i="46"/>
  <c r="B338" i="46"/>
  <c r="A338" i="46"/>
  <c r="K337" i="46"/>
  <c r="E337" i="46"/>
  <c r="D337" i="46"/>
  <c r="C337" i="46"/>
  <c r="B337" i="46"/>
  <c r="A337" i="46"/>
  <c r="K336" i="46"/>
  <c r="E336" i="46"/>
  <c r="D336" i="46"/>
  <c r="C336" i="46"/>
  <c r="B336" i="46"/>
  <c r="A336" i="46"/>
  <c r="K335" i="46"/>
  <c r="E335" i="46"/>
  <c r="D335" i="46"/>
  <c r="C335" i="46"/>
  <c r="B335" i="46"/>
  <c r="A335" i="46"/>
  <c r="K334" i="46"/>
  <c r="E334" i="46"/>
  <c r="D334" i="46"/>
  <c r="C334" i="46"/>
  <c r="B334" i="46"/>
  <c r="A334" i="46"/>
  <c r="K333" i="46"/>
  <c r="E333" i="46"/>
  <c r="D333" i="46"/>
  <c r="C333" i="46"/>
  <c r="B333" i="46"/>
  <c r="A333" i="46"/>
  <c r="K332" i="46"/>
  <c r="E332" i="46"/>
  <c r="D332" i="46"/>
  <c r="C332" i="46"/>
  <c r="B332" i="46"/>
  <c r="A332" i="46"/>
  <c r="K331" i="46"/>
  <c r="E331" i="46"/>
  <c r="D331" i="46"/>
  <c r="C331" i="46"/>
  <c r="B331" i="46"/>
  <c r="A331" i="46"/>
  <c r="K330" i="46"/>
  <c r="E330" i="46"/>
  <c r="D330" i="46"/>
  <c r="C330" i="46"/>
  <c r="B330" i="46"/>
  <c r="A330" i="46"/>
  <c r="K329" i="46"/>
  <c r="E329" i="46"/>
  <c r="D329" i="46"/>
  <c r="C329" i="46"/>
  <c r="B329" i="46"/>
  <c r="A329" i="46"/>
  <c r="K328" i="46"/>
  <c r="E328" i="46"/>
  <c r="D328" i="46"/>
  <c r="C328" i="46"/>
  <c r="B328" i="46"/>
  <c r="A328" i="46"/>
  <c r="K327" i="46"/>
  <c r="E327" i="46"/>
  <c r="D327" i="46"/>
  <c r="C327" i="46"/>
  <c r="B327" i="46"/>
  <c r="A327" i="46"/>
  <c r="K326" i="46"/>
  <c r="E326" i="46"/>
  <c r="D326" i="46"/>
  <c r="C326" i="46"/>
  <c r="B326" i="46"/>
  <c r="A326" i="46"/>
  <c r="K325" i="46"/>
  <c r="E325" i="46"/>
  <c r="D325" i="46"/>
  <c r="C325" i="46"/>
  <c r="B325" i="46"/>
  <c r="A325" i="46"/>
  <c r="K324" i="46"/>
  <c r="E324" i="46"/>
  <c r="D324" i="46"/>
  <c r="C324" i="46"/>
  <c r="B324" i="46"/>
  <c r="A324" i="46"/>
  <c r="K323" i="46"/>
  <c r="E323" i="46"/>
  <c r="D323" i="46"/>
  <c r="C323" i="46"/>
  <c r="B323" i="46"/>
  <c r="A323" i="46"/>
  <c r="K322" i="46"/>
  <c r="E322" i="46"/>
  <c r="D322" i="46"/>
  <c r="C322" i="46"/>
  <c r="B322" i="46"/>
  <c r="A322" i="46"/>
  <c r="K321" i="46"/>
  <c r="E321" i="46"/>
  <c r="D321" i="46"/>
  <c r="C321" i="46"/>
  <c r="B321" i="46"/>
  <c r="A321" i="46"/>
  <c r="K320" i="46"/>
  <c r="E320" i="46"/>
  <c r="D320" i="46"/>
  <c r="C320" i="46"/>
  <c r="B320" i="46"/>
  <c r="A320" i="46"/>
  <c r="K319" i="46"/>
  <c r="E319" i="46"/>
  <c r="D319" i="46"/>
  <c r="C319" i="46"/>
  <c r="B319" i="46"/>
  <c r="A319" i="46"/>
  <c r="K318" i="46"/>
  <c r="E318" i="46"/>
  <c r="D318" i="46"/>
  <c r="C318" i="46"/>
  <c r="B318" i="46"/>
  <c r="A318" i="46"/>
  <c r="K317" i="46"/>
  <c r="E317" i="46"/>
  <c r="D317" i="46"/>
  <c r="C317" i="46"/>
  <c r="B317" i="46"/>
  <c r="A317" i="46"/>
  <c r="K316" i="46"/>
  <c r="E316" i="46"/>
  <c r="D316" i="46"/>
  <c r="C316" i="46"/>
  <c r="B316" i="46"/>
  <c r="A316" i="46"/>
  <c r="K315" i="46"/>
  <c r="E315" i="46"/>
  <c r="D315" i="46"/>
  <c r="C315" i="46"/>
  <c r="B315" i="46"/>
  <c r="A315" i="46"/>
  <c r="K314" i="46"/>
  <c r="E314" i="46"/>
  <c r="D314" i="46"/>
  <c r="C314" i="46"/>
  <c r="B314" i="46"/>
  <c r="A314" i="46"/>
  <c r="K313" i="46"/>
  <c r="E313" i="46"/>
  <c r="D313" i="46"/>
  <c r="C313" i="46"/>
  <c r="B313" i="46"/>
  <c r="A313" i="46"/>
  <c r="K312" i="46"/>
  <c r="E312" i="46"/>
  <c r="D312" i="46"/>
  <c r="C312" i="46"/>
  <c r="B312" i="46"/>
  <c r="A312" i="46"/>
  <c r="K311" i="46"/>
  <c r="E311" i="46"/>
  <c r="D311" i="46"/>
  <c r="C311" i="46"/>
  <c r="B311" i="46"/>
  <c r="A311" i="46"/>
  <c r="K310" i="46"/>
  <c r="E310" i="46"/>
  <c r="D310" i="46"/>
  <c r="C310" i="46"/>
  <c r="B310" i="46"/>
  <c r="A310" i="46"/>
  <c r="K309" i="46"/>
  <c r="E309" i="46"/>
  <c r="D309" i="46"/>
  <c r="C309" i="46"/>
  <c r="B309" i="46"/>
  <c r="A309" i="46"/>
  <c r="K308" i="46"/>
  <c r="E308" i="46"/>
  <c r="D308" i="46"/>
  <c r="C308" i="46"/>
  <c r="B308" i="46"/>
  <c r="A308" i="46"/>
  <c r="K307" i="46"/>
  <c r="E307" i="46"/>
  <c r="D307" i="46"/>
  <c r="C307" i="46"/>
  <c r="B307" i="46"/>
  <c r="A307" i="46"/>
  <c r="K306" i="46"/>
  <c r="E306" i="46"/>
  <c r="D306" i="46"/>
  <c r="C306" i="46"/>
  <c r="B306" i="46"/>
  <c r="A306" i="46"/>
  <c r="K305" i="46"/>
  <c r="E305" i="46"/>
  <c r="D305" i="46"/>
  <c r="C305" i="46"/>
  <c r="B305" i="46"/>
  <c r="A305" i="46"/>
  <c r="K304" i="46"/>
  <c r="E304" i="46"/>
  <c r="D304" i="46"/>
  <c r="C304" i="46"/>
  <c r="B304" i="46"/>
  <c r="A304" i="46"/>
  <c r="K303" i="46"/>
  <c r="E303" i="46"/>
  <c r="D303" i="46"/>
  <c r="C303" i="46"/>
  <c r="B303" i="46"/>
  <c r="A303" i="46"/>
  <c r="K302" i="46"/>
  <c r="E302" i="46"/>
  <c r="D302" i="46"/>
  <c r="C302" i="46"/>
  <c r="B302" i="46"/>
  <c r="A302" i="46"/>
  <c r="K301" i="46"/>
  <c r="E301" i="46"/>
  <c r="D301" i="46"/>
  <c r="C301" i="46"/>
  <c r="B301" i="46"/>
  <c r="A301" i="46"/>
  <c r="K300" i="46"/>
  <c r="E300" i="46"/>
  <c r="D300" i="46"/>
  <c r="C300" i="46"/>
  <c r="B300" i="46"/>
  <c r="A300" i="46"/>
  <c r="K299" i="46"/>
  <c r="E299" i="46"/>
  <c r="D299" i="46"/>
  <c r="C299" i="46"/>
  <c r="B299" i="46"/>
  <c r="A299" i="46"/>
  <c r="K298" i="46"/>
  <c r="E298" i="46"/>
  <c r="D298" i="46"/>
  <c r="C298" i="46"/>
  <c r="B298" i="46"/>
  <c r="A298" i="46"/>
  <c r="K297" i="46"/>
  <c r="E297" i="46"/>
  <c r="D297" i="46"/>
  <c r="C297" i="46"/>
  <c r="B297" i="46"/>
  <c r="A297" i="46"/>
  <c r="K296" i="46"/>
  <c r="E296" i="46"/>
  <c r="D296" i="46"/>
  <c r="C296" i="46"/>
  <c r="B296" i="46"/>
  <c r="A296" i="46"/>
  <c r="K295" i="46"/>
  <c r="E295" i="46"/>
  <c r="D295" i="46"/>
  <c r="C295" i="46"/>
  <c r="B295" i="46"/>
  <c r="A295" i="46"/>
  <c r="K294" i="46"/>
  <c r="E294" i="46"/>
  <c r="D294" i="46"/>
  <c r="C294" i="46"/>
  <c r="B294" i="46"/>
  <c r="A294" i="46"/>
  <c r="K293" i="46"/>
  <c r="E293" i="46"/>
  <c r="D293" i="46"/>
  <c r="C293" i="46"/>
  <c r="B293" i="46"/>
  <c r="A293" i="46"/>
  <c r="K292" i="46"/>
  <c r="E292" i="46"/>
  <c r="D292" i="46"/>
  <c r="C292" i="46"/>
  <c r="B292" i="46"/>
  <c r="A292" i="46"/>
  <c r="K291" i="46"/>
  <c r="E291" i="46"/>
  <c r="D291" i="46"/>
  <c r="C291" i="46"/>
  <c r="B291" i="46"/>
  <c r="A291" i="46"/>
  <c r="K290" i="46"/>
  <c r="E290" i="46"/>
  <c r="D290" i="46"/>
  <c r="C290" i="46"/>
  <c r="B290" i="46"/>
  <c r="A290" i="46"/>
  <c r="K289" i="46"/>
  <c r="E289" i="46"/>
  <c r="D289" i="46"/>
  <c r="C289" i="46"/>
  <c r="B289" i="46"/>
  <c r="A289" i="46"/>
  <c r="K288" i="46"/>
  <c r="E288" i="46"/>
  <c r="D288" i="46"/>
  <c r="C288" i="46"/>
  <c r="B288" i="46"/>
  <c r="A288" i="46"/>
  <c r="K287" i="46"/>
  <c r="E287" i="46"/>
  <c r="D287" i="46"/>
  <c r="C287" i="46"/>
  <c r="B287" i="46"/>
  <c r="A287" i="46"/>
  <c r="K286" i="46"/>
  <c r="E286" i="46"/>
  <c r="D286" i="46"/>
  <c r="C286" i="46"/>
  <c r="B286" i="46"/>
  <c r="A286" i="46"/>
  <c r="K285" i="46"/>
  <c r="E285" i="46"/>
  <c r="D285" i="46"/>
  <c r="C285" i="46"/>
  <c r="B285" i="46"/>
  <c r="A285" i="46"/>
  <c r="K284" i="46"/>
  <c r="E284" i="46"/>
  <c r="D284" i="46"/>
  <c r="C284" i="46"/>
  <c r="B284" i="46"/>
  <c r="A284" i="46"/>
  <c r="K283" i="46"/>
  <c r="E283" i="46"/>
  <c r="D283" i="46"/>
  <c r="C283" i="46"/>
  <c r="B283" i="46"/>
  <c r="A283" i="46"/>
  <c r="K282" i="46"/>
  <c r="E282" i="46"/>
  <c r="D282" i="46"/>
  <c r="C282" i="46"/>
  <c r="B282" i="46"/>
  <c r="A282" i="46"/>
  <c r="K281" i="46"/>
  <c r="E281" i="46"/>
  <c r="D281" i="46"/>
  <c r="C281" i="46"/>
  <c r="B281" i="46"/>
  <c r="A281" i="46"/>
  <c r="K280" i="46"/>
  <c r="E280" i="46"/>
  <c r="D280" i="46"/>
  <c r="C280" i="46"/>
  <c r="B280" i="46"/>
  <c r="A280" i="46"/>
  <c r="K279" i="46"/>
  <c r="E279" i="46"/>
  <c r="D279" i="46"/>
  <c r="C279" i="46"/>
  <c r="B279" i="46"/>
  <c r="A279" i="46"/>
  <c r="K278" i="46"/>
  <c r="E278" i="46"/>
  <c r="D278" i="46"/>
  <c r="C278" i="46"/>
  <c r="B278" i="46"/>
  <c r="A278" i="46"/>
  <c r="K277" i="46"/>
  <c r="E277" i="46"/>
  <c r="D277" i="46"/>
  <c r="C277" i="46"/>
  <c r="B277" i="46"/>
  <c r="A277" i="46"/>
  <c r="K276" i="46"/>
  <c r="E276" i="46"/>
  <c r="D276" i="46"/>
  <c r="C276" i="46"/>
  <c r="B276" i="46"/>
  <c r="A276" i="46"/>
  <c r="K275" i="46"/>
  <c r="E275" i="46"/>
  <c r="D275" i="46"/>
  <c r="C275" i="46"/>
  <c r="B275" i="46"/>
  <c r="A275" i="46"/>
  <c r="K274" i="46"/>
  <c r="E274" i="46"/>
  <c r="D274" i="46"/>
  <c r="C274" i="46"/>
  <c r="B274" i="46"/>
  <c r="A274" i="46"/>
  <c r="K273" i="46"/>
  <c r="E273" i="46"/>
  <c r="D273" i="46"/>
  <c r="C273" i="46"/>
  <c r="B273" i="46"/>
  <c r="A273" i="46"/>
  <c r="K272" i="46"/>
  <c r="E272" i="46"/>
  <c r="D272" i="46"/>
  <c r="C272" i="46"/>
  <c r="B272" i="46"/>
  <c r="A272" i="46"/>
  <c r="K271" i="46"/>
  <c r="E271" i="46"/>
  <c r="D271" i="46"/>
  <c r="C271" i="46"/>
  <c r="B271" i="46"/>
  <c r="A271" i="46"/>
  <c r="K270" i="46"/>
  <c r="E270" i="46"/>
  <c r="D270" i="46"/>
  <c r="C270" i="46"/>
  <c r="B270" i="46"/>
  <c r="A270" i="46"/>
  <c r="K269" i="46"/>
  <c r="E269" i="46"/>
  <c r="D269" i="46"/>
  <c r="C269" i="46"/>
  <c r="B269" i="46"/>
  <c r="A269" i="46"/>
  <c r="K268" i="46"/>
  <c r="E268" i="46"/>
  <c r="D268" i="46"/>
  <c r="C268" i="46"/>
  <c r="B268" i="46"/>
  <c r="A268" i="46"/>
  <c r="K267" i="46"/>
  <c r="E267" i="46"/>
  <c r="D267" i="46"/>
  <c r="C267" i="46"/>
  <c r="B267" i="46"/>
  <c r="A267" i="46"/>
  <c r="K266" i="46"/>
  <c r="E266" i="46"/>
  <c r="D266" i="46"/>
  <c r="C266" i="46"/>
  <c r="B266" i="46"/>
  <c r="A266" i="46"/>
  <c r="K265" i="46"/>
  <c r="E265" i="46"/>
  <c r="D265" i="46"/>
  <c r="C265" i="46"/>
  <c r="B265" i="46"/>
  <c r="A265" i="46"/>
  <c r="K264" i="46"/>
  <c r="E264" i="46"/>
  <c r="D264" i="46"/>
  <c r="C264" i="46"/>
  <c r="B264" i="46"/>
  <c r="A264" i="46"/>
  <c r="K263" i="46"/>
  <c r="E263" i="46"/>
  <c r="D263" i="46"/>
  <c r="C263" i="46"/>
  <c r="B263" i="46"/>
  <c r="A263" i="46"/>
  <c r="K262" i="46"/>
  <c r="E262" i="46"/>
  <c r="D262" i="46"/>
  <c r="C262" i="46"/>
  <c r="B262" i="46"/>
  <c r="A262" i="46"/>
  <c r="K261" i="46"/>
  <c r="E261" i="46"/>
  <c r="D261" i="46"/>
  <c r="C261" i="46"/>
  <c r="B261" i="46"/>
  <c r="A261" i="46"/>
  <c r="K260" i="46"/>
  <c r="E260" i="46"/>
  <c r="D260" i="46"/>
  <c r="C260" i="46"/>
  <c r="B260" i="46"/>
  <c r="A260" i="46"/>
  <c r="K259" i="46"/>
  <c r="E259" i="46"/>
  <c r="D259" i="46"/>
  <c r="C259" i="46"/>
  <c r="B259" i="46"/>
  <c r="A259" i="46"/>
  <c r="K258" i="46"/>
  <c r="E258" i="46"/>
  <c r="D258" i="46"/>
  <c r="C258" i="46"/>
  <c r="B258" i="46"/>
  <c r="A258" i="46"/>
  <c r="K257" i="46"/>
  <c r="E257" i="46"/>
  <c r="D257" i="46"/>
  <c r="C257" i="46"/>
  <c r="B257" i="46"/>
  <c r="A257" i="46"/>
  <c r="K256" i="46"/>
  <c r="E256" i="46"/>
  <c r="D256" i="46"/>
  <c r="C256" i="46"/>
  <c r="B256" i="46"/>
  <c r="A256" i="46"/>
  <c r="K255" i="46"/>
  <c r="E255" i="46"/>
  <c r="D255" i="46"/>
  <c r="C255" i="46"/>
  <c r="B255" i="46"/>
  <c r="A255" i="46"/>
  <c r="K254" i="46"/>
  <c r="E254" i="46"/>
  <c r="D254" i="46"/>
  <c r="C254" i="46"/>
  <c r="B254" i="46"/>
  <c r="A254" i="46"/>
  <c r="K253" i="46"/>
  <c r="E253" i="46"/>
  <c r="D253" i="46"/>
  <c r="C253" i="46"/>
  <c r="B253" i="46"/>
  <c r="A253" i="46"/>
  <c r="K252" i="46"/>
  <c r="E252" i="46"/>
  <c r="D252" i="46"/>
  <c r="C252" i="46"/>
  <c r="B252" i="46"/>
  <c r="A252" i="46"/>
  <c r="K251" i="46"/>
  <c r="E251" i="46"/>
  <c r="D251" i="46"/>
  <c r="C251" i="46"/>
  <c r="B251" i="46"/>
  <c r="A251" i="46"/>
  <c r="K250" i="46"/>
  <c r="E250" i="46"/>
  <c r="D250" i="46"/>
  <c r="C250" i="46"/>
  <c r="B250" i="46"/>
  <c r="A250" i="46"/>
  <c r="K249" i="46"/>
  <c r="E249" i="46"/>
  <c r="D249" i="46"/>
  <c r="C249" i="46"/>
  <c r="B249" i="46"/>
  <c r="A249" i="46"/>
  <c r="K248" i="46"/>
  <c r="E248" i="46"/>
  <c r="D248" i="46"/>
  <c r="C248" i="46"/>
  <c r="B248" i="46"/>
  <c r="A248" i="46"/>
  <c r="K247" i="46"/>
  <c r="E247" i="46"/>
  <c r="D247" i="46"/>
  <c r="C247" i="46"/>
  <c r="B247" i="46"/>
  <c r="A247" i="46"/>
  <c r="K246" i="46"/>
  <c r="E246" i="46"/>
  <c r="D246" i="46"/>
  <c r="C246" i="46"/>
  <c r="B246" i="46"/>
  <c r="A246" i="46"/>
  <c r="K245" i="46"/>
  <c r="E245" i="46"/>
  <c r="D245" i="46"/>
  <c r="C245" i="46"/>
  <c r="B245" i="46"/>
  <c r="A245" i="46"/>
  <c r="K244" i="46"/>
  <c r="E244" i="46"/>
  <c r="D244" i="46"/>
  <c r="C244" i="46"/>
  <c r="B244" i="46"/>
  <c r="A244" i="46"/>
  <c r="K243" i="46"/>
  <c r="E243" i="46"/>
  <c r="D243" i="46"/>
  <c r="C243" i="46"/>
  <c r="B243" i="46"/>
  <c r="A243" i="46"/>
  <c r="K242" i="46"/>
  <c r="E242" i="46"/>
  <c r="D242" i="46"/>
  <c r="C242" i="46"/>
  <c r="B242" i="46"/>
  <c r="A242" i="46"/>
  <c r="K241" i="46"/>
  <c r="E241" i="46"/>
  <c r="D241" i="46"/>
  <c r="C241" i="46"/>
  <c r="B241" i="46"/>
  <c r="A241" i="46"/>
  <c r="K240" i="46"/>
  <c r="E240" i="46"/>
  <c r="D240" i="46"/>
  <c r="C240" i="46"/>
  <c r="B240" i="46"/>
  <c r="A240" i="46"/>
  <c r="K239" i="46"/>
  <c r="E239" i="46"/>
  <c r="D239" i="46"/>
  <c r="C239" i="46"/>
  <c r="B239" i="46"/>
  <c r="A239" i="46"/>
  <c r="K238" i="46"/>
  <c r="E238" i="46"/>
  <c r="D238" i="46"/>
  <c r="C238" i="46"/>
  <c r="B238" i="46"/>
  <c r="A238" i="46"/>
  <c r="K237" i="46"/>
  <c r="E237" i="46"/>
  <c r="D237" i="46"/>
  <c r="C237" i="46"/>
  <c r="B237" i="46"/>
  <c r="A237" i="46"/>
  <c r="K236" i="46"/>
  <c r="E236" i="46"/>
  <c r="D236" i="46"/>
  <c r="C236" i="46"/>
  <c r="B236" i="46"/>
  <c r="A236" i="46"/>
  <c r="K235" i="46"/>
  <c r="E235" i="46"/>
  <c r="D235" i="46"/>
  <c r="C235" i="46"/>
  <c r="B235" i="46"/>
  <c r="A235" i="46"/>
  <c r="K234" i="46"/>
  <c r="E234" i="46"/>
  <c r="D234" i="46"/>
  <c r="C234" i="46"/>
  <c r="B234" i="46"/>
  <c r="A234" i="46"/>
  <c r="K233" i="46"/>
  <c r="E233" i="46"/>
  <c r="D233" i="46"/>
  <c r="C233" i="46"/>
  <c r="B233" i="46"/>
  <c r="A233" i="46"/>
  <c r="K232" i="46"/>
  <c r="E232" i="46"/>
  <c r="D232" i="46"/>
  <c r="C232" i="46"/>
  <c r="B232" i="46"/>
  <c r="A232" i="46"/>
  <c r="K231" i="46"/>
  <c r="E231" i="46"/>
  <c r="D231" i="46"/>
  <c r="C231" i="46"/>
  <c r="B231" i="46"/>
  <c r="A231" i="46"/>
  <c r="K230" i="46"/>
  <c r="E230" i="46"/>
  <c r="D230" i="46"/>
  <c r="C230" i="46"/>
  <c r="B230" i="46"/>
  <c r="A230" i="46"/>
  <c r="K229" i="46"/>
  <c r="E229" i="46"/>
  <c r="D229" i="46"/>
  <c r="C229" i="46"/>
  <c r="B229" i="46"/>
  <c r="A229" i="46"/>
  <c r="K228" i="46"/>
  <c r="E228" i="46"/>
  <c r="D228" i="46"/>
  <c r="C228" i="46"/>
  <c r="B228" i="46"/>
  <c r="A228" i="46"/>
  <c r="K227" i="46"/>
  <c r="E227" i="46"/>
  <c r="D227" i="46"/>
  <c r="C227" i="46"/>
  <c r="B227" i="46"/>
  <c r="A227" i="46"/>
  <c r="K226" i="46"/>
  <c r="E226" i="46"/>
  <c r="D226" i="46"/>
  <c r="C226" i="46"/>
  <c r="B226" i="46"/>
  <c r="A226" i="46"/>
  <c r="K225" i="46"/>
  <c r="E225" i="46"/>
  <c r="D225" i="46"/>
  <c r="C225" i="46"/>
  <c r="B225" i="46"/>
  <c r="A225" i="46"/>
  <c r="K224" i="46"/>
  <c r="E224" i="46"/>
  <c r="D224" i="46"/>
  <c r="C224" i="46"/>
  <c r="B224" i="46"/>
  <c r="A224" i="46"/>
  <c r="K223" i="46"/>
  <c r="E223" i="46"/>
  <c r="D223" i="46"/>
  <c r="C223" i="46"/>
  <c r="B223" i="46"/>
  <c r="A223" i="46"/>
  <c r="K222" i="46"/>
  <c r="E222" i="46"/>
  <c r="D222" i="46"/>
  <c r="C222" i="46"/>
  <c r="B222" i="46"/>
  <c r="A222" i="46"/>
  <c r="K221" i="46"/>
  <c r="E221" i="46"/>
  <c r="D221" i="46"/>
  <c r="C221" i="46"/>
  <c r="B221" i="46"/>
  <c r="A221" i="46"/>
  <c r="K220" i="46"/>
  <c r="E220" i="46"/>
  <c r="D220" i="46"/>
  <c r="C220" i="46"/>
  <c r="B220" i="46"/>
  <c r="A220" i="46"/>
  <c r="K219" i="46"/>
  <c r="E219" i="46"/>
  <c r="D219" i="46"/>
  <c r="C219" i="46"/>
  <c r="B219" i="46"/>
  <c r="A219" i="46"/>
  <c r="K218" i="46"/>
  <c r="E218" i="46"/>
  <c r="D218" i="46"/>
  <c r="C218" i="46"/>
  <c r="B218" i="46"/>
  <c r="A218" i="46"/>
  <c r="K217" i="46"/>
  <c r="E217" i="46"/>
  <c r="D217" i="46"/>
  <c r="C217" i="46"/>
  <c r="B217" i="46"/>
  <c r="A217" i="46"/>
  <c r="K216" i="46"/>
  <c r="E216" i="46"/>
  <c r="D216" i="46"/>
  <c r="C216" i="46"/>
  <c r="B216" i="46"/>
  <c r="A216" i="46"/>
  <c r="K215" i="46"/>
  <c r="E215" i="46"/>
  <c r="D215" i="46"/>
  <c r="C215" i="46"/>
  <c r="B215" i="46"/>
  <c r="A215" i="46"/>
  <c r="K214" i="46"/>
  <c r="E214" i="46"/>
  <c r="D214" i="46"/>
  <c r="C214" i="46"/>
  <c r="B214" i="46"/>
  <c r="A214" i="46"/>
  <c r="K213" i="46"/>
  <c r="E213" i="46"/>
  <c r="D213" i="46"/>
  <c r="C213" i="46"/>
  <c r="B213" i="46"/>
  <c r="A213" i="46"/>
  <c r="K212" i="46"/>
  <c r="E212" i="46"/>
  <c r="D212" i="46"/>
  <c r="C212" i="46"/>
  <c r="B212" i="46"/>
  <c r="A212" i="46"/>
  <c r="K211" i="46"/>
  <c r="E211" i="46"/>
  <c r="D211" i="46"/>
  <c r="C211" i="46"/>
  <c r="B211" i="46"/>
  <c r="A211" i="46"/>
  <c r="K210" i="46"/>
  <c r="E210" i="46"/>
  <c r="D210" i="46"/>
  <c r="C210" i="46"/>
  <c r="B210" i="46"/>
  <c r="A210" i="46"/>
  <c r="K209" i="46"/>
  <c r="E209" i="46"/>
  <c r="D209" i="46"/>
  <c r="C209" i="46"/>
  <c r="B209" i="46"/>
  <c r="A209" i="46"/>
  <c r="K208" i="46"/>
  <c r="E208" i="46"/>
  <c r="D208" i="46"/>
  <c r="C208" i="46"/>
  <c r="B208" i="46"/>
  <c r="A208" i="46"/>
  <c r="K207" i="46"/>
  <c r="E207" i="46"/>
  <c r="D207" i="46"/>
  <c r="C207" i="46"/>
  <c r="B207" i="46"/>
  <c r="A207" i="46"/>
  <c r="K206" i="46"/>
  <c r="E206" i="46"/>
  <c r="D206" i="46"/>
  <c r="C206" i="46"/>
  <c r="B206" i="46"/>
  <c r="A206" i="46"/>
  <c r="K205" i="46"/>
  <c r="E205" i="46"/>
  <c r="D205" i="46"/>
  <c r="C205" i="46"/>
  <c r="B205" i="46"/>
  <c r="A205" i="46"/>
  <c r="K204" i="46"/>
  <c r="E204" i="46"/>
  <c r="D204" i="46"/>
  <c r="C204" i="46"/>
  <c r="B204" i="46"/>
  <c r="A204" i="46"/>
  <c r="K203" i="46"/>
  <c r="E203" i="46"/>
  <c r="D203" i="46"/>
  <c r="C203" i="46"/>
  <c r="B203" i="46"/>
  <c r="A203" i="46"/>
  <c r="K202" i="46"/>
  <c r="E202" i="46"/>
  <c r="D202" i="46"/>
  <c r="C202" i="46"/>
  <c r="B202" i="46"/>
  <c r="A202" i="46"/>
  <c r="K201" i="46"/>
  <c r="E201" i="46"/>
  <c r="D201" i="46"/>
  <c r="C201" i="46"/>
  <c r="B201" i="46"/>
  <c r="A201" i="46"/>
  <c r="K200" i="46"/>
  <c r="E200" i="46"/>
  <c r="D200" i="46"/>
  <c r="C200" i="46"/>
  <c r="B200" i="46"/>
  <c r="A200" i="46"/>
  <c r="K199" i="46"/>
  <c r="E199" i="46"/>
  <c r="D199" i="46"/>
  <c r="C199" i="46"/>
  <c r="B199" i="46"/>
  <c r="A199" i="46"/>
  <c r="K198" i="46"/>
  <c r="E198" i="46"/>
  <c r="D198" i="46"/>
  <c r="C198" i="46"/>
  <c r="B198" i="46"/>
  <c r="A198" i="46"/>
  <c r="K197" i="46"/>
  <c r="E197" i="46"/>
  <c r="D197" i="46"/>
  <c r="C197" i="46"/>
  <c r="B197" i="46"/>
  <c r="A197" i="46"/>
  <c r="K196" i="46"/>
  <c r="E196" i="46"/>
  <c r="D196" i="46"/>
  <c r="C196" i="46"/>
  <c r="B196" i="46"/>
  <c r="A196" i="46"/>
  <c r="L195" i="46"/>
  <c r="K195" i="46"/>
  <c r="E195" i="46"/>
  <c r="D195" i="46"/>
  <c r="C195" i="46"/>
  <c r="B195" i="46"/>
  <c r="A195" i="46"/>
  <c r="L194" i="46"/>
  <c r="K194" i="46"/>
  <c r="E194" i="46"/>
  <c r="D194" i="46"/>
  <c r="C194" i="46"/>
  <c r="B194" i="46"/>
  <c r="A194" i="46"/>
  <c r="L193" i="46"/>
  <c r="K193" i="46"/>
  <c r="E193" i="46"/>
  <c r="D193" i="46"/>
  <c r="C193" i="46"/>
  <c r="B193" i="46"/>
  <c r="A193" i="46"/>
  <c r="L192" i="46"/>
  <c r="K192" i="46"/>
  <c r="E192" i="46"/>
  <c r="D192" i="46"/>
  <c r="C192" i="46"/>
  <c r="B192" i="46"/>
  <c r="A192" i="46"/>
  <c r="L191" i="46"/>
  <c r="K191" i="46"/>
  <c r="E191" i="46"/>
  <c r="D191" i="46"/>
  <c r="C191" i="46"/>
  <c r="B191" i="46"/>
  <c r="A191" i="46"/>
  <c r="L190" i="46"/>
  <c r="K190" i="46"/>
  <c r="E190" i="46"/>
  <c r="D190" i="46"/>
  <c r="C190" i="46"/>
  <c r="B190" i="46"/>
  <c r="A190" i="46"/>
  <c r="L189" i="46"/>
  <c r="K189" i="46"/>
  <c r="E189" i="46"/>
  <c r="D189" i="46"/>
  <c r="C189" i="46"/>
  <c r="B189" i="46"/>
  <c r="A189" i="46"/>
  <c r="L188" i="46"/>
  <c r="K188" i="46"/>
  <c r="E188" i="46"/>
  <c r="D188" i="46"/>
  <c r="C188" i="46"/>
  <c r="B188" i="46"/>
  <c r="A188" i="46"/>
  <c r="L187" i="46"/>
  <c r="K187" i="46"/>
  <c r="E187" i="46"/>
  <c r="D187" i="46"/>
  <c r="C187" i="46"/>
  <c r="B187" i="46"/>
  <c r="A187" i="46"/>
  <c r="L186" i="46"/>
  <c r="K186" i="46"/>
  <c r="E186" i="46"/>
  <c r="D186" i="46"/>
  <c r="C186" i="46"/>
  <c r="B186" i="46"/>
  <c r="A186" i="46"/>
  <c r="L185" i="46"/>
  <c r="K185" i="46"/>
  <c r="E185" i="46"/>
  <c r="D185" i="46"/>
  <c r="C185" i="46"/>
  <c r="B185" i="46"/>
  <c r="A185" i="46"/>
  <c r="L184" i="46"/>
  <c r="K184" i="46"/>
  <c r="E184" i="46"/>
  <c r="D184" i="46"/>
  <c r="C184" i="46"/>
  <c r="B184" i="46"/>
  <c r="A184" i="46"/>
  <c r="L183" i="46"/>
  <c r="K183" i="46"/>
  <c r="E183" i="46"/>
  <c r="D183" i="46"/>
  <c r="C183" i="46"/>
  <c r="B183" i="46"/>
  <c r="A183" i="46"/>
  <c r="L182" i="46"/>
  <c r="K182" i="46"/>
  <c r="E182" i="46"/>
  <c r="D182" i="46"/>
  <c r="C182" i="46"/>
  <c r="B182" i="46"/>
  <c r="A182" i="46"/>
  <c r="L181" i="46"/>
  <c r="K181" i="46"/>
  <c r="E181" i="46"/>
  <c r="D181" i="46"/>
  <c r="C181" i="46"/>
  <c r="B181" i="46"/>
  <c r="A181" i="46"/>
  <c r="L180" i="46"/>
  <c r="K180" i="46"/>
  <c r="E180" i="46"/>
  <c r="D180" i="46"/>
  <c r="C180" i="46"/>
  <c r="B180" i="46"/>
  <c r="A180" i="46"/>
  <c r="L179" i="46"/>
  <c r="K179" i="46"/>
  <c r="E179" i="46"/>
  <c r="D179" i="46"/>
  <c r="C179" i="46"/>
  <c r="B179" i="46"/>
  <c r="A179" i="46"/>
  <c r="L178" i="46"/>
  <c r="K178" i="46"/>
  <c r="E178" i="46"/>
  <c r="D178" i="46"/>
  <c r="C178" i="46"/>
  <c r="B178" i="46"/>
  <c r="A178" i="46"/>
  <c r="L177" i="46"/>
  <c r="K177" i="46"/>
  <c r="E177" i="46"/>
  <c r="D177" i="46"/>
  <c r="C177" i="46"/>
  <c r="B177" i="46"/>
  <c r="A177" i="46"/>
  <c r="L176" i="46"/>
  <c r="K176" i="46"/>
  <c r="E176" i="46"/>
  <c r="D176" i="46"/>
  <c r="C176" i="46"/>
  <c r="B176" i="46"/>
  <c r="A176" i="46"/>
  <c r="L175" i="46"/>
  <c r="K175" i="46"/>
  <c r="E175" i="46"/>
  <c r="D175" i="46"/>
  <c r="C175" i="46"/>
  <c r="B175" i="46"/>
  <c r="A175" i="46"/>
  <c r="L174" i="46"/>
  <c r="K174" i="46"/>
  <c r="E174" i="46"/>
  <c r="D174" i="46"/>
  <c r="C174" i="46"/>
  <c r="B174" i="46"/>
  <c r="A174" i="46"/>
  <c r="L173" i="46"/>
  <c r="K173" i="46"/>
  <c r="E173" i="46"/>
  <c r="D173" i="46"/>
  <c r="C173" i="46"/>
  <c r="B173" i="46"/>
  <c r="A173" i="46"/>
  <c r="L172" i="46"/>
  <c r="K172" i="46"/>
  <c r="E172" i="46"/>
  <c r="D172" i="46"/>
  <c r="C172" i="46"/>
  <c r="B172" i="46"/>
  <c r="A172" i="46"/>
  <c r="L171" i="46"/>
  <c r="K171" i="46"/>
  <c r="E171" i="46"/>
  <c r="D171" i="46"/>
  <c r="C171" i="46"/>
  <c r="B171" i="46"/>
  <c r="A171" i="46"/>
  <c r="L170" i="46"/>
  <c r="K170" i="46"/>
  <c r="E170" i="46"/>
  <c r="D170" i="46"/>
  <c r="C170" i="46"/>
  <c r="B170" i="46"/>
  <c r="A170" i="46"/>
  <c r="L169" i="46"/>
  <c r="K169" i="46"/>
  <c r="E169" i="46"/>
  <c r="D169" i="46"/>
  <c r="C169" i="46"/>
  <c r="B169" i="46"/>
  <c r="A169" i="46"/>
  <c r="L168" i="46"/>
  <c r="K168" i="46"/>
  <c r="E168" i="46"/>
  <c r="D168" i="46"/>
  <c r="C168" i="46"/>
  <c r="B168" i="46"/>
  <c r="A168" i="46"/>
  <c r="L167" i="46"/>
  <c r="K167" i="46"/>
  <c r="E167" i="46"/>
  <c r="D167" i="46"/>
  <c r="C167" i="46"/>
  <c r="B167" i="46"/>
  <c r="A167" i="46"/>
  <c r="L166" i="46"/>
  <c r="K166" i="46"/>
  <c r="E166" i="46"/>
  <c r="D166" i="46"/>
  <c r="C166" i="46"/>
  <c r="B166" i="46"/>
  <c r="A166" i="46"/>
  <c r="L165" i="46"/>
  <c r="K165" i="46"/>
  <c r="E165" i="46"/>
  <c r="D165" i="46"/>
  <c r="C165" i="46"/>
  <c r="B165" i="46"/>
  <c r="A165" i="46"/>
  <c r="L164" i="46"/>
  <c r="K164" i="46"/>
  <c r="E164" i="46"/>
  <c r="D164" i="46"/>
  <c r="C164" i="46"/>
  <c r="B164" i="46"/>
  <c r="A164" i="46"/>
  <c r="L163" i="46"/>
  <c r="K163" i="46"/>
  <c r="E163" i="46"/>
  <c r="D163" i="46"/>
  <c r="C163" i="46"/>
  <c r="B163" i="46"/>
  <c r="A163" i="46"/>
  <c r="L162" i="46"/>
  <c r="K162" i="46"/>
  <c r="E162" i="46"/>
  <c r="D162" i="46"/>
  <c r="C162" i="46"/>
  <c r="B162" i="46"/>
  <c r="A162" i="46"/>
  <c r="L161" i="46"/>
  <c r="K161" i="46"/>
  <c r="E161" i="46"/>
  <c r="D161" i="46"/>
  <c r="C161" i="46"/>
  <c r="B161" i="46"/>
  <c r="A161" i="46"/>
  <c r="L160" i="46"/>
  <c r="K160" i="46"/>
  <c r="E160" i="46"/>
  <c r="D160" i="46"/>
  <c r="C160" i="46"/>
  <c r="B160" i="46"/>
  <c r="A160" i="46"/>
  <c r="L159" i="46"/>
  <c r="K159" i="46"/>
  <c r="E159" i="46"/>
  <c r="D159" i="46"/>
  <c r="C159" i="46"/>
  <c r="B159" i="46"/>
  <c r="A159" i="46"/>
  <c r="L158" i="46"/>
  <c r="K158" i="46"/>
  <c r="E158" i="46"/>
  <c r="D158" i="46"/>
  <c r="C158" i="46"/>
  <c r="B158" i="46"/>
  <c r="A158" i="46"/>
  <c r="L157" i="46"/>
  <c r="K157" i="46"/>
  <c r="E157" i="46"/>
  <c r="D157" i="46"/>
  <c r="C157" i="46"/>
  <c r="B157" i="46"/>
  <c r="A157" i="46"/>
  <c r="L156" i="46"/>
  <c r="K156" i="46"/>
  <c r="E156" i="46"/>
  <c r="D156" i="46"/>
  <c r="C156" i="46"/>
  <c r="B156" i="46"/>
  <c r="A156" i="46"/>
  <c r="L155" i="46"/>
  <c r="K155" i="46"/>
  <c r="E155" i="46"/>
  <c r="D155" i="46"/>
  <c r="C155" i="46"/>
  <c r="B155" i="46"/>
  <c r="A155" i="46"/>
  <c r="L154" i="46"/>
  <c r="K154" i="46"/>
  <c r="E154" i="46"/>
  <c r="D154" i="46"/>
  <c r="C154" i="46"/>
  <c r="B154" i="46"/>
  <c r="A154" i="46"/>
  <c r="L153" i="46"/>
  <c r="K153" i="46"/>
  <c r="E153" i="46"/>
  <c r="D153" i="46"/>
  <c r="C153" i="46"/>
  <c r="B153" i="46"/>
  <c r="A153" i="46"/>
  <c r="L152" i="46"/>
  <c r="K152" i="46"/>
  <c r="E152" i="46"/>
  <c r="D152" i="46"/>
  <c r="C152" i="46"/>
  <c r="B152" i="46"/>
  <c r="A152" i="46"/>
  <c r="L151" i="46"/>
  <c r="K151" i="46"/>
  <c r="E151" i="46"/>
  <c r="D151" i="46"/>
  <c r="C151" i="46"/>
  <c r="B151" i="46"/>
  <c r="A151" i="46"/>
  <c r="L150" i="46"/>
  <c r="K150" i="46"/>
  <c r="E150" i="46"/>
  <c r="D150" i="46"/>
  <c r="C150" i="46"/>
  <c r="B150" i="46"/>
  <c r="A150" i="46"/>
  <c r="L149" i="46"/>
  <c r="K149" i="46"/>
  <c r="E149" i="46"/>
  <c r="D149" i="46"/>
  <c r="C149" i="46"/>
  <c r="B149" i="46"/>
  <c r="A149" i="46"/>
  <c r="L148" i="46"/>
  <c r="K148" i="46"/>
  <c r="E148" i="46"/>
  <c r="D148" i="46"/>
  <c r="C148" i="46"/>
  <c r="B148" i="46"/>
  <c r="A148" i="46"/>
  <c r="L147" i="46"/>
  <c r="K147" i="46"/>
  <c r="E147" i="46"/>
  <c r="D147" i="46"/>
  <c r="C147" i="46"/>
  <c r="B147" i="46"/>
  <c r="A147" i="46"/>
  <c r="L146" i="46"/>
  <c r="K146" i="46"/>
  <c r="E146" i="46"/>
  <c r="D146" i="46"/>
  <c r="C146" i="46"/>
  <c r="B146" i="46"/>
  <c r="A146" i="46"/>
  <c r="L145" i="46"/>
  <c r="K145" i="46"/>
  <c r="E145" i="46"/>
  <c r="D145" i="46"/>
  <c r="C145" i="46"/>
  <c r="B145" i="46"/>
  <c r="A145" i="46"/>
  <c r="L144" i="46"/>
  <c r="K144" i="46"/>
  <c r="E144" i="46"/>
  <c r="D144" i="46"/>
  <c r="C144" i="46"/>
  <c r="B144" i="46"/>
  <c r="A144" i="46"/>
  <c r="L143" i="46"/>
  <c r="K143" i="46"/>
  <c r="E143" i="46"/>
  <c r="D143" i="46"/>
  <c r="C143" i="46"/>
  <c r="B143" i="46"/>
  <c r="A143" i="46"/>
  <c r="L142" i="46"/>
  <c r="K142" i="46"/>
  <c r="E142" i="46"/>
  <c r="D142" i="46"/>
  <c r="C142" i="46"/>
  <c r="B142" i="46"/>
  <c r="A142" i="46"/>
  <c r="L141" i="46"/>
  <c r="K141" i="46"/>
  <c r="E141" i="46"/>
  <c r="D141" i="46"/>
  <c r="C141" i="46"/>
  <c r="B141" i="46"/>
  <c r="A141" i="46"/>
  <c r="L140" i="46"/>
  <c r="K140" i="46"/>
  <c r="E140" i="46"/>
  <c r="D140" i="46"/>
  <c r="C140" i="46"/>
  <c r="B140" i="46"/>
  <c r="A140" i="46"/>
  <c r="L139" i="46"/>
  <c r="K139" i="46"/>
  <c r="E139" i="46"/>
  <c r="D139" i="46"/>
  <c r="C139" i="46"/>
  <c r="B139" i="46"/>
  <c r="A139" i="46"/>
  <c r="L138" i="46"/>
  <c r="K138" i="46"/>
  <c r="E138" i="46"/>
  <c r="D138" i="46"/>
  <c r="C138" i="46"/>
  <c r="B138" i="46"/>
  <c r="A138" i="46"/>
  <c r="L137" i="46"/>
  <c r="K137" i="46"/>
  <c r="E137" i="46"/>
  <c r="D137" i="46"/>
  <c r="C137" i="46"/>
  <c r="B137" i="46"/>
  <c r="A137" i="46"/>
  <c r="L136" i="46"/>
  <c r="K136" i="46"/>
  <c r="E136" i="46"/>
  <c r="D136" i="46"/>
  <c r="C136" i="46"/>
  <c r="B136" i="46"/>
  <c r="A136" i="46"/>
  <c r="L135" i="46"/>
  <c r="K135" i="46"/>
  <c r="E135" i="46"/>
  <c r="D135" i="46"/>
  <c r="C135" i="46"/>
  <c r="B135" i="46"/>
  <c r="A135" i="46"/>
  <c r="L134" i="46"/>
  <c r="K134" i="46"/>
  <c r="E134" i="46"/>
  <c r="D134" i="46"/>
  <c r="C134" i="46"/>
  <c r="B134" i="46"/>
  <c r="A134" i="46"/>
  <c r="L133" i="46"/>
  <c r="K133" i="46"/>
  <c r="E133" i="46"/>
  <c r="D133" i="46"/>
  <c r="C133" i="46"/>
  <c r="B133" i="46"/>
  <c r="A133" i="46"/>
  <c r="L132" i="46"/>
  <c r="K132" i="46"/>
  <c r="E132" i="46"/>
  <c r="D132" i="46"/>
  <c r="C132" i="46"/>
  <c r="B132" i="46"/>
  <c r="A132" i="46"/>
  <c r="L131" i="46"/>
  <c r="K131" i="46"/>
  <c r="E131" i="46"/>
  <c r="D131" i="46"/>
  <c r="C131" i="46"/>
  <c r="B131" i="46"/>
  <c r="A131" i="46"/>
  <c r="L130" i="46"/>
  <c r="K130" i="46"/>
  <c r="E130" i="46"/>
  <c r="D130" i="46"/>
  <c r="C130" i="46"/>
  <c r="B130" i="46"/>
  <c r="A130" i="46"/>
  <c r="L129" i="46"/>
  <c r="K129" i="46"/>
  <c r="E129" i="46"/>
  <c r="D129" i="46"/>
  <c r="C129" i="46"/>
  <c r="B129" i="46"/>
  <c r="A129" i="46"/>
  <c r="L128" i="46"/>
  <c r="K128" i="46"/>
  <c r="E128" i="46"/>
  <c r="D128" i="46"/>
  <c r="C128" i="46"/>
  <c r="B128" i="46"/>
  <c r="A128" i="46"/>
  <c r="L127" i="46"/>
  <c r="K127" i="46"/>
  <c r="E127" i="46"/>
  <c r="D127" i="46"/>
  <c r="C127" i="46"/>
  <c r="B127" i="46"/>
  <c r="A127" i="46"/>
  <c r="L126" i="46"/>
  <c r="K126" i="46"/>
  <c r="E126" i="46"/>
  <c r="D126" i="46"/>
  <c r="C126" i="46"/>
  <c r="B126" i="46"/>
  <c r="A126" i="46"/>
  <c r="L125" i="46"/>
  <c r="K125" i="46"/>
  <c r="E125" i="46"/>
  <c r="D125" i="46"/>
  <c r="C125" i="46"/>
  <c r="B125" i="46"/>
  <c r="A125" i="46"/>
  <c r="L124" i="46"/>
  <c r="K124" i="46"/>
  <c r="E124" i="46"/>
  <c r="D124" i="46"/>
  <c r="C124" i="46"/>
  <c r="B124" i="46"/>
  <c r="A124" i="46"/>
  <c r="L123" i="46"/>
  <c r="K123" i="46"/>
  <c r="E123" i="46"/>
  <c r="D123" i="46"/>
  <c r="C123" i="46"/>
  <c r="B123" i="46"/>
  <c r="A123" i="46"/>
  <c r="L122" i="46"/>
  <c r="K122" i="46"/>
  <c r="E122" i="46"/>
  <c r="D122" i="46"/>
  <c r="C122" i="46"/>
  <c r="B122" i="46"/>
  <c r="A122" i="46"/>
  <c r="L121" i="46"/>
  <c r="K121" i="46"/>
  <c r="E121" i="46"/>
  <c r="D121" i="46"/>
  <c r="C121" i="46"/>
  <c r="B121" i="46"/>
  <c r="A121" i="46"/>
  <c r="L120" i="46"/>
  <c r="K120" i="46"/>
  <c r="E120" i="46"/>
  <c r="D120" i="46"/>
  <c r="C120" i="46"/>
  <c r="B120" i="46"/>
  <c r="A120" i="46"/>
  <c r="L119" i="46"/>
  <c r="K119" i="46"/>
  <c r="E119" i="46"/>
  <c r="D119" i="46"/>
  <c r="C119" i="46"/>
  <c r="B119" i="46"/>
  <c r="A119" i="46"/>
  <c r="L118" i="46"/>
  <c r="K118" i="46"/>
  <c r="E118" i="46"/>
  <c r="D118" i="46"/>
  <c r="C118" i="46"/>
  <c r="B118" i="46"/>
  <c r="A118" i="46"/>
  <c r="L117" i="46"/>
  <c r="K117" i="46"/>
  <c r="E117" i="46"/>
  <c r="D117" i="46"/>
  <c r="C117" i="46"/>
  <c r="B117" i="46"/>
  <c r="A117" i="46"/>
  <c r="L116" i="46"/>
  <c r="K116" i="46"/>
  <c r="E116" i="46"/>
  <c r="D116" i="46"/>
  <c r="C116" i="46"/>
  <c r="B116" i="46"/>
  <c r="A116" i="46"/>
  <c r="L115" i="46"/>
  <c r="K115" i="46"/>
  <c r="E115" i="46"/>
  <c r="D115" i="46"/>
  <c r="C115" i="46"/>
  <c r="B115" i="46"/>
  <c r="A115" i="46"/>
  <c r="L114" i="46"/>
  <c r="K114" i="46"/>
  <c r="E114" i="46"/>
  <c r="D114" i="46"/>
  <c r="C114" i="46"/>
  <c r="B114" i="46"/>
  <c r="A114" i="46"/>
  <c r="L113" i="46"/>
  <c r="K113" i="46"/>
  <c r="E113" i="46"/>
  <c r="D113" i="46"/>
  <c r="C113" i="46"/>
  <c r="B113" i="46"/>
  <c r="A113" i="46"/>
  <c r="L112" i="46"/>
  <c r="K112" i="46"/>
  <c r="E112" i="46"/>
  <c r="D112" i="46"/>
  <c r="C112" i="46"/>
  <c r="B112" i="46"/>
  <c r="A112" i="46"/>
  <c r="L111" i="46"/>
  <c r="K111" i="46"/>
  <c r="E111" i="46"/>
  <c r="D111" i="46"/>
  <c r="C111" i="46"/>
  <c r="B111" i="46"/>
  <c r="A111" i="46"/>
  <c r="L110" i="46"/>
  <c r="K110" i="46"/>
  <c r="E110" i="46"/>
  <c r="D110" i="46"/>
  <c r="C110" i="46"/>
  <c r="B110" i="46"/>
  <c r="A110" i="46"/>
  <c r="L109" i="46"/>
  <c r="K109" i="46"/>
  <c r="E109" i="46"/>
  <c r="D109" i="46"/>
  <c r="C109" i="46"/>
  <c r="B109" i="46"/>
  <c r="A109" i="46"/>
  <c r="L108" i="46"/>
  <c r="K108" i="46"/>
  <c r="E108" i="46"/>
  <c r="D108" i="46"/>
  <c r="C108" i="46"/>
  <c r="B108" i="46"/>
  <c r="A108" i="46"/>
  <c r="L107" i="46"/>
  <c r="K107" i="46"/>
  <c r="E107" i="46"/>
  <c r="D107" i="46"/>
  <c r="C107" i="46"/>
  <c r="B107" i="46"/>
  <c r="A107" i="46"/>
  <c r="L106" i="46"/>
  <c r="K106" i="46"/>
  <c r="E106" i="46"/>
  <c r="D106" i="46"/>
  <c r="C106" i="46"/>
  <c r="B106" i="46"/>
  <c r="A106" i="46"/>
  <c r="L105" i="46"/>
  <c r="K105" i="46"/>
  <c r="E105" i="46"/>
  <c r="D105" i="46"/>
  <c r="C105" i="46"/>
  <c r="B105" i="46"/>
  <c r="A105" i="46"/>
  <c r="L104" i="46"/>
  <c r="K104" i="46"/>
  <c r="E104" i="46"/>
  <c r="D104" i="46"/>
  <c r="C104" i="46"/>
  <c r="B104" i="46"/>
  <c r="A104" i="46"/>
  <c r="L103" i="46"/>
  <c r="K103" i="46"/>
  <c r="E103" i="46"/>
  <c r="D103" i="46"/>
  <c r="C103" i="46"/>
  <c r="B103" i="46"/>
  <c r="A103" i="46"/>
  <c r="L102" i="46"/>
  <c r="K102" i="46"/>
  <c r="E102" i="46"/>
  <c r="D102" i="46"/>
  <c r="C102" i="46"/>
  <c r="B102" i="46"/>
  <c r="A102" i="46"/>
  <c r="L101" i="46"/>
  <c r="K101" i="46"/>
  <c r="E101" i="46"/>
  <c r="D101" i="46"/>
  <c r="C101" i="46"/>
  <c r="B101" i="46"/>
  <c r="A101" i="46"/>
  <c r="L100" i="46"/>
  <c r="K100" i="46"/>
  <c r="E100" i="46"/>
  <c r="D100" i="46"/>
  <c r="C100" i="46"/>
  <c r="B100" i="46"/>
  <c r="A100" i="46"/>
  <c r="L99" i="46"/>
  <c r="K99" i="46"/>
  <c r="E99" i="46"/>
  <c r="D99" i="46"/>
  <c r="C99" i="46"/>
  <c r="B99" i="46"/>
  <c r="A99" i="46"/>
  <c r="L98" i="46"/>
  <c r="K98" i="46"/>
  <c r="E98" i="46"/>
  <c r="D98" i="46"/>
  <c r="C98" i="46"/>
  <c r="B98" i="46"/>
  <c r="A98" i="46"/>
  <c r="L97" i="46"/>
  <c r="K97" i="46"/>
  <c r="E97" i="46"/>
  <c r="D97" i="46"/>
  <c r="C97" i="46"/>
  <c r="B97" i="46"/>
  <c r="A97" i="46"/>
  <c r="L96" i="46"/>
  <c r="K96" i="46"/>
  <c r="E96" i="46"/>
  <c r="D96" i="46"/>
  <c r="C96" i="46"/>
  <c r="B96" i="46"/>
  <c r="A96" i="46"/>
  <c r="L95" i="46"/>
  <c r="K95" i="46"/>
  <c r="E95" i="46"/>
  <c r="D95" i="46"/>
  <c r="C95" i="46"/>
  <c r="B95" i="46"/>
  <c r="A95" i="46"/>
  <c r="L94" i="46"/>
  <c r="K94" i="46"/>
  <c r="E94" i="46"/>
  <c r="D94" i="46"/>
  <c r="C94" i="46"/>
  <c r="B94" i="46"/>
  <c r="A94" i="46"/>
  <c r="L93" i="46"/>
  <c r="K93" i="46"/>
  <c r="E93" i="46"/>
  <c r="D93" i="46"/>
  <c r="C93" i="46"/>
  <c r="B93" i="46"/>
  <c r="A93" i="46"/>
  <c r="L92" i="46"/>
  <c r="K92" i="46"/>
  <c r="E92" i="46"/>
  <c r="D92" i="46"/>
  <c r="C92" i="46"/>
  <c r="B92" i="46"/>
  <c r="A92" i="46"/>
  <c r="L91" i="46"/>
  <c r="K91" i="46"/>
  <c r="E91" i="46"/>
  <c r="D91" i="46"/>
  <c r="C91" i="46"/>
  <c r="B91" i="46"/>
  <c r="A91" i="46"/>
  <c r="L90" i="46"/>
  <c r="K90" i="46"/>
  <c r="E90" i="46"/>
  <c r="D90" i="46"/>
  <c r="C90" i="46"/>
  <c r="B90" i="46"/>
  <c r="A90" i="46"/>
  <c r="L89" i="46"/>
  <c r="K89" i="46"/>
  <c r="E89" i="46"/>
  <c r="D89" i="46"/>
  <c r="C89" i="46"/>
  <c r="B89" i="46"/>
  <c r="A89" i="46"/>
  <c r="L88" i="46"/>
  <c r="K88" i="46"/>
  <c r="E88" i="46"/>
  <c r="D88" i="46"/>
  <c r="C88" i="46"/>
  <c r="B88" i="46"/>
  <c r="A88" i="46"/>
  <c r="L87" i="46"/>
  <c r="K87" i="46"/>
  <c r="E87" i="46"/>
  <c r="D87" i="46"/>
  <c r="C87" i="46"/>
  <c r="B87" i="46"/>
  <c r="A87" i="46"/>
  <c r="L86" i="46"/>
  <c r="K86" i="46"/>
  <c r="E86" i="46"/>
  <c r="D86" i="46"/>
  <c r="C86" i="46"/>
  <c r="B86" i="46"/>
  <c r="A86" i="46"/>
  <c r="L85" i="46"/>
  <c r="K85" i="46"/>
  <c r="E85" i="46"/>
  <c r="D85" i="46"/>
  <c r="C85" i="46"/>
  <c r="B85" i="46"/>
  <c r="A85" i="46"/>
  <c r="L84" i="46"/>
  <c r="K84" i="46"/>
  <c r="E84" i="46"/>
  <c r="D84" i="46"/>
  <c r="C84" i="46"/>
  <c r="B84" i="46"/>
  <c r="A84" i="46"/>
  <c r="L83" i="46"/>
  <c r="K83" i="46"/>
  <c r="E83" i="46"/>
  <c r="D83" i="46"/>
  <c r="C83" i="46"/>
  <c r="B83" i="46"/>
  <c r="A83" i="46"/>
  <c r="L82" i="46"/>
  <c r="K82" i="46"/>
  <c r="E82" i="46"/>
  <c r="D82" i="46"/>
  <c r="C82" i="46"/>
  <c r="B82" i="46"/>
  <c r="A82" i="46"/>
  <c r="L81" i="46"/>
  <c r="K81" i="46"/>
  <c r="E81" i="46"/>
  <c r="D81" i="46"/>
  <c r="C81" i="46"/>
  <c r="B81" i="46"/>
  <c r="A81" i="46"/>
  <c r="L80" i="46"/>
  <c r="K80" i="46"/>
  <c r="E80" i="46"/>
  <c r="D80" i="46"/>
  <c r="C80" i="46"/>
  <c r="B80" i="46"/>
  <c r="A80" i="46"/>
  <c r="L79" i="46"/>
  <c r="K79" i="46"/>
  <c r="E79" i="46"/>
  <c r="D79" i="46"/>
  <c r="C79" i="46"/>
  <c r="B79" i="46"/>
  <c r="A79" i="46"/>
  <c r="L78" i="46"/>
  <c r="K78" i="46"/>
  <c r="E78" i="46"/>
  <c r="D78" i="46"/>
  <c r="C78" i="46"/>
  <c r="B78" i="46"/>
  <c r="A78" i="46"/>
  <c r="L77" i="46"/>
  <c r="K77" i="46"/>
  <c r="E77" i="46"/>
  <c r="D77" i="46"/>
  <c r="C77" i="46"/>
  <c r="B77" i="46"/>
  <c r="A77" i="46"/>
  <c r="L76" i="46"/>
  <c r="K76" i="46"/>
  <c r="E76" i="46"/>
  <c r="D76" i="46"/>
  <c r="C76" i="46"/>
  <c r="B76" i="46"/>
  <c r="A76" i="46"/>
  <c r="L75" i="46"/>
  <c r="K75" i="46"/>
  <c r="E75" i="46"/>
  <c r="D75" i="46"/>
  <c r="C75" i="46"/>
  <c r="B75" i="46"/>
  <c r="A75" i="46"/>
  <c r="L74" i="46"/>
  <c r="K74" i="46"/>
  <c r="E74" i="46"/>
  <c r="D74" i="46"/>
  <c r="C74" i="46"/>
  <c r="B74" i="46"/>
  <c r="A74" i="46"/>
  <c r="L73" i="46"/>
  <c r="K73" i="46"/>
  <c r="E73" i="46"/>
  <c r="D73" i="46"/>
  <c r="C73" i="46"/>
  <c r="B73" i="46"/>
  <c r="A73" i="46"/>
  <c r="L72" i="46"/>
  <c r="K72" i="46"/>
  <c r="E72" i="46"/>
  <c r="D72" i="46"/>
  <c r="C72" i="46"/>
  <c r="B72" i="46"/>
  <c r="A72" i="46"/>
  <c r="L71" i="46"/>
  <c r="K71" i="46"/>
  <c r="E71" i="46"/>
  <c r="D71" i="46"/>
  <c r="C71" i="46"/>
  <c r="B71" i="46"/>
  <c r="A71" i="46"/>
  <c r="L70" i="46"/>
  <c r="K70" i="46"/>
  <c r="E70" i="46"/>
  <c r="D70" i="46"/>
  <c r="C70" i="46"/>
  <c r="B70" i="46"/>
  <c r="A70" i="46"/>
  <c r="L69" i="46"/>
  <c r="K69" i="46"/>
  <c r="E69" i="46"/>
  <c r="D69" i="46"/>
  <c r="C69" i="46"/>
  <c r="B69" i="46"/>
  <c r="A69" i="46"/>
  <c r="L68" i="46"/>
  <c r="K68" i="46"/>
  <c r="E68" i="46"/>
  <c r="D68" i="46"/>
  <c r="C68" i="46"/>
  <c r="B68" i="46"/>
  <c r="A68" i="46"/>
  <c r="L67" i="46"/>
  <c r="K67" i="46"/>
  <c r="E67" i="46"/>
  <c r="D67" i="46"/>
  <c r="C67" i="46"/>
  <c r="B67" i="46"/>
  <c r="A67" i="46"/>
  <c r="L66" i="46"/>
  <c r="K66" i="46"/>
  <c r="E66" i="46"/>
  <c r="D66" i="46"/>
  <c r="C66" i="46"/>
  <c r="B66" i="46"/>
  <c r="A66" i="46"/>
  <c r="L65" i="46"/>
  <c r="K65" i="46"/>
  <c r="E65" i="46"/>
  <c r="D65" i="46"/>
  <c r="C65" i="46"/>
  <c r="B65" i="46"/>
  <c r="A65" i="46"/>
  <c r="L64" i="46"/>
  <c r="K64" i="46"/>
  <c r="E64" i="46"/>
  <c r="D64" i="46"/>
  <c r="C64" i="46"/>
  <c r="B64" i="46"/>
  <c r="A64" i="46"/>
  <c r="L63" i="46"/>
  <c r="K63" i="46"/>
  <c r="E63" i="46"/>
  <c r="D63" i="46"/>
  <c r="C63" i="46"/>
  <c r="B63" i="46"/>
  <c r="A63" i="46"/>
  <c r="L62" i="46"/>
  <c r="K62" i="46"/>
  <c r="E62" i="46"/>
  <c r="D62" i="46"/>
  <c r="C62" i="46"/>
  <c r="B62" i="46"/>
  <c r="A62" i="46"/>
  <c r="L61" i="46"/>
  <c r="K61" i="46"/>
  <c r="E61" i="46"/>
  <c r="D61" i="46"/>
  <c r="C61" i="46"/>
  <c r="B61" i="46"/>
  <c r="A61" i="46"/>
  <c r="L60" i="46"/>
  <c r="K60" i="46"/>
  <c r="E60" i="46"/>
  <c r="D60" i="46"/>
  <c r="C60" i="46"/>
  <c r="B60" i="46"/>
  <c r="A60" i="46"/>
  <c r="L59" i="46"/>
  <c r="K59" i="46"/>
  <c r="E59" i="46"/>
  <c r="D59" i="46"/>
  <c r="C59" i="46"/>
  <c r="B59" i="46"/>
  <c r="A59" i="46"/>
  <c r="L58" i="46"/>
  <c r="K58" i="46"/>
  <c r="E58" i="46"/>
  <c r="D58" i="46"/>
  <c r="C58" i="46"/>
  <c r="B58" i="46"/>
  <c r="A58" i="46"/>
  <c r="L57" i="46"/>
  <c r="K57" i="46"/>
  <c r="E57" i="46"/>
  <c r="D57" i="46"/>
  <c r="C57" i="46"/>
  <c r="B57" i="46"/>
  <c r="A57" i="46"/>
  <c r="L56" i="46"/>
  <c r="K56" i="46"/>
  <c r="E56" i="46"/>
  <c r="D56" i="46"/>
  <c r="C56" i="46"/>
  <c r="B56" i="46"/>
  <c r="A56" i="46"/>
  <c r="L55" i="46"/>
  <c r="K55" i="46"/>
  <c r="E55" i="46"/>
  <c r="D55" i="46"/>
  <c r="C55" i="46"/>
  <c r="B55" i="46"/>
  <c r="A55" i="46"/>
  <c r="L54" i="46"/>
  <c r="K54" i="46"/>
  <c r="E54" i="46"/>
  <c r="D54" i="46"/>
  <c r="C54" i="46"/>
  <c r="B54" i="46"/>
  <c r="A54" i="46"/>
  <c r="L53" i="46"/>
  <c r="K53" i="46"/>
  <c r="E53" i="46"/>
  <c r="D53" i="46"/>
  <c r="C53" i="46"/>
  <c r="B53" i="46"/>
  <c r="A53" i="46"/>
  <c r="L52" i="46"/>
  <c r="K52" i="46"/>
  <c r="E52" i="46"/>
  <c r="D52" i="46"/>
  <c r="C52" i="46"/>
  <c r="B52" i="46"/>
  <c r="A52" i="46"/>
  <c r="L51" i="46"/>
  <c r="K51" i="46"/>
  <c r="E51" i="46"/>
  <c r="D51" i="46"/>
  <c r="C51" i="46"/>
  <c r="B51" i="46"/>
  <c r="A51" i="46"/>
  <c r="L50" i="46"/>
  <c r="K50" i="46"/>
  <c r="E50" i="46"/>
  <c r="D50" i="46"/>
  <c r="C50" i="46"/>
  <c r="B50" i="46"/>
  <c r="A50" i="46"/>
  <c r="L49" i="46"/>
  <c r="K49" i="46"/>
  <c r="E49" i="46"/>
  <c r="D49" i="46"/>
  <c r="C49" i="46"/>
  <c r="B49" i="46"/>
  <c r="A49" i="46"/>
  <c r="L48" i="46"/>
  <c r="K48" i="46"/>
  <c r="E48" i="46"/>
  <c r="D48" i="46"/>
  <c r="C48" i="46"/>
  <c r="B48" i="46"/>
  <c r="A48" i="46"/>
  <c r="L47" i="46"/>
  <c r="K47" i="46"/>
  <c r="E47" i="46"/>
  <c r="D47" i="46"/>
  <c r="C47" i="46"/>
  <c r="B47" i="46"/>
  <c r="A47" i="46"/>
  <c r="L46" i="46"/>
  <c r="K46" i="46"/>
  <c r="E46" i="46"/>
  <c r="D46" i="46"/>
  <c r="C46" i="46"/>
  <c r="B46" i="46"/>
  <c r="A46" i="46"/>
  <c r="L45" i="46"/>
  <c r="K45" i="46"/>
  <c r="E45" i="46"/>
  <c r="D45" i="46"/>
  <c r="C45" i="46"/>
  <c r="B45" i="46"/>
  <c r="A45" i="46"/>
  <c r="L44" i="46"/>
  <c r="K44" i="46"/>
  <c r="E44" i="46"/>
  <c r="D44" i="46"/>
  <c r="C44" i="46"/>
  <c r="B44" i="46"/>
  <c r="A44" i="46"/>
  <c r="L43" i="46"/>
  <c r="K43" i="46"/>
  <c r="E43" i="46"/>
  <c r="D43" i="46"/>
  <c r="C43" i="46"/>
  <c r="B43" i="46"/>
  <c r="A43" i="46"/>
  <c r="L42" i="46"/>
  <c r="K42" i="46"/>
  <c r="E42" i="46"/>
  <c r="D42" i="46"/>
  <c r="C42" i="46"/>
  <c r="B42" i="46"/>
  <c r="A42" i="46"/>
  <c r="L41" i="46"/>
  <c r="K41" i="46"/>
  <c r="E41" i="46"/>
  <c r="D41" i="46"/>
  <c r="C41" i="46"/>
  <c r="B41" i="46"/>
  <c r="A41" i="46"/>
  <c r="L40" i="46"/>
  <c r="K40" i="46"/>
  <c r="E40" i="46"/>
  <c r="D40" i="46"/>
  <c r="C40" i="46"/>
  <c r="B40" i="46"/>
  <c r="A40" i="46"/>
  <c r="L39" i="46"/>
  <c r="K39" i="46"/>
  <c r="E39" i="46"/>
  <c r="D39" i="46"/>
  <c r="C39" i="46"/>
  <c r="B39" i="46"/>
  <c r="A39" i="46"/>
  <c r="L38" i="46"/>
  <c r="K38" i="46"/>
  <c r="E38" i="46"/>
  <c r="D38" i="46"/>
  <c r="C38" i="46"/>
  <c r="B38" i="46"/>
  <c r="A38" i="46"/>
  <c r="L37" i="46"/>
  <c r="K37" i="46"/>
  <c r="E37" i="46"/>
  <c r="D37" i="46"/>
  <c r="C37" i="46"/>
  <c r="B37" i="46"/>
  <c r="A37" i="46"/>
  <c r="L36" i="46"/>
  <c r="K36" i="46"/>
  <c r="E36" i="46"/>
  <c r="D36" i="46"/>
  <c r="C36" i="46"/>
  <c r="B36" i="46"/>
  <c r="A36" i="46"/>
  <c r="L35" i="46"/>
  <c r="K35" i="46"/>
  <c r="E35" i="46"/>
  <c r="D35" i="46"/>
  <c r="C35" i="46"/>
  <c r="B35" i="46"/>
  <c r="A35" i="46"/>
  <c r="L34" i="46"/>
  <c r="K34" i="46"/>
  <c r="E34" i="46"/>
  <c r="D34" i="46"/>
  <c r="C34" i="46"/>
  <c r="B34" i="46"/>
  <c r="A34" i="46"/>
  <c r="L33" i="46"/>
  <c r="K33" i="46"/>
  <c r="E33" i="46"/>
  <c r="D33" i="46"/>
  <c r="C33" i="46"/>
  <c r="B33" i="46"/>
  <c r="A33" i="46"/>
  <c r="L32" i="46"/>
  <c r="K32" i="46"/>
  <c r="E32" i="46"/>
  <c r="D32" i="46"/>
  <c r="C32" i="46"/>
  <c r="B32" i="46"/>
  <c r="A32" i="46"/>
  <c r="L31" i="46"/>
  <c r="K31" i="46"/>
  <c r="E31" i="46"/>
  <c r="D31" i="46"/>
  <c r="C31" i="46"/>
  <c r="B31" i="46"/>
  <c r="A31" i="46"/>
  <c r="L30" i="46"/>
  <c r="K30" i="46"/>
  <c r="E30" i="46"/>
  <c r="D30" i="46"/>
  <c r="C30" i="46"/>
  <c r="B30" i="46"/>
  <c r="A30" i="46"/>
  <c r="L29" i="46"/>
  <c r="K29" i="46"/>
  <c r="E29" i="46"/>
  <c r="D29" i="46"/>
  <c r="C29" i="46"/>
  <c r="B29" i="46"/>
  <c r="A29" i="46"/>
  <c r="L28" i="46"/>
  <c r="K28" i="46"/>
  <c r="E28" i="46"/>
  <c r="D28" i="46"/>
  <c r="C28" i="46"/>
  <c r="B28" i="46"/>
  <c r="A28" i="46"/>
  <c r="L27" i="46"/>
  <c r="K27" i="46"/>
  <c r="E27" i="46"/>
  <c r="D27" i="46"/>
  <c r="C27" i="46"/>
  <c r="B27" i="46"/>
  <c r="A27" i="46"/>
  <c r="L26" i="46"/>
  <c r="K26" i="46"/>
  <c r="E26" i="46"/>
  <c r="D26" i="46"/>
  <c r="C26" i="46"/>
  <c r="B26" i="46"/>
  <c r="A26" i="46"/>
  <c r="L25" i="46"/>
  <c r="K25" i="46"/>
  <c r="E25" i="46"/>
  <c r="D25" i="46"/>
  <c r="C25" i="46"/>
  <c r="B25" i="46"/>
  <c r="A25" i="46"/>
  <c r="L24" i="46"/>
  <c r="K24" i="46"/>
  <c r="E24" i="46"/>
  <c r="D24" i="46"/>
  <c r="C24" i="46"/>
  <c r="B24" i="46"/>
  <c r="A24" i="46"/>
  <c r="L23" i="46"/>
  <c r="K23" i="46"/>
  <c r="E23" i="46"/>
  <c r="D23" i="46"/>
  <c r="C23" i="46"/>
  <c r="B23" i="46"/>
  <c r="A23" i="46"/>
  <c r="L22" i="46"/>
  <c r="K22" i="46"/>
  <c r="E22" i="46"/>
  <c r="D22" i="46"/>
  <c r="C22" i="46"/>
  <c r="B22" i="46"/>
  <c r="A22" i="46"/>
  <c r="L21" i="46"/>
  <c r="K21" i="46"/>
  <c r="E21" i="46"/>
  <c r="D21" i="46"/>
  <c r="C21" i="46"/>
  <c r="B21" i="46"/>
  <c r="A21" i="46"/>
  <c r="L20" i="46"/>
  <c r="K20" i="46"/>
  <c r="E20" i="46"/>
  <c r="D20" i="46"/>
  <c r="C20" i="46"/>
  <c r="B20" i="46"/>
  <c r="A20" i="46"/>
  <c r="L19" i="46"/>
  <c r="K19" i="46"/>
  <c r="E19" i="46"/>
  <c r="D19" i="46"/>
  <c r="C19" i="46"/>
  <c r="B19" i="46"/>
  <c r="A19" i="46"/>
  <c r="L18" i="46"/>
  <c r="K18" i="46"/>
  <c r="E18" i="46"/>
  <c r="D18" i="46"/>
  <c r="C18" i="46"/>
  <c r="B18" i="46"/>
  <c r="A18" i="46"/>
  <c r="L17" i="46"/>
  <c r="K17" i="46"/>
  <c r="E17" i="46"/>
  <c r="D17" i="46"/>
  <c r="C17" i="46"/>
  <c r="B17" i="46"/>
  <c r="A17" i="46"/>
  <c r="L16" i="46"/>
  <c r="K16" i="46"/>
  <c r="E16" i="46"/>
  <c r="D16" i="46"/>
  <c r="C16" i="46"/>
  <c r="B16" i="46"/>
  <c r="A16" i="46"/>
  <c r="L15" i="46"/>
  <c r="K15" i="46"/>
  <c r="E15" i="46"/>
  <c r="D15" i="46"/>
  <c r="C15" i="46"/>
  <c r="B15" i="46"/>
  <c r="A15" i="46"/>
  <c r="L14" i="46"/>
  <c r="K14" i="46"/>
  <c r="E14" i="46"/>
  <c r="D14" i="46"/>
  <c r="C14" i="46"/>
  <c r="B14" i="46"/>
  <c r="A14" i="46"/>
  <c r="L13" i="46"/>
  <c r="K13" i="46"/>
  <c r="E13" i="46"/>
  <c r="D13" i="46"/>
  <c r="C13" i="46"/>
  <c r="B13" i="46"/>
  <c r="A13" i="46"/>
  <c r="L12" i="46"/>
  <c r="K12" i="46"/>
  <c r="E12" i="46"/>
  <c r="D12" i="46"/>
  <c r="C12" i="46"/>
  <c r="B12" i="46"/>
  <c r="A12" i="46"/>
  <c r="L11" i="46"/>
  <c r="K11" i="46"/>
  <c r="E11" i="46"/>
  <c r="D11" i="46"/>
  <c r="C11" i="46"/>
  <c r="B11" i="46"/>
  <c r="A11" i="46"/>
  <c r="L10" i="46"/>
  <c r="K10" i="46"/>
  <c r="E10" i="46"/>
  <c r="D10" i="46"/>
  <c r="C10" i="46"/>
  <c r="B10" i="46"/>
  <c r="A10" i="46"/>
  <c r="L9" i="46"/>
  <c r="K9" i="46"/>
  <c r="E9" i="46"/>
  <c r="D9" i="46"/>
  <c r="C9" i="46"/>
  <c r="B9" i="46"/>
  <c r="A9" i="46"/>
  <c r="L8" i="46"/>
  <c r="K8" i="46"/>
  <c r="E8" i="46"/>
  <c r="D8" i="46"/>
  <c r="C8" i="46"/>
  <c r="B8" i="46"/>
  <c r="A8" i="46"/>
  <c r="L7" i="46"/>
  <c r="K7" i="46"/>
  <c r="E7" i="46"/>
  <c r="D7" i="46"/>
  <c r="C7" i="46"/>
  <c r="B7" i="46"/>
  <c r="A7" i="46"/>
  <c r="L6" i="46"/>
  <c r="K6" i="46"/>
  <c r="E6" i="46"/>
  <c r="D6" i="46"/>
  <c r="C6" i="46"/>
  <c r="B6" i="46"/>
  <c r="A6" i="46"/>
  <c r="L5" i="46"/>
  <c r="K5" i="46"/>
  <c r="E5" i="46"/>
  <c r="D5" i="46"/>
  <c r="C5" i="46"/>
  <c r="B5" i="46"/>
  <c r="A5" i="46"/>
  <c r="L4" i="46"/>
  <c r="K4" i="46"/>
  <c r="E4" i="46"/>
  <c r="D4" i="46"/>
  <c r="C4" i="46"/>
  <c r="B4" i="46"/>
  <c r="A4" i="46"/>
  <c r="L3" i="46"/>
  <c r="K3" i="46"/>
  <c r="E3" i="46"/>
  <c r="D3" i="46"/>
  <c r="C3" i="46"/>
  <c r="B3" i="46"/>
  <c r="A3" i="46"/>
  <c r="S424" i="45"/>
  <c r="P424" i="45"/>
  <c r="S423" i="45"/>
  <c r="P423" i="45"/>
  <c r="S422" i="45"/>
  <c r="P422" i="45"/>
  <c r="S421" i="45"/>
  <c r="P421" i="45"/>
  <c r="S420" i="45"/>
  <c r="P420" i="45"/>
  <c r="S419" i="45"/>
  <c r="Q419" i="45"/>
  <c r="P419" i="45"/>
  <c r="S418" i="45"/>
  <c r="Q418" i="45"/>
  <c r="P418" i="45"/>
  <c r="S417" i="45"/>
  <c r="Q417" i="45"/>
  <c r="P417" i="45"/>
  <c r="S407" i="45"/>
  <c r="Q407" i="45"/>
  <c r="P407" i="45"/>
  <c r="T407" i="45" s="1"/>
  <c r="S406" i="45"/>
  <c r="Q406" i="45"/>
  <c r="P406" i="45"/>
  <c r="T406" i="45" s="1"/>
  <c r="S405" i="45"/>
  <c r="Q405" i="45"/>
  <c r="P405" i="45"/>
  <c r="T405" i="45" s="1"/>
  <c r="S404" i="45"/>
  <c r="Q404" i="45"/>
  <c r="P404" i="45"/>
  <c r="T404" i="45" s="1"/>
  <c r="S403" i="45"/>
  <c r="Q403" i="45"/>
  <c r="P403" i="45"/>
  <c r="T403" i="45" s="1"/>
  <c r="S402" i="45"/>
  <c r="Q402" i="45"/>
  <c r="P402" i="45"/>
  <c r="T402" i="45" s="1"/>
  <c r="S401" i="45"/>
  <c r="Q401" i="45"/>
  <c r="P401" i="45"/>
  <c r="T401" i="45" s="1"/>
  <c r="S400" i="45"/>
  <c r="Q400" i="45"/>
  <c r="P400" i="45"/>
  <c r="T400" i="45" s="1"/>
  <c r="S399" i="45"/>
  <c r="Q399" i="45"/>
  <c r="P399" i="45"/>
  <c r="T399" i="45" s="1"/>
  <c r="S398" i="45"/>
  <c r="Q398" i="45"/>
  <c r="P398" i="45"/>
  <c r="T398" i="45" s="1"/>
  <c r="S397" i="45"/>
  <c r="Q397" i="45"/>
  <c r="P397" i="45"/>
  <c r="T397" i="45" s="1"/>
  <c r="S396" i="45"/>
  <c r="Q396" i="45"/>
  <c r="P396" i="45"/>
  <c r="T396" i="45" s="1"/>
  <c r="S395" i="45"/>
  <c r="Q395" i="45"/>
  <c r="P395" i="45"/>
  <c r="T395" i="45" s="1"/>
  <c r="S394" i="45"/>
  <c r="Q394" i="45"/>
  <c r="P394" i="45"/>
  <c r="T394" i="45" s="1"/>
  <c r="S393" i="45"/>
  <c r="Q393" i="45"/>
  <c r="P393" i="45"/>
  <c r="T393" i="45" s="1"/>
  <c r="S392" i="45"/>
  <c r="Q392" i="45"/>
  <c r="P392" i="45"/>
  <c r="T392" i="45" s="1"/>
  <c r="S391" i="45"/>
  <c r="Q391" i="45"/>
  <c r="P391" i="45"/>
  <c r="T391" i="45" s="1"/>
  <c r="S390" i="45"/>
  <c r="Q390" i="45"/>
  <c r="P390" i="45"/>
  <c r="T390" i="45" s="1"/>
  <c r="S389" i="45"/>
  <c r="Q389" i="45"/>
  <c r="P389" i="45"/>
  <c r="T389" i="45" s="1"/>
  <c r="S388" i="45"/>
  <c r="Q388" i="45"/>
  <c r="P388" i="45"/>
  <c r="T388" i="45" s="1"/>
  <c r="S387" i="45"/>
  <c r="Q387" i="45"/>
  <c r="P387" i="45"/>
  <c r="T387" i="45" s="1"/>
  <c r="S386" i="45"/>
  <c r="Q386" i="45"/>
  <c r="P386" i="45"/>
  <c r="T386" i="45" s="1"/>
  <c r="S385" i="45"/>
  <c r="Q385" i="45"/>
  <c r="P385" i="45"/>
  <c r="T385" i="45" s="1"/>
  <c r="S384" i="45"/>
  <c r="Q384" i="45"/>
  <c r="P384" i="45"/>
  <c r="T384" i="45" s="1"/>
  <c r="S383" i="45"/>
  <c r="Q383" i="45"/>
  <c r="P383" i="45"/>
  <c r="T383" i="45" s="1"/>
  <c r="S382" i="45"/>
  <c r="Q382" i="45"/>
  <c r="P382" i="45"/>
  <c r="T382" i="45" s="1"/>
  <c r="S381" i="45"/>
  <c r="Q381" i="45"/>
  <c r="P381" i="45"/>
  <c r="T381" i="45" s="1"/>
  <c r="S380" i="45"/>
  <c r="Q380" i="45"/>
  <c r="P380" i="45"/>
  <c r="T380" i="45" s="1"/>
  <c r="S379" i="45"/>
  <c r="Q379" i="45"/>
  <c r="P379" i="45"/>
  <c r="T379" i="45" s="1"/>
  <c r="S378" i="45"/>
  <c r="Q378" i="45"/>
  <c r="P378" i="45"/>
  <c r="T378" i="45" s="1"/>
  <c r="S377" i="45"/>
  <c r="Q377" i="45"/>
  <c r="P377" i="45"/>
  <c r="T377" i="45" s="1"/>
  <c r="S376" i="45"/>
  <c r="Q376" i="45"/>
  <c r="P376" i="45"/>
  <c r="T376" i="45" s="1"/>
  <c r="S375" i="45"/>
  <c r="Q375" i="45"/>
  <c r="P375" i="45"/>
  <c r="T375" i="45" s="1"/>
  <c r="S374" i="45"/>
  <c r="Q374" i="45"/>
  <c r="P374" i="45"/>
  <c r="T374" i="45" s="1"/>
  <c r="S373" i="45"/>
  <c r="Q373" i="45"/>
  <c r="P373" i="45"/>
  <c r="T373" i="45" s="1"/>
  <c r="S372" i="45"/>
  <c r="Q372" i="45"/>
  <c r="P372" i="45"/>
  <c r="T372" i="45" s="1"/>
  <c r="S371" i="45"/>
  <c r="Q371" i="45"/>
  <c r="P371" i="45"/>
  <c r="T371" i="45" s="1"/>
  <c r="S370" i="45"/>
  <c r="Q370" i="45"/>
  <c r="P370" i="45"/>
  <c r="T370" i="45" s="1"/>
  <c r="S369" i="45"/>
  <c r="Q369" i="45"/>
  <c r="P369" i="45"/>
  <c r="T369" i="45" s="1"/>
  <c r="S368" i="45"/>
  <c r="Q368" i="45"/>
  <c r="P368" i="45"/>
  <c r="T368" i="45" s="1"/>
  <c r="S367" i="45"/>
  <c r="Q367" i="45"/>
  <c r="P367" i="45"/>
  <c r="T367" i="45" s="1"/>
  <c r="S366" i="45"/>
  <c r="Q366" i="45"/>
  <c r="P366" i="45"/>
  <c r="T366" i="45" s="1"/>
  <c r="S365" i="45"/>
  <c r="Q365" i="45"/>
  <c r="P365" i="45"/>
  <c r="T365" i="45" s="1"/>
  <c r="S364" i="45"/>
  <c r="Q364" i="45"/>
  <c r="P364" i="45"/>
  <c r="T364" i="45" s="1"/>
  <c r="S363" i="45"/>
  <c r="Q363" i="45"/>
  <c r="P363" i="45"/>
  <c r="T363" i="45" s="1"/>
  <c r="S362" i="45"/>
  <c r="Q362" i="45"/>
  <c r="P362" i="45"/>
  <c r="T362" i="45" s="1"/>
  <c r="S361" i="45"/>
  <c r="Q361" i="45"/>
  <c r="P361" i="45"/>
  <c r="T361" i="45" s="1"/>
  <c r="S360" i="45"/>
  <c r="Q360" i="45"/>
  <c r="P360" i="45"/>
  <c r="T360" i="45" s="1"/>
  <c r="S359" i="45"/>
  <c r="Q359" i="45"/>
  <c r="P359" i="45"/>
  <c r="T359" i="45" s="1"/>
  <c r="S358" i="45"/>
  <c r="Q358" i="45"/>
  <c r="P358" i="45"/>
  <c r="T358" i="45" s="1"/>
  <c r="S357" i="45"/>
  <c r="Q357" i="45"/>
  <c r="P357" i="45"/>
  <c r="T357" i="45" s="1"/>
  <c r="S356" i="45"/>
  <c r="Q356" i="45"/>
  <c r="P356" i="45"/>
  <c r="T356" i="45" s="1"/>
  <c r="S355" i="45"/>
  <c r="Q355" i="45"/>
  <c r="P355" i="45"/>
  <c r="T355" i="45" s="1"/>
  <c r="S354" i="45"/>
  <c r="Q354" i="45"/>
  <c r="P354" i="45"/>
  <c r="T354" i="45" s="1"/>
  <c r="S353" i="45"/>
  <c r="Q353" i="45"/>
  <c r="P353" i="45"/>
  <c r="T353" i="45" s="1"/>
  <c r="S352" i="45"/>
  <c r="Q352" i="45"/>
  <c r="P352" i="45"/>
  <c r="T352" i="45" s="1"/>
  <c r="S351" i="45"/>
  <c r="Q351" i="45"/>
  <c r="P351" i="45"/>
  <c r="T351" i="45" s="1"/>
  <c r="S350" i="45"/>
  <c r="Q350" i="45"/>
  <c r="P350" i="45"/>
  <c r="T350" i="45" s="1"/>
  <c r="S349" i="45"/>
  <c r="Q349" i="45"/>
  <c r="P349" i="45"/>
  <c r="T349" i="45" s="1"/>
  <c r="S348" i="45"/>
  <c r="Q348" i="45"/>
  <c r="P348" i="45"/>
  <c r="T348" i="45" s="1"/>
  <c r="S347" i="45"/>
  <c r="Q347" i="45"/>
  <c r="P347" i="45"/>
  <c r="T347" i="45" s="1"/>
  <c r="S346" i="45"/>
  <c r="Q346" i="45"/>
  <c r="P346" i="45"/>
  <c r="T346" i="45" s="1"/>
  <c r="S345" i="45"/>
  <c r="Q345" i="45"/>
  <c r="P345" i="45"/>
  <c r="T345" i="45" s="1"/>
  <c r="S344" i="45"/>
  <c r="Q344" i="45"/>
  <c r="P344" i="45"/>
  <c r="T344" i="45" s="1"/>
  <c r="S343" i="45"/>
  <c r="Q343" i="45"/>
  <c r="P343" i="45"/>
  <c r="T343" i="45" s="1"/>
  <c r="S342" i="45"/>
  <c r="Q342" i="45"/>
  <c r="P342" i="45"/>
  <c r="T342" i="45" s="1"/>
  <c r="S341" i="45"/>
  <c r="Q341" i="45"/>
  <c r="P341" i="45"/>
  <c r="T341" i="45" s="1"/>
  <c r="S340" i="45"/>
  <c r="Q340" i="45"/>
  <c r="P340" i="45"/>
  <c r="T340" i="45" s="1"/>
  <c r="S339" i="45"/>
  <c r="Q339" i="45"/>
  <c r="P339" i="45"/>
  <c r="T339" i="45" s="1"/>
  <c r="S338" i="45"/>
  <c r="Q338" i="45"/>
  <c r="P338" i="45"/>
  <c r="T338" i="45" s="1"/>
  <c r="S337" i="45"/>
  <c r="Q337" i="45"/>
  <c r="P337" i="45"/>
  <c r="T337" i="45" s="1"/>
  <c r="S336" i="45"/>
  <c r="Q336" i="45"/>
  <c r="P336" i="45"/>
  <c r="T336" i="45" s="1"/>
  <c r="S335" i="45"/>
  <c r="Q335" i="45"/>
  <c r="P335" i="45"/>
  <c r="T335" i="45" s="1"/>
  <c r="S334" i="45"/>
  <c r="Q334" i="45"/>
  <c r="P334" i="45"/>
  <c r="T334" i="45" s="1"/>
  <c r="S333" i="45"/>
  <c r="Q333" i="45"/>
  <c r="P333" i="45"/>
  <c r="T333" i="45" s="1"/>
  <c r="S332" i="45"/>
  <c r="Q332" i="45"/>
  <c r="P332" i="45"/>
  <c r="T332" i="45" s="1"/>
  <c r="S331" i="45"/>
  <c r="Q331" i="45"/>
  <c r="P331" i="45"/>
  <c r="T331" i="45" s="1"/>
  <c r="S330" i="45"/>
  <c r="Q330" i="45"/>
  <c r="P330" i="45"/>
  <c r="T330" i="45" s="1"/>
  <c r="S329" i="45"/>
  <c r="Q329" i="45"/>
  <c r="P329" i="45"/>
  <c r="T329" i="45" s="1"/>
  <c r="S328" i="45"/>
  <c r="Q328" i="45"/>
  <c r="P328" i="45"/>
  <c r="T328" i="45" s="1"/>
  <c r="S327" i="45"/>
  <c r="Q327" i="45"/>
  <c r="P327" i="45"/>
  <c r="T327" i="45" s="1"/>
  <c r="S326" i="45"/>
  <c r="Q326" i="45"/>
  <c r="P326" i="45"/>
  <c r="T326" i="45" s="1"/>
  <c r="S325" i="45"/>
  <c r="Q325" i="45"/>
  <c r="P325" i="45"/>
  <c r="T325" i="45" s="1"/>
  <c r="S324" i="45"/>
  <c r="Q324" i="45"/>
  <c r="P324" i="45"/>
  <c r="T324" i="45" s="1"/>
  <c r="S323" i="45"/>
  <c r="Q323" i="45"/>
  <c r="P323" i="45"/>
  <c r="T323" i="45" s="1"/>
  <c r="S322" i="45"/>
  <c r="Q322" i="45"/>
  <c r="P322" i="45"/>
  <c r="T322" i="45" s="1"/>
  <c r="S321" i="45"/>
  <c r="Q321" i="45"/>
  <c r="P321" i="45"/>
  <c r="T321" i="45" s="1"/>
  <c r="S320" i="45"/>
  <c r="Q320" i="45"/>
  <c r="P320" i="45"/>
  <c r="T320" i="45" s="1"/>
  <c r="S319" i="45"/>
  <c r="Q319" i="45"/>
  <c r="P319" i="45"/>
  <c r="T319" i="45" s="1"/>
  <c r="S318" i="45"/>
  <c r="Q318" i="45"/>
  <c r="P318" i="45"/>
  <c r="T318" i="45" s="1"/>
  <c r="S317" i="45"/>
  <c r="Q317" i="45"/>
  <c r="P317" i="45"/>
  <c r="T317" i="45" s="1"/>
  <c r="S316" i="45"/>
  <c r="Q316" i="45"/>
  <c r="P316" i="45"/>
  <c r="T316" i="45" s="1"/>
  <c r="S315" i="45"/>
  <c r="Q315" i="45"/>
  <c r="P315" i="45"/>
  <c r="T315" i="45" s="1"/>
  <c r="S314" i="45"/>
  <c r="Q314" i="45"/>
  <c r="P314" i="45"/>
  <c r="T314" i="45" s="1"/>
  <c r="S313" i="45"/>
  <c r="Q313" i="45"/>
  <c r="P313" i="45"/>
  <c r="T313" i="45" s="1"/>
  <c r="S312" i="45"/>
  <c r="Q312" i="45"/>
  <c r="P312" i="45"/>
  <c r="T312" i="45" s="1"/>
  <c r="S311" i="45"/>
  <c r="Q311" i="45"/>
  <c r="P311" i="45"/>
  <c r="T311" i="45" s="1"/>
  <c r="S310" i="45"/>
  <c r="Q310" i="45"/>
  <c r="P310" i="45"/>
  <c r="T310" i="45" s="1"/>
  <c r="S309" i="45"/>
  <c r="Q309" i="45"/>
  <c r="P309" i="45"/>
  <c r="T309" i="45" s="1"/>
  <c r="S308" i="45"/>
  <c r="Q308" i="45"/>
  <c r="P308" i="45"/>
  <c r="T308" i="45" s="1"/>
  <c r="S307" i="45"/>
  <c r="Q307" i="45"/>
  <c r="P307" i="45"/>
  <c r="T307" i="45" s="1"/>
  <c r="S306" i="45"/>
  <c r="Q306" i="45"/>
  <c r="P306" i="45"/>
  <c r="T306" i="45" s="1"/>
  <c r="S305" i="45"/>
  <c r="Q305" i="45"/>
  <c r="P305" i="45"/>
  <c r="T305" i="45" s="1"/>
  <c r="S304" i="45"/>
  <c r="Q304" i="45"/>
  <c r="P304" i="45"/>
  <c r="T304" i="45" s="1"/>
  <c r="S303" i="45"/>
  <c r="Q303" i="45"/>
  <c r="P303" i="45"/>
  <c r="T303" i="45" s="1"/>
  <c r="S302" i="45"/>
  <c r="Q302" i="45"/>
  <c r="P302" i="45"/>
  <c r="T302" i="45" s="1"/>
  <c r="S301" i="45"/>
  <c r="Q301" i="45"/>
  <c r="P301" i="45"/>
  <c r="T301" i="45" s="1"/>
  <c r="S300" i="45"/>
  <c r="Q300" i="45"/>
  <c r="P300" i="45"/>
  <c r="T300" i="45" s="1"/>
  <c r="S299" i="45"/>
  <c r="Q299" i="45"/>
  <c r="P299" i="45"/>
  <c r="T299" i="45" s="1"/>
  <c r="S298" i="45"/>
  <c r="Q298" i="45"/>
  <c r="P298" i="45"/>
  <c r="T298" i="45" s="1"/>
  <c r="S297" i="45"/>
  <c r="Q297" i="45"/>
  <c r="P297" i="45"/>
  <c r="T297" i="45" s="1"/>
  <c r="S296" i="45"/>
  <c r="Q296" i="45"/>
  <c r="P296" i="45"/>
  <c r="T296" i="45" s="1"/>
  <c r="S295" i="45"/>
  <c r="Q295" i="45"/>
  <c r="P295" i="45"/>
  <c r="T295" i="45" s="1"/>
  <c r="S294" i="45"/>
  <c r="Q294" i="45"/>
  <c r="P294" i="45"/>
  <c r="T294" i="45" s="1"/>
  <c r="S293" i="45"/>
  <c r="Q293" i="45"/>
  <c r="P293" i="45"/>
  <c r="T293" i="45" s="1"/>
  <c r="S292" i="45"/>
  <c r="Q292" i="45"/>
  <c r="P292" i="45"/>
  <c r="T292" i="45" s="1"/>
  <c r="S291" i="45"/>
  <c r="Q291" i="45"/>
  <c r="P291" i="45"/>
  <c r="T291" i="45" s="1"/>
  <c r="S290" i="45"/>
  <c r="Q290" i="45"/>
  <c r="P290" i="45"/>
  <c r="T290" i="45" s="1"/>
  <c r="S289" i="45"/>
  <c r="Q289" i="45"/>
  <c r="P289" i="45"/>
  <c r="T289" i="45" s="1"/>
  <c r="S288" i="45"/>
  <c r="Q288" i="45"/>
  <c r="P288" i="45"/>
  <c r="T288" i="45" s="1"/>
  <c r="S287" i="45"/>
  <c r="Q287" i="45"/>
  <c r="P287" i="45"/>
  <c r="T287" i="45" s="1"/>
  <c r="S286" i="45"/>
  <c r="Q286" i="45"/>
  <c r="P286" i="45"/>
  <c r="T286" i="45" s="1"/>
  <c r="S285" i="45"/>
  <c r="Q285" i="45"/>
  <c r="P285" i="45"/>
  <c r="T285" i="45" s="1"/>
  <c r="S284" i="45"/>
  <c r="Q284" i="45"/>
  <c r="P284" i="45"/>
  <c r="T284" i="45" s="1"/>
  <c r="S283" i="45"/>
  <c r="Q283" i="45"/>
  <c r="P283" i="45"/>
  <c r="T283" i="45" s="1"/>
  <c r="S282" i="45"/>
  <c r="Q282" i="45"/>
  <c r="P282" i="45"/>
  <c r="T282" i="45" s="1"/>
  <c r="S281" i="45"/>
  <c r="Q281" i="45"/>
  <c r="P281" i="45"/>
  <c r="T281" i="45" s="1"/>
  <c r="S280" i="45"/>
  <c r="Q280" i="45"/>
  <c r="P280" i="45"/>
  <c r="T280" i="45" s="1"/>
  <c r="S279" i="45"/>
  <c r="Q279" i="45"/>
  <c r="P279" i="45"/>
  <c r="T279" i="45" s="1"/>
  <c r="S278" i="45"/>
  <c r="Q278" i="45"/>
  <c r="P278" i="45"/>
  <c r="T278" i="45" s="1"/>
  <c r="S277" i="45"/>
  <c r="Q277" i="45"/>
  <c r="P277" i="45"/>
  <c r="T277" i="45" s="1"/>
  <c r="S276" i="45"/>
  <c r="Q276" i="45"/>
  <c r="P276" i="45"/>
  <c r="T276" i="45" s="1"/>
  <c r="S275" i="45"/>
  <c r="Q275" i="45"/>
  <c r="P275" i="45"/>
  <c r="T275" i="45" s="1"/>
  <c r="S274" i="45"/>
  <c r="Q274" i="45"/>
  <c r="P274" i="45"/>
  <c r="T274" i="45" s="1"/>
  <c r="S273" i="45"/>
  <c r="Q273" i="45"/>
  <c r="P273" i="45"/>
  <c r="T273" i="45" s="1"/>
  <c r="S272" i="45"/>
  <c r="Q272" i="45"/>
  <c r="P272" i="45"/>
  <c r="T272" i="45" s="1"/>
  <c r="S271" i="45"/>
  <c r="Q271" i="45"/>
  <c r="P271" i="45"/>
  <c r="T271" i="45" s="1"/>
  <c r="S270" i="45"/>
  <c r="Q270" i="45"/>
  <c r="P270" i="45"/>
  <c r="T270" i="45" s="1"/>
  <c r="S269" i="45"/>
  <c r="Q269" i="45"/>
  <c r="P269" i="45"/>
  <c r="T269" i="45" s="1"/>
  <c r="S268" i="45"/>
  <c r="Q268" i="45"/>
  <c r="P268" i="45"/>
  <c r="T268" i="45" s="1"/>
  <c r="S267" i="45"/>
  <c r="Q267" i="45"/>
  <c r="P267" i="45"/>
  <c r="T267" i="45" s="1"/>
  <c r="S266" i="45"/>
  <c r="Q266" i="45"/>
  <c r="P266" i="45"/>
  <c r="T266" i="45" s="1"/>
  <c r="S265" i="45"/>
  <c r="Q265" i="45"/>
  <c r="P265" i="45"/>
  <c r="T265" i="45" s="1"/>
  <c r="S264" i="45"/>
  <c r="Q264" i="45"/>
  <c r="P264" i="45"/>
  <c r="T264" i="45" s="1"/>
  <c r="S263" i="45"/>
  <c r="Q263" i="45"/>
  <c r="P263" i="45"/>
  <c r="T263" i="45" s="1"/>
  <c r="S262" i="45"/>
  <c r="Q262" i="45"/>
  <c r="P262" i="45"/>
  <c r="T262" i="45" s="1"/>
  <c r="S261" i="45"/>
  <c r="Q261" i="45"/>
  <c r="P261" i="45"/>
  <c r="T261" i="45" s="1"/>
  <c r="S260" i="45"/>
  <c r="Q260" i="45"/>
  <c r="P260" i="45"/>
  <c r="T260" i="45" s="1"/>
  <c r="S259" i="45"/>
  <c r="Q259" i="45"/>
  <c r="P259" i="45"/>
  <c r="T259" i="45" s="1"/>
  <c r="S258" i="45"/>
  <c r="Q258" i="45"/>
  <c r="P258" i="45"/>
  <c r="T258" i="45" s="1"/>
  <c r="S257" i="45"/>
  <c r="Q257" i="45"/>
  <c r="P257" i="45"/>
  <c r="T257" i="45" s="1"/>
  <c r="S256" i="45"/>
  <c r="Q256" i="45"/>
  <c r="P256" i="45"/>
  <c r="T256" i="45" s="1"/>
  <c r="S255" i="45"/>
  <c r="Q255" i="45"/>
  <c r="P255" i="45"/>
  <c r="T255" i="45" s="1"/>
  <c r="S254" i="45"/>
  <c r="Q254" i="45"/>
  <c r="P254" i="45"/>
  <c r="T254" i="45" s="1"/>
  <c r="S253" i="45"/>
  <c r="Q253" i="45"/>
  <c r="P253" i="45"/>
  <c r="T253" i="45" s="1"/>
  <c r="S252" i="45"/>
  <c r="Q252" i="45"/>
  <c r="P252" i="45"/>
  <c r="T252" i="45" s="1"/>
  <c r="S251" i="45"/>
  <c r="Q251" i="45"/>
  <c r="P251" i="45"/>
  <c r="T251" i="45" s="1"/>
  <c r="S250" i="45"/>
  <c r="Q250" i="45"/>
  <c r="P250" i="45"/>
  <c r="T250" i="45" s="1"/>
  <c r="S249" i="45"/>
  <c r="Q249" i="45"/>
  <c r="P249" i="45"/>
  <c r="T249" i="45" s="1"/>
  <c r="S248" i="45"/>
  <c r="Q248" i="45"/>
  <c r="P248" i="45"/>
  <c r="T248" i="45" s="1"/>
  <c r="S247" i="45"/>
  <c r="Q247" i="45"/>
  <c r="P247" i="45"/>
  <c r="T247" i="45" s="1"/>
  <c r="S246" i="45"/>
  <c r="Q246" i="45"/>
  <c r="P246" i="45"/>
  <c r="T246" i="45" s="1"/>
  <c r="S245" i="45"/>
  <c r="Q245" i="45"/>
  <c r="P245" i="45"/>
  <c r="T245" i="45" s="1"/>
  <c r="S244" i="45"/>
  <c r="Q244" i="45"/>
  <c r="P244" i="45"/>
  <c r="T244" i="45" s="1"/>
  <c r="S243" i="45"/>
  <c r="Q243" i="45"/>
  <c r="P243" i="45"/>
  <c r="T243" i="45" s="1"/>
  <c r="S242" i="45"/>
  <c r="Q242" i="45"/>
  <c r="P242" i="45"/>
  <c r="T242" i="45" s="1"/>
  <c r="S241" i="45"/>
  <c r="Q241" i="45"/>
  <c r="P241" i="45"/>
  <c r="T241" i="45" s="1"/>
  <c r="S240" i="45"/>
  <c r="Q240" i="45"/>
  <c r="P240" i="45"/>
  <c r="T240" i="45" s="1"/>
  <c r="S239" i="45"/>
  <c r="Q239" i="45"/>
  <c r="P239" i="45"/>
  <c r="T239" i="45" s="1"/>
  <c r="S238" i="45"/>
  <c r="Q238" i="45"/>
  <c r="P238" i="45"/>
  <c r="T238" i="45" s="1"/>
  <c r="S237" i="45"/>
  <c r="Q237" i="45"/>
  <c r="P237" i="45"/>
  <c r="T237" i="45" s="1"/>
  <c r="S236" i="45"/>
  <c r="Q236" i="45"/>
  <c r="P236" i="45"/>
  <c r="T236" i="45" s="1"/>
  <c r="S235" i="45"/>
  <c r="Q235" i="45"/>
  <c r="P235" i="45"/>
  <c r="T235" i="45" s="1"/>
  <c r="S234" i="45"/>
  <c r="Q234" i="45"/>
  <c r="P234" i="45"/>
  <c r="T234" i="45" s="1"/>
  <c r="S233" i="45"/>
  <c r="Q233" i="45"/>
  <c r="P233" i="45"/>
  <c r="T233" i="45" s="1"/>
  <c r="S232" i="45"/>
  <c r="Q232" i="45"/>
  <c r="P232" i="45"/>
  <c r="T232" i="45" s="1"/>
  <c r="S231" i="45"/>
  <c r="Q231" i="45"/>
  <c r="P231" i="45"/>
  <c r="T231" i="45" s="1"/>
  <c r="S230" i="45"/>
  <c r="Q230" i="45"/>
  <c r="P230" i="45"/>
  <c r="T230" i="45" s="1"/>
  <c r="S229" i="45"/>
  <c r="Q229" i="45"/>
  <c r="P229" i="45"/>
  <c r="T229" i="45" s="1"/>
  <c r="S228" i="45"/>
  <c r="Q228" i="45"/>
  <c r="P228" i="45"/>
  <c r="T228" i="45" s="1"/>
  <c r="S227" i="45"/>
  <c r="Q227" i="45"/>
  <c r="P227" i="45"/>
  <c r="T227" i="45" s="1"/>
  <c r="S226" i="45"/>
  <c r="Q226" i="45"/>
  <c r="P226" i="45"/>
  <c r="T226" i="45" s="1"/>
  <c r="S225" i="45"/>
  <c r="Q225" i="45"/>
  <c r="P225" i="45"/>
  <c r="T225" i="45" s="1"/>
  <c r="S224" i="45"/>
  <c r="Q224" i="45"/>
  <c r="P224" i="45"/>
  <c r="T224" i="45" s="1"/>
  <c r="S223" i="45"/>
  <c r="Q223" i="45"/>
  <c r="P223" i="45"/>
  <c r="T223" i="45" s="1"/>
  <c r="S222" i="45"/>
  <c r="Q222" i="45"/>
  <c r="P222" i="45"/>
  <c r="T222" i="45" s="1"/>
  <c r="S221" i="45"/>
  <c r="Q221" i="45"/>
  <c r="P221" i="45"/>
  <c r="T221" i="45" s="1"/>
  <c r="S220" i="45"/>
  <c r="Q220" i="45"/>
  <c r="P220" i="45"/>
  <c r="T220" i="45" s="1"/>
  <c r="S219" i="45"/>
  <c r="Q219" i="45"/>
  <c r="P219" i="45"/>
  <c r="T219" i="45" s="1"/>
  <c r="S218" i="45"/>
  <c r="Q218" i="45"/>
  <c r="P218" i="45"/>
  <c r="T218" i="45" s="1"/>
  <c r="S217" i="45"/>
  <c r="Q217" i="45"/>
  <c r="P217" i="45"/>
  <c r="T217" i="45" s="1"/>
  <c r="S216" i="45"/>
  <c r="Q216" i="45"/>
  <c r="P216" i="45"/>
  <c r="T216" i="45" s="1"/>
  <c r="S215" i="45"/>
  <c r="Q215" i="45"/>
  <c r="P215" i="45"/>
  <c r="T215" i="45" s="1"/>
  <c r="S214" i="45"/>
  <c r="Q214" i="45"/>
  <c r="P214" i="45"/>
  <c r="T214" i="45" s="1"/>
  <c r="S213" i="45"/>
  <c r="Q213" i="45"/>
  <c r="P213" i="45"/>
  <c r="T213" i="45" s="1"/>
  <c r="S212" i="45"/>
  <c r="Q212" i="45"/>
  <c r="P212" i="45"/>
  <c r="T212" i="45" s="1"/>
  <c r="S211" i="45"/>
  <c r="Q211" i="45"/>
  <c r="P211" i="45"/>
  <c r="T211" i="45" s="1"/>
  <c r="S210" i="45"/>
  <c r="Q210" i="45"/>
  <c r="P210" i="45"/>
  <c r="T210" i="45" s="1"/>
  <c r="S209" i="45"/>
  <c r="Q209" i="45"/>
  <c r="P209" i="45"/>
  <c r="T209" i="45" s="1"/>
  <c r="S208" i="45"/>
  <c r="Q208" i="45"/>
  <c r="P208" i="45"/>
  <c r="T208" i="45" s="1"/>
  <c r="S207" i="45"/>
  <c r="Q207" i="45"/>
  <c r="P207" i="45"/>
  <c r="T207" i="45" s="1"/>
  <c r="S206" i="45"/>
  <c r="Q206" i="45"/>
  <c r="P206" i="45"/>
  <c r="T206" i="45" s="1"/>
  <c r="S205" i="45"/>
  <c r="Q205" i="45"/>
  <c r="P205" i="45"/>
  <c r="T205" i="45" s="1"/>
  <c r="S204" i="45"/>
  <c r="Q204" i="45"/>
  <c r="P204" i="45"/>
  <c r="T204" i="45" s="1"/>
  <c r="S203" i="45"/>
  <c r="Q203" i="45"/>
  <c r="P203" i="45"/>
  <c r="T203" i="45" s="1"/>
  <c r="S202" i="45"/>
  <c r="Q202" i="45"/>
  <c r="P202" i="45"/>
  <c r="T202" i="45" s="1"/>
  <c r="S201" i="45"/>
  <c r="Q201" i="45"/>
  <c r="P201" i="45"/>
  <c r="T201" i="45" s="1"/>
  <c r="S200" i="45"/>
  <c r="Q200" i="45"/>
  <c r="P200" i="45"/>
  <c r="T200" i="45" s="1"/>
  <c r="S199" i="45"/>
  <c r="Q199" i="45"/>
  <c r="P199" i="45"/>
  <c r="T199" i="45" s="1"/>
  <c r="S198" i="45"/>
  <c r="Q198" i="45"/>
  <c r="P198" i="45"/>
  <c r="T198" i="45" s="1"/>
  <c r="S197" i="45"/>
  <c r="Q197" i="45"/>
  <c r="P197" i="45"/>
  <c r="T197" i="45" s="1"/>
  <c r="S196" i="45"/>
  <c r="Q196" i="45"/>
  <c r="P196" i="45"/>
  <c r="T196" i="45" s="1"/>
  <c r="S195" i="45"/>
  <c r="Q195" i="45"/>
  <c r="P195" i="45"/>
  <c r="T195" i="45" s="1"/>
  <c r="S194" i="45"/>
  <c r="Q194" i="45"/>
  <c r="P194" i="45"/>
  <c r="T194" i="45" s="1"/>
  <c r="S193" i="45"/>
  <c r="Q193" i="45"/>
  <c r="P193" i="45"/>
  <c r="T193" i="45" s="1"/>
  <c r="S192" i="45"/>
  <c r="Q192" i="45"/>
  <c r="P192" i="45"/>
  <c r="T192" i="45" s="1"/>
  <c r="S191" i="45"/>
  <c r="Q191" i="45"/>
  <c r="P191" i="45"/>
  <c r="T191" i="45" s="1"/>
  <c r="S190" i="45"/>
  <c r="Q190" i="45"/>
  <c r="P190" i="45"/>
  <c r="T190" i="45" s="1"/>
  <c r="S189" i="45"/>
  <c r="Q189" i="45"/>
  <c r="P189" i="45"/>
  <c r="T189" i="45" s="1"/>
  <c r="S188" i="45"/>
  <c r="Q188" i="45"/>
  <c r="P188" i="45"/>
  <c r="T188" i="45" s="1"/>
  <c r="S187" i="45"/>
  <c r="Q187" i="45"/>
  <c r="P187" i="45"/>
  <c r="T187" i="45" s="1"/>
  <c r="S186" i="45"/>
  <c r="Q186" i="45"/>
  <c r="P186" i="45"/>
  <c r="T186" i="45" s="1"/>
  <c r="S185" i="45"/>
  <c r="Q185" i="45"/>
  <c r="P185" i="45"/>
  <c r="T185" i="45" s="1"/>
  <c r="S184" i="45"/>
  <c r="Q184" i="45"/>
  <c r="P184" i="45"/>
  <c r="T184" i="45" s="1"/>
  <c r="S183" i="45"/>
  <c r="Q183" i="45"/>
  <c r="P183" i="45"/>
  <c r="T183" i="45" s="1"/>
  <c r="S182" i="45"/>
  <c r="Q182" i="45"/>
  <c r="P182" i="45"/>
  <c r="T182" i="45" s="1"/>
  <c r="S181" i="45"/>
  <c r="Q181" i="45"/>
  <c r="P181" i="45"/>
  <c r="T181" i="45" s="1"/>
  <c r="S180" i="45"/>
  <c r="Q180" i="45"/>
  <c r="P180" i="45"/>
  <c r="T180" i="45" s="1"/>
  <c r="S179" i="45"/>
  <c r="Q179" i="45"/>
  <c r="P179" i="45"/>
  <c r="T179" i="45" s="1"/>
  <c r="S178" i="45"/>
  <c r="Q178" i="45"/>
  <c r="P178" i="45"/>
  <c r="T178" i="45" s="1"/>
  <c r="S177" i="45"/>
  <c r="Q177" i="45"/>
  <c r="P177" i="45"/>
  <c r="T177" i="45" s="1"/>
  <c r="S176" i="45"/>
  <c r="Q176" i="45"/>
  <c r="P176" i="45"/>
  <c r="T176" i="45" s="1"/>
  <c r="S175" i="45"/>
  <c r="Q175" i="45"/>
  <c r="P175" i="45"/>
  <c r="T175" i="45" s="1"/>
  <c r="S174" i="45"/>
  <c r="Q174" i="45"/>
  <c r="P174" i="45"/>
  <c r="T174" i="45" s="1"/>
  <c r="S173" i="45"/>
  <c r="Q173" i="45"/>
  <c r="P173" i="45"/>
  <c r="T173" i="45" s="1"/>
  <c r="S172" i="45"/>
  <c r="Q172" i="45"/>
  <c r="P172" i="45"/>
  <c r="T172" i="45" s="1"/>
  <c r="S171" i="45"/>
  <c r="Q171" i="45"/>
  <c r="P171" i="45"/>
  <c r="T171" i="45" s="1"/>
  <c r="S170" i="45"/>
  <c r="Q170" i="45"/>
  <c r="P170" i="45"/>
  <c r="T170" i="45" s="1"/>
  <c r="S169" i="45"/>
  <c r="Q169" i="45"/>
  <c r="P169" i="45"/>
  <c r="T169" i="45" s="1"/>
  <c r="S168" i="45"/>
  <c r="Q168" i="45"/>
  <c r="P168" i="45"/>
  <c r="T168" i="45" s="1"/>
  <c r="S167" i="45"/>
  <c r="Q167" i="45"/>
  <c r="P167" i="45"/>
  <c r="T167" i="45" s="1"/>
  <c r="S166" i="45"/>
  <c r="Q166" i="45"/>
  <c r="P166" i="45"/>
  <c r="T166" i="45" s="1"/>
  <c r="S165" i="45"/>
  <c r="Q165" i="45"/>
  <c r="P165" i="45"/>
  <c r="T165" i="45" s="1"/>
  <c r="S164" i="45"/>
  <c r="Q164" i="45"/>
  <c r="P164" i="45"/>
  <c r="T164" i="45" s="1"/>
  <c r="S163" i="45"/>
  <c r="Q163" i="45"/>
  <c r="P163" i="45"/>
  <c r="T163" i="45" s="1"/>
  <c r="S162" i="45"/>
  <c r="Q162" i="45"/>
  <c r="P162" i="45"/>
  <c r="T162" i="45" s="1"/>
  <c r="S161" i="45"/>
  <c r="Q161" i="45"/>
  <c r="P161" i="45"/>
  <c r="T161" i="45" s="1"/>
  <c r="S160" i="45"/>
  <c r="Q160" i="45"/>
  <c r="P160" i="45"/>
  <c r="T160" i="45" s="1"/>
  <c r="S159" i="45"/>
  <c r="Q159" i="45"/>
  <c r="P159" i="45"/>
  <c r="T159" i="45" s="1"/>
  <c r="S158" i="45"/>
  <c r="Q158" i="45"/>
  <c r="P158" i="45"/>
  <c r="T158" i="45" s="1"/>
  <c r="S157" i="45"/>
  <c r="Q157" i="45"/>
  <c r="P157" i="45"/>
  <c r="T157" i="45" s="1"/>
  <c r="S156" i="45"/>
  <c r="Q156" i="45"/>
  <c r="P156" i="45"/>
  <c r="T156" i="45" s="1"/>
  <c r="S155" i="45"/>
  <c r="Q155" i="45"/>
  <c r="P155" i="45"/>
  <c r="T155" i="45" s="1"/>
  <c r="S154" i="45"/>
  <c r="Q154" i="45"/>
  <c r="P154" i="45"/>
  <c r="T154" i="45" s="1"/>
  <c r="S153" i="45"/>
  <c r="Q153" i="45"/>
  <c r="P153" i="45"/>
  <c r="T153" i="45" s="1"/>
  <c r="S152" i="45"/>
  <c r="Q152" i="45"/>
  <c r="P152" i="45"/>
  <c r="T152" i="45" s="1"/>
  <c r="S151" i="45"/>
  <c r="Q151" i="45"/>
  <c r="P151" i="45"/>
  <c r="T151" i="45" s="1"/>
  <c r="S150" i="45"/>
  <c r="Q150" i="45"/>
  <c r="P150" i="45"/>
  <c r="T150" i="45" s="1"/>
  <c r="S149" i="45"/>
  <c r="Q149" i="45"/>
  <c r="P149" i="45"/>
  <c r="T149" i="45" s="1"/>
  <c r="S148" i="45"/>
  <c r="Q148" i="45"/>
  <c r="P148" i="45"/>
  <c r="T148" i="45" s="1"/>
  <c r="S147" i="45"/>
  <c r="Q147" i="45"/>
  <c r="P147" i="45"/>
  <c r="T147" i="45" s="1"/>
  <c r="S146" i="45"/>
  <c r="Q146" i="45"/>
  <c r="P146" i="45"/>
  <c r="T146" i="45" s="1"/>
  <c r="S145" i="45"/>
  <c r="Q145" i="45"/>
  <c r="P145" i="45"/>
  <c r="T145" i="45" s="1"/>
  <c r="S144" i="45"/>
  <c r="Q144" i="45"/>
  <c r="P144" i="45"/>
  <c r="T144" i="45" s="1"/>
  <c r="S143" i="45"/>
  <c r="Q143" i="45"/>
  <c r="P143" i="45"/>
  <c r="T143" i="45" s="1"/>
  <c r="S142" i="45"/>
  <c r="Q142" i="45"/>
  <c r="P142" i="45"/>
  <c r="T142" i="45" s="1"/>
  <c r="S141" i="45"/>
  <c r="Q141" i="45"/>
  <c r="P141" i="45"/>
  <c r="T141" i="45" s="1"/>
  <c r="S140" i="45"/>
  <c r="Q140" i="45"/>
  <c r="P140" i="45"/>
  <c r="T140" i="45" s="1"/>
  <c r="S139" i="45"/>
  <c r="Q139" i="45"/>
  <c r="P139" i="45"/>
  <c r="T139" i="45" s="1"/>
  <c r="S138" i="45"/>
  <c r="Q138" i="45"/>
  <c r="P138" i="45"/>
  <c r="T138" i="45" s="1"/>
  <c r="S137" i="45"/>
  <c r="Q137" i="45"/>
  <c r="P137" i="45"/>
  <c r="T137" i="45" s="1"/>
  <c r="S136" i="45"/>
  <c r="Q136" i="45"/>
  <c r="P136" i="45"/>
  <c r="T136" i="45" s="1"/>
  <c r="S135" i="45"/>
  <c r="Q135" i="45"/>
  <c r="P135" i="45"/>
  <c r="T135" i="45" s="1"/>
  <c r="S134" i="45"/>
  <c r="Q134" i="45"/>
  <c r="P134" i="45"/>
  <c r="T134" i="45" s="1"/>
  <c r="S133" i="45"/>
  <c r="Q133" i="45"/>
  <c r="P133" i="45"/>
  <c r="T133" i="45" s="1"/>
  <c r="S132" i="45"/>
  <c r="Q132" i="45"/>
  <c r="P132" i="45"/>
  <c r="T132" i="45" s="1"/>
  <c r="S131" i="45"/>
  <c r="Q131" i="45"/>
  <c r="P131" i="45"/>
  <c r="T131" i="45" s="1"/>
  <c r="S130" i="45"/>
  <c r="Q130" i="45"/>
  <c r="P130" i="45"/>
  <c r="T130" i="45" s="1"/>
  <c r="S129" i="45"/>
  <c r="Q129" i="45"/>
  <c r="P129" i="45"/>
  <c r="T129" i="45" s="1"/>
  <c r="S128" i="45"/>
  <c r="Q128" i="45"/>
  <c r="P128" i="45"/>
  <c r="T128" i="45" s="1"/>
  <c r="S127" i="45"/>
  <c r="Q127" i="45"/>
  <c r="P127" i="45"/>
  <c r="T127" i="45" s="1"/>
  <c r="S126" i="45"/>
  <c r="Q126" i="45"/>
  <c r="P126" i="45"/>
  <c r="T126" i="45" s="1"/>
  <c r="S125" i="45"/>
  <c r="Q125" i="45"/>
  <c r="P125" i="45"/>
  <c r="T125" i="45" s="1"/>
  <c r="S124" i="45"/>
  <c r="Q124" i="45"/>
  <c r="P124" i="45"/>
  <c r="T124" i="45" s="1"/>
  <c r="S123" i="45"/>
  <c r="Q123" i="45"/>
  <c r="P123" i="45"/>
  <c r="T123" i="45" s="1"/>
  <c r="S122" i="45"/>
  <c r="Q122" i="45"/>
  <c r="P122" i="45"/>
  <c r="T122" i="45" s="1"/>
  <c r="S121" i="45"/>
  <c r="Q121" i="45"/>
  <c r="P121" i="45"/>
  <c r="T121" i="45" s="1"/>
  <c r="S120" i="45"/>
  <c r="Q120" i="45"/>
  <c r="P120" i="45"/>
  <c r="T120" i="45" s="1"/>
  <c r="S119" i="45"/>
  <c r="Q119" i="45"/>
  <c r="P119" i="45"/>
  <c r="T119" i="45" s="1"/>
  <c r="S118" i="45"/>
  <c r="Q118" i="45"/>
  <c r="P118" i="45"/>
  <c r="T118" i="45" s="1"/>
  <c r="S117" i="45"/>
  <c r="Q117" i="45"/>
  <c r="P117" i="45"/>
  <c r="T117" i="45" s="1"/>
  <c r="S116" i="45"/>
  <c r="Q116" i="45"/>
  <c r="P116" i="45"/>
  <c r="T116" i="45" s="1"/>
  <c r="S115" i="45"/>
  <c r="Q115" i="45"/>
  <c r="P115" i="45"/>
  <c r="T115" i="45" s="1"/>
  <c r="S114" i="45"/>
  <c r="Q114" i="45"/>
  <c r="P114" i="45"/>
  <c r="T114" i="45" s="1"/>
  <c r="S113" i="45"/>
  <c r="Q113" i="45"/>
  <c r="P113" i="45"/>
  <c r="T113" i="45" s="1"/>
  <c r="S112" i="45"/>
  <c r="Q112" i="45"/>
  <c r="P112" i="45"/>
  <c r="T112" i="45" s="1"/>
  <c r="S111" i="45"/>
  <c r="Q111" i="45"/>
  <c r="P111" i="45"/>
  <c r="T111" i="45" s="1"/>
  <c r="S110" i="45"/>
  <c r="Q110" i="45"/>
  <c r="P110" i="45"/>
  <c r="T110" i="45" s="1"/>
  <c r="S109" i="45"/>
  <c r="Q109" i="45"/>
  <c r="P109" i="45"/>
  <c r="T109" i="45" s="1"/>
  <c r="S108" i="45"/>
  <c r="Q108" i="45"/>
  <c r="P108" i="45"/>
  <c r="T108" i="45" s="1"/>
  <c r="S107" i="45"/>
  <c r="Q107" i="45"/>
  <c r="P107" i="45"/>
  <c r="T107" i="45" s="1"/>
  <c r="S106" i="45"/>
  <c r="Q106" i="45"/>
  <c r="P106" i="45"/>
  <c r="T106" i="45" s="1"/>
  <c r="S105" i="45"/>
  <c r="Q105" i="45"/>
  <c r="P105" i="45"/>
  <c r="T105" i="45" s="1"/>
  <c r="S104" i="45"/>
  <c r="Q104" i="45"/>
  <c r="P104" i="45"/>
  <c r="T104" i="45" s="1"/>
  <c r="S103" i="45"/>
  <c r="Q103" i="45"/>
  <c r="P103" i="45"/>
  <c r="T103" i="45" s="1"/>
  <c r="S102" i="45"/>
  <c r="Q102" i="45"/>
  <c r="P102" i="45"/>
  <c r="T102" i="45" s="1"/>
  <c r="S101" i="45"/>
  <c r="Q101" i="45"/>
  <c r="P101" i="45"/>
  <c r="T101" i="45" s="1"/>
  <c r="S100" i="45"/>
  <c r="Q100" i="45"/>
  <c r="P100" i="45"/>
  <c r="T100" i="45" s="1"/>
  <c r="S99" i="45"/>
  <c r="Q99" i="45"/>
  <c r="P99" i="45"/>
  <c r="T99" i="45" s="1"/>
  <c r="S98" i="45"/>
  <c r="Q98" i="45"/>
  <c r="P98" i="45"/>
  <c r="T98" i="45" s="1"/>
  <c r="S97" i="45"/>
  <c r="Q97" i="45"/>
  <c r="P97" i="45"/>
  <c r="T97" i="45" s="1"/>
  <c r="S96" i="45"/>
  <c r="Q96" i="45"/>
  <c r="P96" i="45"/>
  <c r="T96" i="45" s="1"/>
  <c r="S95" i="45"/>
  <c r="Q95" i="45"/>
  <c r="P95" i="45"/>
  <c r="T95" i="45" s="1"/>
  <c r="S94" i="45"/>
  <c r="Q94" i="45"/>
  <c r="P94" i="45"/>
  <c r="T94" i="45" s="1"/>
  <c r="S93" i="45"/>
  <c r="Q93" i="45"/>
  <c r="P93" i="45"/>
  <c r="T93" i="45" s="1"/>
  <c r="S92" i="45"/>
  <c r="Q92" i="45"/>
  <c r="P92" i="45"/>
  <c r="T92" i="45" s="1"/>
  <c r="S91" i="45"/>
  <c r="Q91" i="45"/>
  <c r="P91" i="45"/>
  <c r="T91" i="45" s="1"/>
  <c r="S90" i="45"/>
  <c r="Q90" i="45"/>
  <c r="P90" i="45"/>
  <c r="T90" i="45" s="1"/>
  <c r="S89" i="45"/>
  <c r="Q89" i="45"/>
  <c r="P89" i="45"/>
  <c r="T89" i="45" s="1"/>
  <c r="S88" i="45"/>
  <c r="Q88" i="45"/>
  <c r="P88" i="45"/>
  <c r="T88" i="45" s="1"/>
  <c r="S87" i="45"/>
  <c r="Q87" i="45"/>
  <c r="P87" i="45"/>
  <c r="T87" i="45" s="1"/>
  <c r="S86" i="45"/>
  <c r="Q86" i="45"/>
  <c r="P86" i="45"/>
  <c r="T86" i="45" s="1"/>
  <c r="S85" i="45"/>
  <c r="Q85" i="45"/>
  <c r="P85" i="45"/>
  <c r="T85" i="45" s="1"/>
  <c r="S84" i="45"/>
  <c r="Q84" i="45"/>
  <c r="P84" i="45"/>
  <c r="T84" i="45" s="1"/>
  <c r="S83" i="45"/>
  <c r="Q83" i="45"/>
  <c r="P83" i="45"/>
  <c r="T83" i="45" s="1"/>
  <c r="S82" i="45"/>
  <c r="Q82" i="45"/>
  <c r="P82" i="45"/>
  <c r="T82" i="45" s="1"/>
  <c r="S81" i="45"/>
  <c r="Q81" i="45"/>
  <c r="P81" i="45"/>
  <c r="T81" i="45" s="1"/>
  <c r="S80" i="45"/>
  <c r="Q80" i="45"/>
  <c r="P80" i="45"/>
  <c r="T80" i="45" s="1"/>
  <c r="S79" i="45"/>
  <c r="Q79" i="45"/>
  <c r="P79" i="45"/>
  <c r="T79" i="45" s="1"/>
  <c r="S78" i="45"/>
  <c r="Q78" i="45"/>
  <c r="P78" i="45"/>
  <c r="T78" i="45" s="1"/>
  <c r="S77" i="45"/>
  <c r="Q77" i="45"/>
  <c r="P77" i="45"/>
  <c r="T77" i="45" s="1"/>
  <c r="S76" i="45"/>
  <c r="Q76" i="45"/>
  <c r="P76" i="45"/>
  <c r="T76" i="45" s="1"/>
  <c r="S75" i="45"/>
  <c r="Q75" i="45"/>
  <c r="P75" i="45"/>
  <c r="T75" i="45" s="1"/>
  <c r="S74" i="45"/>
  <c r="Q74" i="45"/>
  <c r="P74" i="45"/>
  <c r="T74" i="45" s="1"/>
  <c r="S73" i="45"/>
  <c r="Q73" i="45"/>
  <c r="P73" i="45"/>
  <c r="T73" i="45" s="1"/>
  <c r="S72" i="45"/>
  <c r="Q72" i="45"/>
  <c r="P72" i="45"/>
  <c r="T72" i="45" s="1"/>
  <c r="S71" i="45"/>
  <c r="Q71" i="45"/>
  <c r="P71" i="45"/>
  <c r="T71" i="45" s="1"/>
  <c r="S70" i="45"/>
  <c r="Q70" i="45"/>
  <c r="P70" i="45"/>
  <c r="T70" i="45" s="1"/>
  <c r="S69" i="45"/>
  <c r="Q69" i="45"/>
  <c r="P69" i="45"/>
  <c r="T69" i="45" s="1"/>
  <c r="S68" i="45"/>
  <c r="Q68" i="45"/>
  <c r="P68" i="45"/>
  <c r="T68" i="45" s="1"/>
  <c r="S67" i="45"/>
  <c r="Q67" i="45"/>
  <c r="P67" i="45"/>
  <c r="T67" i="45" s="1"/>
  <c r="S66" i="45"/>
  <c r="Q66" i="45"/>
  <c r="P66" i="45"/>
  <c r="T66" i="45" s="1"/>
  <c r="S65" i="45"/>
  <c r="Q65" i="45"/>
  <c r="P65" i="45"/>
  <c r="T65" i="45" s="1"/>
  <c r="S64" i="45"/>
  <c r="Q64" i="45"/>
  <c r="P64" i="45"/>
  <c r="T64" i="45" s="1"/>
  <c r="S63" i="45"/>
  <c r="Q63" i="45"/>
  <c r="P63" i="45"/>
  <c r="T63" i="45" s="1"/>
  <c r="S62" i="45"/>
  <c r="Q62" i="45"/>
  <c r="P62" i="45"/>
  <c r="T62" i="45" s="1"/>
  <c r="S61" i="45"/>
  <c r="Q61" i="45"/>
  <c r="P61" i="45"/>
  <c r="T61" i="45" s="1"/>
  <c r="S60" i="45"/>
  <c r="Q60" i="45"/>
  <c r="P60" i="45"/>
  <c r="T60" i="45" s="1"/>
  <c r="S59" i="45"/>
  <c r="Q59" i="45"/>
  <c r="P59" i="45"/>
  <c r="T59" i="45" s="1"/>
  <c r="S58" i="45"/>
  <c r="Q58" i="45"/>
  <c r="P58" i="45"/>
  <c r="T58" i="45" s="1"/>
  <c r="S57" i="45"/>
  <c r="Q57" i="45"/>
  <c r="P57" i="45"/>
  <c r="T57" i="45" s="1"/>
  <c r="S56" i="45"/>
  <c r="Q56" i="45"/>
  <c r="P56" i="45"/>
  <c r="T56" i="45" s="1"/>
  <c r="S55" i="45"/>
  <c r="Q55" i="45"/>
  <c r="P55" i="45"/>
  <c r="T55" i="45" s="1"/>
  <c r="S54" i="45"/>
  <c r="Q54" i="45"/>
  <c r="P54" i="45"/>
  <c r="T54" i="45" s="1"/>
  <c r="S53" i="45"/>
  <c r="Q53" i="45"/>
  <c r="P53" i="45"/>
  <c r="T53" i="45" s="1"/>
  <c r="S52" i="45"/>
  <c r="Q52" i="45"/>
  <c r="P52" i="45"/>
  <c r="T52" i="45" s="1"/>
  <c r="S51" i="45"/>
  <c r="Q51" i="45"/>
  <c r="P51" i="45"/>
  <c r="T51" i="45" s="1"/>
  <c r="S50" i="45"/>
  <c r="Q50" i="45"/>
  <c r="P50" i="45"/>
  <c r="T50" i="45" s="1"/>
  <c r="S49" i="45"/>
  <c r="Q49" i="45"/>
  <c r="P49" i="45"/>
  <c r="T49" i="45" s="1"/>
  <c r="S48" i="45"/>
  <c r="Q48" i="45"/>
  <c r="P48" i="45"/>
  <c r="T48" i="45" s="1"/>
  <c r="S47" i="45"/>
  <c r="Q47" i="45"/>
  <c r="P47" i="45"/>
  <c r="T47" i="45" s="1"/>
  <c r="S46" i="45"/>
  <c r="Q46" i="45"/>
  <c r="P46" i="45"/>
  <c r="T46" i="45" s="1"/>
  <c r="S45" i="45"/>
  <c r="Q45" i="45"/>
  <c r="P45" i="45"/>
  <c r="T45" i="45" s="1"/>
  <c r="S44" i="45"/>
  <c r="Q44" i="45"/>
  <c r="P44" i="45"/>
  <c r="T44" i="45" s="1"/>
  <c r="S43" i="45"/>
  <c r="Q43" i="45"/>
  <c r="P43" i="45"/>
  <c r="T43" i="45" s="1"/>
  <c r="S42" i="45"/>
  <c r="Q42" i="45"/>
  <c r="P42" i="45"/>
  <c r="T42" i="45" s="1"/>
  <c r="S41" i="45"/>
  <c r="Q41" i="45"/>
  <c r="P41" i="45"/>
  <c r="T41" i="45" s="1"/>
  <c r="S40" i="45"/>
  <c r="Q40" i="45"/>
  <c r="P40" i="45"/>
  <c r="T40" i="45" s="1"/>
  <c r="S39" i="45"/>
  <c r="Q39" i="45"/>
  <c r="P39" i="45"/>
  <c r="T39" i="45" s="1"/>
  <c r="S38" i="45"/>
  <c r="Q38" i="45"/>
  <c r="P38" i="45"/>
  <c r="T38" i="45" s="1"/>
  <c r="S37" i="45"/>
  <c r="Q37" i="45"/>
  <c r="P37" i="45"/>
  <c r="T37" i="45" s="1"/>
  <c r="S36" i="45"/>
  <c r="Q36" i="45"/>
  <c r="P36" i="45"/>
  <c r="T36" i="45" s="1"/>
  <c r="S35" i="45"/>
  <c r="Q35" i="45"/>
  <c r="P35" i="45"/>
  <c r="T35" i="45" s="1"/>
  <c r="S34" i="45"/>
  <c r="Q34" i="45"/>
  <c r="P34" i="45"/>
  <c r="T34" i="45" s="1"/>
  <c r="S33" i="45"/>
  <c r="Q33" i="45"/>
  <c r="P33" i="45"/>
  <c r="T33" i="45" s="1"/>
  <c r="S32" i="45"/>
  <c r="Q32" i="45"/>
  <c r="P32" i="45"/>
  <c r="T32" i="45" s="1"/>
  <c r="S31" i="45"/>
  <c r="Q31" i="45"/>
  <c r="P31" i="45"/>
  <c r="T31" i="45" s="1"/>
  <c r="S30" i="45"/>
  <c r="Q30" i="45"/>
  <c r="P30" i="45"/>
  <c r="T30" i="45" s="1"/>
  <c r="S29" i="45"/>
  <c r="Q29" i="45"/>
  <c r="P29" i="45"/>
  <c r="T29" i="45" s="1"/>
  <c r="S28" i="45"/>
  <c r="Q28" i="45"/>
  <c r="P28" i="45"/>
  <c r="T28" i="45" s="1"/>
  <c r="S27" i="45"/>
  <c r="Q27" i="45"/>
  <c r="P27" i="45"/>
  <c r="T27" i="45" s="1"/>
  <c r="S26" i="45"/>
  <c r="Q26" i="45"/>
  <c r="P26" i="45"/>
  <c r="T26" i="45" s="1"/>
  <c r="S25" i="45"/>
  <c r="Q25" i="45"/>
  <c r="P25" i="45"/>
  <c r="T25" i="45" s="1"/>
  <c r="S24" i="45"/>
  <c r="Q24" i="45"/>
  <c r="P24" i="45"/>
  <c r="T24" i="45" s="1"/>
  <c r="S23" i="45"/>
  <c r="Q23" i="45"/>
  <c r="P23" i="45"/>
  <c r="T23" i="45" s="1"/>
  <c r="S22" i="45"/>
  <c r="Q22" i="45"/>
  <c r="P22" i="45"/>
  <c r="T22" i="45" s="1"/>
  <c r="S21" i="45"/>
  <c r="Q21" i="45"/>
  <c r="P21" i="45"/>
  <c r="T21" i="45" s="1"/>
  <c r="S20" i="45"/>
  <c r="Q20" i="45"/>
  <c r="P20" i="45"/>
  <c r="T20" i="45" s="1"/>
  <c r="S19" i="45"/>
  <c r="Q19" i="45"/>
  <c r="P19" i="45"/>
  <c r="T19" i="45" s="1"/>
  <c r="S18" i="45"/>
  <c r="Q18" i="45"/>
  <c r="P18" i="45"/>
  <c r="T18" i="45" s="1"/>
  <c r="S17" i="45"/>
  <c r="Q17" i="45"/>
  <c r="P17" i="45"/>
  <c r="T17" i="45" s="1"/>
  <c r="S16" i="45"/>
  <c r="Q16" i="45"/>
  <c r="P16" i="45"/>
  <c r="T16" i="45" s="1"/>
  <c r="S15" i="45"/>
  <c r="Q15" i="45"/>
  <c r="P15" i="45"/>
  <c r="T15" i="45" s="1"/>
  <c r="S14" i="45"/>
  <c r="Q14" i="45"/>
  <c r="P14" i="45"/>
  <c r="T14" i="45" s="1"/>
  <c r="S13" i="45"/>
  <c r="Q13" i="45"/>
  <c r="P13" i="45"/>
  <c r="T13" i="45" s="1"/>
  <c r="S12" i="45"/>
  <c r="Q12" i="45"/>
  <c r="P12" i="45"/>
  <c r="T12" i="45" s="1"/>
  <c r="S11" i="45"/>
  <c r="Q11" i="45"/>
  <c r="P11" i="45"/>
  <c r="T11" i="45" s="1"/>
  <c r="S10" i="45"/>
  <c r="Q10" i="45"/>
  <c r="P10" i="45"/>
  <c r="T10" i="45" s="1"/>
  <c r="S9" i="45"/>
  <c r="Q9" i="45"/>
  <c r="P9" i="45"/>
  <c r="T9" i="45" s="1"/>
  <c r="S8" i="45"/>
  <c r="Q8" i="45"/>
  <c r="P8" i="45"/>
  <c r="T8" i="45" s="1"/>
  <c r="S7" i="45"/>
  <c r="Q7" i="45"/>
  <c r="P7" i="45"/>
  <c r="T7" i="45" s="1"/>
  <c r="S6" i="45"/>
  <c r="Q6" i="45"/>
  <c r="P6" i="45"/>
  <c r="T6" i="45" s="1"/>
  <c r="S5" i="45"/>
  <c r="Q5" i="45"/>
  <c r="P5" i="45"/>
  <c r="T5" i="45" s="1"/>
  <c r="S4" i="45"/>
  <c r="Q4" i="45"/>
  <c r="P4" i="45"/>
  <c r="T4" i="45" s="1"/>
  <c r="S3" i="45"/>
  <c r="Q3" i="45"/>
  <c r="P3" i="45"/>
  <c r="T3" i="45" s="1"/>
  <c r="S2" i="45"/>
  <c r="Q2" i="45"/>
  <c r="P2" i="45"/>
  <c r="T2" i="45" s="1"/>
  <c r="Y6" i="46" l="1"/>
  <c r="W6" i="46"/>
  <c r="X6" i="46"/>
  <c r="Y14" i="46"/>
  <c r="W14" i="46"/>
  <c r="X14" i="46"/>
  <c r="Y22" i="46"/>
  <c r="X22" i="46"/>
  <c r="W22" i="46"/>
  <c r="Y30" i="46"/>
  <c r="W30" i="46"/>
  <c r="X30" i="46"/>
  <c r="Y38" i="46"/>
  <c r="W38" i="46"/>
  <c r="X38" i="46"/>
  <c r="Y46" i="46"/>
  <c r="W46" i="46"/>
  <c r="X46" i="46"/>
  <c r="Y54" i="46"/>
  <c r="X54" i="46"/>
  <c r="W54" i="46"/>
  <c r="Y62" i="46"/>
  <c r="W62" i="46"/>
  <c r="X62" i="46"/>
  <c r="Y70" i="46"/>
  <c r="W70" i="46"/>
  <c r="X70" i="46"/>
  <c r="Y78" i="46"/>
  <c r="W78" i="46"/>
  <c r="X78" i="46"/>
  <c r="Y86" i="46"/>
  <c r="X86" i="46"/>
  <c r="W86" i="46"/>
  <c r="Y94" i="46"/>
  <c r="W94" i="46"/>
  <c r="X94" i="46"/>
  <c r="Y102" i="46"/>
  <c r="W102" i="46"/>
  <c r="X102" i="46"/>
  <c r="Y110" i="46"/>
  <c r="W110" i="46"/>
  <c r="X110" i="46"/>
  <c r="Y118" i="46"/>
  <c r="X118" i="46"/>
  <c r="W118" i="46"/>
  <c r="Y126" i="46"/>
  <c r="W126" i="46"/>
  <c r="X126" i="46"/>
  <c r="Y134" i="46"/>
  <c r="W134" i="46"/>
  <c r="X134" i="46"/>
  <c r="Y142" i="46"/>
  <c r="W142" i="46"/>
  <c r="X142" i="46"/>
  <c r="Y150" i="46"/>
  <c r="X150" i="46"/>
  <c r="W150" i="46"/>
  <c r="Y158" i="46"/>
  <c r="W158" i="46"/>
  <c r="X158" i="46"/>
  <c r="Y166" i="46"/>
  <c r="W166" i="46"/>
  <c r="X166" i="46"/>
  <c r="Y174" i="46"/>
  <c r="W174" i="46"/>
  <c r="X174" i="46"/>
  <c r="Y182" i="46"/>
  <c r="X182" i="46"/>
  <c r="W182" i="46"/>
  <c r="Y190" i="46"/>
  <c r="W190" i="46"/>
  <c r="X190" i="46"/>
  <c r="W197" i="46"/>
  <c r="X197" i="46"/>
  <c r="Y197" i="46"/>
  <c r="X201" i="46"/>
  <c r="Y201" i="46"/>
  <c r="W201" i="46"/>
  <c r="W205" i="46"/>
  <c r="X205" i="46"/>
  <c r="Y205" i="46"/>
  <c r="X209" i="46"/>
  <c r="Y209" i="46"/>
  <c r="W209" i="46"/>
  <c r="W213" i="46"/>
  <c r="X213" i="46"/>
  <c r="Y213" i="46"/>
  <c r="X217" i="46"/>
  <c r="Y217" i="46"/>
  <c r="W217" i="46"/>
  <c r="W221" i="46"/>
  <c r="X221" i="46"/>
  <c r="Y221" i="46"/>
  <c r="X225" i="46"/>
  <c r="Y225" i="46"/>
  <c r="W225" i="46"/>
  <c r="W229" i="46"/>
  <c r="X229" i="46"/>
  <c r="Y229" i="46"/>
  <c r="W233" i="46"/>
  <c r="X233" i="46"/>
  <c r="Y233" i="46"/>
  <c r="W237" i="46"/>
  <c r="X237" i="46"/>
  <c r="Y237" i="46"/>
  <c r="W241" i="46"/>
  <c r="X241" i="46"/>
  <c r="Y241" i="46"/>
  <c r="W245" i="46"/>
  <c r="X245" i="46"/>
  <c r="Y245" i="46"/>
  <c r="W249" i="46"/>
  <c r="X249" i="46"/>
  <c r="Y249" i="46"/>
  <c r="W253" i="46"/>
  <c r="X253" i="46"/>
  <c r="Y253" i="46"/>
  <c r="W257" i="46"/>
  <c r="X257" i="46"/>
  <c r="Y257" i="46"/>
  <c r="W261" i="46"/>
  <c r="X261" i="46"/>
  <c r="Y261" i="46"/>
  <c r="W265" i="46"/>
  <c r="X265" i="46"/>
  <c r="Y265" i="46"/>
  <c r="W269" i="46"/>
  <c r="X269" i="46"/>
  <c r="Y269" i="46"/>
  <c r="W273" i="46"/>
  <c r="X273" i="46"/>
  <c r="Y273" i="46"/>
  <c r="W277" i="46"/>
  <c r="X277" i="46"/>
  <c r="Y277" i="46"/>
  <c r="W281" i="46"/>
  <c r="X281" i="46"/>
  <c r="Y281" i="46"/>
  <c r="W285" i="46"/>
  <c r="X285" i="46"/>
  <c r="Y285" i="46"/>
  <c r="W289" i="46"/>
  <c r="X289" i="46"/>
  <c r="Y289" i="46"/>
  <c r="W293" i="46"/>
  <c r="X293" i="46"/>
  <c r="Y293" i="46"/>
  <c r="W297" i="46"/>
  <c r="X297" i="46"/>
  <c r="Y297" i="46"/>
  <c r="W301" i="46"/>
  <c r="X301" i="46"/>
  <c r="Y301" i="46"/>
  <c r="W305" i="46"/>
  <c r="X305" i="46"/>
  <c r="Y305" i="46"/>
  <c r="W309" i="46"/>
  <c r="X309" i="46"/>
  <c r="Y309" i="46"/>
  <c r="W313" i="46"/>
  <c r="X313" i="46"/>
  <c r="Y313" i="46"/>
  <c r="W317" i="46"/>
  <c r="X317" i="46"/>
  <c r="Y317" i="46"/>
  <c r="W321" i="46"/>
  <c r="X321" i="46"/>
  <c r="Y321" i="46"/>
  <c r="W325" i="46"/>
  <c r="X325" i="46"/>
  <c r="Y325" i="46"/>
  <c r="W329" i="46"/>
  <c r="X329" i="46"/>
  <c r="Y329" i="46"/>
  <c r="W333" i="46"/>
  <c r="X333" i="46"/>
  <c r="Y333" i="46"/>
  <c r="W337" i="46"/>
  <c r="X337" i="46"/>
  <c r="Y337" i="46"/>
  <c r="W341" i="46"/>
  <c r="X341" i="46"/>
  <c r="Y341" i="46"/>
  <c r="W345" i="46"/>
  <c r="X345" i="46"/>
  <c r="Y345" i="46"/>
  <c r="W349" i="46"/>
  <c r="X349" i="46"/>
  <c r="Y349" i="46"/>
  <c r="W353" i="46"/>
  <c r="X353" i="46"/>
  <c r="Y353" i="46"/>
  <c r="W357" i="46"/>
  <c r="X357" i="46"/>
  <c r="Y357" i="46"/>
  <c r="W361" i="46"/>
  <c r="X361" i="46"/>
  <c r="Y361" i="46"/>
  <c r="W365" i="46"/>
  <c r="X365" i="46"/>
  <c r="Y365" i="46"/>
  <c r="W369" i="46"/>
  <c r="X369" i="46"/>
  <c r="Y369" i="46"/>
  <c r="W373" i="46"/>
  <c r="X373" i="46"/>
  <c r="Y373" i="46"/>
  <c r="W377" i="46"/>
  <c r="X377" i="46"/>
  <c r="Y377" i="46"/>
  <c r="W381" i="46"/>
  <c r="X381" i="46"/>
  <c r="Y381" i="46"/>
  <c r="W390" i="46"/>
  <c r="X390" i="46"/>
  <c r="Y390" i="46"/>
  <c r="X395" i="46"/>
  <c r="Y395" i="46"/>
  <c r="W395" i="46"/>
  <c r="W397" i="46"/>
  <c r="X397" i="46"/>
  <c r="Y397" i="46"/>
  <c r="Y399" i="46"/>
  <c r="X399" i="46"/>
  <c r="W399" i="46"/>
  <c r="W401" i="46"/>
  <c r="X401" i="46"/>
  <c r="Y401" i="46"/>
  <c r="Y403" i="46"/>
  <c r="W403" i="46"/>
  <c r="X403" i="46"/>
  <c r="X405" i="46"/>
  <c r="Y405" i="46"/>
  <c r="W405" i="46"/>
  <c r="W407" i="46"/>
  <c r="X407" i="46"/>
  <c r="Y407" i="46"/>
  <c r="W409" i="46"/>
  <c r="X409" i="46"/>
  <c r="Y409" i="46"/>
  <c r="X414" i="46"/>
  <c r="Y414" i="46"/>
  <c r="W414" i="46"/>
  <c r="X422" i="46"/>
  <c r="Y422" i="46"/>
  <c r="W422" i="46"/>
  <c r="X430" i="46"/>
  <c r="Y430" i="46"/>
  <c r="W430" i="46"/>
  <c r="X438" i="46"/>
  <c r="Y438" i="46"/>
  <c r="W438" i="46"/>
  <c r="X446" i="46"/>
  <c r="Y446" i="46"/>
  <c r="W446" i="46"/>
  <c r="X454" i="46"/>
  <c r="Y454" i="46"/>
  <c r="W454" i="46"/>
  <c r="W5" i="46"/>
  <c r="X5" i="46"/>
  <c r="Y5" i="46"/>
  <c r="W13" i="46"/>
  <c r="X13" i="46"/>
  <c r="Y13" i="46"/>
  <c r="W21" i="46"/>
  <c r="X21" i="46"/>
  <c r="Y21" i="46"/>
  <c r="W29" i="46"/>
  <c r="X29" i="46"/>
  <c r="Y29" i="46"/>
  <c r="W37" i="46"/>
  <c r="X37" i="46"/>
  <c r="Y37" i="46"/>
  <c r="W45" i="46"/>
  <c r="X45" i="46"/>
  <c r="Y45" i="46"/>
  <c r="W53" i="46"/>
  <c r="X53" i="46"/>
  <c r="Y53" i="46"/>
  <c r="W61" i="46"/>
  <c r="X61" i="46"/>
  <c r="Y61" i="46"/>
  <c r="W69" i="46"/>
  <c r="X69" i="46"/>
  <c r="Y69" i="46"/>
  <c r="W77" i="46"/>
  <c r="X77" i="46"/>
  <c r="Y77" i="46"/>
  <c r="W85" i="46"/>
  <c r="X85" i="46"/>
  <c r="Y85" i="46"/>
  <c r="W93" i="46"/>
  <c r="X93" i="46"/>
  <c r="Y93" i="46"/>
  <c r="W101" i="46"/>
  <c r="X101" i="46"/>
  <c r="Y101" i="46"/>
  <c r="W109" i="46"/>
  <c r="X109" i="46"/>
  <c r="Y109" i="46"/>
  <c r="W117" i="46"/>
  <c r="X117" i="46"/>
  <c r="Y117" i="46"/>
  <c r="W125" i="46"/>
  <c r="X125" i="46"/>
  <c r="Y125" i="46"/>
  <c r="W133" i="46"/>
  <c r="X133" i="46"/>
  <c r="Y133" i="46"/>
  <c r="W141" i="46"/>
  <c r="X141" i="46"/>
  <c r="Y141" i="46"/>
  <c r="W149" i="46"/>
  <c r="X149" i="46"/>
  <c r="Y149" i="46"/>
  <c r="W157" i="46"/>
  <c r="X157" i="46"/>
  <c r="Y157" i="46"/>
  <c r="W165" i="46"/>
  <c r="X165" i="46"/>
  <c r="Y165" i="46"/>
  <c r="W173" i="46"/>
  <c r="X173" i="46"/>
  <c r="Y173" i="46"/>
  <c r="W181" i="46"/>
  <c r="X181" i="46"/>
  <c r="Y181" i="46"/>
  <c r="W189" i="46"/>
  <c r="X189" i="46"/>
  <c r="Y189" i="46"/>
  <c r="X387" i="46"/>
  <c r="Y387" i="46"/>
  <c r="W387" i="46"/>
  <c r="W417" i="46"/>
  <c r="X417" i="46"/>
  <c r="Y417" i="46"/>
  <c r="W425" i="46"/>
  <c r="X425" i="46"/>
  <c r="Y425" i="46"/>
  <c r="W433" i="46"/>
  <c r="X433" i="46"/>
  <c r="Y433" i="46"/>
  <c r="W441" i="46"/>
  <c r="X441" i="46"/>
  <c r="Y441" i="46"/>
  <c r="W449" i="46"/>
  <c r="X449" i="46"/>
  <c r="Y449" i="46"/>
  <c r="W457" i="46"/>
  <c r="X457" i="46"/>
  <c r="Y457" i="46"/>
  <c r="Z457" i="46"/>
  <c r="W4" i="46"/>
  <c r="X4" i="46"/>
  <c r="Y4" i="46"/>
  <c r="W12" i="46"/>
  <c r="X12" i="46"/>
  <c r="Y12" i="46"/>
  <c r="W20" i="46"/>
  <c r="X20" i="46"/>
  <c r="Y20" i="46"/>
  <c r="W28" i="46"/>
  <c r="X28" i="46"/>
  <c r="Y28" i="46"/>
  <c r="W36" i="46"/>
  <c r="X36" i="46"/>
  <c r="Y36" i="46"/>
  <c r="W44" i="46"/>
  <c r="X44" i="46"/>
  <c r="Y44" i="46"/>
  <c r="W52" i="46"/>
  <c r="X52" i="46"/>
  <c r="Y52" i="46"/>
  <c r="W60" i="46"/>
  <c r="X60" i="46"/>
  <c r="Y60" i="46"/>
  <c r="W68" i="46"/>
  <c r="X68" i="46"/>
  <c r="Y68" i="46"/>
  <c r="W76" i="46"/>
  <c r="X76" i="46"/>
  <c r="Y76" i="46"/>
  <c r="W84" i="46"/>
  <c r="X84" i="46"/>
  <c r="Y84" i="46"/>
  <c r="W92" i="46"/>
  <c r="X92" i="46"/>
  <c r="Y92" i="46"/>
  <c r="W100" i="46"/>
  <c r="X100" i="46"/>
  <c r="Y100" i="46"/>
  <c r="W108" i="46"/>
  <c r="X108" i="46"/>
  <c r="Y108" i="46"/>
  <c r="W116" i="46"/>
  <c r="X116" i="46"/>
  <c r="Y116" i="46"/>
  <c r="W124" i="46"/>
  <c r="X124" i="46"/>
  <c r="Y124" i="46"/>
  <c r="W132" i="46"/>
  <c r="X132" i="46"/>
  <c r="Y132" i="46"/>
  <c r="W140" i="46"/>
  <c r="X140" i="46"/>
  <c r="Y140" i="46"/>
  <c r="W148" i="46"/>
  <c r="X148" i="46"/>
  <c r="Y148" i="46"/>
  <c r="W156" i="46"/>
  <c r="X156" i="46"/>
  <c r="Y156" i="46"/>
  <c r="W164" i="46"/>
  <c r="X164" i="46"/>
  <c r="Y164" i="46"/>
  <c r="W172" i="46"/>
  <c r="X172" i="46"/>
  <c r="Y172" i="46"/>
  <c r="W180" i="46"/>
  <c r="X180" i="46"/>
  <c r="Y180" i="46"/>
  <c r="W188" i="46"/>
  <c r="X188" i="46"/>
  <c r="Y188" i="46"/>
  <c r="W196" i="46"/>
  <c r="X196" i="46"/>
  <c r="Y196" i="46"/>
  <c r="W200" i="46"/>
  <c r="X200" i="46"/>
  <c r="Y200" i="46"/>
  <c r="W204" i="46"/>
  <c r="X204" i="46"/>
  <c r="Y204" i="46"/>
  <c r="W208" i="46"/>
  <c r="X208" i="46"/>
  <c r="Y208" i="46"/>
  <c r="W212" i="46"/>
  <c r="X212" i="46"/>
  <c r="Y212" i="46"/>
  <c r="W216" i="46"/>
  <c r="X216" i="46"/>
  <c r="Y216" i="46"/>
  <c r="W220" i="46"/>
  <c r="X220" i="46"/>
  <c r="Y220" i="46"/>
  <c r="W224" i="46"/>
  <c r="X224" i="46"/>
  <c r="Y224" i="46"/>
  <c r="W228" i="46"/>
  <c r="X228" i="46"/>
  <c r="Y228" i="46"/>
  <c r="Y232" i="46"/>
  <c r="W232" i="46"/>
  <c r="X232" i="46"/>
  <c r="W236" i="46"/>
  <c r="X236" i="46"/>
  <c r="Y236" i="46"/>
  <c r="Y240" i="46"/>
  <c r="W240" i="46"/>
  <c r="X240" i="46"/>
  <c r="W244" i="46"/>
  <c r="X244" i="46"/>
  <c r="Y244" i="46"/>
  <c r="Y248" i="46"/>
  <c r="W248" i="46"/>
  <c r="X248" i="46"/>
  <c r="W252" i="46"/>
  <c r="Y252" i="46"/>
  <c r="X252" i="46"/>
  <c r="Y256" i="46"/>
  <c r="W256" i="46"/>
  <c r="X256" i="46"/>
  <c r="W260" i="46"/>
  <c r="X260" i="46"/>
  <c r="Y260" i="46"/>
  <c r="Y264" i="46"/>
  <c r="W264" i="46"/>
  <c r="X264" i="46"/>
  <c r="W268" i="46"/>
  <c r="X268" i="46"/>
  <c r="Y268" i="46"/>
  <c r="Y272" i="46"/>
  <c r="W272" i="46"/>
  <c r="X272" i="46"/>
  <c r="W276" i="46"/>
  <c r="X276" i="46"/>
  <c r="Y276" i="46"/>
  <c r="Y280" i="46"/>
  <c r="W280" i="46"/>
  <c r="X280" i="46"/>
  <c r="W284" i="46"/>
  <c r="X284" i="46"/>
  <c r="Y284" i="46"/>
  <c r="Y288" i="46"/>
  <c r="W288" i="46"/>
  <c r="X288" i="46"/>
  <c r="W292" i="46"/>
  <c r="Y292" i="46"/>
  <c r="X292" i="46"/>
  <c r="Y296" i="46"/>
  <c r="W296" i="46"/>
  <c r="X296" i="46"/>
  <c r="W300" i="46"/>
  <c r="X300" i="46"/>
  <c r="Y300" i="46"/>
  <c r="Y304" i="46"/>
  <c r="W304" i="46"/>
  <c r="X304" i="46"/>
  <c r="W308" i="46"/>
  <c r="X308" i="46"/>
  <c r="Y308" i="46"/>
  <c r="Y312" i="46"/>
  <c r="W312" i="46"/>
  <c r="X312" i="46"/>
  <c r="W316" i="46"/>
  <c r="Y316" i="46"/>
  <c r="X316" i="46"/>
  <c r="Y320" i="46"/>
  <c r="W320" i="46"/>
  <c r="X320" i="46"/>
  <c r="W324" i="46"/>
  <c r="X324" i="46"/>
  <c r="Y324" i="46"/>
  <c r="Y328" i="46"/>
  <c r="W328" i="46"/>
  <c r="X328" i="46"/>
  <c r="W332" i="46"/>
  <c r="X332" i="46"/>
  <c r="Y332" i="46"/>
  <c r="Y336" i="46"/>
  <c r="W336" i="46"/>
  <c r="X336" i="46"/>
  <c r="W340" i="46"/>
  <c r="X340" i="46"/>
  <c r="Y340" i="46"/>
  <c r="Y344" i="46"/>
  <c r="W344" i="46"/>
  <c r="X344" i="46"/>
  <c r="W348" i="46"/>
  <c r="X348" i="46"/>
  <c r="Y348" i="46"/>
  <c r="Y352" i="46"/>
  <c r="W352" i="46"/>
  <c r="X352" i="46"/>
  <c r="W356" i="46"/>
  <c r="Y356" i="46"/>
  <c r="X356" i="46"/>
  <c r="Y360" i="46"/>
  <c r="W360" i="46"/>
  <c r="X360" i="46"/>
  <c r="W364" i="46"/>
  <c r="X364" i="46"/>
  <c r="Y364" i="46"/>
  <c r="Y368" i="46"/>
  <c r="W368" i="46"/>
  <c r="X368" i="46"/>
  <c r="W372" i="46"/>
  <c r="X372" i="46"/>
  <c r="Y372" i="46"/>
  <c r="Y376" i="46"/>
  <c r="W376" i="46"/>
  <c r="X376" i="46"/>
  <c r="W380" i="46"/>
  <c r="Y380" i="46"/>
  <c r="X380" i="46"/>
  <c r="Y384" i="46"/>
  <c r="W384" i="46"/>
  <c r="X384" i="46"/>
  <c r="Y392" i="46"/>
  <c r="W392" i="46"/>
  <c r="X392" i="46"/>
  <c r="W412" i="46"/>
  <c r="X412" i="46"/>
  <c r="Y412" i="46"/>
  <c r="W420" i="46"/>
  <c r="X420" i="46"/>
  <c r="Y420" i="46"/>
  <c r="W428" i="46"/>
  <c r="X428" i="46"/>
  <c r="Y428" i="46"/>
  <c r="W436" i="46"/>
  <c r="X436" i="46"/>
  <c r="Y436" i="46"/>
  <c r="W444" i="46"/>
  <c r="X444" i="46"/>
  <c r="Y444" i="46"/>
  <c r="W452" i="46"/>
  <c r="X452" i="46"/>
  <c r="Y452" i="46"/>
  <c r="X3" i="46"/>
  <c r="W3" i="46"/>
  <c r="Y3" i="46"/>
  <c r="W11" i="46"/>
  <c r="Y11" i="46"/>
  <c r="X11" i="46"/>
  <c r="W19" i="46"/>
  <c r="X19" i="46"/>
  <c r="Y19" i="46"/>
  <c r="W27" i="46"/>
  <c r="X27" i="46"/>
  <c r="Y27" i="46"/>
  <c r="W35" i="46"/>
  <c r="X35" i="46"/>
  <c r="Y35" i="46"/>
  <c r="W43" i="46"/>
  <c r="Y43" i="46"/>
  <c r="X43" i="46"/>
  <c r="W51" i="46"/>
  <c r="X51" i="46"/>
  <c r="Y51" i="46"/>
  <c r="W59" i="46"/>
  <c r="X59" i="46"/>
  <c r="Y59" i="46"/>
  <c r="W67" i="46"/>
  <c r="X67" i="46"/>
  <c r="Y67" i="46"/>
  <c r="W75" i="46"/>
  <c r="Y75" i="46"/>
  <c r="X75" i="46"/>
  <c r="W83" i="46"/>
  <c r="X83" i="46"/>
  <c r="Y83" i="46"/>
  <c r="W91" i="46"/>
  <c r="X91" i="46"/>
  <c r="Y91" i="46"/>
  <c r="W99" i="46"/>
  <c r="X99" i="46"/>
  <c r="Y99" i="46"/>
  <c r="W107" i="46"/>
  <c r="Y107" i="46"/>
  <c r="X107" i="46"/>
  <c r="W115" i="46"/>
  <c r="X115" i="46"/>
  <c r="Y115" i="46"/>
  <c r="W123" i="46"/>
  <c r="X123" i="46"/>
  <c r="Y123" i="46"/>
  <c r="W131" i="46"/>
  <c r="X131" i="46"/>
  <c r="Y131" i="46"/>
  <c r="W139" i="46"/>
  <c r="Y139" i="46"/>
  <c r="X139" i="46"/>
  <c r="W147" i="46"/>
  <c r="X147" i="46"/>
  <c r="Y147" i="46"/>
  <c r="W155" i="46"/>
  <c r="X155" i="46"/>
  <c r="Y155" i="46"/>
  <c r="W163" i="46"/>
  <c r="X163" i="46"/>
  <c r="Y163" i="46"/>
  <c r="W171" i="46"/>
  <c r="Y171" i="46"/>
  <c r="X171" i="46"/>
  <c r="W179" i="46"/>
  <c r="X179" i="46"/>
  <c r="Y179" i="46"/>
  <c r="W187" i="46"/>
  <c r="X187" i="46"/>
  <c r="Y187" i="46"/>
  <c r="W195" i="46"/>
  <c r="X195" i="46"/>
  <c r="Y195" i="46"/>
  <c r="W389" i="46"/>
  <c r="X389" i="46"/>
  <c r="Y389" i="46"/>
  <c r="W415" i="46"/>
  <c r="Y415" i="46"/>
  <c r="X415" i="46"/>
  <c r="W423" i="46"/>
  <c r="X423" i="46"/>
  <c r="Y423" i="46"/>
  <c r="W431" i="46"/>
  <c r="X431" i="46"/>
  <c r="Y431" i="46"/>
  <c r="W439" i="46"/>
  <c r="Y439" i="46"/>
  <c r="X439" i="46"/>
  <c r="W447" i="46"/>
  <c r="X447" i="46"/>
  <c r="Y447" i="46"/>
  <c r="W455" i="46"/>
  <c r="X455" i="46"/>
  <c r="Y455" i="46"/>
  <c r="W10" i="46"/>
  <c r="X10" i="46"/>
  <c r="Y10" i="46"/>
  <c r="W18" i="46"/>
  <c r="X18" i="46"/>
  <c r="Y18" i="46"/>
  <c r="W26" i="46"/>
  <c r="X26" i="46"/>
  <c r="Y26" i="46"/>
  <c r="W34" i="46"/>
  <c r="X34" i="46"/>
  <c r="Y34" i="46"/>
  <c r="W42" i="46"/>
  <c r="X42" i="46"/>
  <c r="Y42" i="46"/>
  <c r="W50" i="46"/>
  <c r="X50" i="46"/>
  <c r="Y50" i="46"/>
  <c r="W58" i="46"/>
  <c r="X58" i="46"/>
  <c r="Y58" i="46"/>
  <c r="W66" i="46"/>
  <c r="X66" i="46"/>
  <c r="Y66" i="46"/>
  <c r="W74" i="46"/>
  <c r="X74" i="46"/>
  <c r="Y74" i="46"/>
  <c r="W82" i="46"/>
  <c r="X82" i="46"/>
  <c r="Y82" i="46"/>
  <c r="W90" i="46"/>
  <c r="X90" i="46"/>
  <c r="Y90" i="46"/>
  <c r="W98" i="46"/>
  <c r="X98" i="46"/>
  <c r="Y98" i="46"/>
  <c r="W106" i="46"/>
  <c r="X106" i="46"/>
  <c r="Y106" i="46"/>
  <c r="W114" i="46"/>
  <c r="X114" i="46"/>
  <c r="Y114" i="46"/>
  <c r="W122" i="46"/>
  <c r="X122" i="46"/>
  <c r="Y122" i="46"/>
  <c r="W130" i="46"/>
  <c r="X130" i="46"/>
  <c r="Y130" i="46"/>
  <c r="W138" i="46"/>
  <c r="X138" i="46"/>
  <c r="Y138" i="46"/>
  <c r="W146" i="46"/>
  <c r="X146" i="46"/>
  <c r="Y146" i="46"/>
  <c r="W154" i="46"/>
  <c r="X154" i="46"/>
  <c r="Y154" i="46"/>
  <c r="W162" i="46"/>
  <c r="X162" i="46"/>
  <c r="Y162" i="46"/>
  <c r="W170" i="46"/>
  <c r="X170" i="46"/>
  <c r="Y170" i="46"/>
  <c r="W178" i="46"/>
  <c r="X178" i="46"/>
  <c r="Y178" i="46"/>
  <c r="W186" i="46"/>
  <c r="X186" i="46"/>
  <c r="Y186" i="46"/>
  <c r="W194" i="46"/>
  <c r="X194" i="46"/>
  <c r="Y194" i="46"/>
  <c r="W199" i="46"/>
  <c r="X199" i="46"/>
  <c r="Y199" i="46"/>
  <c r="W203" i="46"/>
  <c r="Y203" i="46"/>
  <c r="X203" i="46"/>
  <c r="W207" i="46"/>
  <c r="X207" i="46"/>
  <c r="Y207" i="46"/>
  <c r="W211" i="46"/>
  <c r="X211" i="46"/>
  <c r="Y211" i="46"/>
  <c r="W215" i="46"/>
  <c r="X215" i="46"/>
  <c r="Y215" i="46"/>
  <c r="W219" i="46"/>
  <c r="X219" i="46"/>
  <c r="Y219" i="46"/>
  <c r="W223" i="46"/>
  <c r="X223" i="46"/>
  <c r="Y223" i="46"/>
  <c r="W227" i="46"/>
  <c r="X227" i="46"/>
  <c r="Y227" i="46"/>
  <c r="Y231" i="46"/>
  <c r="X231" i="46"/>
  <c r="W231" i="46"/>
  <c r="X235" i="46"/>
  <c r="Y235" i="46"/>
  <c r="W235" i="46"/>
  <c r="Y239" i="46"/>
  <c r="W239" i="46"/>
  <c r="X239" i="46"/>
  <c r="X243" i="46"/>
  <c r="Y243" i="46"/>
  <c r="W243" i="46"/>
  <c r="Y247" i="46"/>
  <c r="W247" i="46"/>
  <c r="X247" i="46"/>
  <c r="X251" i="46"/>
  <c r="Y251" i="46"/>
  <c r="W251" i="46"/>
  <c r="Y255" i="46"/>
  <c r="W255" i="46"/>
  <c r="X255" i="46"/>
  <c r="X259" i="46"/>
  <c r="Y259" i="46"/>
  <c r="W259" i="46"/>
  <c r="Y263" i="46"/>
  <c r="W263" i="46"/>
  <c r="X263" i="46"/>
  <c r="X267" i="46"/>
  <c r="Y267" i="46"/>
  <c r="W267" i="46"/>
  <c r="Y271" i="46"/>
  <c r="X271" i="46"/>
  <c r="W271" i="46"/>
  <c r="X275" i="46"/>
  <c r="Y275" i="46"/>
  <c r="W275" i="46"/>
  <c r="Y279" i="46"/>
  <c r="W279" i="46"/>
  <c r="X279" i="46"/>
  <c r="X283" i="46"/>
  <c r="Y283" i="46"/>
  <c r="W283" i="46"/>
  <c r="Y287" i="46"/>
  <c r="W287" i="46"/>
  <c r="X287" i="46"/>
  <c r="X291" i="46"/>
  <c r="Y291" i="46"/>
  <c r="W291" i="46"/>
  <c r="Y295" i="46"/>
  <c r="X295" i="46"/>
  <c r="W295" i="46"/>
  <c r="X299" i="46"/>
  <c r="Y299" i="46"/>
  <c r="W299" i="46"/>
  <c r="Y303" i="46"/>
  <c r="W303" i="46"/>
  <c r="X303" i="46"/>
  <c r="X307" i="46"/>
  <c r="Y307" i="46"/>
  <c r="W307" i="46"/>
  <c r="Y311" i="46"/>
  <c r="W311" i="46"/>
  <c r="X311" i="46"/>
  <c r="X315" i="46"/>
  <c r="Y315" i="46"/>
  <c r="W315" i="46"/>
  <c r="Y319" i="46"/>
  <c r="W319" i="46"/>
  <c r="X319" i="46"/>
  <c r="X323" i="46"/>
  <c r="Y323" i="46"/>
  <c r="W323" i="46"/>
  <c r="Y327" i="46"/>
  <c r="X327" i="46"/>
  <c r="W327" i="46"/>
  <c r="X331" i="46"/>
  <c r="Y331" i="46"/>
  <c r="W331" i="46"/>
  <c r="Y335" i="46"/>
  <c r="X335" i="46"/>
  <c r="W335" i="46"/>
  <c r="X339" i="46"/>
  <c r="Y339" i="46"/>
  <c r="W339" i="46"/>
  <c r="Y343" i="46"/>
  <c r="W343" i="46"/>
  <c r="X343" i="46"/>
  <c r="X347" i="46"/>
  <c r="Y347" i="46"/>
  <c r="W347" i="46"/>
  <c r="Y351" i="46"/>
  <c r="W351" i="46"/>
  <c r="X351" i="46"/>
  <c r="X355" i="46"/>
  <c r="Y355" i="46"/>
  <c r="W355" i="46"/>
  <c r="Y359" i="46"/>
  <c r="X359" i="46"/>
  <c r="W359" i="46"/>
  <c r="X363" i="46"/>
  <c r="Y363" i="46"/>
  <c r="W363" i="46"/>
  <c r="Y367" i="46"/>
  <c r="W367" i="46"/>
  <c r="X367" i="46"/>
  <c r="X371" i="46"/>
  <c r="Y371" i="46"/>
  <c r="W371" i="46"/>
  <c r="Y375" i="46"/>
  <c r="W375" i="46"/>
  <c r="X375" i="46"/>
  <c r="X379" i="46"/>
  <c r="Y379" i="46"/>
  <c r="W379" i="46"/>
  <c r="Y383" i="46"/>
  <c r="W383" i="46"/>
  <c r="X383" i="46"/>
  <c r="X386" i="46"/>
  <c r="Y386" i="46"/>
  <c r="W386" i="46"/>
  <c r="X394" i="46"/>
  <c r="Y394" i="46"/>
  <c r="W394" i="46"/>
  <c r="W396" i="46"/>
  <c r="X396" i="46"/>
  <c r="Y396" i="46"/>
  <c r="W398" i="46"/>
  <c r="X398" i="46"/>
  <c r="Y398" i="46"/>
  <c r="W400" i="46"/>
  <c r="X400" i="46"/>
  <c r="Y400" i="46"/>
  <c r="Y402" i="46"/>
  <c r="W402" i="46"/>
  <c r="X402" i="46"/>
  <c r="W404" i="46"/>
  <c r="X404" i="46"/>
  <c r="Y404" i="46"/>
  <c r="X406" i="46"/>
  <c r="Y406" i="46"/>
  <c r="W406" i="46"/>
  <c r="W408" i="46"/>
  <c r="X408" i="46"/>
  <c r="Y408" i="46"/>
  <c r="Y410" i="46"/>
  <c r="W410" i="46"/>
  <c r="X410" i="46"/>
  <c r="Y418" i="46"/>
  <c r="W418" i="46"/>
  <c r="X418" i="46"/>
  <c r="Y426" i="46"/>
  <c r="W426" i="46"/>
  <c r="X426" i="46"/>
  <c r="Y434" i="46"/>
  <c r="W434" i="46"/>
  <c r="X434" i="46"/>
  <c r="Y442" i="46"/>
  <c r="W442" i="46"/>
  <c r="X442" i="46"/>
  <c r="Y450" i="46"/>
  <c r="W450" i="46"/>
  <c r="X450" i="46"/>
  <c r="X458" i="46"/>
  <c r="Y458" i="46"/>
  <c r="W458" i="46"/>
  <c r="Z458" i="46"/>
  <c r="X9" i="46"/>
  <c r="Y9" i="46"/>
  <c r="W9" i="46"/>
  <c r="X17" i="46"/>
  <c r="Y17" i="46"/>
  <c r="W17" i="46"/>
  <c r="X25" i="46"/>
  <c r="Y25" i="46"/>
  <c r="W25" i="46"/>
  <c r="X33" i="46"/>
  <c r="Y33" i="46"/>
  <c r="W33" i="46"/>
  <c r="X41" i="46"/>
  <c r="Y41" i="46"/>
  <c r="W41" i="46"/>
  <c r="X49" i="46"/>
  <c r="Y49" i="46"/>
  <c r="W49" i="46"/>
  <c r="X57" i="46"/>
  <c r="Y57" i="46"/>
  <c r="W57" i="46"/>
  <c r="X65" i="46"/>
  <c r="Y65" i="46"/>
  <c r="W65" i="46"/>
  <c r="X73" i="46"/>
  <c r="Y73" i="46"/>
  <c r="W73" i="46"/>
  <c r="X81" i="46"/>
  <c r="Y81" i="46"/>
  <c r="W81" i="46"/>
  <c r="X89" i="46"/>
  <c r="Y89" i="46"/>
  <c r="W89" i="46"/>
  <c r="X97" i="46"/>
  <c r="Y97" i="46"/>
  <c r="W97" i="46"/>
  <c r="X105" i="46"/>
  <c r="Y105" i="46"/>
  <c r="W105" i="46"/>
  <c r="X113" i="46"/>
  <c r="Y113" i="46"/>
  <c r="W113" i="46"/>
  <c r="X121" i="46"/>
  <c r="Y121" i="46"/>
  <c r="W121" i="46"/>
  <c r="X129" i="46"/>
  <c r="Y129" i="46"/>
  <c r="W129" i="46"/>
  <c r="X137" i="46"/>
  <c r="Y137" i="46"/>
  <c r="W137" i="46"/>
  <c r="X145" i="46"/>
  <c r="Y145" i="46"/>
  <c r="W145" i="46"/>
  <c r="X153" i="46"/>
  <c r="Y153" i="46"/>
  <c r="W153" i="46"/>
  <c r="X161" i="46"/>
  <c r="Y161" i="46"/>
  <c r="W161" i="46"/>
  <c r="X169" i="46"/>
  <c r="Y169" i="46"/>
  <c r="W169" i="46"/>
  <c r="X177" i="46"/>
  <c r="Y177" i="46"/>
  <c r="W177" i="46"/>
  <c r="X185" i="46"/>
  <c r="Y185" i="46"/>
  <c r="W185" i="46"/>
  <c r="X193" i="46"/>
  <c r="Y193" i="46"/>
  <c r="W193" i="46"/>
  <c r="Y391" i="46"/>
  <c r="W391" i="46"/>
  <c r="X391" i="46"/>
  <c r="X413" i="46"/>
  <c r="Y413" i="46"/>
  <c r="W413" i="46"/>
  <c r="X421" i="46"/>
  <c r="Y421" i="46"/>
  <c r="W421" i="46"/>
  <c r="X429" i="46"/>
  <c r="Y429" i="46"/>
  <c r="W429" i="46"/>
  <c r="X437" i="46"/>
  <c r="Y437" i="46"/>
  <c r="W437" i="46"/>
  <c r="X445" i="46"/>
  <c r="Y445" i="46"/>
  <c r="W445" i="46"/>
  <c r="X453" i="46"/>
  <c r="Y453" i="46"/>
  <c r="W453" i="46"/>
  <c r="W8" i="46"/>
  <c r="X8" i="46"/>
  <c r="Y8" i="46"/>
  <c r="W16" i="46"/>
  <c r="X16" i="46"/>
  <c r="Y16" i="46"/>
  <c r="W24" i="46"/>
  <c r="X24" i="46"/>
  <c r="Y24" i="46"/>
  <c r="W32" i="46"/>
  <c r="X32" i="46"/>
  <c r="Y32" i="46"/>
  <c r="W40" i="46"/>
  <c r="X40" i="46"/>
  <c r="Y40" i="46"/>
  <c r="W48" i="46"/>
  <c r="X48" i="46"/>
  <c r="Y48" i="46"/>
  <c r="W56" i="46"/>
  <c r="X56" i="46"/>
  <c r="Y56" i="46"/>
  <c r="W64" i="46"/>
  <c r="X64" i="46"/>
  <c r="Y64" i="46"/>
  <c r="W72" i="46"/>
  <c r="X72" i="46"/>
  <c r="Y72" i="46"/>
  <c r="W80" i="46"/>
  <c r="X80" i="46"/>
  <c r="Y80" i="46"/>
  <c r="W88" i="46"/>
  <c r="X88" i="46"/>
  <c r="Y88" i="46"/>
  <c r="W96" i="46"/>
  <c r="X96" i="46"/>
  <c r="Y96" i="46"/>
  <c r="W104" i="46"/>
  <c r="X104" i="46"/>
  <c r="Y104" i="46"/>
  <c r="W112" i="46"/>
  <c r="X112" i="46"/>
  <c r="Y112" i="46"/>
  <c r="W120" i="46"/>
  <c r="X120" i="46"/>
  <c r="Y120" i="46"/>
  <c r="W128" i="46"/>
  <c r="X128" i="46"/>
  <c r="Y128" i="46"/>
  <c r="W136" i="46"/>
  <c r="X136" i="46"/>
  <c r="Y136" i="46"/>
  <c r="W144" i="46"/>
  <c r="X144" i="46"/>
  <c r="Y144" i="46"/>
  <c r="W152" i="46"/>
  <c r="X152" i="46"/>
  <c r="Y152" i="46"/>
  <c r="W160" i="46"/>
  <c r="X160" i="46"/>
  <c r="Y160" i="46"/>
  <c r="W168" i="46"/>
  <c r="X168" i="46"/>
  <c r="Y168" i="46"/>
  <c r="W176" i="46"/>
  <c r="X176" i="46"/>
  <c r="Y176" i="46"/>
  <c r="W184" i="46"/>
  <c r="X184" i="46"/>
  <c r="Y184" i="46"/>
  <c r="W192" i="46"/>
  <c r="X192" i="46"/>
  <c r="Y192" i="46"/>
  <c r="Y198" i="46"/>
  <c r="W198" i="46"/>
  <c r="X198" i="46"/>
  <c r="W202" i="46"/>
  <c r="X202" i="46"/>
  <c r="Y202" i="46"/>
  <c r="Y206" i="46"/>
  <c r="W206" i="46"/>
  <c r="X206" i="46"/>
  <c r="W210" i="46"/>
  <c r="X210" i="46"/>
  <c r="Y210" i="46"/>
  <c r="Y214" i="46"/>
  <c r="X214" i="46"/>
  <c r="W214" i="46"/>
  <c r="W218" i="46"/>
  <c r="X218" i="46"/>
  <c r="Y218" i="46"/>
  <c r="Y222" i="46"/>
  <c r="W222" i="46"/>
  <c r="X222" i="46"/>
  <c r="W226" i="46"/>
  <c r="X226" i="46"/>
  <c r="Y226" i="46"/>
  <c r="W230" i="46"/>
  <c r="X230" i="46"/>
  <c r="Y230" i="46"/>
  <c r="X234" i="46"/>
  <c r="Y234" i="46"/>
  <c r="W234" i="46"/>
  <c r="W238" i="46"/>
  <c r="X238" i="46"/>
  <c r="Y238" i="46"/>
  <c r="X242" i="46"/>
  <c r="Y242" i="46"/>
  <c r="W242" i="46"/>
  <c r="W246" i="46"/>
  <c r="X246" i="46"/>
  <c r="Y246" i="46"/>
  <c r="X250" i="46"/>
  <c r="Y250" i="46"/>
  <c r="W250" i="46"/>
  <c r="W254" i="46"/>
  <c r="X254" i="46"/>
  <c r="Y254" i="46"/>
  <c r="X258" i="46"/>
  <c r="Y258" i="46"/>
  <c r="W258" i="46"/>
  <c r="W262" i="46"/>
  <c r="X262" i="46"/>
  <c r="Y262" i="46"/>
  <c r="X266" i="46"/>
  <c r="Y266" i="46"/>
  <c r="W266" i="46"/>
  <c r="W270" i="46"/>
  <c r="X270" i="46"/>
  <c r="Y270" i="46"/>
  <c r="X274" i="46"/>
  <c r="Y274" i="46"/>
  <c r="W274" i="46"/>
  <c r="W278" i="46"/>
  <c r="X278" i="46"/>
  <c r="Y278" i="46"/>
  <c r="X282" i="46"/>
  <c r="Y282" i="46"/>
  <c r="W282" i="46"/>
  <c r="W286" i="46"/>
  <c r="X286" i="46"/>
  <c r="Y286" i="46"/>
  <c r="X290" i="46"/>
  <c r="Y290" i="46"/>
  <c r="W290" i="46"/>
  <c r="W294" i="46"/>
  <c r="X294" i="46"/>
  <c r="Y294" i="46"/>
  <c r="X298" i="46"/>
  <c r="Y298" i="46"/>
  <c r="W298" i="46"/>
  <c r="W302" i="46"/>
  <c r="X302" i="46"/>
  <c r="Y302" i="46"/>
  <c r="X306" i="46"/>
  <c r="Y306" i="46"/>
  <c r="W306" i="46"/>
  <c r="W310" i="46"/>
  <c r="X310" i="46"/>
  <c r="Y310" i="46"/>
  <c r="X314" i="46"/>
  <c r="Y314" i="46"/>
  <c r="W314" i="46"/>
  <c r="W318" i="46"/>
  <c r="X318" i="46"/>
  <c r="Y318" i="46"/>
  <c r="X322" i="46"/>
  <c r="Y322" i="46"/>
  <c r="W322" i="46"/>
  <c r="W326" i="46"/>
  <c r="X326" i="46"/>
  <c r="Y326" i="46"/>
  <c r="X330" i="46"/>
  <c r="Y330" i="46"/>
  <c r="W330" i="46"/>
  <c r="W334" i="46"/>
  <c r="X334" i="46"/>
  <c r="Y334" i="46"/>
  <c r="X338" i="46"/>
  <c r="Y338" i="46"/>
  <c r="W338" i="46"/>
  <c r="W342" i="46"/>
  <c r="X342" i="46"/>
  <c r="Y342" i="46"/>
  <c r="X346" i="46"/>
  <c r="Y346" i="46"/>
  <c r="W346" i="46"/>
  <c r="W350" i="46"/>
  <c r="X350" i="46"/>
  <c r="Y350" i="46"/>
  <c r="X354" i="46"/>
  <c r="Y354" i="46"/>
  <c r="W354" i="46"/>
  <c r="W358" i="46"/>
  <c r="X358" i="46"/>
  <c r="Y358" i="46"/>
  <c r="X362" i="46"/>
  <c r="Y362" i="46"/>
  <c r="W362" i="46"/>
  <c r="W366" i="46"/>
  <c r="X366" i="46"/>
  <c r="Y366" i="46"/>
  <c r="X370" i="46"/>
  <c r="Y370" i="46"/>
  <c r="W370" i="46"/>
  <c r="W374" i="46"/>
  <c r="X374" i="46"/>
  <c r="Y374" i="46"/>
  <c r="X378" i="46"/>
  <c r="Y378" i="46"/>
  <c r="W378" i="46"/>
  <c r="W382" i="46"/>
  <c r="X382" i="46"/>
  <c r="Y382" i="46"/>
  <c r="W388" i="46"/>
  <c r="X388" i="46"/>
  <c r="Y388" i="46"/>
  <c r="W416" i="46"/>
  <c r="X416" i="46"/>
  <c r="Y416" i="46"/>
  <c r="W424" i="46"/>
  <c r="X424" i="46"/>
  <c r="Y424" i="46"/>
  <c r="W432" i="46"/>
  <c r="X432" i="46"/>
  <c r="Y432" i="46"/>
  <c r="W440" i="46"/>
  <c r="X440" i="46"/>
  <c r="Y440" i="46"/>
  <c r="W448" i="46"/>
  <c r="X448" i="46"/>
  <c r="Y448" i="46"/>
  <c r="W456" i="46"/>
  <c r="X456" i="46"/>
  <c r="Y456" i="46"/>
  <c r="W7" i="46"/>
  <c r="X7" i="46"/>
  <c r="Y7" i="46"/>
  <c r="W15" i="46"/>
  <c r="X15" i="46"/>
  <c r="Y15" i="46"/>
  <c r="W23" i="46"/>
  <c r="X23" i="46"/>
  <c r="Y23" i="46"/>
  <c r="W31" i="46"/>
  <c r="X31" i="46"/>
  <c r="Y31" i="46"/>
  <c r="W39" i="46"/>
  <c r="X39" i="46"/>
  <c r="Y39" i="46"/>
  <c r="W47" i="46"/>
  <c r="X47" i="46"/>
  <c r="Y47" i="46"/>
  <c r="W55" i="46"/>
  <c r="X55" i="46"/>
  <c r="Y55" i="46"/>
  <c r="W63" i="46"/>
  <c r="X63" i="46"/>
  <c r="Y63" i="46"/>
  <c r="W71" i="46"/>
  <c r="X71" i="46"/>
  <c r="Y71" i="46"/>
  <c r="W79" i="46"/>
  <c r="X79" i="46"/>
  <c r="Y79" i="46"/>
  <c r="W87" i="46"/>
  <c r="X87" i="46"/>
  <c r="Y87" i="46"/>
  <c r="W95" i="46"/>
  <c r="X95" i="46"/>
  <c r="Y95" i="46"/>
  <c r="W103" i="46"/>
  <c r="X103" i="46"/>
  <c r="Y103" i="46"/>
  <c r="W111" i="46"/>
  <c r="X111" i="46"/>
  <c r="Y111" i="46"/>
  <c r="W119" i="46"/>
  <c r="X119" i="46"/>
  <c r="Y119" i="46"/>
  <c r="W127" i="46"/>
  <c r="X127" i="46"/>
  <c r="Y127" i="46"/>
  <c r="W135" i="46"/>
  <c r="X135" i="46"/>
  <c r="Y135" i="46"/>
  <c r="W143" i="46"/>
  <c r="X143" i="46"/>
  <c r="Y143" i="46"/>
  <c r="W151" i="46"/>
  <c r="X151" i="46"/>
  <c r="Y151" i="46"/>
  <c r="W159" i="46"/>
  <c r="X159" i="46"/>
  <c r="Y159" i="46"/>
  <c r="W167" i="46"/>
  <c r="X167" i="46"/>
  <c r="Y167" i="46"/>
  <c r="W175" i="46"/>
  <c r="X175" i="46"/>
  <c r="Y175" i="46"/>
  <c r="W183" i="46"/>
  <c r="X183" i="46"/>
  <c r="Y183" i="46"/>
  <c r="W191" i="46"/>
  <c r="X191" i="46"/>
  <c r="Y191" i="46"/>
  <c r="W385" i="46"/>
  <c r="X385" i="46"/>
  <c r="Y385" i="46"/>
  <c r="W393" i="46"/>
  <c r="X393" i="46"/>
  <c r="Y393" i="46"/>
  <c r="Y411" i="46"/>
  <c r="W411" i="46"/>
  <c r="X411" i="46"/>
  <c r="Y419" i="46"/>
  <c r="W419" i="46"/>
  <c r="X419" i="46"/>
  <c r="Y427" i="46"/>
  <c r="W427" i="46"/>
  <c r="X427" i="46"/>
  <c r="Y435" i="46"/>
  <c r="W435" i="46"/>
  <c r="X435" i="46"/>
  <c r="Y443" i="46"/>
  <c r="W443" i="46"/>
  <c r="X443" i="46"/>
  <c r="Y451" i="46"/>
  <c r="W451" i="46"/>
  <c r="X451" i="46"/>
  <c r="G451" i="46"/>
  <c r="Z451" i="46" s="1"/>
  <c r="G443" i="46"/>
  <c r="Z443" i="46" s="1"/>
  <c r="G435" i="46"/>
  <c r="Z435" i="46" s="1"/>
  <c r="G427" i="46"/>
  <c r="Z427" i="46" s="1"/>
  <c r="G419" i="46"/>
  <c r="Z419" i="46" s="1"/>
  <c r="G411" i="46"/>
  <c r="Z411" i="46" s="1"/>
  <c r="G403" i="46"/>
  <c r="Z403" i="46" s="1"/>
  <c r="G395" i="46"/>
  <c r="G387" i="46"/>
  <c r="Z387" i="46" s="1"/>
  <c r="G379" i="46"/>
  <c r="Z379" i="46" s="1"/>
  <c r="G371" i="46"/>
  <c r="Z371" i="46" s="1"/>
  <c r="G363" i="46"/>
  <c r="Z363" i="46" s="1"/>
  <c r="G355" i="46"/>
  <c r="Z355" i="46" s="1"/>
  <c r="G347" i="46"/>
  <c r="Z347" i="46" s="1"/>
  <c r="G450" i="46"/>
  <c r="G442" i="46"/>
  <c r="G434" i="46"/>
  <c r="Z434" i="46" s="1"/>
  <c r="G426" i="46"/>
  <c r="Z426" i="46" s="1"/>
  <c r="G418" i="46"/>
  <c r="Z418" i="46" s="1"/>
  <c r="G410" i="46"/>
  <c r="Z410" i="46" s="1"/>
  <c r="G402" i="46"/>
  <c r="Z402" i="46" s="1"/>
  <c r="G394" i="46"/>
  <c r="Z394" i="46" s="1"/>
  <c r="G386" i="46"/>
  <c r="G378" i="46"/>
  <c r="G370" i="46"/>
  <c r="Z370" i="46" s="1"/>
  <c r="G362" i="46"/>
  <c r="Z362" i="46" s="1"/>
  <c r="G354" i="46"/>
  <c r="Z354" i="46" s="1"/>
  <c r="G346" i="46"/>
  <c r="Z346" i="46" s="1"/>
  <c r="G449" i="46"/>
  <c r="Z449" i="46" s="1"/>
  <c r="G441" i="46"/>
  <c r="Z441" i="46" s="1"/>
  <c r="G433" i="46"/>
  <c r="G425" i="46"/>
  <c r="H425" i="46" s="1"/>
  <c r="G417" i="46"/>
  <c r="Z417" i="46" s="1"/>
  <c r="G409" i="46"/>
  <c r="Z409" i="46" s="1"/>
  <c r="G401" i="46"/>
  <c r="Z401" i="46" s="1"/>
  <c r="G393" i="46"/>
  <c r="Z393" i="46" s="1"/>
  <c r="G385" i="46"/>
  <c r="Z385" i="46" s="1"/>
  <c r="G377" i="46"/>
  <c r="Z377" i="46" s="1"/>
  <c r="G369" i="46"/>
  <c r="G361" i="46"/>
  <c r="G353" i="46"/>
  <c r="Z353" i="46" s="1"/>
  <c r="G345" i="46"/>
  <c r="Z345" i="46" s="1"/>
  <c r="G452" i="46"/>
  <c r="Z452" i="46" s="1"/>
  <c r="G412" i="46"/>
  <c r="Z412" i="46" s="1"/>
  <c r="G372" i="46"/>
  <c r="Z372" i="46" s="1"/>
  <c r="G456" i="46"/>
  <c r="Z456" i="46" s="1"/>
  <c r="G448" i="46"/>
  <c r="G440" i="46"/>
  <c r="G432" i="46"/>
  <c r="Z432" i="46" s="1"/>
  <c r="G424" i="46"/>
  <c r="Z424" i="46" s="1"/>
  <c r="G416" i="46"/>
  <c r="Z416" i="46" s="1"/>
  <c r="G408" i="46"/>
  <c r="Z408" i="46" s="1"/>
  <c r="G400" i="46"/>
  <c r="Z400" i="46" s="1"/>
  <c r="G392" i="46"/>
  <c r="Z392" i="46" s="1"/>
  <c r="G384" i="46"/>
  <c r="G376" i="46"/>
  <c r="G368" i="46"/>
  <c r="Z368" i="46" s="1"/>
  <c r="G360" i="46"/>
  <c r="Z360" i="46" s="1"/>
  <c r="G352" i="46"/>
  <c r="Z352" i="46" s="1"/>
  <c r="G436" i="46"/>
  <c r="Z436" i="46" s="1"/>
  <c r="G396" i="46"/>
  <c r="Z396" i="46" s="1"/>
  <c r="G356" i="46"/>
  <c r="Z356" i="46" s="1"/>
  <c r="G455" i="46"/>
  <c r="G447" i="46"/>
  <c r="G439" i="46"/>
  <c r="Z439" i="46" s="1"/>
  <c r="G431" i="46"/>
  <c r="Z431" i="46" s="1"/>
  <c r="G423" i="46"/>
  <c r="Z423" i="46" s="1"/>
  <c r="G415" i="46"/>
  <c r="Z415" i="46" s="1"/>
  <c r="G407" i="46"/>
  <c r="Z407" i="46" s="1"/>
  <c r="G399" i="46"/>
  <c r="Z399" i="46" s="1"/>
  <c r="G391" i="46"/>
  <c r="G383" i="46"/>
  <c r="G375" i="46"/>
  <c r="Z375" i="46" s="1"/>
  <c r="G367" i="46"/>
  <c r="Z367" i="46" s="1"/>
  <c r="G359" i="46"/>
  <c r="Z359" i="46" s="1"/>
  <c r="G351" i="46"/>
  <c r="Z351" i="46" s="1"/>
  <c r="G444" i="46"/>
  <c r="Z444" i="46" s="1"/>
  <c r="G404" i="46"/>
  <c r="Z404" i="46" s="1"/>
  <c r="G454" i="46"/>
  <c r="G446" i="46"/>
  <c r="G438" i="46"/>
  <c r="Z438" i="46" s="1"/>
  <c r="G430" i="46"/>
  <c r="Z430" i="46" s="1"/>
  <c r="G422" i="46"/>
  <c r="Z422" i="46" s="1"/>
  <c r="G414" i="46"/>
  <c r="Z414" i="46" s="1"/>
  <c r="G406" i="46"/>
  <c r="Z406" i="46" s="1"/>
  <c r="G398" i="46"/>
  <c r="Z398" i="46" s="1"/>
  <c r="G390" i="46"/>
  <c r="G382" i="46"/>
  <c r="G374" i="46"/>
  <c r="Z374" i="46" s="1"/>
  <c r="G366" i="46"/>
  <c r="Z366" i="46" s="1"/>
  <c r="G358" i="46"/>
  <c r="Z358" i="46" s="1"/>
  <c r="G350" i="46"/>
  <c r="Z350" i="46" s="1"/>
  <c r="G420" i="46"/>
  <c r="Z420" i="46" s="1"/>
  <c r="G380" i="46"/>
  <c r="Z380" i="46" s="1"/>
  <c r="G364" i="46"/>
  <c r="G453" i="46"/>
  <c r="G445" i="46"/>
  <c r="Z445" i="46" s="1"/>
  <c r="G437" i="46"/>
  <c r="Z437" i="46" s="1"/>
  <c r="G429" i="46"/>
  <c r="Z429" i="46" s="1"/>
  <c r="G421" i="46"/>
  <c r="Z421" i="46" s="1"/>
  <c r="G413" i="46"/>
  <c r="Z413" i="46" s="1"/>
  <c r="G405" i="46"/>
  <c r="Z405" i="46" s="1"/>
  <c r="G397" i="46"/>
  <c r="G389" i="46"/>
  <c r="G381" i="46"/>
  <c r="Z381" i="46" s="1"/>
  <c r="G373" i="46"/>
  <c r="Z373" i="46" s="1"/>
  <c r="G365" i="46"/>
  <c r="Z365" i="46" s="1"/>
  <c r="G357" i="46"/>
  <c r="Z357" i="46" s="1"/>
  <c r="G349" i="46"/>
  <c r="Z349" i="46" s="1"/>
  <c r="G428" i="46"/>
  <c r="Z428" i="46" s="1"/>
  <c r="G388" i="46"/>
  <c r="G348" i="46"/>
  <c r="Z348" i="46" s="1"/>
  <c r="G343" i="46"/>
  <c r="Z343" i="46" s="1"/>
  <c r="G335" i="46"/>
  <c r="Z335" i="46" s="1"/>
  <c r="G327" i="46"/>
  <c r="Z327" i="46" s="1"/>
  <c r="G319" i="46"/>
  <c r="Z319" i="46" s="1"/>
  <c r="G311" i="46"/>
  <c r="Z311" i="46" s="1"/>
  <c r="G303" i="46"/>
  <c r="Z303" i="46" s="1"/>
  <c r="G295" i="46"/>
  <c r="G287" i="46"/>
  <c r="G279" i="46"/>
  <c r="G271" i="46"/>
  <c r="G263" i="46"/>
  <c r="G255" i="46"/>
  <c r="G247" i="46"/>
  <c r="G239" i="46"/>
  <c r="G231" i="46"/>
  <c r="G223" i="46"/>
  <c r="G215" i="46"/>
  <c r="G207" i="46"/>
  <c r="G199" i="46"/>
  <c r="G191" i="46"/>
  <c r="G183" i="46"/>
  <c r="G175" i="46"/>
  <c r="G167" i="46"/>
  <c r="G159" i="46"/>
  <c r="G151" i="46"/>
  <c r="G143" i="46"/>
  <c r="G135" i="46"/>
  <c r="G127" i="46"/>
  <c r="G119" i="46"/>
  <c r="G111" i="46"/>
  <c r="G103" i="46"/>
  <c r="G95" i="46"/>
  <c r="G87" i="46"/>
  <c r="G79" i="46"/>
  <c r="G71" i="46"/>
  <c r="G63" i="46"/>
  <c r="G55" i="46"/>
  <c r="G47" i="46"/>
  <c r="G39" i="46"/>
  <c r="G31" i="46"/>
  <c r="G23" i="46"/>
  <c r="G15" i="46"/>
  <c r="G7" i="46"/>
  <c r="G342" i="46"/>
  <c r="G334" i="46"/>
  <c r="G326" i="46"/>
  <c r="G318" i="46"/>
  <c r="G310" i="46"/>
  <c r="G302" i="46"/>
  <c r="G294" i="46"/>
  <c r="G286" i="46"/>
  <c r="G278" i="46"/>
  <c r="G270" i="46"/>
  <c r="G262" i="46"/>
  <c r="G254" i="46"/>
  <c r="G246" i="46"/>
  <c r="G238" i="46"/>
  <c r="G230" i="46"/>
  <c r="G222" i="46"/>
  <c r="G214" i="46"/>
  <c r="G206" i="46"/>
  <c r="G198" i="46"/>
  <c r="G190" i="46"/>
  <c r="G182" i="46"/>
  <c r="G174" i="46"/>
  <c r="G166" i="46"/>
  <c r="G158" i="46"/>
  <c r="G150" i="46"/>
  <c r="G142" i="46"/>
  <c r="G134" i="46"/>
  <c r="Z134" i="46" s="1"/>
  <c r="G126" i="46"/>
  <c r="G118" i="46"/>
  <c r="G110" i="46"/>
  <c r="G102" i="46"/>
  <c r="G94" i="46"/>
  <c r="G86" i="46"/>
  <c r="G78" i="46"/>
  <c r="G70" i="46"/>
  <c r="G62" i="46"/>
  <c r="G54" i="46"/>
  <c r="G46" i="46"/>
  <c r="G38" i="46"/>
  <c r="G30" i="46"/>
  <c r="G22" i="46"/>
  <c r="G14" i="46"/>
  <c r="G6" i="46"/>
  <c r="G341" i="46"/>
  <c r="G333" i="46"/>
  <c r="G325" i="46"/>
  <c r="G317" i="46"/>
  <c r="G309" i="46"/>
  <c r="G301" i="46"/>
  <c r="G293" i="46"/>
  <c r="G285" i="46"/>
  <c r="G277" i="46"/>
  <c r="G269" i="46"/>
  <c r="G261" i="46"/>
  <c r="G253" i="46"/>
  <c r="G245" i="46"/>
  <c r="G237" i="46"/>
  <c r="G229" i="46"/>
  <c r="G221" i="46"/>
  <c r="G213" i="46"/>
  <c r="G205" i="46"/>
  <c r="G197" i="46"/>
  <c r="G189" i="46"/>
  <c r="G181" i="46"/>
  <c r="G173" i="46"/>
  <c r="G165" i="46"/>
  <c r="G157" i="46"/>
  <c r="G149" i="46"/>
  <c r="G141" i="46"/>
  <c r="G133" i="46"/>
  <c r="G125" i="46"/>
  <c r="G117" i="46"/>
  <c r="G109" i="46"/>
  <c r="G101" i="46"/>
  <c r="G93" i="46"/>
  <c r="G85" i="46"/>
  <c r="G77" i="46"/>
  <c r="G69" i="46"/>
  <c r="G61" i="46"/>
  <c r="G53" i="46"/>
  <c r="G45" i="46"/>
  <c r="G37" i="46"/>
  <c r="G29" i="46"/>
  <c r="G21" i="46"/>
  <c r="G13" i="46"/>
  <c r="G5" i="46"/>
  <c r="G340" i="46"/>
  <c r="G332" i="46"/>
  <c r="G324" i="46"/>
  <c r="G316" i="46"/>
  <c r="G308" i="46"/>
  <c r="G300" i="46"/>
  <c r="G292" i="46"/>
  <c r="G284" i="46"/>
  <c r="G276" i="46"/>
  <c r="G268" i="46"/>
  <c r="G260" i="46"/>
  <c r="G252" i="46"/>
  <c r="G244" i="46"/>
  <c r="G236" i="46"/>
  <c r="G228" i="46"/>
  <c r="G220" i="46"/>
  <c r="G212" i="46"/>
  <c r="G204" i="46"/>
  <c r="G196" i="46"/>
  <c r="G188" i="46"/>
  <c r="G180" i="46"/>
  <c r="G172" i="46"/>
  <c r="G164" i="46"/>
  <c r="G156" i="46"/>
  <c r="G148" i="46"/>
  <c r="G140" i="46"/>
  <c r="G132" i="46"/>
  <c r="G124" i="46"/>
  <c r="G116" i="46"/>
  <c r="G108" i="46"/>
  <c r="G100" i="46"/>
  <c r="G92" i="46"/>
  <c r="G84" i="46"/>
  <c r="G76" i="46"/>
  <c r="G68" i="46"/>
  <c r="G60" i="46"/>
  <c r="G52" i="46"/>
  <c r="G44" i="46"/>
  <c r="G36" i="46"/>
  <c r="G28" i="46"/>
  <c r="G20" i="46"/>
  <c r="G12" i="46"/>
  <c r="G4" i="46"/>
  <c r="G339" i="46"/>
  <c r="G331" i="46"/>
  <c r="G323" i="46"/>
  <c r="G315" i="46"/>
  <c r="G307" i="46"/>
  <c r="G299" i="46"/>
  <c r="G291" i="46"/>
  <c r="G283" i="46"/>
  <c r="G275" i="46"/>
  <c r="G267" i="46"/>
  <c r="G259" i="46"/>
  <c r="G251" i="46"/>
  <c r="G243" i="46"/>
  <c r="G235" i="46"/>
  <c r="G227" i="46"/>
  <c r="G219" i="46"/>
  <c r="G211" i="46"/>
  <c r="G203" i="46"/>
  <c r="G195" i="46"/>
  <c r="G187" i="46"/>
  <c r="G179" i="46"/>
  <c r="G171" i="46"/>
  <c r="G163" i="46"/>
  <c r="G155" i="46"/>
  <c r="G147" i="46"/>
  <c r="G139" i="46"/>
  <c r="G131" i="46"/>
  <c r="G123" i="46"/>
  <c r="G115" i="46"/>
  <c r="G107" i="46"/>
  <c r="G99" i="46"/>
  <c r="G91" i="46"/>
  <c r="G83" i="46"/>
  <c r="G75" i="46"/>
  <c r="G67" i="46"/>
  <c r="G59" i="46"/>
  <c r="G51" i="46"/>
  <c r="G43" i="46"/>
  <c r="G35" i="46"/>
  <c r="G27" i="46"/>
  <c r="G19" i="46"/>
  <c r="G11" i="46"/>
  <c r="G3" i="46"/>
  <c r="G338" i="46"/>
  <c r="G330" i="46"/>
  <c r="G322" i="46"/>
  <c r="G314" i="46"/>
  <c r="G306" i="46"/>
  <c r="G298" i="46"/>
  <c r="G290" i="46"/>
  <c r="G282" i="46"/>
  <c r="G274" i="46"/>
  <c r="G266" i="46"/>
  <c r="G258" i="46"/>
  <c r="G250" i="46"/>
  <c r="G242" i="46"/>
  <c r="G234" i="46"/>
  <c r="G226" i="46"/>
  <c r="G218" i="46"/>
  <c r="G210" i="46"/>
  <c r="G202" i="46"/>
  <c r="G194" i="46"/>
  <c r="G186" i="46"/>
  <c r="G178" i="46"/>
  <c r="G170" i="46"/>
  <c r="G162" i="46"/>
  <c r="G154" i="46"/>
  <c r="G146" i="46"/>
  <c r="G138" i="46"/>
  <c r="G130" i="46"/>
  <c r="G122" i="46"/>
  <c r="G114" i="46"/>
  <c r="G106" i="46"/>
  <c r="G98" i="46"/>
  <c r="G90" i="46"/>
  <c r="G82" i="46"/>
  <c r="G74" i="46"/>
  <c r="G66" i="46"/>
  <c r="G58" i="46"/>
  <c r="G50" i="46"/>
  <c r="G42" i="46"/>
  <c r="G34" i="46"/>
  <c r="G26" i="46"/>
  <c r="G18" i="46"/>
  <c r="G10" i="46"/>
  <c r="G336" i="46"/>
  <c r="G328" i="46"/>
  <c r="G320" i="46"/>
  <c r="G312" i="46"/>
  <c r="G304" i="46"/>
  <c r="G296" i="46"/>
  <c r="G288" i="46"/>
  <c r="G280" i="46"/>
  <c r="G272" i="46"/>
  <c r="G264" i="46"/>
  <c r="G256" i="46"/>
  <c r="G248" i="46"/>
  <c r="G240" i="46"/>
  <c r="G232" i="46"/>
  <c r="G224" i="46"/>
  <c r="G216" i="46"/>
  <c r="G208" i="46"/>
  <c r="G200" i="46"/>
  <c r="G192" i="46"/>
  <c r="G184" i="46"/>
  <c r="G176" i="46"/>
  <c r="G168" i="46"/>
  <c r="G160" i="46"/>
  <c r="G152" i="46"/>
  <c r="G144" i="46"/>
  <c r="G136" i="46"/>
  <c r="G128" i="46"/>
  <c r="G120" i="46"/>
  <c r="G112" i="46"/>
  <c r="G104" i="46"/>
  <c r="G96" i="46"/>
  <c r="G88" i="46"/>
  <c r="G80" i="46"/>
  <c r="G72" i="46"/>
  <c r="G64" i="46"/>
  <c r="G56" i="46"/>
  <c r="G48" i="46"/>
  <c r="G40" i="46"/>
  <c r="G32" i="46"/>
  <c r="G24" i="46"/>
  <c r="G16" i="46"/>
  <c r="G8" i="46"/>
  <c r="G337" i="46"/>
  <c r="G273" i="46"/>
  <c r="G209" i="46"/>
  <c r="G145" i="46"/>
  <c r="G81" i="46"/>
  <c r="G17" i="46"/>
  <c r="G329" i="46"/>
  <c r="G265" i="46"/>
  <c r="G201" i="46"/>
  <c r="G137" i="46"/>
  <c r="G73" i="46"/>
  <c r="G9" i="46"/>
  <c r="G321" i="46"/>
  <c r="G257" i="46"/>
  <c r="G193" i="46"/>
  <c r="G129" i="46"/>
  <c r="G65" i="46"/>
  <c r="G313" i="46"/>
  <c r="G249" i="46"/>
  <c r="G185" i="46"/>
  <c r="G121" i="46"/>
  <c r="G57" i="46"/>
  <c r="G305" i="46"/>
  <c r="G241" i="46"/>
  <c r="G177" i="46"/>
  <c r="G113" i="46"/>
  <c r="G49" i="46"/>
  <c r="G297" i="46"/>
  <c r="G233" i="46"/>
  <c r="G169" i="46"/>
  <c r="G105" i="46"/>
  <c r="G41" i="46"/>
  <c r="G289" i="46"/>
  <c r="G225" i="46"/>
  <c r="G161" i="46"/>
  <c r="G97" i="46"/>
  <c r="G33" i="46"/>
  <c r="G281" i="46"/>
  <c r="G217" i="46"/>
  <c r="G153" i="46"/>
  <c r="G89" i="46"/>
  <c r="G25" i="46"/>
  <c r="H346" i="46"/>
  <c r="H350" i="46"/>
  <c r="H351" i="46"/>
  <c r="G344" i="46"/>
  <c r="I421" i="46"/>
  <c r="H429" i="46"/>
  <c r="I445" i="46"/>
  <c r="H416" i="46"/>
  <c r="I432" i="46"/>
  <c r="H434" i="46"/>
  <c r="H410" i="46"/>
  <c r="I435" i="46"/>
  <c r="I414" i="46"/>
  <c r="H417" i="46"/>
  <c r="I418" i="46"/>
  <c r="H427" i="46"/>
  <c r="H451" i="46"/>
  <c r="H422" i="46"/>
  <c r="I412" i="46"/>
  <c r="H452" i="46"/>
  <c r="H415" i="46"/>
  <c r="H439" i="46"/>
  <c r="AJ44" i="38"/>
  <c r="AJ46" i="38"/>
  <c r="AH44" i="38"/>
  <c r="AK35" i="38"/>
  <c r="AK46" i="38"/>
  <c r="AH34" i="38"/>
  <c r="AI34" i="38"/>
  <c r="AI46" i="38"/>
  <c r="AG33" i="38"/>
  <c r="AG46" i="38"/>
  <c r="AH42" i="38"/>
  <c r="AJ36" i="38"/>
  <c r="AH49" i="38"/>
  <c r="AH46" i="38"/>
  <c r="AG32" i="38"/>
  <c r="AH36" i="38"/>
  <c r="AF33" i="38"/>
  <c r="AF46" i="38"/>
  <c r="AH50" i="38"/>
  <c r="AJ34" i="38"/>
  <c r="H357" i="46"/>
  <c r="H365" i="46"/>
  <c r="H381" i="46"/>
  <c r="H358" i="46"/>
  <c r="H374" i="46"/>
  <c r="H363" i="46"/>
  <c r="H371" i="46"/>
  <c r="H393" i="46"/>
  <c r="H401" i="46"/>
  <c r="H372" i="46"/>
  <c r="H319" i="46"/>
  <c r="H327" i="46"/>
  <c r="H343" i="46"/>
  <c r="H359" i="46"/>
  <c r="H375" i="46"/>
  <c r="I429" i="46"/>
  <c r="H407" i="46"/>
  <c r="H435" i="46"/>
  <c r="I422" i="46"/>
  <c r="I438" i="46"/>
  <c r="H438" i="46"/>
  <c r="H432" i="46"/>
  <c r="H457" i="46"/>
  <c r="I457" i="46"/>
  <c r="H354" i="46"/>
  <c r="H370" i="46"/>
  <c r="I436" i="46"/>
  <c r="H436" i="46"/>
  <c r="I452" i="46"/>
  <c r="H353" i="46"/>
  <c r="H387" i="46"/>
  <c r="H423" i="46"/>
  <c r="I423" i="46"/>
  <c r="I439" i="46"/>
  <c r="H352" i="46"/>
  <c r="H368" i="46"/>
  <c r="H418" i="46"/>
  <c r="I434" i="46"/>
  <c r="H458" i="46"/>
  <c r="I458" i="46"/>
  <c r="A5" i="47" a="1"/>
  <c r="D24" i="48"/>
  <c r="E24" i="48" s="1"/>
  <c r="D27" i="48"/>
  <c r="E27" i="48" s="1"/>
  <c r="D29" i="48"/>
  <c r="E29" i="48" s="1"/>
  <c r="D33" i="48"/>
  <c r="E33" i="48" s="1"/>
  <c r="D30" i="48"/>
  <c r="E30" i="48" s="1"/>
  <c r="D13" i="48"/>
  <c r="E13" i="48" s="1"/>
  <c r="D28" i="48"/>
  <c r="E28" i="48" s="1"/>
  <c r="D20" i="48"/>
  <c r="E20" i="48" s="1"/>
  <c r="D21" i="48"/>
  <c r="E21" i="48" s="1"/>
  <c r="D32" i="48"/>
  <c r="E32" i="48" s="1"/>
  <c r="C34" i="48"/>
  <c r="D25" i="48"/>
  <c r="E25" i="48" s="1"/>
  <c r="D22" i="48"/>
  <c r="D38" i="48"/>
  <c r="D40" i="48" s="1"/>
  <c r="C40" i="48"/>
  <c r="D11" i="48"/>
  <c r="B34" i="48"/>
  <c r="B47" i="48" s="1"/>
  <c r="D17" i="48"/>
  <c r="E17" i="48" s="1"/>
  <c r="D31" i="48"/>
  <c r="E31" i="48" s="1"/>
  <c r="D14" i="48"/>
  <c r="D26" i="48"/>
  <c r="D23" i="48"/>
  <c r="E23" i="48" s="1"/>
  <c r="D18" i="48"/>
  <c r="D15" i="48"/>
  <c r="Q466" i="36"/>
  <c r="W466" i="36" s="1"/>
  <c r="Q497" i="36"/>
  <c r="Q499" i="36"/>
  <c r="AJ48" i="38"/>
  <c r="AJ40" i="38"/>
  <c r="AH47" i="38"/>
  <c r="AH40" i="38"/>
  <c r="AG47" i="38"/>
  <c r="AJ38" i="38"/>
  <c r="AJ45" i="38"/>
  <c r="AH38" i="38"/>
  <c r="Q444" i="36"/>
  <c r="W444" i="36" s="1"/>
  <c r="Q449" i="36"/>
  <c r="W449" i="36" s="1"/>
  <c r="Q460" i="36"/>
  <c r="W460" i="36" s="1"/>
  <c r="Q498" i="36"/>
  <c r="Q459" i="36"/>
  <c r="W459" i="36" s="1"/>
  <c r="Q464" i="36"/>
  <c r="W464" i="36" s="1"/>
  <c r="Q477" i="36"/>
  <c r="Q462" i="36"/>
  <c r="W462" i="36" s="1"/>
  <c r="Q443" i="36"/>
  <c r="W443" i="36" s="1"/>
  <c r="Q469" i="36"/>
  <c r="W469" i="36" s="1"/>
  <c r="Q426" i="36"/>
  <c r="W426" i="36" s="1"/>
  <c r="Q439" i="36"/>
  <c r="W439" i="36" s="1"/>
  <c r="Q448" i="36"/>
  <c r="W448" i="36" s="1"/>
  <c r="Q461" i="36"/>
  <c r="W461" i="36" s="1"/>
  <c r="Q474" i="36"/>
  <c r="W474" i="36" s="1"/>
  <c r="Q454" i="36"/>
  <c r="W454" i="36" s="1"/>
  <c r="Q453" i="36"/>
  <c r="W453" i="36" s="1"/>
  <c r="Q468" i="36"/>
  <c r="W468" i="36" s="1"/>
  <c r="Q478" i="36"/>
  <c r="W478" i="36" s="1"/>
  <c r="Q445" i="36"/>
  <c r="W445" i="36" s="1"/>
  <c r="Q450" i="36"/>
  <c r="W450" i="36" s="1"/>
  <c r="Q430" i="36"/>
  <c r="W430" i="36" s="1"/>
  <c r="Q482" i="36"/>
  <c r="W482" i="36" s="1"/>
  <c r="Q452" i="36"/>
  <c r="W452" i="36" s="1"/>
  <c r="Q451" i="36"/>
  <c r="W451" i="36" s="1"/>
  <c r="Q458" i="36"/>
  <c r="W458" i="36" s="1"/>
  <c r="Q476" i="36"/>
  <c r="W476" i="36" s="1"/>
  <c r="Q481" i="36"/>
  <c r="W481" i="36" s="1"/>
  <c r="Q494" i="36"/>
  <c r="W494" i="36" s="1"/>
  <c r="Q446" i="36"/>
  <c r="W446" i="36" s="1"/>
  <c r="Q456" i="36"/>
  <c r="W456" i="36" s="1"/>
  <c r="Q489" i="36"/>
  <c r="W489" i="36" s="1"/>
  <c r="Q479" i="36"/>
  <c r="W479" i="36" s="1"/>
  <c r="Q423" i="36"/>
  <c r="W423" i="36" s="1"/>
  <c r="Q457" i="36"/>
  <c r="W457" i="36" s="1"/>
  <c r="Q487" i="36"/>
  <c r="W487" i="36" s="1"/>
  <c r="Q490" i="36"/>
  <c r="W490" i="36" s="1"/>
  <c r="Q485" i="36"/>
  <c r="Q493" i="36"/>
  <c r="W493" i="36" s="1"/>
  <c r="Q438" i="36"/>
  <c r="W438" i="36" s="1"/>
  <c r="Q483" i="36"/>
  <c r="W483" i="36" s="1"/>
  <c r="Q488" i="36"/>
  <c r="W488" i="36" s="1"/>
  <c r="Q496" i="36"/>
  <c r="Q437" i="36"/>
  <c r="W437" i="36" s="1"/>
  <c r="Q431" i="36"/>
  <c r="W431" i="36" s="1"/>
  <c r="Q447" i="36"/>
  <c r="W447" i="36" s="1"/>
  <c r="Q495" i="36"/>
  <c r="W495" i="36" s="1"/>
  <c r="Q471" i="36"/>
  <c r="W471" i="36" s="1"/>
  <c r="Q467" i="36"/>
  <c r="W467" i="36" s="1"/>
  <c r="Q442" i="36"/>
  <c r="W442" i="36" s="1"/>
  <c r="Q455" i="36"/>
  <c r="W455" i="36" s="1"/>
  <c r="Q465" i="36"/>
  <c r="W465" i="36" s="1"/>
  <c r="Q472" i="36"/>
  <c r="W472" i="36" s="1"/>
  <c r="Q484" i="36"/>
  <c r="W484" i="36" s="1"/>
  <c r="Q486" i="36"/>
  <c r="W486" i="36" s="1"/>
  <c r="Q491" i="36"/>
  <c r="W491" i="36" s="1"/>
  <c r="Q470" i="36"/>
  <c r="W470" i="36" s="1"/>
  <c r="Q475" i="36"/>
  <c r="W475" i="36" s="1"/>
  <c r="Q463" i="36"/>
  <c r="W463" i="36" s="1"/>
  <c r="Q473" i="36"/>
  <c r="W473" i="36" s="1"/>
  <c r="Q480" i="36"/>
  <c r="W480" i="36" s="1"/>
  <c r="Q492" i="36"/>
  <c r="W492" i="36" s="1"/>
  <c r="Q435" i="36"/>
  <c r="W435" i="36" s="1"/>
  <c r="Q422" i="36"/>
  <c r="W422" i="36" s="1"/>
  <c r="Q427" i="36"/>
  <c r="W427" i="36" s="1"/>
  <c r="Q434" i="36"/>
  <c r="W434" i="36" s="1"/>
  <c r="Q436" i="36"/>
  <c r="W436" i="36" s="1"/>
  <c r="AF49" i="38"/>
  <c r="AJ50" i="38"/>
  <c r="AK48" i="38"/>
  <c r="AF47" i="38"/>
  <c r="AF44" i="38"/>
  <c r="AG42" i="38"/>
  <c r="AG40" i="38"/>
  <c r="AG38" i="38"/>
  <c r="AG36" i="38"/>
  <c r="AG34" i="38"/>
  <c r="AF34" i="38"/>
  <c r="AG50" i="38"/>
  <c r="AH48" i="38"/>
  <c r="AH45" i="38"/>
  <c r="AJ43" i="38"/>
  <c r="AJ41" i="38"/>
  <c r="AJ39" i="38"/>
  <c r="AJ37" i="38"/>
  <c r="AJ35" i="38"/>
  <c r="AJ33" i="38"/>
  <c r="AK43" i="38"/>
  <c r="AF42" i="38"/>
  <c r="AF36" i="38"/>
  <c r="AF50" i="38"/>
  <c r="AG48" i="38"/>
  <c r="AG45" i="38"/>
  <c r="AH43" i="38"/>
  <c r="AH41" i="38"/>
  <c r="AH39" i="38"/>
  <c r="AH37" i="38"/>
  <c r="AH35" i="38"/>
  <c r="AH33" i="38"/>
  <c r="AF40" i="38"/>
  <c r="AF32" i="38"/>
  <c r="AJ49" i="38"/>
  <c r="AF48" i="38"/>
  <c r="AF45" i="38"/>
  <c r="AG43" i="38"/>
  <c r="AG41" i="38"/>
  <c r="AG39" i="38"/>
  <c r="AG37" i="38"/>
  <c r="AG35" i="38"/>
  <c r="AF38" i="38"/>
  <c r="AJ32" i="38"/>
  <c r="AJ47" i="38"/>
  <c r="AF43" i="38"/>
  <c r="AF41" i="38"/>
  <c r="AF39" i="38"/>
  <c r="AF37" i="38"/>
  <c r="AF35" i="38"/>
  <c r="AI37" i="38"/>
  <c r="AI40" i="38"/>
  <c r="AI50" i="38"/>
  <c r="AI47" i="38"/>
  <c r="AI43" i="38"/>
  <c r="AI35" i="38"/>
  <c r="AI38" i="38"/>
  <c r="AI44" i="38"/>
  <c r="AI41" i="38"/>
  <c r="AI33" i="38"/>
  <c r="AI48" i="38"/>
  <c r="AI36" i="38"/>
  <c r="AI32" i="38"/>
  <c r="AI39" i="38"/>
  <c r="AI49" i="38"/>
  <c r="AI45" i="38"/>
  <c r="AI42" i="38"/>
  <c r="AK39" i="38"/>
  <c r="AK49" i="38"/>
  <c r="AK44" i="38"/>
  <c r="AK40" i="38"/>
  <c r="AK36" i="38"/>
  <c r="AK33" i="38"/>
  <c r="AK50" i="38"/>
  <c r="AK45" i="38"/>
  <c r="AK41" i="38"/>
  <c r="AK37" i="38"/>
  <c r="AK47" i="38"/>
  <c r="AK42" i="38"/>
  <c r="AK38" i="38"/>
  <c r="AK34" i="38"/>
  <c r="AK32" i="38"/>
  <c r="Q419" i="36"/>
  <c r="W419" i="36" s="1"/>
  <c r="Q429" i="36"/>
  <c r="W429" i="36" s="1"/>
  <c r="Q421" i="36"/>
  <c r="W421" i="36" s="1"/>
  <c r="Q418" i="36"/>
  <c r="W418" i="36" s="1"/>
  <c r="Q433" i="36"/>
  <c r="W433" i="36" s="1"/>
  <c r="Q425" i="36"/>
  <c r="W425" i="36" s="1"/>
  <c r="Q440" i="36"/>
  <c r="W440" i="36" s="1"/>
  <c r="Q432" i="36"/>
  <c r="W432" i="36" s="1"/>
  <c r="Q424" i="36"/>
  <c r="W424" i="36" s="1"/>
  <c r="Q441" i="36"/>
  <c r="W441" i="36" s="1"/>
  <c r="Q428" i="36"/>
  <c r="W428" i="36" s="1"/>
  <c r="Q420" i="36"/>
  <c r="W420" i="36" s="1"/>
  <c r="H396" i="46" l="1"/>
  <c r="H419" i="46"/>
  <c r="H413" i="46"/>
  <c r="I399" i="46"/>
  <c r="I411" i="46"/>
  <c r="H347" i="46"/>
  <c r="H385" i="46"/>
  <c r="H449" i="46"/>
  <c r="H349" i="46"/>
  <c r="I444" i="46"/>
  <c r="H355" i="46"/>
  <c r="I407" i="46"/>
  <c r="H311" i="46"/>
  <c r="I402" i="46"/>
  <c r="I420" i="46"/>
  <c r="H377" i="46"/>
  <c r="H411" i="46"/>
  <c r="H456" i="46"/>
  <c r="H380" i="46"/>
  <c r="H394" i="46"/>
  <c r="I428" i="46"/>
  <c r="H441" i="46"/>
  <c r="H356" i="46"/>
  <c r="H398" i="46"/>
  <c r="H392" i="46"/>
  <c r="H303" i="46"/>
  <c r="H404" i="46"/>
  <c r="H366" i="46"/>
  <c r="H443" i="46"/>
  <c r="I437" i="46"/>
  <c r="H379" i="46"/>
  <c r="H362" i="46"/>
  <c r="H335" i="46"/>
  <c r="H360" i="46"/>
  <c r="H345" i="46"/>
  <c r="H373" i="46"/>
  <c r="H431" i="46"/>
  <c r="H424" i="46"/>
  <c r="H430" i="46"/>
  <c r="H367" i="46"/>
  <c r="H409" i="46"/>
  <c r="H426" i="46"/>
  <c r="H134" i="46"/>
  <c r="H348" i="46"/>
  <c r="H209" i="46"/>
  <c r="Z209" i="46"/>
  <c r="H304" i="46"/>
  <c r="Z304" i="46"/>
  <c r="H290" i="46"/>
  <c r="Z290" i="46"/>
  <c r="H331" i="46"/>
  <c r="Z331" i="46"/>
  <c r="H105" i="46"/>
  <c r="Z105" i="46"/>
  <c r="H16" i="46"/>
  <c r="Z16" i="46"/>
  <c r="H272" i="46"/>
  <c r="Z272" i="46"/>
  <c r="H233" i="46"/>
  <c r="Z233" i="46"/>
  <c r="H321" i="46"/>
  <c r="Z321" i="46"/>
  <c r="H32" i="46"/>
  <c r="Z32" i="46"/>
  <c r="H160" i="46"/>
  <c r="Z160" i="46"/>
  <c r="H288" i="46"/>
  <c r="Z288" i="46"/>
  <c r="H82" i="46"/>
  <c r="Z82" i="46"/>
  <c r="H210" i="46"/>
  <c r="Z210" i="46"/>
  <c r="H274" i="46"/>
  <c r="Z274" i="46"/>
  <c r="H338" i="46"/>
  <c r="Z338" i="46"/>
  <c r="H59" i="46"/>
  <c r="Z59" i="46"/>
  <c r="H123" i="46"/>
  <c r="Z123" i="46"/>
  <c r="H187" i="46"/>
  <c r="Z187" i="46"/>
  <c r="H251" i="46"/>
  <c r="Z251" i="46"/>
  <c r="H315" i="46"/>
  <c r="Z315" i="46"/>
  <c r="H36" i="46"/>
  <c r="Z36" i="46"/>
  <c r="H100" i="46"/>
  <c r="Z100" i="46"/>
  <c r="H164" i="46"/>
  <c r="Z164" i="46"/>
  <c r="H228" i="46"/>
  <c r="Z228" i="46"/>
  <c r="H292" i="46"/>
  <c r="Z292" i="46"/>
  <c r="H13" i="46"/>
  <c r="Z13" i="46"/>
  <c r="H77" i="46"/>
  <c r="Z77" i="46"/>
  <c r="H141" i="46"/>
  <c r="Z141" i="46"/>
  <c r="H205" i="46"/>
  <c r="Z205" i="46"/>
  <c r="H269" i="46"/>
  <c r="Z269" i="46"/>
  <c r="H333" i="46"/>
  <c r="Z333" i="46"/>
  <c r="H54" i="46"/>
  <c r="Z54" i="46"/>
  <c r="H118" i="46"/>
  <c r="Z118" i="46"/>
  <c r="H182" i="46"/>
  <c r="Z182" i="46"/>
  <c r="H246" i="46"/>
  <c r="Z246" i="46"/>
  <c r="H310" i="46"/>
  <c r="Z310" i="46"/>
  <c r="H31" i="46"/>
  <c r="Z31" i="46"/>
  <c r="H95" i="46"/>
  <c r="Z95" i="46"/>
  <c r="H159" i="46"/>
  <c r="Z159" i="46"/>
  <c r="H223" i="46"/>
  <c r="Z223" i="46"/>
  <c r="H287" i="46"/>
  <c r="Z287" i="46"/>
  <c r="H389" i="46"/>
  <c r="Z389" i="46"/>
  <c r="I453" i="46"/>
  <c r="Z453" i="46"/>
  <c r="H382" i="46"/>
  <c r="Z382" i="46"/>
  <c r="I446" i="46"/>
  <c r="Z446" i="46"/>
  <c r="H383" i="46"/>
  <c r="Z383" i="46"/>
  <c r="H447" i="46"/>
  <c r="Z447" i="46"/>
  <c r="H376" i="46"/>
  <c r="Z376" i="46"/>
  <c r="H440" i="46"/>
  <c r="Z440" i="46"/>
  <c r="H361" i="46"/>
  <c r="Z361" i="46"/>
  <c r="I425" i="46"/>
  <c r="Z425" i="46"/>
  <c r="H378" i="46"/>
  <c r="Z378" i="46"/>
  <c r="H442" i="46"/>
  <c r="Z442" i="46"/>
  <c r="H395" i="46"/>
  <c r="Z395" i="46"/>
  <c r="H161" i="46"/>
  <c r="Z161" i="46"/>
  <c r="H112" i="46"/>
  <c r="Z112" i="46"/>
  <c r="H34" i="46"/>
  <c r="Z34" i="46"/>
  <c r="H203" i="46"/>
  <c r="Z203" i="46"/>
  <c r="H305" i="46"/>
  <c r="Z305" i="46"/>
  <c r="H80" i="46"/>
  <c r="Z80" i="46"/>
  <c r="H336" i="46"/>
  <c r="Z336" i="46"/>
  <c r="H33" i="46"/>
  <c r="Z33" i="46"/>
  <c r="H121" i="46"/>
  <c r="Z121" i="46"/>
  <c r="H81" i="46"/>
  <c r="Z81" i="46"/>
  <c r="H96" i="46"/>
  <c r="Z96" i="46"/>
  <c r="H224" i="46"/>
  <c r="Z224" i="46"/>
  <c r="H18" i="46"/>
  <c r="Z18" i="46"/>
  <c r="H146" i="46"/>
  <c r="Z146" i="46"/>
  <c r="H97" i="46"/>
  <c r="Z97" i="46"/>
  <c r="H297" i="46"/>
  <c r="Z297" i="46"/>
  <c r="H185" i="46"/>
  <c r="Z185" i="46"/>
  <c r="H9" i="46"/>
  <c r="Z9" i="46"/>
  <c r="H145" i="46"/>
  <c r="Z145" i="46"/>
  <c r="H40" i="46"/>
  <c r="Z40" i="46"/>
  <c r="H104" i="46"/>
  <c r="Z104" i="46"/>
  <c r="H168" i="46"/>
  <c r="Z168" i="46"/>
  <c r="H232" i="46"/>
  <c r="Z232" i="46"/>
  <c r="H296" i="46"/>
  <c r="Z296" i="46"/>
  <c r="H26" i="46"/>
  <c r="Z26" i="46"/>
  <c r="H90" i="46"/>
  <c r="Z90" i="46"/>
  <c r="H154" i="46"/>
  <c r="Z154" i="46"/>
  <c r="H218" i="46"/>
  <c r="Z218" i="46"/>
  <c r="H282" i="46"/>
  <c r="Z282" i="46"/>
  <c r="H67" i="46"/>
  <c r="Z67" i="46"/>
  <c r="H131" i="46"/>
  <c r="Z131" i="46"/>
  <c r="H195" i="46"/>
  <c r="Z195" i="46"/>
  <c r="H259" i="46"/>
  <c r="Z259" i="46"/>
  <c r="H323" i="46"/>
  <c r="Z323" i="46"/>
  <c r="H44" i="46"/>
  <c r="Z44" i="46"/>
  <c r="H108" i="46"/>
  <c r="Z108" i="46"/>
  <c r="H172" i="46"/>
  <c r="Z172" i="46"/>
  <c r="H236" i="46"/>
  <c r="Z236" i="46"/>
  <c r="H300" i="46"/>
  <c r="Z300" i="46"/>
  <c r="H21" i="46"/>
  <c r="Z21" i="46"/>
  <c r="H85" i="46"/>
  <c r="Z85" i="46"/>
  <c r="H149" i="46"/>
  <c r="Z149" i="46"/>
  <c r="H213" i="46"/>
  <c r="Z213" i="46"/>
  <c r="H277" i="46"/>
  <c r="Z277" i="46"/>
  <c r="H341" i="46"/>
  <c r="Z341" i="46"/>
  <c r="H62" i="46"/>
  <c r="Z62" i="46"/>
  <c r="H126" i="46"/>
  <c r="Z126" i="46"/>
  <c r="H190" i="46"/>
  <c r="Z190" i="46"/>
  <c r="H254" i="46"/>
  <c r="Z254" i="46"/>
  <c r="H318" i="46"/>
  <c r="Z318" i="46"/>
  <c r="H39" i="46"/>
  <c r="Z39" i="46"/>
  <c r="H103" i="46"/>
  <c r="Z103" i="46"/>
  <c r="H167" i="46"/>
  <c r="Z167" i="46"/>
  <c r="H231" i="46"/>
  <c r="Z231" i="46"/>
  <c r="H295" i="46"/>
  <c r="Z295" i="46"/>
  <c r="H388" i="46"/>
  <c r="Z388" i="46"/>
  <c r="H397" i="46"/>
  <c r="Z397" i="46"/>
  <c r="H364" i="46"/>
  <c r="Z364" i="46"/>
  <c r="H390" i="46"/>
  <c r="Z390" i="46"/>
  <c r="I454" i="46"/>
  <c r="Z454" i="46"/>
  <c r="H391" i="46"/>
  <c r="Z391" i="46"/>
  <c r="H455" i="46"/>
  <c r="Z455" i="46"/>
  <c r="H384" i="46"/>
  <c r="Z384" i="46"/>
  <c r="H448" i="46"/>
  <c r="Z448" i="46"/>
  <c r="H369" i="46"/>
  <c r="Z369" i="46"/>
  <c r="H433" i="46"/>
  <c r="Z433" i="46"/>
  <c r="H386" i="46"/>
  <c r="Z386" i="46"/>
  <c r="H450" i="46"/>
  <c r="Z450" i="46"/>
  <c r="H239" i="46"/>
  <c r="Z239" i="46"/>
  <c r="H247" i="46"/>
  <c r="Z247" i="46"/>
  <c r="H49" i="46"/>
  <c r="Z49" i="46"/>
  <c r="H176" i="46"/>
  <c r="Z176" i="46"/>
  <c r="H226" i="46"/>
  <c r="Z226" i="46"/>
  <c r="H75" i="46"/>
  <c r="Z75" i="46"/>
  <c r="H267" i="46"/>
  <c r="Z267" i="46"/>
  <c r="H180" i="46"/>
  <c r="Z180" i="46"/>
  <c r="H308" i="46"/>
  <c r="Z308" i="46"/>
  <c r="H93" i="46"/>
  <c r="Z93" i="46"/>
  <c r="H221" i="46"/>
  <c r="Z221" i="46"/>
  <c r="H6" i="46"/>
  <c r="Z6" i="46"/>
  <c r="H70" i="46"/>
  <c r="Z70" i="46"/>
  <c r="H198" i="46"/>
  <c r="Z198" i="46"/>
  <c r="H326" i="46"/>
  <c r="Z326" i="46"/>
  <c r="H111" i="46"/>
  <c r="Z111" i="46"/>
  <c r="H344" i="46"/>
  <c r="Z344" i="46"/>
  <c r="H113" i="46"/>
  <c r="Z113" i="46"/>
  <c r="H137" i="46"/>
  <c r="Z137" i="46"/>
  <c r="H56" i="46"/>
  <c r="Z56" i="46"/>
  <c r="H184" i="46"/>
  <c r="Z184" i="46"/>
  <c r="H312" i="46"/>
  <c r="Z312" i="46"/>
  <c r="H106" i="46"/>
  <c r="Z106" i="46"/>
  <c r="H298" i="46"/>
  <c r="Z298" i="46"/>
  <c r="H83" i="46"/>
  <c r="Z83" i="46"/>
  <c r="H211" i="46"/>
  <c r="Z211" i="46"/>
  <c r="H339" i="46"/>
  <c r="Z339" i="46"/>
  <c r="H124" i="46"/>
  <c r="Z124" i="46"/>
  <c r="H252" i="46"/>
  <c r="Z252" i="46"/>
  <c r="H37" i="46"/>
  <c r="Z37" i="46"/>
  <c r="H165" i="46"/>
  <c r="Z165" i="46"/>
  <c r="H293" i="46"/>
  <c r="Z293" i="46"/>
  <c r="H78" i="46"/>
  <c r="Z78" i="46"/>
  <c r="H206" i="46"/>
  <c r="Z206" i="46"/>
  <c r="H334" i="46"/>
  <c r="Z334" i="46"/>
  <c r="H119" i="46"/>
  <c r="Z119" i="46"/>
  <c r="H89" i="46"/>
  <c r="Z89" i="46"/>
  <c r="H289" i="46"/>
  <c r="Z289" i="46"/>
  <c r="H177" i="46"/>
  <c r="Z177" i="46"/>
  <c r="H65" i="46"/>
  <c r="Z65" i="46"/>
  <c r="H201" i="46"/>
  <c r="Z201" i="46"/>
  <c r="H337" i="46"/>
  <c r="Z337" i="46"/>
  <c r="H64" i="46"/>
  <c r="Z64" i="46"/>
  <c r="H128" i="46"/>
  <c r="Z128" i="46"/>
  <c r="H192" i="46"/>
  <c r="Z192" i="46"/>
  <c r="H256" i="46"/>
  <c r="Z256" i="46"/>
  <c r="H320" i="46"/>
  <c r="Z320" i="46"/>
  <c r="H50" i="46"/>
  <c r="Z50" i="46"/>
  <c r="H114" i="46"/>
  <c r="Z114" i="46"/>
  <c r="H178" i="46"/>
  <c r="Z178" i="46"/>
  <c r="H242" i="46"/>
  <c r="Z242" i="46"/>
  <c r="H306" i="46"/>
  <c r="Z306" i="46"/>
  <c r="H27" i="46"/>
  <c r="Z27" i="46"/>
  <c r="H91" i="46"/>
  <c r="Z91" i="46"/>
  <c r="H155" i="46"/>
  <c r="Z155" i="46"/>
  <c r="H219" i="46"/>
  <c r="Z219" i="46"/>
  <c r="H283" i="46"/>
  <c r="Z283" i="46"/>
  <c r="H4" i="46"/>
  <c r="Z4" i="46"/>
  <c r="H68" i="46"/>
  <c r="Z68" i="46"/>
  <c r="H132" i="46"/>
  <c r="Z132" i="46"/>
  <c r="H196" i="46"/>
  <c r="Z196" i="46"/>
  <c r="H260" i="46"/>
  <c r="Z260" i="46"/>
  <c r="H324" i="46"/>
  <c r="Z324" i="46"/>
  <c r="H45" i="46"/>
  <c r="Z45" i="46"/>
  <c r="H109" i="46"/>
  <c r="Z109" i="46"/>
  <c r="H173" i="46"/>
  <c r="Z173" i="46"/>
  <c r="H237" i="46"/>
  <c r="Z237" i="46"/>
  <c r="H301" i="46"/>
  <c r="Z301" i="46"/>
  <c r="H22" i="46"/>
  <c r="Z22" i="46"/>
  <c r="H86" i="46"/>
  <c r="Z86" i="46"/>
  <c r="H150" i="46"/>
  <c r="Z150" i="46"/>
  <c r="H214" i="46"/>
  <c r="Z214" i="46"/>
  <c r="H278" i="46"/>
  <c r="Z278" i="46"/>
  <c r="H342" i="46"/>
  <c r="Z342" i="46"/>
  <c r="H63" i="46"/>
  <c r="Z63" i="46"/>
  <c r="H127" i="46"/>
  <c r="Z127" i="46"/>
  <c r="H191" i="46"/>
  <c r="Z191" i="46"/>
  <c r="H255" i="46"/>
  <c r="Z255" i="46"/>
  <c r="H48" i="46"/>
  <c r="Z48" i="46"/>
  <c r="H98" i="46"/>
  <c r="Z98" i="46"/>
  <c r="H139" i="46"/>
  <c r="Z139" i="46"/>
  <c r="H116" i="46"/>
  <c r="Z116" i="46"/>
  <c r="H244" i="46"/>
  <c r="Z244" i="46"/>
  <c r="H29" i="46"/>
  <c r="Z29" i="46"/>
  <c r="H157" i="46"/>
  <c r="Z157" i="46"/>
  <c r="H285" i="46"/>
  <c r="Z285" i="46"/>
  <c r="H262" i="46"/>
  <c r="Z262" i="46"/>
  <c r="H47" i="46"/>
  <c r="Z47" i="46"/>
  <c r="H175" i="46"/>
  <c r="Z175" i="46"/>
  <c r="H25" i="46"/>
  <c r="Z25" i="46"/>
  <c r="H225" i="46"/>
  <c r="Z225" i="46"/>
  <c r="H313" i="46"/>
  <c r="Z313" i="46"/>
  <c r="H273" i="46"/>
  <c r="Z273" i="46"/>
  <c r="H120" i="46"/>
  <c r="Z120" i="46"/>
  <c r="H248" i="46"/>
  <c r="Z248" i="46"/>
  <c r="H42" i="46"/>
  <c r="Z42" i="46"/>
  <c r="H170" i="46"/>
  <c r="Z170" i="46"/>
  <c r="H234" i="46"/>
  <c r="Z234" i="46"/>
  <c r="H19" i="46"/>
  <c r="Z19" i="46"/>
  <c r="H147" i="46"/>
  <c r="Z147" i="46"/>
  <c r="H275" i="46"/>
  <c r="Z275" i="46"/>
  <c r="H60" i="46"/>
  <c r="Z60" i="46"/>
  <c r="H188" i="46"/>
  <c r="Z188" i="46"/>
  <c r="H316" i="46"/>
  <c r="Z316" i="46"/>
  <c r="H101" i="46"/>
  <c r="Z101" i="46"/>
  <c r="H229" i="46"/>
  <c r="Z229" i="46"/>
  <c r="H14" i="46"/>
  <c r="Z14" i="46"/>
  <c r="H142" i="46"/>
  <c r="Z142" i="46"/>
  <c r="H270" i="46"/>
  <c r="Z270" i="46"/>
  <c r="H55" i="46"/>
  <c r="Z55" i="46"/>
  <c r="H183" i="46"/>
  <c r="Z183" i="46"/>
  <c r="H153" i="46"/>
  <c r="Z153" i="46"/>
  <c r="H41" i="46"/>
  <c r="Z41" i="46"/>
  <c r="H241" i="46"/>
  <c r="Z241" i="46"/>
  <c r="H129" i="46"/>
  <c r="Z129" i="46"/>
  <c r="H265" i="46"/>
  <c r="Z265" i="46"/>
  <c r="H8" i="46"/>
  <c r="Z8" i="46"/>
  <c r="H72" i="46"/>
  <c r="Z72" i="46"/>
  <c r="H136" i="46"/>
  <c r="Z136" i="46"/>
  <c r="H200" i="46"/>
  <c r="Z200" i="46"/>
  <c r="H264" i="46"/>
  <c r="Z264" i="46"/>
  <c r="H328" i="46"/>
  <c r="Z328" i="46"/>
  <c r="H58" i="46"/>
  <c r="Z58" i="46"/>
  <c r="H122" i="46"/>
  <c r="Z122" i="46"/>
  <c r="H186" i="46"/>
  <c r="Z186" i="46"/>
  <c r="H250" i="46"/>
  <c r="Z250" i="46"/>
  <c r="H314" i="46"/>
  <c r="Z314" i="46"/>
  <c r="H35" i="46"/>
  <c r="Z35" i="46"/>
  <c r="H99" i="46"/>
  <c r="Z99" i="46"/>
  <c r="H163" i="46"/>
  <c r="Z163" i="46"/>
  <c r="H227" i="46"/>
  <c r="Z227" i="46"/>
  <c r="H291" i="46"/>
  <c r="Z291" i="46"/>
  <c r="H12" i="46"/>
  <c r="Z12" i="46"/>
  <c r="H76" i="46"/>
  <c r="Z76" i="46"/>
  <c r="H140" i="46"/>
  <c r="Z140" i="46"/>
  <c r="H204" i="46"/>
  <c r="Z204" i="46"/>
  <c r="H268" i="46"/>
  <c r="Z268" i="46"/>
  <c r="H332" i="46"/>
  <c r="Z332" i="46"/>
  <c r="H53" i="46"/>
  <c r="Z53" i="46"/>
  <c r="H117" i="46"/>
  <c r="Z117" i="46"/>
  <c r="H181" i="46"/>
  <c r="Z181" i="46"/>
  <c r="H245" i="46"/>
  <c r="Z245" i="46"/>
  <c r="H309" i="46"/>
  <c r="Z309" i="46"/>
  <c r="H30" i="46"/>
  <c r="Z30" i="46"/>
  <c r="H94" i="46"/>
  <c r="Z94" i="46"/>
  <c r="H158" i="46"/>
  <c r="Z158" i="46"/>
  <c r="H222" i="46"/>
  <c r="Z222" i="46"/>
  <c r="H286" i="46"/>
  <c r="Z286" i="46"/>
  <c r="H7" i="46"/>
  <c r="Z7" i="46"/>
  <c r="H71" i="46"/>
  <c r="Z71" i="46"/>
  <c r="H135" i="46"/>
  <c r="Z135" i="46"/>
  <c r="H199" i="46"/>
  <c r="Z199" i="46"/>
  <c r="H263" i="46"/>
  <c r="Z263" i="46"/>
  <c r="H249" i="46"/>
  <c r="Z249" i="46"/>
  <c r="H162" i="46"/>
  <c r="Z162" i="46"/>
  <c r="H193" i="46"/>
  <c r="Z193" i="46"/>
  <c r="H144" i="46"/>
  <c r="Z144" i="46"/>
  <c r="H66" i="46"/>
  <c r="Z66" i="46"/>
  <c r="H43" i="46"/>
  <c r="Z43" i="46"/>
  <c r="H271" i="46"/>
  <c r="Z271" i="46"/>
  <c r="H73" i="46"/>
  <c r="Z73" i="46"/>
  <c r="H240" i="46"/>
  <c r="Z240" i="46"/>
  <c r="H11" i="46"/>
  <c r="Z11" i="46"/>
  <c r="H52" i="46"/>
  <c r="Z52" i="46"/>
  <c r="H217" i="46"/>
  <c r="Z217" i="46"/>
  <c r="H329" i="46"/>
  <c r="Z329" i="46"/>
  <c r="H208" i="46"/>
  <c r="Z208" i="46"/>
  <c r="H130" i="46"/>
  <c r="Z130" i="46"/>
  <c r="H194" i="46"/>
  <c r="Z194" i="46"/>
  <c r="H258" i="46"/>
  <c r="Z258" i="46"/>
  <c r="H322" i="46"/>
  <c r="Z322" i="46"/>
  <c r="H107" i="46"/>
  <c r="Z107" i="46"/>
  <c r="H171" i="46"/>
  <c r="Z171" i="46"/>
  <c r="H235" i="46"/>
  <c r="Z235" i="46"/>
  <c r="H299" i="46"/>
  <c r="Z299" i="46"/>
  <c r="H20" i="46"/>
  <c r="Z20" i="46"/>
  <c r="H84" i="46"/>
  <c r="Z84" i="46"/>
  <c r="H148" i="46"/>
  <c r="Z148" i="46"/>
  <c r="H212" i="46"/>
  <c r="Z212" i="46"/>
  <c r="H276" i="46"/>
  <c r="Z276" i="46"/>
  <c r="H340" i="46"/>
  <c r="Z340" i="46"/>
  <c r="H61" i="46"/>
  <c r="Z61" i="46"/>
  <c r="H125" i="46"/>
  <c r="Z125" i="46"/>
  <c r="H189" i="46"/>
  <c r="Z189" i="46"/>
  <c r="H253" i="46"/>
  <c r="Z253" i="46"/>
  <c r="H317" i="46"/>
  <c r="Z317" i="46"/>
  <c r="H38" i="46"/>
  <c r="Z38" i="46"/>
  <c r="H102" i="46"/>
  <c r="Z102" i="46"/>
  <c r="H166" i="46"/>
  <c r="Z166" i="46"/>
  <c r="H230" i="46"/>
  <c r="Z230" i="46"/>
  <c r="H294" i="46"/>
  <c r="Z294" i="46"/>
  <c r="H15" i="46"/>
  <c r="Z15" i="46"/>
  <c r="H79" i="46"/>
  <c r="Z79" i="46"/>
  <c r="H143" i="46"/>
  <c r="Z143" i="46"/>
  <c r="H207" i="46"/>
  <c r="Z207" i="46"/>
  <c r="H281" i="46"/>
  <c r="Z281" i="46"/>
  <c r="H169" i="46"/>
  <c r="Z169" i="46"/>
  <c r="H57" i="46"/>
  <c r="Z57" i="46"/>
  <c r="H257" i="46"/>
  <c r="Z257" i="46"/>
  <c r="H17" i="46"/>
  <c r="Z17" i="46"/>
  <c r="H24" i="46"/>
  <c r="Z24" i="46"/>
  <c r="H88" i="46"/>
  <c r="Z88" i="46"/>
  <c r="H152" i="46"/>
  <c r="Z152" i="46"/>
  <c r="H216" i="46"/>
  <c r="Z216" i="46"/>
  <c r="H280" i="46"/>
  <c r="Z280" i="46"/>
  <c r="H10" i="46"/>
  <c r="Z10" i="46"/>
  <c r="H74" i="46"/>
  <c r="Z74" i="46"/>
  <c r="H138" i="46"/>
  <c r="Z138" i="46"/>
  <c r="H202" i="46"/>
  <c r="Z202" i="46"/>
  <c r="H266" i="46"/>
  <c r="Z266" i="46"/>
  <c r="H330" i="46"/>
  <c r="Z330" i="46"/>
  <c r="H51" i="46"/>
  <c r="Z51" i="46"/>
  <c r="H115" i="46"/>
  <c r="Z115" i="46"/>
  <c r="H179" i="46"/>
  <c r="Z179" i="46"/>
  <c r="H243" i="46"/>
  <c r="Z243" i="46"/>
  <c r="H307" i="46"/>
  <c r="Z307" i="46"/>
  <c r="H28" i="46"/>
  <c r="Z28" i="46"/>
  <c r="H92" i="46"/>
  <c r="Z92" i="46"/>
  <c r="H156" i="46"/>
  <c r="Z156" i="46"/>
  <c r="H220" i="46"/>
  <c r="Z220" i="46"/>
  <c r="H284" i="46"/>
  <c r="Z284" i="46"/>
  <c r="H5" i="46"/>
  <c r="Z5" i="46"/>
  <c r="H69" i="46"/>
  <c r="Z69" i="46"/>
  <c r="H133" i="46"/>
  <c r="Z133" i="46"/>
  <c r="H197" i="46"/>
  <c r="Z197" i="46"/>
  <c r="H261" i="46"/>
  <c r="Z261" i="46"/>
  <c r="H325" i="46"/>
  <c r="Z325" i="46"/>
  <c r="H46" i="46"/>
  <c r="Z46" i="46"/>
  <c r="H110" i="46"/>
  <c r="Z110" i="46"/>
  <c r="H174" i="46"/>
  <c r="Z174" i="46"/>
  <c r="H238" i="46"/>
  <c r="Z238" i="46"/>
  <c r="H302" i="46"/>
  <c r="Z302" i="46"/>
  <c r="H23" i="46"/>
  <c r="Z23" i="46"/>
  <c r="H87" i="46"/>
  <c r="Z87" i="46"/>
  <c r="H151" i="46"/>
  <c r="Z151" i="46"/>
  <c r="H215" i="46"/>
  <c r="Z215" i="46"/>
  <c r="H279" i="46"/>
  <c r="Z279" i="46"/>
  <c r="H446" i="46"/>
  <c r="H3" i="46"/>
  <c r="Z3" i="46"/>
  <c r="I70" i="46"/>
  <c r="I448" i="46"/>
  <c r="I410" i="46"/>
  <c r="H453" i="46"/>
  <c r="H420" i="46"/>
  <c r="I413" i="46"/>
  <c r="I450" i="46"/>
  <c r="I447" i="46"/>
  <c r="I433" i="46"/>
  <c r="I426" i="46"/>
  <c r="I14" i="46"/>
  <c r="H437" i="46"/>
  <c r="I456" i="46"/>
  <c r="I431" i="46"/>
  <c r="H444" i="46"/>
  <c r="I417" i="46"/>
  <c r="I427" i="46"/>
  <c r="H414" i="46"/>
  <c r="H421" i="46"/>
  <c r="I440" i="46"/>
  <c r="I415" i="46"/>
  <c r="H428" i="46"/>
  <c r="I451" i="46"/>
  <c r="H445" i="46"/>
  <c r="I23" i="46"/>
  <c r="I449" i="46"/>
  <c r="I443" i="46"/>
  <c r="H454" i="46"/>
  <c r="I442" i="46"/>
  <c r="I441" i="46"/>
  <c r="I38" i="46"/>
  <c r="I455" i="46"/>
  <c r="I416" i="46"/>
  <c r="I5" i="46"/>
  <c r="I39" i="46"/>
  <c r="H412" i="46"/>
  <c r="I430" i="46"/>
  <c r="I424" i="46"/>
  <c r="I419" i="46"/>
  <c r="I30" i="46"/>
  <c r="H399" i="46"/>
  <c r="I86" i="46"/>
  <c r="I16" i="46"/>
  <c r="I80" i="46"/>
  <c r="I48" i="46"/>
  <c r="I18" i="46"/>
  <c r="H402" i="46"/>
  <c r="I3" i="46"/>
  <c r="I15" i="46"/>
  <c r="I31" i="46"/>
  <c r="I226" i="46"/>
  <c r="I409" i="46"/>
  <c r="I4" i="46"/>
  <c r="I401" i="46"/>
  <c r="I404" i="46"/>
  <c r="H400" i="46"/>
  <c r="I400" i="46"/>
  <c r="H408" i="46"/>
  <c r="I408" i="46"/>
  <c r="I7" i="46"/>
  <c r="H403" i="46"/>
  <c r="I403" i="46"/>
  <c r="I24" i="46"/>
  <c r="I26" i="46"/>
  <c r="I405" i="46"/>
  <c r="H405" i="46"/>
  <c r="I406" i="46"/>
  <c r="H406" i="46"/>
  <c r="I52" i="46"/>
  <c r="A5" i="47"/>
  <c r="J5" i="47"/>
  <c r="J7" i="47" s="1"/>
  <c r="D5" i="47"/>
  <c r="D7" i="47" s="1"/>
  <c r="H5" i="47"/>
  <c r="H7" i="47" s="1"/>
  <c r="K5" i="47"/>
  <c r="K7" i="47" s="1"/>
  <c r="G5" i="47"/>
  <c r="G7" i="47" s="1"/>
  <c r="C5" i="47"/>
  <c r="C7" i="47" s="1"/>
  <c r="N5" i="47"/>
  <c r="N7" i="47" s="1"/>
  <c r="B5" i="47"/>
  <c r="F5" i="47"/>
  <c r="F7" i="47" s="1"/>
  <c r="I5" i="47"/>
  <c r="I7" i="47" s="1"/>
  <c r="M5" i="47"/>
  <c r="M7" i="47" s="1"/>
  <c r="E5" i="47"/>
  <c r="E7" i="47" s="1"/>
  <c r="L5" i="47"/>
  <c r="L7" i="47" s="1"/>
  <c r="E26" i="48"/>
  <c r="D34" i="48"/>
  <c r="F11" i="48" s="1"/>
  <c r="C47" i="48"/>
  <c r="E14" i="48"/>
  <c r="E22" i="48"/>
  <c r="E11" i="48"/>
  <c r="E15" i="48"/>
  <c r="E18" i="48"/>
  <c r="I56" i="46"/>
  <c r="I58" i="46"/>
  <c r="I55" i="46"/>
  <c r="I8" i="46"/>
  <c r="I12" i="46"/>
  <c r="I6" i="46"/>
  <c r="I47" i="46"/>
  <c r="I20" i="46"/>
  <c r="I36" i="46"/>
  <c r="I98" i="46"/>
  <c r="I46" i="46"/>
  <c r="I42" i="46"/>
  <c r="I44" i="46"/>
  <c r="I13" i="46"/>
  <c r="I22" i="46"/>
  <c r="I62" i="46"/>
  <c r="I32" i="46"/>
  <c r="I29" i="46"/>
  <c r="I40" i="46"/>
  <c r="I28" i="46"/>
  <c r="I90" i="46"/>
  <c r="I25" i="46"/>
  <c r="I21" i="46"/>
  <c r="I37" i="46"/>
  <c r="I34" i="46"/>
  <c r="I50" i="46"/>
  <c r="I54" i="46"/>
  <c r="I10" i="46"/>
  <c r="I349" i="46"/>
  <c r="I376" i="46"/>
  <c r="I206" i="46"/>
  <c r="I123" i="46"/>
  <c r="I299" i="46"/>
  <c r="I294" i="46"/>
  <c r="I300" i="46"/>
  <c r="I254" i="46"/>
  <c r="I247" i="46"/>
  <c r="I191" i="46"/>
  <c r="I188" i="46"/>
  <c r="I347" i="46"/>
  <c r="I259" i="46"/>
  <c r="I268" i="46"/>
  <c r="I362" i="46"/>
  <c r="I182" i="46"/>
  <c r="I132" i="46"/>
  <c r="I281" i="46"/>
  <c r="I180" i="46"/>
  <c r="I298" i="46"/>
  <c r="I131" i="46"/>
  <c r="I76" i="46"/>
  <c r="I238" i="46"/>
  <c r="I242" i="46"/>
  <c r="I162" i="46"/>
  <c r="I84" i="46"/>
  <c r="I151" i="46"/>
  <c r="I202" i="46"/>
  <c r="I308" i="46"/>
  <c r="I160" i="46"/>
  <c r="I344" i="46"/>
  <c r="I381" i="46"/>
  <c r="I317" i="46"/>
  <c r="I373" i="46"/>
  <c r="I326" i="46"/>
  <c r="I365" i="46"/>
  <c r="I321" i="46"/>
  <c r="I391" i="46"/>
  <c r="I353" i="46"/>
  <c r="I292" i="46"/>
  <c r="I345" i="46"/>
  <c r="I297" i="46"/>
  <c r="I285" i="46"/>
  <c r="I190" i="46"/>
  <c r="I274" i="46"/>
  <c r="I228" i="46"/>
  <c r="I167" i="46"/>
  <c r="I122" i="46"/>
  <c r="I230" i="46"/>
  <c r="I183" i="46"/>
  <c r="I136" i="46"/>
  <c r="I389" i="46"/>
  <c r="I220" i="46"/>
  <c r="I155" i="46"/>
  <c r="I273" i="46"/>
  <c r="I159" i="46"/>
  <c r="I83" i="46"/>
  <c r="I269" i="46"/>
  <c r="I213" i="46"/>
  <c r="I104" i="46"/>
  <c r="I181" i="46"/>
  <c r="I303" i="46"/>
  <c r="I229" i="46"/>
  <c r="I382" i="46"/>
  <c r="I356" i="46"/>
  <c r="I85" i="46"/>
  <c r="I51" i="46"/>
  <c r="I170" i="46"/>
  <c r="I11" i="46"/>
  <c r="I99" i="46"/>
  <c r="I383" i="46"/>
  <c r="I375" i="46"/>
  <c r="I351" i="46"/>
  <c r="I390" i="46"/>
  <c r="I282" i="46"/>
  <c r="I331" i="46"/>
  <c r="I224" i="46"/>
  <c r="I319" i="46"/>
  <c r="I290" i="46"/>
  <c r="I244" i="46"/>
  <c r="I198" i="46"/>
  <c r="I284" i="46"/>
  <c r="I278" i="46"/>
  <c r="I241" i="46"/>
  <c r="I208" i="46"/>
  <c r="I118" i="46"/>
  <c r="I261" i="46"/>
  <c r="I216" i="46"/>
  <c r="I360" i="46"/>
  <c r="I178" i="46"/>
  <c r="I289" i="46"/>
  <c r="I199" i="46"/>
  <c r="I161" i="46"/>
  <c r="I227" i="46"/>
  <c r="I174" i="46"/>
  <c r="I306" i="46"/>
  <c r="I143" i="46"/>
  <c r="I154" i="46"/>
  <c r="I138" i="46"/>
  <c r="I250" i="46"/>
  <c r="I130" i="46"/>
  <c r="I112" i="46"/>
  <c r="I219" i="46"/>
  <c r="I197" i="46"/>
  <c r="I205" i="46"/>
  <c r="I305" i="46"/>
  <c r="I222" i="46"/>
  <c r="I283" i="46"/>
  <c r="I361" i="46"/>
  <c r="I372" i="46"/>
  <c r="I113" i="46"/>
  <c r="I371" i="46"/>
  <c r="I341" i="46"/>
  <c r="I367" i="46"/>
  <c r="I288" i="46"/>
  <c r="I393" i="46"/>
  <c r="I302" i="46"/>
  <c r="I386" i="46"/>
  <c r="I333" i="46"/>
  <c r="I395" i="46"/>
  <c r="I387" i="46"/>
  <c r="I263" i="46"/>
  <c r="I392" i="46"/>
  <c r="I318" i="46"/>
  <c r="I286" i="46"/>
  <c r="I234" i="46"/>
  <c r="I233" i="46"/>
  <c r="I166" i="46"/>
  <c r="I397" i="46"/>
  <c r="I363" i="46"/>
  <c r="I277" i="46"/>
  <c r="I115" i="46"/>
  <c r="I210" i="46"/>
  <c r="I164" i="46"/>
  <c r="I177" i="46"/>
  <c r="I212" i="46"/>
  <c r="I218" i="46"/>
  <c r="I153" i="46"/>
  <c r="I192" i="46"/>
  <c r="I187" i="46"/>
  <c r="I116" i="46"/>
  <c r="I141" i="46"/>
  <c r="I119" i="46"/>
  <c r="I370" i="46"/>
  <c r="I245" i="46"/>
  <c r="I237" i="46"/>
  <c r="I246" i="46"/>
  <c r="I316" i="46"/>
  <c r="I378" i="46"/>
  <c r="I380" i="46"/>
  <c r="I315" i="46"/>
  <c r="I355" i="46"/>
  <c r="I270" i="46"/>
  <c r="I328" i="46"/>
  <c r="I304" i="46"/>
  <c r="I330" i="46"/>
  <c r="I265" i="46"/>
  <c r="I369" i="46"/>
  <c r="I255" i="46"/>
  <c r="I325" i="46"/>
  <c r="I291" i="46"/>
  <c r="I231" i="46"/>
  <c r="I163" i="46"/>
  <c r="I359" i="46"/>
  <c r="I111" i="46"/>
  <c r="I211" i="46"/>
  <c r="I108" i="46"/>
  <c r="I172" i="46"/>
  <c r="I124" i="46"/>
  <c r="I204" i="46"/>
  <c r="I148" i="46"/>
  <c r="I129" i="46"/>
  <c r="I146" i="46"/>
  <c r="I194" i="46"/>
  <c r="I95" i="46"/>
  <c r="I165" i="46"/>
  <c r="I252" i="46"/>
  <c r="I249" i="46"/>
  <c r="I343" i="46"/>
  <c r="I388" i="46"/>
  <c r="I334" i="46"/>
  <c r="I9" i="46"/>
  <c r="I100" i="46"/>
  <c r="I158" i="46"/>
  <c r="I71" i="46"/>
  <c r="I312" i="46"/>
  <c r="I352" i="46"/>
  <c r="I350" i="46"/>
  <c r="I384" i="46"/>
  <c r="I342" i="46"/>
  <c r="I327" i="46"/>
  <c r="I296" i="46"/>
  <c r="I310" i="46"/>
  <c r="I264" i="46"/>
  <c r="I276" i="46"/>
  <c r="I398" i="46"/>
  <c r="I280" i="46"/>
  <c r="I232" i="46"/>
  <c r="I251" i="46"/>
  <c r="I262" i="46"/>
  <c r="I335" i="46"/>
  <c r="I171" i="46"/>
  <c r="I266" i="46"/>
  <c r="I195" i="46"/>
  <c r="I150" i="46"/>
  <c r="I215" i="46"/>
  <c r="I257" i="46"/>
  <c r="I156" i="46"/>
  <c r="I102" i="46"/>
  <c r="I139" i="46"/>
  <c r="I271" i="46"/>
  <c r="I203" i="46"/>
  <c r="I134" i="46"/>
  <c r="I94" i="46"/>
  <c r="I78" i="46"/>
  <c r="I67" i="46"/>
  <c r="I152" i="46"/>
  <c r="I243" i="46"/>
  <c r="I101" i="46"/>
  <c r="I168" i="46"/>
  <c r="I275" i="46"/>
  <c r="I311" i="46"/>
  <c r="I396" i="46"/>
  <c r="I338" i="46"/>
  <c r="I337" i="46"/>
  <c r="I339" i="46"/>
  <c r="I97" i="46"/>
  <c r="I217" i="46"/>
  <c r="I109" i="46"/>
  <c r="I68" i="46"/>
  <c r="I287" i="46"/>
  <c r="I105" i="46"/>
  <c r="I89" i="46"/>
  <c r="I185" i="46"/>
  <c r="I106" i="46"/>
  <c r="I295" i="46"/>
  <c r="I64" i="46"/>
  <c r="I313" i="46"/>
  <c r="I127" i="46"/>
  <c r="I189" i="46"/>
  <c r="I346" i="46"/>
  <c r="I358" i="46"/>
  <c r="I279" i="46"/>
  <c r="I332" i="46"/>
  <c r="I340" i="46"/>
  <c r="I149" i="46"/>
  <c r="I81" i="46"/>
  <c r="I66" i="46"/>
  <c r="I45" i="46"/>
  <c r="I223" i="46"/>
  <c r="I221" i="46"/>
  <c r="I110" i="46"/>
  <c r="I57" i="46"/>
  <c r="I144" i="46"/>
  <c r="I186" i="46"/>
  <c r="I272" i="46"/>
  <c r="I135" i="46"/>
  <c r="I193" i="46"/>
  <c r="I348" i="46"/>
  <c r="I301" i="46"/>
  <c r="I314" i="46"/>
  <c r="I366" i="46"/>
  <c r="I201" i="46"/>
  <c r="I93" i="46"/>
  <c r="I35" i="46"/>
  <c r="I209" i="46"/>
  <c r="I107" i="46"/>
  <c r="I142" i="46"/>
  <c r="I200" i="46"/>
  <c r="I374" i="46"/>
  <c r="I364" i="46"/>
  <c r="I324" i="46"/>
  <c r="I377" i="46"/>
  <c r="I72" i="46"/>
  <c r="I19" i="46"/>
  <c r="I103" i="46"/>
  <c r="I82" i="46"/>
  <c r="I137" i="46"/>
  <c r="I87" i="46"/>
  <c r="I49" i="46"/>
  <c r="I368" i="46"/>
  <c r="I336" i="46"/>
  <c r="I256" i="46"/>
  <c r="I179" i="46"/>
  <c r="I147" i="46"/>
  <c r="I173" i="46"/>
  <c r="I267" i="46"/>
  <c r="I260" i="46"/>
  <c r="I157" i="46"/>
  <c r="I169" i="46"/>
  <c r="I240" i="46"/>
  <c r="I133" i="46"/>
  <c r="I145" i="46"/>
  <c r="I92" i="46"/>
  <c r="I320" i="46"/>
  <c r="I394" i="46"/>
  <c r="I293" i="46"/>
  <c r="I354" i="46"/>
  <c r="I248" i="46"/>
  <c r="I175" i="46"/>
  <c r="I253" i="46"/>
  <c r="I236" i="46"/>
  <c r="I117" i="46"/>
  <c r="I128" i="46"/>
  <c r="I79" i="46"/>
  <c r="I176" i="46"/>
  <c r="I309" i="46"/>
  <c r="I385" i="46"/>
  <c r="I307" i="46"/>
  <c r="I225" i="46"/>
  <c r="I214" i="46"/>
  <c r="I196" i="46"/>
  <c r="I125" i="46"/>
  <c r="I88" i="46"/>
  <c r="I379" i="46"/>
  <c r="I323" i="46"/>
  <c r="I357" i="46"/>
  <c r="I258" i="46"/>
  <c r="I140" i="46"/>
  <c r="I239" i="46"/>
  <c r="I184" i="46"/>
  <c r="I322" i="46"/>
  <c r="I235" i="46"/>
  <c r="I43" i="46"/>
  <c r="I53" i="46"/>
  <c r="I74" i="46"/>
  <c r="I17" i="46"/>
  <c r="I77" i="46"/>
  <c r="I41" i="46"/>
  <c r="I27" i="46"/>
  <c r="I75" i="46"/>
  <c r="I63" i="46"/>
  <c r="I96" i="46"/>
  <c r="I59" i="46"/>
  <c r="I207" i="46"/>
  <c r="I121" i="46"/>
  <c r="I73" i="46"/>
  <c r="I120" i="46"/>
  <c r="I61" i="46"/>
  <c r="I329" i="46"/>
  <c r="I126" i="46"/>
  <c r="I91" i="46"/>
  <c r="I69" i="46"/>
  <c r="I114" i="46"/>
  <c r="I60" i="46"/>
  <c r="I65" i="46"/>
  <c r="I33" i="46"/>
  <c r="E34" i="48" l="1"/>
  <c r="F15" i="48"/>
  <c r="D47" i="48"/>
  <c r="D58" i="48" s="1"/>
  <c r="F31" i="48"/>
  <c r="F21" i="48"/>
  <c r="F30" i="48"/>
  <c r="F12" i="48"/>
  <c r="F16" i="48"/>
  <c r="F20" i="48"/>
  <c r="F13" i="48"/>
  <c r="F19" i="48"/>
  <c r="F28" i="48"/>
  <c r="F32" i="48"/>
  <c r="F33" i="48"/>
  <c r="F27" i="48"/>
  <c r="F24" i="48"/>
  <c r="F29" i="48"/>
  <c r="F25" i="48"/>
  <c r="F22" i="48"/>
  <c r="F26" i="48"/>
  <c r="F17" i="48"/>
  <c r="F18" i="48"/>
  <c r="F14" i="48"/>
  <c r="F23" i="48"/>
  <c r="AY107" i="36"/>
  <c r="AY106" i="36"/>
  <c r="AY105" i="36"/>
  <c r="AY104" i="36"/>
  <c r="AY103" i="36"/>
  <c r="AY102" i="36"/>
  <c r="AS107" i="36"/>
  <c r="AS106" i="36"/>
  <c r="AS105" i="36"/>
  <c r="AS104" i="36"/>
  <c r="AS103" i="36"/>
  <c r="AS102" i="36"/>
  <c r="AO107" i="36"/>
  <c r="AN107" i="36"/>
  <c r="AL107" i="36"/>
  <c r="AK107" i="36"/>
  <c r="AJ107" i="36"/>
  <c r="AO106" i="36"/>
  <c r="AN106" i="36"/>
  <c r="AL106" i="36"/>
  <c r="AK106" i="36"/>
  <c r="AJ106" i="36"/>
  <c r="AO105" i="36"/>
  <c r="AN105" i="36"/>
  <c r="AL105" i="36"/>
  <c r="AK105" i="36"/>
  <c r="AJ105" i="36"/>
  <c r="AO104" i="36"/>
  <c r="AN104" i="36"/>
  <c r="AL104" i="36"/>
  <c r="AK104" i="36"/>
  <c r="AJ104" i="36"/>
  <c r="AO103" i="36"/>
  <c r="AN103" i="36"/>
  <c r="AL103" i="36"/>
  <c r="AK103" i="36"/>
  <c r="AJ103" i="36"/>
  <c r="AO102" i="36"/>
  <c r="AN102" i="36"/>
  <c r="AL102" i="36"/>
  <c r="AK102" i="36"/>
  <c r="AJ102" i="36"/>
  <c r="AO101" i="36"/>
  <c r="AN101" i="36"/>
  <c r="AK101" i="36"/>
  <c r="AJ101" i="36"/>
  <c r="AO100" i="36"/>
  <c r="AN100" i="36"/>
  <c r="AK100" i="36"/>
  <c r="AJ100" i="36"/>
  <c r="AO99" i="36"/>
  <c r="AN99" i="36"/>
  <c r="AK99" i="36"/>
  <c r="AJ99" i="36"/>
  <c r="AO98" i="36"/>
  <c r="AN98" i="36"/>
  <c r="AK98" i="36"/>
  <c r="AJ98" i="36"/>
  <c r="AO97" i="36"/>
  <c r="AN97" i="36"/>
  <c r="AK97" i="36"/>
  <c r="AJ97" i="36"/>
  <c r="AO96" i="36"/>
  <c r="AN96" i="36"/>
  <c r="AK96" i="36"/>
  <c r="AJ96" i="36"/>
  <c r="AO95" i="36"/>
  <c r="AN95" i="36"/>
  <c r="AK95" i="36"/>
  <c r="AJ95" i="36"/>
  <c r="AO94" i="36"/>
  <c r="AN94" i="36"/>
  <c r="AK94" i="36"/>
  <c r="AJ94" i="36"/>
  <c r="AO93" i="36"/>
  <c r="AN93" i="36"/>
  <c r="AK93" i="36"/>
  <c r="AJ93" i="36"/>
  <c r="AO92" i="36"/>
  <c r="AN92" i="36"/>
  <c r="AK92" i="36"/>
  <c r="AJ92" i="36"/>
  <c r="AO91" i="36"/>
  <c r="AN91" i="36"/>
  <c r="AK91" i="36"/>
  <c r="AJ91" i="36"/>
  <c r="AO90" i="36"/>
  <c r="AN90" i="36"/>
  <c r="AK90" i="36"/>
  <c r="AJ90" i="36"/>
  <c r="AO89" i="36"/>
  <c r="AN89" i="36"/>
  <c r="AK89" i="36"/>
  <c r="AJ89" i="36"/>
  <c r="AO88" i="36"/>
  <c r="AN88" i="36"/>
  <c r="AK88" i="36"/>
  <c r="AJ88" i="36"/>
  <c r="AO87" i="36"/>
  <c r="AN87" i="36"/>
  <c r="AK87" i="36"/>
  <c r="AJ87" i="36"/>
  <c r="AO86" i="36"/>
  <c r="AN86" i="36"/>
  <c r="AK86" i="36"/>
  <c r="AJ86" i="36"/>
  <c r="AO85" i="36"/>
  <c r="AN85" i="36"/>
  <c r="AK85" i="36"/>
  <c r="AJ85" i="36"/>
  <c r="AO84" i="36"/>
  <c r="AN84" i="36"/>
  <c r="AK84" i="36"/>
  <c r="AJ84" i="36"/>
  <c r="AO83" i="36"/>
  <c r="AN83" i="36"/>
  <c r="AK83" i="36"/>
  <c r="AJ83" i="36"/>
  <c r="AO82" i="36"/>
  <c r="AN82" i="36"/>
  <c r="AK82" i="36"/>
  <c r="AJ82" i="36"/>
  <c r="AO81" i="36"/>
  <c r="AN81" i="36"/>
  <c r="AK81" i="36"/>
  <c r="AJ81" i="36"/>
  <c r="AO80" i="36"/>
  <c r="AN80" i="36"/>
  <c r="AK80" i="36"/>
  <c r="AJ80" i="36"/>
  <c r="AO79" i="36"/>
  <c r="AN79" i="36"/>
  <c r="AK79" i="36"/>
  <c r="AJ79" i="36"/>
  <c r="AO78" i="36"/>
  <c r="AN78" i="36"/>
  <c r="AK78" i="36"/>
  <c r="AJ78" i="36"/>
  <c r="AO77" i="36"/>
  <c r="AN77" i="36"/>
  <c r="AK77" i="36"/>
  <c r="AJ77" i="36"/>
  <c r="AO76" i="36"/>
  <c r="AN76" i="36"/>
  <c r="AK76" i="36"/>
  <c r="AJ76" i="36"/>
  <c r="AO75" i="36"/>
  <c r="AN75" i="36"/>
  <c r="AK75" i="36"/>
  <c r="AJ75" i="36"/>
  <c r="AO74" i="36"/>
  <c r="AN74" i="36"/>
  <c r="AK74" i="36"/>
  <c r="AJ74" i="36"/>
  <c r="AO73" i="36"/>
  <c r="AN73" i="36"/>
  <c r="AK73" i="36"/>
  <c r="AJ73" i="36"/>
  <c r="AO72" i="36"/>
  <c r="AN72" i="36"/>
  <c r="AK72" i="36"/>
  <c r="AJ72" i="36"/>
  <c r="AO71" i="36"/>
  <c r="AN71" i="36"/>
  <c r="AK71" i="36"/>
  <c r="AJ71" i="36"/>
  <c r="AO70" i="36"/>
  <c r="AN70" i="36"/>
  <c r="AK70" i="36"/>
  <c r="AJ70" i="36"/>
  <c r="AO69" i="36"/>
  <c r="AN69" i="36"/>
  <c r="AK69" i="36"/>
  <c r="AJ69" i="36"/>
  <c r="AO68" i="36"/>
  <c r="AN68" i="36"/>
  <c r="AK68" i="36"/>
  <c r="AJ68" i="36"/>
  <c r="AO67" i="36"/>
  <c r="AN67" i="36"/>
  <c r="AK67" i="36"/>
  <c r="AJ67" i="36"/>
  <c r="AO66" i="36"/>
  <c r="AN66" i="36"/>
  <c r="AK66" i="36"/>
  <c r="AJ66" i="36"/>
  <c r="AO65" i="36"/>
  <c r="AN65" i="36"/>
  <c r="AK65" i="36"/>
  <c r="AJ65" i="36"/>
  <c r="AO64" i="36"/>
  <c r="AN64" i="36"/>
  <c r="AK64" i="36"/>
  <c r="AJ64" i="36"/>
  <c r="AO63" i="36"/>
  <c r="AN63" i="36"/>
  <c r="AK63" i="36"/>
  <c r="AJ63" i="36"/>
  <c r="AO62" i="36"/>
  <c r="AN62" i="36"/>
  <c r="AK62" i="36"/>
  <c r="AJ62" i="36"/>
  <c r="AO61" i="36"/>
  <c r="AN61" i="36"/>
  <c r="AK61" i="36"/>
  <c r="AJ61" i="36"/>
  <c r="AO60" i="36"/>
  <c r="AN60" i="36"/>
  <c r="AK60" i="36"/>
  <c r="AJ60" i="36"/>
  <c r="AO59" i="36"/>
  <c r="AN59" i="36"/>
  <c r="AK59" i="36"/>
  <c r="AJ59" i="36"/>
  <c r="AO58" i="36"/>
  <c r="AN58" i="36"/>
  <c r="AK58" i="36"/>
  <c r="AJ58" i="36"/>
  <c r="AO57" i="36"/>
  <c r="AN57" i="36"/>
  <c r="AK57" i="36"/>
  <c r="AJ57" i="36"/>
  <c r="AO56" i="36"/>
  <c r="AN56" i="36"/>
  <c r="AK56" i="36"/>
  <c r="AJ56" i="36"/>
  <c r="AO55" i="36"/>
  <c r="AN55" i="36"/>
  <c r="AK55" i="36"/>
  <c r="AJ55" i="36"/>
  <c r="AO54" i="36"/>
  <c r="AN54" i="36"/>
  <c r="AK54" i="36"/>
  <c r="AJ54" i="36"/>
  <c r="AO53" i="36"/>
  <c r="AN53" i="36"/>
  <c r="AK53" i="36"/>
  <c r="AJ53" i="36"/>
  <c r="AO52" i="36"/>
  <c r="AN52" i="36"/>
  <c r="AK52" i="36"/>
  <c r="AJ52" i="36"/>
  <c r="AO51" i="36"/>
  <c r="AN51" i="36"/>
  <c r="AK51" i="36"/>
  <c r="AJ51" i="36"/>
  <c r="AO50" i="36"/>
  <c r="AN50" i="36"/>
  <c r="AK50" i="36"/>
  <c r="AJ50" i="36"/>
  <c r="AO49" i="36"/>
  <c r="AN49" i="36"/>
  <c r="AK49" i="36"/>
  <c r="AJ49" i="36"/>
  <c r="AO48" i="36"/>
  <c r="AN48" i="36"/>
  <c r="AK48" i="36"/>
  <c r="AJ48" i="36"/>
  <c r="AO47" i="36"/>
  <c r="AN47" i="36"/>
  <c r="AK47" i="36"/>
  <c r="AJ47" i="36"/>
  <c r="AO46" i="36"/>
  <c r="AN46" i="36"/>
  <c r="AK46" i="36"/>
  <c r="AJ46" i="36"/>
  <c r="AO45" i="36"/>
  <c r="AN45" i="36"/>
  <c r="AK45" i="36"/>
  <c r="AJ45" i="36"/>
  <c r="AO44" i="36"/>
  <c r="AN44" i="36"/>
  <c r="AK44" i="36"/>
  <c r="AJ44" i="36"/>
  <c r="AO43" i="36"/>
  <c r="AN43" i="36"/>
  <c r="AK43" i="36"/>
  <c r="AJ43" i="36"/>
  <c r="AO42" i="36"/>
  <c r="AN42" i="36"/>
  <c r="AK42" i="36"/>
  <c r="AJ42" i="36"/>
  <c r="AO41" i="36"/>
  <c r="AN41" i="36"/>
  <c r="AK41" i="36"/>
  <c r="AJ41" i="36"/>
  <c r="AO40" i="36"/>
  <c r="AN40" i="36"/>
  <c r="AK40" i="36"/>
  <c r="AJ40" i="36"/>
  <c r="AO39" i="36"/>
  <c r="AN39" i="36"/>
  <c r="AK39" i="36"/>
  <c r="AJ39" i="36"/>
  <c r="AO38" i="36"/>
  <c r="AN38" i="36"/>
  <c r="AK38" i="36"/>
  <c r="AJ38" i="36"/>
  <c r="AO37" i="36"/>
  <c r="AN37" i="36"/>
  <c r="AK37" i="36"/>
  <c r="AJ37" i="36"/>
  <c r="AO36" i="36"/>
  <c r="AN36" i="36"/>
  <c r="AK36" i="36"/>
  <c r="AJ36" i="36"/>
  <c r="AO35" i="36"/>
  <c r="AN35" i="36"/>
  <c r="AK35" i="36"/>
  <c r="AJ35" i="36"/>
  <c r="AO34" i="36"/>
  <c r="AN34" i="36"/>
  <c r="AK34" i="36"/>
  <c r="AJ34" i="36"/>
  <c r="AO33" i="36"/>
  <c r="AN33" i="36"/>
  <c r="AK33" i="36"/>
  <c r="AJ33" i="36"/>
  <c r="AO32" i="36"/>
  <c r="AN32" i="36"/>
  <c r="AK32" i="36"/>
  <c r="AJ32" i="36"/>
  <c r="AO31" i="36"/>
  <c r="AN31" i="36"/>
  <c r="AK31" i="36"/>
  <c r="AJ31" i="36"/>
  <c r="AO30" i="36"/>
  <c r="AN30" i="36"/>
  <c r="AK30" i="36"/>
  <c r="AJ30" i="36"/>
  <c r="AO29" i="36"/>
  <c r="AN29" i="36"/>
  <c r="AK29" i="36"/>
  <c r="AJ29" i="36"/>
  <c r="AO28" i="36"/>
  <c r="AN28" i="36"/>
  <c r="AK28" i="36"/>
  <c r="AJ28" i="36"/>
  <c r="AO27" i="36"/>
  <c r="AN27" i="36"/>
  <c r="AK27" i="36"/>
  <c r="AJ27" i="36"/>
  <c r="AO26" i="36"/>
  <c r="AN26" i="36"/>
  <c r="AK26" i="36"/>
  <c r="AJ26" i="36"/>
  <c r="AO25" i="36"/>
  <c r="AN25" i="36"/>
  <c r="AK25" i="36"/>
  <c r="AJ25" i="36"/>
  <c r="AO24" i="36"/>
  <c r="AN24" i="36"/>
  <c r="AK24" i="36"/>
  <c r="AJ24" i="36"/>
  <c r="AO23" i="36"/>
  <c r="AN23" i="36"/>
  <c r="AK23" i="36"/>
  <c r="AJ23" i="36"/>
  <c r="AO22" i="36"/>
  <c r="AN22" i="36"/>
  <c r="AK22" i="36"/>
  <c r="AJ22" i="36"/>
  <c r="AO21" i="36"/>
  <c r="AN21" i="36"/>
  <c r="AK21" i="36"/>
  <c r="AJ21" i="36"/>
  <c r="AO20" i="36"/>
  <c r="AN20" i="36"/>
  <c r="AK20" i="36"/>
  <c r="AJ20" i="36"/>
  <c r="AO19" i="36"/>
  <c r="AN19" i="36"/>
  <c r="AK19" i="36"/>
  <c r="AJ19" i="36"/>
  <c r="AO18" i="36"/>
  <c r="AN18" i="36"/>
  <c r="AK18" i="36"/>
  <c r="AJ18" i="36"/>
  <c r="AO17" i="36"/>
  <c r="AN17" i="36"/>
  <c r="AK17" i="36"/>
  <c r="AJ17" i="36"/>
  <c r="AO16" i="36"/>
  <c r="AN16" i="36"/>
  <c r="AK16" i="36"/>
  <c r="AJ16" i="36"/>
  <c r="AO15" i="36"/>
  <c r="AN15" i="36"/>
  <c r="AK15" i="36"/>
  <c r="AJ15" i="36"/>
  <c r="AO14" i="36"/>
  <c r="AN14" i="36"/>
  <c r="AK14" i="36"/>
  <c r="AJ14" i="36"/>
  <c r="AO13" i="36"/>
  <c r="AN13" i="36"/>
  <c r="AK13" i="36"/>
  <c r="AJ13" i="36"/>
  <c r="AO12" i="36"/>
  <c r="AN12" i="36"/>
  <c r="AK12" i="36"/>
  <c r="AJ12" i="36"/>
  <c r="AO11" i="36"/>
  <c r="AN11" i="36"/>
  <c r="AK11" i="36"/>
  <c r="AJ11" i="36"/>
  <c r="AO10" i="36"/>
  <c r="AN10" i="36"/>
  <c r="AK10" i="36"/>
  <c r="AJ10" i="36"/>
  <c r="AO9" i="36"/>
  <c r="AN9" i="36"/>
  <c r="AK9" i="36"/>
  <c r="AJ9" i="36"/>
  <c r="AO8" i="36"/>
  <c r="AN8" i="36"/>
  <c r="AK8" i="36"/>
  <c r="AJ8" i="36"/>
  <c r="AO7" i="36"/>
  <c r="AN7" i="36"/>
  <c r="AK7" i="36"/>
  <c r="AJ7" i="36"/>
  <c r="AO6" i="36"/>
  <c r="AN6" i="36"/>
  <c r="AK6" i="36"/>
  <c r="AJ6" i="36"/>
  <c r="AO5" i="36"/>
  <c r="AN5" i="36"/>
  <c r="AK5" i="36"/>
  <c r="AJ5" i="36"/>
  <c r="AO4" i="36"/>
  <c r="AN4" i="36"/>
  <c r="AK4" i="36"/>
  <c r="AJ4" i="36"/>
  <c r="AO3" i="36"/>
  <c r="AN3" i="36"/>
  <c r="AK3" i="36"/>
  <c r="AJ3" i="36"/>
  <c r="AF107" i="36"/>
  <c r="AE107" i="36"/>
  <c r="AD107" i="36"/>
  <c r="AF106" i="36"/>
  <c r="AE106" i="36"/>
  <c r="AD106" i="36"/>
  <c r="AF105" i="36"/>
  <c r="AE105" i="36"/>
  <c r="AD105" i="36"/>
  <c r="AF104" i="36"/>
  <c r="AE104" i="36"/>
  <c r="AD104" i="36"/>
  <c r="AF103" i="36"/>
  <c r="AE103" i="36"/>
  <c r="AD103" i="36"/>
  <c r="AF102" i="36"/>
  <c r="AE102" i="36"/>
  <c r="AD102" i="36"/>
  <c r="AF101" i="36"/>
  <c r="AE101" i="36"/>
  <c r="AL101" i="36" s="1"/>
  <c r="AD101" i="36"/>
  <c r="AF100" i="36"/>
  <c r="AE100" i="36"/>
  <c r="AL100" i="36" s="1"/>
  <c r="AD100" i="36"/>
  <c r="AF99" i="36"/>
  <c r="AE99" i="36"/>
  <c r="AY99" i="36" s="1"/>
  <c r="AD99" i="36"/>
  <c r="AF98" i="36"/>
  <c r="AE98" i="36"/>
  <c r="AY98" i="36" s="1"/>
  <c r="AD98" i="36"/>
  <c r="AF97" i="36"/>
  <c r="AE97" i="36"/>
  <c r="AL97" i="36" s="1"/>
  <c r="AD97" i="36"/>
  <c r="AF96" i="36"/>
  <c r="AE96" i="36"/>
  <c r="AY96" i="36" s="1"/>
  <c r="AD96" i="36"/>
  <c r="AF95" i="36"/>
  <c r="AE95" i="36"/>
  <c r="AY95" i="36" s="1"/>
  <c r="AD95" i="36"/>
  <c r="AF94" i="36"/>
  <c r="AE94" i="36"/>
  <c r="AY94" i="36" s="1"/>
  <c r="AD94" i="36"/>
  <c r="AF93" i="36"/>
  <c r="AE93" i="36"/>
  <c r="AY93" i="36" s="1"/>
  <c r="AD93" i="36"/>
  <c r="AF92" i="36"/>
  <c r="AE92" i="36"/>
  <c r="AL92" i="36" s="1"/>
  <c r="AD92" i="36"/>
  <c r="AF91" i="36"/>
  <c r="AE91" i="36"/>
  <c r="AL91" i="36" s="1"/>
  <c r="AD91" i="36"/>
  <c r="AF90" i="36"/>
  <c r="AE90" i="36"/>
  <c r="AS90" i="36" s="1"/>
  <c r="AD90" i="36"/>
  <c r="AF89" i="36"/>
  <c r="AE89" i="36"/>
  <c r="AL89" i="36" s="1"/>
  <c r="AD89" i="36"/>
  <c r="AF88" i="36"/>
  <c r="AE88" i="36"/>
  <c r="AL88" i="36" s="1"/>
  <c r="AD88" i="36"/>
  <c r="AF87" i="36"/>
  <c r="AE87" i="36"/>
  <c r="AL87" i="36" s="1"/>
  <c r="AD87" i="36"/>
  <c r="AF86" i="36"/>
  <c r="AE86" i="36"/>
  <c r="AY86" i="36" s="1"/>
  <c r="AD86" i="36"/>
  <c r="AF85" i="36"/>
  <c r="AE85" i="36"/>
  <c r="AL85" i="36" s="1"/>
  <c r="AD85" i="36"/>
  <c r="AF84" i="36"/>
  <c r="AE84" i="36"/>
  <c r="AS84" i="36" s="1"/>
  <c r="AD84" i="36"/>
  <c r="AF83" i="36"/>
  <c r="AE83" i="36"/>
  <c r="AS83" i="36" s="1"/>
  <c r="AD83" i="36"/>
  <c r="AF82" i="36"/>
  <c r="AE82" i="36"/>
  <c r="AS82" i="36" s="1"/>
  <c r="AD82" i="36"/>
  <c r="AF81" i="36"/>
  <c r="AE81" i="36"/>
  <c r="AL81" i="36" s="1"/>
  <c r="AD81" i="36"/>
  <c r="AF80" i="36"/>
  <c r="AE80" i="36"/>
  <c r="AL80" i="36" s="1"/>
  <c r="AD80" i="36"/>
  <c r="AF79" i="36"/>
  <c r="AE79" i="36"/>
  <c r="AL79" i="36" s="1"/>
  <c r="AD79" i="36"/>
  <c r="AF78" i="36"/>
  <c r="AE78" i="36"/>
  <c r="AY78" i="36" s="1"/>
  <c r="AD78" i="36"/>
  <c r="AF77" i="36"/>
  <c r="AE77" i="36"/>
  <c r="AY77" i="36" s="1"/>
  <c r="AD77" i="36"/>
  <c r="AF76" i="36"/>
  <c r="AE76" i="36"/>
  <c r="AS76" i="36" s="1"/>
  <c r="AD76" i="36"/>
  <c r="AF75" i="36"/>
  <c r="AE75" i="36"/>
  <c r="AS75" i="36" s="1"/>
  <c r="AD75" i="36"/>
  <c r="AF74" i="36"/>
  <c r="AE74" i="36"/>
  <c r="AS74" i="36" s="1"/>
  <c r="AD74" i="36"/>
  <c r="AF73" i="36"/>
  <c r="AE73" i="36"/>
  <c r="AL73" i="36" s="1"/>
  <c r="AD73" i="36"/>
  <c r="AF72" i="36"/>
  <c r="AE72" i="36"/>
  <c r="AL72" i="36" s="1"/>
  <c r="AD72" i="36"/>
  <c r="AF71" i="36"/>
  <c r="AE71" i="36"/>
  <c r="AL71" i="36" s="1"/>
  <c r="AD71" i="36"/>
  <c r="AF70" i="36"/>
  <c r="AE70" i="36"/>
  <c r="AY70" i="36" s="1"/>
  <c r="AD70" i="36"/>
  <c r="AF69" i="36"/>
  <c r="AE69" i="36"/>
  <c r="AL69" i="36" s="1"/>
  <c r="AD69" i="36"/>
  <c r="AF68" i="36"/>
  <c r="AE68" i="36"/>
  <c r="AS68" i="36" s="1"/>
  <c r="AD68" i="36"/>
  <c r="AF67" i="36"/>
  <c r="AE67" i="36"/>
  <c r="AS67" i="36" s="1"/>
  <c r="AD67" i="36"/>
  <c r="AF66" i="36"/>
  <c r="AE66" i="36"/>
  <c r="AS66" i="36" s="1"/>
  <c r="AD66" i="36"/>
  <c r="AF65" i="36"/>
  <c r="AE65" i="36"/>
  <c r="AL65" i="36" s="1"/>
  <c r="AD65" i="36"/>
  <c r="AF64" i="36"/>
  <c r="AE64" i="36"/>
  <c r="AL64" i="36" s="1"/>
  <c r="AD64" i="36"/>
  <c r="AF63" i="36"/>
  <c r="AE63" i="36"/>
  <c r="AL63" i="36" s="1"/>
  <c r="AD63" i="36"/>
  <c r="AF62" i="36"/>
  <c r="AE62" i="36"/>
  <c r="AY62" i="36" s="1"/>
  <c r="AD62" i="36"/>
  <c r="AF61" i="36"/>
  <c r="AE61" i="36"/>
  <c r="AL61" i="36" s="1"/>
  <c r="AD61" i="36"/>
  <c r="AF60" i="36"/>
  <c r="AE60" i="36"/>
  <c r="AS60" i="36" s="1"/>
  <c r="AD60" i="36"/>
  <c r="AF59" i="36"/>
  <c r="AE59" i="36"/>
  <c r="AS59" i="36" s="1"/>
  <c r="AD59" i="36"/>
  <c r="AF58" i="36"/>
  <c r="AE58" i="36"/>
  <c r="AS58" i="36" s="1"/>
  <c r="AD58" i="36"/>
  <c r="AF57" i="36"/>
  <c r="AE57" i="36"/>
  <c r="AL57" i="36" s="1"/>
  <c r="AD57" i="36"/>
  <c r="AF56" i="36"/>
  <c r="AE56" i="36"/>
  <c r="AL56" i="36" s="1"/>
  <c r="AD56" i="36"/>
  <c r="AF55" i="36"/>
  <c r="AE55" i="36"/>
  <c r="AL55" i="36" s="1"/>
  <c r="AD55" i="36"/>
  <c r="AF54" i="36"/>
  <c r="AE54" i="36"/>
  <c r="AY54" i="36" s="1"/>
  <c r="AD54" i="36"/>
  <c r="AF53" i="36"/>
  <c r="AE53" i="36"/>
  <c r="AY53" i="36" s="1"/>
  <c r="AD53" i="36"/>
  <c r="AF52" i="36"/>
  <c r="AE52" i="36"/>
  <c r="AS52" i="36" s="1"/>
  <c r="AD52" i="36"/>
  <c r="AF51" i="36"/>
  <c r="AE51" i="36"/>
  <c r="AS51" i="36" s="1"/>
  <c r="AD51" i="36"/>
  <c r="AF50" i="36"/>
  <c r="AE50" i="36"/>
  <c r="AS50" i="36" s="1"/>
  <c r="AD50" i="36"/>
  <c r="AF49" i="36"/>
  <c r="AE49" i="36"/>
  <c r="AL49" i="36" s="1"/>
  <c r="AD49" i="36"/>
  <c r="AF48" i="36"/>
  <c r="AE48" i="36"/>
  <c r="AL48" i="36" s="1"/>
  <c r="AD48" i="36"/>
  <c r="AF47" i="36"/>
  <c r="AE47" i="36"/>
  <c r="AL47" i="36" s="1"/>
  <c r="AD47" i="36"/>
  <c r="AF46" i="36"/>
  <c r="AE46" i="36"/>
  <c r="AY46" i="36" s="1"/>
  <c r="AD46" i="36"/>
  <c r="AF45" i="36"/>
  <c r="AE45" i="36"/>
  <c r="AY45" i="36" s="1"/>
  <c r="AD45" i="36"/>
  <c r="AF44" i="36"/>
  <c r="AE44" i="36"/>
  <c r="AS44" i="36" s="1"/>
  <c r="AD44" i="36"/>
  <c r="AF43" i="36"/>
  <c r="AE43" i="36"/>
  <c r="AS43" i="36" s="1"/>
  <c r="AD43" i="36"/>
  <c r="AF42" i="36"/>
  <c r="AE42" i="36"/>
  <c r="AS42" i="36" s="1"/>
  <c r="AD42" i="36"/>
  <c r="AF41" i="36"/>
  <c r="AE41" i="36"/>
  <c r="AL41" i="36" s="1"/>
  <c r="AD41" i="36"/>
  <c r="AF40" i="36"/>
  <c r="AE40" i="36"/>
  <c r="AL40" i="36" s="1"/>
  <c r="AD40" i="36"/>
  <c r="AF39" i="36"/>
  <c r="AE39" i="36"/>
  <c r="AL39" i="36" s="1"/>
  <c r="AD39" i="36"/>
  <c r="AF38" i="36"/>
  <c r="AE38" i="36"/>
  <c r="AY38" i="36" s="1"/>
  <c r="AD38" i="36"/>
  <c r="AF37" i="36"/>
  <c r="AE37" i="36"/>
  <c r="AY37" i="36" s="1"/>
  <c r="AD37" i="36"/>
  <c r="AF36" i="36"/>
  <c r="AE36" i="36"/>
  <c r="AS36" i="36" s="1"/>
  <c r="AD36" i="36"/>
  <c r="AF35" i="36"/>
  <c r="AE35" i="36"/>
  <c r="AS35" i="36" s="1"/>
  <c r="AD35" i="36"/>
  <c r="AF34" i="36"/>
  <c r="AE34" i="36"/>
  <c r="AS34" i="36" s="1"/>
  <c r="AD34" i="36"/>
  <c r="AF33" i="36"/>
  <c r="AE33" i="36"/>
  <c r="AL33" i="36" s="1"/>
  <c r="AD33" i="36"/>
  <c r="AF32" i="36"/>
  <c r="AE32" i="36"/>
  <c r="AL32" i="36" s="1"/>
  <c r="AD32" i="36"/>
  <c r="AF31" i="36"/>
  <c r="AE31" i="36"/>
  <c r="AL31" i="36" s="1"/>
  <c r="AD31" i="36"/>
  <c r="AF30" i="36"/>
  <c r="AE30" i="36"/>
  <c r="AY30" i="36" s="1"/>
  <c r="AD30" i="36"/>
  <c r="AF29" i="36"/>
  <c r="AE29" i="36"/>
  <c r="AY29" i="36" s="1"/>
  <c r="AD29" i="36"/>
  <c r="AF28" i="36"/>
  <c r="AE28" i="36"/>
  <c r="AS28" i="36" s="1"/>
  <c r="AD28" i="36"/>
  <c r="AF27" i="36"/>
  <c r="AE27" i="36"/>
  <c r="AS27" i="36" s="1"/>
  <c r="AD27" i="36"/>
  <c r="AF26" i="36"/>
  <c r="AE26" i="36"/>
  <c r="AS26" i="36" s="1"/>
  <c r="AD26" i="36"/>
  <c r="AF25" i="36"/>
  <c r="AE25" i="36"/>
  <c r="AL25" i="36" s="1"/>
  <c r="AD25" i="36"/>
  <c r="AF24" i="36"/>
  <c r="AE24" i="36"/>
  <c r="AL24" i="36" s="1"/>
  <c r="AD24" i="36"/>
  <c r="AF23" i="36"/>
  <c r="AE23" i="36"/>
  <c r="AL23" i="36" s="1"/>
  <c r="AD23" i="36"/>
  <c r="AF22" i="36"/>
  <c r="AE22" i="36"/>
  <c r="AY22" i="36" s="1"/>
  <c r="AD22" i="36"/>
  <c r="AF21" i="36"/>
  <c r="AE21" i="36"/>
  <c r="AY21" i="36" s="1"/>
  <c r="AD21" i="36"/>
  <c r="AF20" i="36"/>
  <c r="AE20" i="36"/>
  <c r="AS20" i="36" s="1"/>
  <c r="AD20" i="36"/>
  <c r="AF19" i="36"/>
  <c r="AE19" i="36"/>
  <c r="AS19" i="36" s="1"/>
  <c r="AD19" i="36"/>
  <c r="AF18" i="36"/>
  <c r="AE18" i="36"/>
  <c r="AS18" i="36" s="1"/>
  <c r="AD18" i="36"/>
  <c r="AF17" i="36"/>
  <c r="AE17" i="36"/>
  <c r="AL17" i="36" s="1"/>
  <c r="AD17" i="36"/>
  <c r="AF16" i="36"/>
  <c r="AE16" i="36"/>
  <c r="AL16" i="36" s="1"/>
  <c r="AD16" i="36"/>
  <c r="AF15" i="36"/>
  <c r="AE15" i="36"/>
  <c r="AL15" i="36" s="1"/>
  <c r="AD15" i="36"/>
  <c r="AF14" i="36"/>
  <c r="AE14" i="36"/>
  <c r="AY14" i="36" s="1"/>
  <c r="AD14" i="36"/>
  <c r="AF13" i="36"/>
  <c r="AE13" i="36"/>
  <c r="AY13" i="36" s="1"/>
  <c r="AD13" i="36"/>
  <c r="AF12" i="36"/>
  <c r="AE12" i="36"/>
  <c r="AS12" i="36" s="1"/>
  <c r="AD12" i="36"/>
  <c r="AF11" i="36"/>
  <c r="AE11" i="36"/>
  <c r="AS11" i="36" s="1"/>
  <c r="AD11" i="36"/>
  <c r="AF10" i="36"/>
  <c r="AE10" i="36"/>
  <c r="AS10" i="36" s="1"/>
  <c r="AD10" i="36"/>
  <c r="AF9" i="36"/>
  <c r="AE9" i="36"/>
  <c r="AL9" i="36" s="1"/>
  <c r="AD9" i="36"/>
  <c r="AF8" i="36"/>
  <c r="AE8" i="36"/>
  <c r="AL8" i="36" s="1"/>
  <c r="AD8" i="36"/>
  <c r="AF7" i="36"/>
  <c r="AE7" i="36"/>
  <c r="AL7" i="36" s="1"/>
  <c r="AD7" i="36"/>
  <c r="AF6" i="36"/>
  <c r="AE6" i="36"/>
  <c r="AY6" i="36" s="1"/>
  <c r="AD6" i="36"/>
  <c r="AF5" i="36"/>
  <c r="AE5" i="36"/>
  <c r="AY5" i="36" s="1"/>
  <c r="AD5" i="36"/>
  <c r="AF4" i="36"/>
  <c r="AE4" i="36"/>
  <c r="AS4" i="36" s="1"/>
  <c r="AD4" i="36"/>
  <c r="AF3" i="36"/>
  <c r="AE3" i="36"/>
  <c r="AS3" i="36" s="1"/>
  <c r="AD3" i="36"/>
  <c r="AN2" i="36"/>
  <c r="AO2" i="36"/>
  <c r="AK2" i="36"/>
  <c r="AF2" i="36"/>
  <c r="AD2" i="36"/>
  <c r="AE2" i="36"/>
  <c r="AS2" i="36" s="1"/>
  <c r="R540" i="13"/>
  <c r="R539" i="13"/>
  <c r="R538" i="13"/>
  <c r="R537" i="13"/>
  <c r="R536" i="13"/>
  <c r="R535" i="13"/>
  <c r="R534" i="13"/>
  <c r="R533" i="13"/>
  <c r="R532" i="13"/>
  <c r="R531" i="13"/>
  <c r="R530" i="13"/>
  <c r="R529" i="13"/>
  <c r="R528" i="13"/>
  <c r="R527" i="13"/>
  <c r="R526" i="13"/>
  <c r="R525" i="13"/>
  <c r="R524" i="13"/>
  <c r="R523" i="13"/>
  <c r="R522" i="13"/>
  <c r="R521" i="13"/>
  <c r="R520" i="13"/>
  <c r="R519" i="13"/>
  <c r="R518" i="13"/>
  <c r="R517" i="13"/>
  <c r="R516" i="13"/>
  <c r="R515" i="13"/>
  <c r="R514" i="13"/>
  <c r="R513" i="13"/>
  <c r="R512" i="13"/>
  <c r="R511" i="13"/>
  <c r="R510" i="13"/>
  <c r="R509" i="13"/>
  <c r="R508" i="13"/>
  <c r="R507" i="13"/>
  <c r="R506" i="13"/>
  <c r="R505" i="13"/>
  <c r="R504" i="13"/>
  <c r="R503" i="13"/>
  <c r="R502" i="13"/>
  <c r="R501" i="13"/>
  <c r="R500" i="13"/>
  <c r="R499" i="13"/>
  <c r="R498" i="13"/>
  <c r="R497" i="13"/>
  <c r="R496" i="13"/>
  <c r="R495" i="13"/>
  <c r="R494" i="13"/>
  <c r="R493" i="13"/>
  <c r="R492" i="13"/>
  <c r="R491" i="13"/>
  <c r="R490" i="13"/>
  <c r="R489" i="13"/>
  <c r="R488" i="13"/>
  <c r="R487" i="13"/>
  <c r="R486" i="13"/>
  <c r="R485" i="13"/>
  <c r="R484" i="13"/>
  <c r="R483" i="13"/>
  <c r="R482" i="13"/>
  <c r="R481" i="13"/>
  <c r="R480" i="13"/>
  <c r="R479" i="13"/>
  <c r="R478" i="13"/>
  <c r="R477" i="13"/>
  <c r="R476" i="13"/>
  <c r="R475" i="13"/>
  <c r="R474" i="13"/>
  <c r="R473" i="13"/>
  <c r="R472" i="13"/>
  <c r="R471" i="13"/>
  <c r="R470" i="13"/>
  <c r="R469" i="13"/>
  <c r="R468" i="13"/>
  <c r="R467" i="13"/>
  <c r="R466" i="13"/>
  <c r="R465" i="13"/>
  <c r="R464" i="13"/>
  <c r="R463" i="13"/>
  <c r="R462" i="13"/>
  <c r="R461" i="13"/>
  <c r="R460" i="13"/>
  <c r="R459" i="13"/>
  <c r="R458" i="13"/>
  <c r="R457" i="13"/>
  <c r="R456" i="13"/>
  <c r="R455" i="13"/>
  <c r="R454" i="13"/>
  <c r="R453" i="13"/>
  <c r="R452" i="13"/>
  <c r="R451" i="13"/>
  <c r="R450" i="13"/>
  <c r="R449" i="13"/>
  <c r="R448" i="13"/>
  <c r="R447" i="13"/>
  <c r="R446" i="13"/>
  <c r="R445" i="13"/>
  <c r="R444" i="13"/>
  <c r="R443" i="13"/>
  <c r="R442" i="13"/>
  <c r="R441" i="13"/>
  <c r="R440" i="13"/>
  <c r="R439" i="13"/>
  <c r="R438" i="13"/>
  <c r="R437" i="13"/>
  <c r="R436" i="13"/>
  <c r="R435" i="13"/>
  <c r="R434" i="13"/>
  <c r="R433" i="13"/>
  <c r="R432" i="13"/>
  <c r="R431" i="13"/>
  <c r="R430" i="13"/>
  <c r="R429" i="13"/>
  <c r="R428" i="13"/>
  <c r="R427" i="13"/>
  <c r="R426" i="13"/>
  <c r="R425" i="13"/>
  <c r="R424" i="13"/>
  <c r="R423" i="13"/>
  <c r="R422" i="13"/>
  <c r="R421" i="13"/>
  <c r="R420" i="13"/>
  <c r="R419" i="13"/>
  <c r="R418" i="13"/>
  <c r="R417" i="13"/>
  <c r="R416" i="13"/>
  <c r="R415" i="13"/>
  <c r="R414" i="13"/>
  <c r="R413" i="13"/>
  <c r="R412" i="13"/>
  <c r="R411" i="13"/>
  <c r="R410" i="13"/>
  <c r="R409" i="13"/>
  <c r="R408" i="13"/>
  <c r="R407" i="13"/>
  <c r="R406" i="13"/>
  <c r="R405" i="13"/>
  <c r="R404" i="13"/>
  <c r="R403" i="13"/>
  <c r="R402" i="13"/>
  <c r="R401" i="13"/>
  <c r="R400" i="13"/>
  <c r="R399" i="13"/>
  <c r="R398" i="13"/>
  <c r="R397" i="13"/>
  <c r="R396" i="13"/>
  <c r="R395" i="13"/>
  <c r="R394" i="13"/>
  <c r="R393" i="13"/>
  <c r="R392" i="13"/>
  <c r="R391" i="13"/>
  <c r="R390" i="13"/>
  <c r="R389" i="13"/>
  <c r="R388" i="13"/>
  <c r="R387" i="13"/>
  <c r="R386" i="13"/>
  <c r="R385" i="13"/>
  <c r="R384" i="13"/>
  <c r="R383" i="13"/>
  <c r="R382" i="13"/>
  <c r="R381" i="13"/>
  <c r="R380" i="13"/>
  <c r="R379" i="13"/>
  <c r="R378" i="13"/>
  <c r="R377" i="13"/>
  <c r="R376" i="13"/>
  <c r="R375" i="13"/>
  <c r="R374" i="13"/>
  <c r="R373" i="13"/>
  <c r="R372" i="13"/>
  <c r="R371" i="13"/>
  <c r="R370" i="13"/>
  <c r="R369" i="13"/>
  <c r="R368" i="13"/>
  <c r="R367" i="13"/>
  <c r="R366" i="13"/>
  <c r="R365" i="13"/>
  <c r="R364" i="13"/>
  <c r="R363" i="13"/>
  <c r="R362" i="13"/>
  <c r="R361" i="13"/>
  <c r="R360" i="13"/>
  <c r="R359" i="13"/>
  <c r="R358" i="13"/>
  <c r="R357" i="13"/>
  <c r="R356" i="13"/>
  <c r="R355" i="13"/>
  <c r="R354" i="13"/>
  <c r="R353" i="13"/>
  <c r="R352" i="13"/>
  <c r="R351" i="13"/>
  <c r="R350" i="13"/>
  <c r="R349" i="13"/>
  <c r="R348" i="13"/>
  <c r="R347" i="13"/>
  <c r="R346" i="13"/>
  <c r="R345" i="13"/>
  <c r="R344" i="13"/>
  <c r="R343" i="13"/>
  <c r="R342" i="13"/>
  <c r="R341" i="13"/>
  <c r="R340" i="13"/>
  <c r="R339" i="13"/>
  <c r="R338" i="13"/>
  <c r="R337" i="13"/>
  <c r="R336" i="13"/>
  <c r="R335" i="13"/>
  <c r="R334" i="13"/>
  <c r="R333" i="13"/>
  <c r="R332" i="13"/>
  <c r="R331" i="13"/>
  <c r="R330" i="13"/>
  <c r="R329" i="13"/>
  <c r="R328" i="13"/>
  <c r="R327" i="13"/>
  <c r="R326" i="13"/>
  <c r="R325" i="13"/>
  <c r="R324" i="13"/>
  <c r="R323" i="13"/>
  <c r="R322" i="13"/>
  <c r="R321" i="13"/>
  <c r="R320" i="13"/>
  <c r="R319" i="13"/>
  <c r="R318" i="13"/>
  <c r="R317" i="13"/>
  <c r="R316" i="13"/>
  <c r="R315" i="13"/>
  <c r="R314" i="13"/>
  <c r="R313" i="13"/>
  <c r="R312" i="13"/>
  <c r="R311" i="13"/>
  <c r="R310" i="13"/>
  <c r="R309" i="13"/>
  <c r="R308" i="13"/>
  <c r="R307" i="13"/>
  <c r="R306" i="13"/>
  <c r="R305" i="13"/>
  <c r="R304" i="13"/>
  <c r="R303" i="13"/>
  <c r="R302" i="13"/>
  <c r="R301" i="13"/>
  <c r="R300" i="13"/>
  <c r="R299" i="13"/>
  <c r="R298" i="13"/>
  <c r="R297" i="13"/>
  <c r="R296" i="13"/>
  <c r="R295" i="13"/>
  <c r="R294" i="13"/>
  <c r="R293" i="13"/>
  <c r="R292" i="13"/>
  <c r="R291" i="13"/>
  <c r="R290" i="13"/>
  <c r="R289" i="13"/>
  <c r="R288" i="13"/>
  <c r="R287" i="13"/>
  <c r="R286" i="13"/>
  <c r="R285" i="13"/>
  <c r="R284" i="13"/>
  <c r="R283" i="13"/>
  <c r="R282" i="13"/>
  <c r="R281" i="13"/>
  <c r="R280" i="13"/>
  <c r="R279" i="13"/>
  <c r="R278" i="13"/>
  <c r="R277" i="13"/>
  <c r="R276" i="13"/>
  <c r="R275" i="13"/>
  <c r="R274" i="13"/>
  <c r="R273" i="13"/>
  <c r="R272" i="13"/>
  <c r="R271" i="13"/>
  <c r="R270" i="13"/>
  <c r="R269" i="13"/>
  <c r="R268" i="13"/>
  <c r="R267" i="13"/>
  <c r="R266" i="13"/>
  <c r="R265" i="13"/>
  <c r="R264" i="13"/>
  <c r="R263" i="13"/>
  <c r="R262" i="13"/>
  <c r="R261" i="13"/>
  <c r="R260" i="13"/>
  <c r="R259" i="13"/>
  <c r="R258" i="13"/>
  <c r="R257" i="13"/>
  <c r="R256" i="13"/>
  <c r="R255" i="13"/>
  <c r="R254" i="13"/>
  <c r="R253" i="13"/>
  <c r="R252" i="13"/>
  <c r="R251" i="13"/>
  <c r="R250" i="13"/>
  <c r="R249" i="13"/>
  <c r="R248" i="13"/>
  <c r="R247" i="13"/>
  <c r="R246" i="13"/>
  <c r="R245" i="13"/>
  <c r="R244" i="13"/>
  <c r="R243" i="13"/>
  <c r="R242" i="13"/>
  <c r="R241" i="13"/>
  <c r="R240" i="13"/>
  <c r="R239" i="13"/>
  <c r="R238" i="13"/>
  <c r="R237" i="13"/>
  <c r="R236" i="13"/>
  <c r="R235" i="13"/>
  <c r="R234" i="13"/>
  <c r="R233" i="13"/>
  <c r="R232" i="13"/>
  <c r="R231" i="13"/>
  <c r="R230" i="13"/>
  <c r="R229" i="13"/>
  <c r="R228" i="13"/>
  <c r="R227" i="13"/>
  <c r="R226" i="13"/>
  <c r="R225" i="13"/>
  <c r="R224" i="13"/>
  <c r="R223" i="13"/>
  <c r="R222" i="13"/>
  <c r="R221" i="13"/>
  <c r="R220" i="13"/>
  <c r="R219" i="13"/>
  <c r="R218" i="13"/>
  <c r="R217" i="13"/>
  <c r="R216" i="13"/>
  <c r="R215" i="13"/>
  <c r="R214" i="13"/>
  <c r="R213" i="13"/>
  <c r="R212" i="13"/>
  <c r="R211" i="13"/>
  <c r="R210" i="13"/>
  <c r="R209" i="13"/>
  <c r="R208" i="13"/>
  <c r="R207" i="13"/>
  <c r="R206" i="13"/>
  <c r="R205" i="13"/>
  <c r="R204" i="13"/>
  <c r="R203" i="13"/>
  <c r="R202" i="13"/>
  <c r="R201" i="13"/>
  <c r="R200" i="13"/>
  <c r="R199" i="13"/>
  <c r="R198" i="13"/>
  <c r="R197" i="13"/>
  <c r="R196" i="13"/>
  <c r="R195" i="13"/>
  <c r="R194" i="13"/>
  <c r="R193" i="13"/>
  <c r="R192" i="13"/>
  <c r="R191" i="13"/>
  <c r="R190" i="13"/>
  <c r="R189" i="13"/>
  <c r="R188" i="13"/>
  <c r="R187" i="13"/>
  <c r="R186" i="13"/>
  <c r="R185" i="13"/>
  <c r="R184" i="13"/>
  <c r="R183" i="13"/>
  <c r="R182" i="13"/>
  <c r="R181" i="13"/>
  <c r="R180" i="13"/>
  <c r="R179" i="13"/>
  <c r="R178" i="13"/>
  <c r="R177" i="13"/>
  <c r="R176" i="13"/>
  <c r="R175" i="13"/>
  <c r="R174" i="13"/>
  <c r="R173" i="13"/>
  <c r="R172" i="13"/>
  <c r="R171" i="13"/>
  <c r="R170" i="13"/>
  <c r="R169" i="13"/>
  <c r="R168" i="13"/>
  <c r="R167" i="13"/>
  <c r="R166" i="13"/>
  <c r="R165" i="13"/>
  <c r="R164" i="13"/>
  <c r="R163" i="13"/>
  <c r="R162" i="13"/>
  <c r="R161" i="13"/>
  <c r="R160" i="13"/>
  <c r="R159" i="13"/>
  <c r="R158" i="13"/>
  <c r="R157" i="13"/>
  <c r="R156" i="13"/>
  <c r="R155" i="13"/>
  <c r="R154" i="13"/>
  <c r="R153" i="13"/>
  <c r="R152" i="13"/>
  <c r="R151" i="13"/>
  <c r="R150" i="13"/>
  <c r="R149" i="13"/>
  <c r="R148" i="13"/>
  <c r="R147" i="13"/>
  <c r="R146" i="13"/>
  <c r="R145" i="13"/>
  <c r="R144" i="13"/>
  <c r="R143" i="13"/>
  <c r="R142" i="13"/>
  <c r="R141" i="13"/>
  <c r="R140" i="13"/>
  <c r="R139" i="13"/>
  <c r="R138" i="13"/>
  <c r="R137" i="13"/>
  <c r="R136" i="13"/>
  <c r="R135" i="13"/>
  <c r="R134" i="13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3" i="13"/>
  <c r="R92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R2" i="13"/>
  <c r="R59" i="13"/>
  <c r="Q540" i="13"/>
  <c r="Q539" i="13"/>
  <c r="Q538" i="13"/>
  <c r="Q537" i="13"/>
  <c r="Q536" i="13"/>
  <c r="Q535" i="13"/>
  <c r="Q534" i="13"/>
  <c r="Q533" i="13"/>
  <c r="Q532" i="13"/>
  <c r="Q531" i="13"/>
  <c r="Q530" i="13"/>
  <c r="Q529" i="13"/>
  <c r="Q528" i="13"/>
  <c r="Q527" i="13"/>
  <c r="Q526" i="13"/>
  <c r="Q525" i="13"/>
  <c r="Q524" i="13"/>
  <c r="Q523" i="13"/>
  <c r="Q522" i="13"/>
  <c r="Q521" i="13"/>
  <c r="Q520" i="13"/>
  <c r="Q519" i="13"/>
  <c r="Q518" i="13"/>
  <c r="Q517" i="13"/>
  <c r="Q516" i="13"/>
  <c r="Q515" i="13"/>
  <c r="Q514" i="13"/>
  <c r="Q513" i="13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Q290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O540" i="13"/>
  <c r="O539" i="13"/>
  <c r="O538" i="13"/>
  <c r="O537" i="13"/>
  <c r="O536" i="13"/>
  <c r="O535" i="13"/>
  <c r="O534" i="13"/>
  <c r="O533" i="13"/>
  <c r="O532" i="13"/>
  <c r="O531" i="13"/>
  <c r="O530" i="13"/>
  <c r="O529" i="13"/>
  <c r="O528" i="13"/>
  <c r="O527" i="13"/>
  <c r="O526" i="13"/>
  <c r="O525" i="13"/>
  <c r="O524" i="13"/>
  <c r="O523" i="13"/>
  <c r="O522" i="13"/>
  <c r="O521" i="13"/>
  <c r="O520" i="13"/>
  <c r="O519" i="13"/>
  <c r="O518" i="13"/>
  <c r="O517" i="13"/>
  <c r="O516" i="13"/>
  <c r="O515" i="13"/>
  <c r="O514" i="13"/>
  <c r="O513" i="13"/>
  <c r="O512" i="13"/>
  <c r="O511" i="13"/>
  <c r="O510" i="13"/>
  <c r="O509" i="13"/>
  <c r="O508" i="13"/>
  <c r="O507" i="13"/>
  <c r="O506" i="13"/>
  <c r="O505" i="13"/>
  <c r="O504" i="13"/>
  <c r="O503" i="13"/>
  <c r="O502" i="13"/>
  <c r="O501" i="13"/>
  <c r="O500" i="13"/>
  <c r="O499" i="13"/>
  <c r="O498" i="13"/>
  <c r="O497" i="13"/>
  <c r="O496" i="13"/>
  <c r="O495" i="13"/>
  <c r="O494" i="13"/>
  <c r="O493" i="13"/>
  <c r="O492" i="13"/>
  <c r="O491" i="13"/>
  <c r="O490" i="13"/>
  <c r="O489" i="13"/>
  <c r="O488" i="13"/>
  <c r="O487" i="13"/>
  <c r="O486" i="13"/>
  <c r="O485" i="13"/>
  <c r="O484" i="13"/>
  <c r="O483" i="13"/>
  <c r="O482" i="13"/>
  <c r="O481" i="13"/>
  <c r="O480" i="13"/>
  <c r="O479" i="13"/>
  <c r="O478" i="13"/>
  <c r="O477" i="13"/>
  <c r="O476" i="13"/>
  <c r="O475" i="13"/>
  <c r="O474" i="13"/>
  <c r="O473" i="13"/>
  <c r="O472" i="13"/>
  <c r="O471" i="13"/>
  <c r="O470" i="13"/>
  <c r="O469" i="13"/>
  <c r="O468" i="13"/>
  <c r="O467" i="13"/>
  <c r="O466" i="13"/>
  <c r="O465" i="13"/>
  <c r="O464" i="13"/>
  <c r="O463" i="13"/>
  <c r="O462" i="13"/>
  <c r="O461" i="13"/>
  <c r="O460" i="13"/>
  <c r="O459" i="13"/>
  <c r="O458" i="13"/>
  <c r="O457" i="13"/>
  <c r="O456" i="13"/>
  <c r="O455" i="13"/>
  <c r="O454" i="13"/>
  <c r="O453" i="13"/>
  <c r="O452" i="13"/>
  <c r="O451" i="13"/>
  <c r="O450" i="13"/>
  <c r="O449" i="13"/>
  <c r="O448" i="13"/>
  <c r="O447" i="13"/>
  <c r="O446" i="13"/>
  <c r="O445" i="13"/>
  <c r="O444" i="13"/>
  <c r="O443" i="13"/>
  <c r="O442" i="13"/>
  <c r="O441" i="13"/>
  <c r="O440" i="13"/>
  <c r="O439" i="13"/>
  <c r="O438" i="13"/>
  <c r="O437" i="13"/>
  <c r="O436" i="13"/>
  <c r="O435" i="13"/>
  <c r="O434" i="13"/>
  <c r="O433" i="13"/>
  <c r="O432" i="13"/>
  <c r="O431" i="13"/>
  <c r="O430" i="13"/>
  <c r="O429" i="13"/>
  <c r="O428" i="13"/>
  <c r="O427" i="13"/>
  <c r="O426" i="13"/>
  <c r="O425" i="13"/>
  <c r="O424" i="13"/>
  <c r="O423" i="13"/>
  <c r="O422" i="13"/>
  <c r="O421" i="13"/>
  <c r="O420" i="13"/>
  <c r="O419" i="13"/>
  <c r="O418" i="13"/>
  <c r="O417" i="13"/>
  <c r="O416" i="13"/>
  <c r="O415" i="13"/>
  <c r="O414" i="13"/>
  <c r="O413" i="13"/>
  <c r="O412" i="13"/>
  <c r="O411" i="13"/>
  <c r="O410" i="13"/>
  <c r="O409" i="13"/>
  <c r="O408" i="13"/>
  <c r="O407" i="13"/>
  <c r="O406" i="13"/>
  <c r="O405" i="13"/>
  <c r="O404" i="13"/>
  <c r="O403" i="13"/>
  <c r="O402" i="13"/>
  <c r="O401" i="13"/>
  <c r="O400" i="13"/>
  <c r="O399" i="13"/>
  <c r="O398" i="13"/>
  <c r="O397" i="13"/>
  <c r="O396" i="13"/>
  <c r="O395" i="13"/>
  <c r="O394" i="13"/>
  <c r="O393" i="13"/>
  <c r="O392" i="13"/>
  <c r="O391" i="13"/>
  <c r="O390" i="13"/>
  <c r="O389" i="13"/>
  <c r="O388" i="13"/>
  <c r="O387" i="13"/>
  <c r="O386" i="13"/>
  <c r="O385" i="13"/>
  <c r="O384" i="13"/>
  <c r="O383" i="13"/>
  <c r="O382" i="13"/>
  <c r="O381" i="13"/>
  <c r="O380" i="13"/>
  <c r="O379" i="13"/>
  <c r="O378" i="13"/>
  <c r="O377" i="13"/>
  <c r="O376" i="13"/>
  <c r="O375" i="13"/>
  <c r="O374" i="13"/>
  <c r="O373" i="13"/>
  <c r="O372" i="13"/>
  <c r="O371" i="13"/>
  <c r="O370" i="13"/>
  <c r="O369" i="13"/>
  <c r="O368" i="13"/>
  <c r="O367" i="13"/>
  <c r="O366" i="13"/>
  <c r="O365" i="13"/>
  <c r="O364" i="13"/>
  <c r="O363" i="13"/>
  <c r="O362" i="13"/>
  <c r="O361" i="13"/>
  <c r="O360" i="13"/>
  <c r="O359" i="13"/>
  <c r="O358" i="13"/>
  <c r="O357" i="13"/>
  <c r="O356" i="13"/>
  <c r="O355" i="13"/>
  <c r="O354" i="13"/>
  <c r="O353" i="13"/>
  <c r="O352" i="13"/>
  <c r="O351" i="13"/>
  <c r="O350" i="13"/>
  <c r="O349" i="13"/>
  <c r="O348" i="13"/>
  <c r="O347" i="13"/>
  <c r="O346" i="13"/>
  <c r="O345" i="13"/>
  <c r="O344" i="13"/>
  <c r="O343" i="13"/>
  <c r="O342" i="13"/>
  <c r="O341" i="13"/>
  <c r="O340" i="13"/>
  <c r="O339" i="13"/>
  <c r="O338" i="13"/>
  <c r="O337" i="13"/>
  <c r="O336" i="13"/>
  <c r="O335" i="13"/>
  <c r="O334" i="13"/>
  <c r="O333" i="13"/>
  <c r="O332" i="13"/>
  <c r="O331" i="13"/>
  <c r="O330" i="13"/>
  <c r="O329" i="13"/>
  <c r="O328" i="13"/>
  <c r="O327" i="13"/>
  <c r="O326" i="13"/>
  <c r="O325" i="13"/>
  <c r="O324" i="13"/>
  <c r="O323" i="13"/>
  <c r="O322" i="13"/>
  <c r="O321" i="13"/>
  <c r="O320" i="13"/>
  <c r="O319" i="13"/>
  <c r="O318" i="13"/>
  <c r="O317" i="13"/>
  <c r="O316" i="13"/>
  <c r="O315" i="13"/>
  <c r="O314" i="13"/>
  <c r="O313" i="13"/>
  <c r="O312" i="13"/>
  <c r="O311" i="13"/>
  <c r="O310" i="13"/>
  <c r="O309" i="13"/>
  <c r="O308" i="13"/>
  <c r="O307" i="13"/>
  <c r="O306" i="13"/>
  <c r="O305" i="13"/>
  <c r="O304" i="13"/>
  <c r="O303" i="13"/>
  <c r="O302" i="13"/>
  <c r="O301" i="13"/>
  <c r="O300" i="13"/>
  <c r="O299" i="13"/>
  <c r="O298" i="13"/>
  <c r="O297" i="13"/>
  <c r="O296" i="13"/>
  <c r="O295" i="13"/>
  <c r="O294" i="13"/>
  <c r="O293" i="13"/>
  <c r="O292" i="13"/>
  <c r="O291" i="13"/>
  <c r="O290" i="13"/>
  <c r="O289" i="13"/>
  <c r="O288" i="13"/>
  <c r="O287" i="13"/>
  <c r="O286" i="13"/>
  <c r="O285" i="13"/>
  <c r="O284" i="13"/>
  <c r="O283" i="13"/>
  <c r="O282" i="13"/>
  <c r="O281" i="13"/>
  <c r="O280" i="13"/>
  <c r="O279" i="13"/>
  <c r="O278" i="13"/>
  <c r="O277" i="13"/>
  <c r="O276" i="13"/>
  <c r="O275" i="13"/>
  <c r="O274" i="13"/>
  <c r="O273" i="13"/>
  <c r="O272" i="13"/>
  <c r="O271" i="13"/>
  <c r="O270" i="13"/>
  <c r="O269" i="13"/>
  <c r="O268" i="13"/>
  <c r="O267" i="13"/>
  <c r="O266" i="13"/>
  <c r="O265" i="13"/>
  <c r="O264" i="13"/>
  <c r="O263" i="13"/>
  <c r="O262" i="13"/>
  <c r="O261" i="13"/>
  <c r="O260" i="13"/>
  <c r="O259" i="13"/>
  <c r="O258" i="13"/>
  <c r="O257" i="13"/>
  <c r="O256" i="13"/>
  <c r="O255" i="13"/>
  <c r="O254" i="13"/>
  <c r="O253" i="13"/>
  <c r="O252" i="13"/>
  <c r="O251" i="13"/>
  <c r="O250" i="13"/>
  <c r="O249" i="13"/>
  <c r="O248" i="13"/>
  <c r="O247" i="13"/>
  <c r="O246" i="13"/>
  <c r="O245" i="13"/>
  <c r="O244" i="13"/>
  <c r="O243" i="13"/>
  <c r="O242" i="13"/>
  <c r="O241" i="13"/>
  <c r="O240" i="13"/>
  <c r="O239" i="13"/>
  <c r="O238" i="13"/>
  <c r="O237" i="13"/>
  <c r="O236" i="13"/>
  <c r="O235" i="13"/>
  <c r="O234" i="13"/>
  <c r="O233" i="13"/>
  <c r="O232" i="13"/>
  <c r="O231" i="13"/>
  <c r="O230" i="13"/>
  <c r="O229" i="13"/>
  <c r="O228" i="13"/>
  <c r="O227" i="13"/>
  <c r="O226" i="13"/>
  <c r="O225" i="13"/>
  <c r="O224" i="13"/>
  <c r="O223" i="13"/>
  <c r="O222" i="13"/>
  <c r="O221" i="13"/>
  <c r="O220" i="13"/>
  <c r="O219" i="13"/>
  <c r="O218" i="13"/>
  <c r="O217" i="13"/>
  <c r="O216" i="13"/>
  <c r="O215" i="13"/>
  <c r="O214" i="13"/>
  <c r="O213" i="13"/>
  <c r="O212" i="13"/>
  <c r="O211" i="13"/>
  <c r="O210" i="13"/>
  <c r="O209" i="13"/>
  <c r="O208" i="13"/>
  <c r="O207" i="13"/>
  <c r="O206" i="13"/>
  <c r="O205" i="13"/>
  <c r="O204" i="13"/>
  <c r="O203" i="13"/>
  <c r="O202" i="13"/>
  <c r="O201" i="13"/>
  <c r="O200" i="13"/>
  <c r="O199" i="13"/>
  <c r="O198" i="13"/>
  <c r="O197" i="13"/>
  <c r="O196" i="13"/>
  <c r="O195" i="13"/>
  <c r="O194" i="13"/>
  <c r="O193" i="13"/>
  <c r="O192" i="13"/>
  <c r="O191" i="13"/>
  <c r="O190" i="13"/>
  <c r="O189" i="13"/>
  <c r="O188" i="13"/>
  <c r="O187" i="13"/>
  <c r="O186" i="13"/>
  <c r="O185" i="13"/>
  <c r="O184" i="13"/>
  <c r="O183" i="13"/>
  <c r="O182" i="13"/>
  <c r="O181" i="13"/>
  <c r="O180" i="13"/>
  <c r="O179" i="13"/>
  <c r="O178" i="13"/>
  <c r="O177" i="13"/>
  <c r="O176" i="13"/>
  <c r="O175" i="13"/>
  <c r="O174" i="13"/>
  <c r="O173" i="13"/>
  <c r="O172" i="13"/>
  <c r="O171" i="13"/>
  <c r="O170" i="13"/>
  <c r="O169" i="13"/>
  <c r="O168" i="13"/>
  <c r="O167" i="13"/>
  <c r="O166" i="13"/>
  <c r="O165" i="13"/>
  <c r="O164" i="13"/>
  <c r="O163" i="13"/>
  <c r="O162" i="13"/>
  <c r="O161" i="13"/>
  <c r="O160" i="13"/>
  <c r="O159" i="13"/>
  <c r="O158" i="13"/>
  <c r="O157" i="13"/>
  <c r="O156" i="13"/>
  <c r="O155" i="13"/>
  <c r="O154" i="13"/>
  <c r="O153" i="13"/>
  <c r="O152" i="13"/>
  <c r="O151" i="13"/>
  <c r="O150" i="13"/>
  <c r="O149" i="13"/>
  <c r="O148" i="13"/>
  <c r="O147" i="13"/>
  <c r="O146" i="13"/>
  <c r="O145" i="13"/>
  <c r="O144" i="13"/>
  <c r="O143" i="13"/>
  <c r="O142" i="13"/>
  <c r="O141" i="13"/>
  <c r="O140" i="13"/>
  <c r="O139" i="13"/>
  <c r="O138" i="13"/>
  <c r="O137" i="13"/>
  <c r="O136" i="13"/>
  <c r="O135" i="13"/>
  <c r="O134" i="13"/>
  <c r="O133" i="13"/>
  <c r="O132" i="13"/>
  <c r="O131" i="13"/>
  <c r="O130" i="13"/>
  <c r="O129" i="13"/>
  <c r="O128" i="13"/>
  <c r="O127" i="13"/>
  <c r="O126" i="13"/>
  <c r="O125" i="13"/>
  <c r="O124" i="13"/>
  <c r="O123" i="13"/>
  <c r="O122" i="13"/>
  <c r="O121" i="13"/>
  <c r="O120" i="13"/>
  <c r="O119" i="13"/>
  <c r="O118" i="13"/>
  <c r="O117" i="13"/>
  <c r="O116" i="13"/>
  <c r="O115" i="13"/>
  <c r="O114" i="13"/>
  <c r="O113" i="13"/>
  <c r="O112" i="13"/>
  <c r="O111" i="13"/>
  <c r="O110" i="13"/>
  <c r="O109" i="13"/>
  <c r="O108" i="13"/>
  <c r="O107" i="13"/>
  <c r="O106" i="13"/>
  <c r="O105" i="13"/>
  <c r="O104" i="13"/>
  <c r="O103" i="13"/>
  <c r="O102" i="13"/>
  <c r="O101" i="13"/>
  <c r="O100" i="13"/>
  <c r="O99" i="13"/>
  <c r="O98" i="13"/>
  <c r="O97" i="13"/>
  <c r="O96" i="13"/>
  <c r="O95" i="13"/>
  <c r="O94" i="13"/>
  <c r="O93" i="13"/>
  <c r="O92" i="13"/>
  <c r="O91" i="13"/>
  <c r="O90" i="13"/>
  <c r="O89" i="13"/>
  <c r="O88" i="13"/>
  <c r="O87" i="13"/>
  <c r="O86" i="13"/>
  <c r="O85" i="13"/>
  <c r="O84" i="13"/>
  <c r="O83" i="13"/>
  <c r="O82" i="13"/>
  <c r="O81" i="13"/>
  <c r="O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61" i="13"/>
  <c r="O60" i="13"/>
  <c r="O59" i="13"/>
  <c r="O58" i="13"/>
  <c r="O57" i="13"/>
  <c r="O56" i="13"/>
  <c r="O55" i="13"/>
  <c r="O54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O3" i="13"/>
  <c r="O2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2" i="13"/>
  <c r="V59" i="13"/>
  <c r="P510" i="12" l="1"/>
  <c r="P506" i="12"/>
  <c r="P502" i="12"/>
  <c r="P498" i="12"/>
  <c r="P503" i="12"/>
  <c r="P513" i="12"/>
  <c r="P509" i="12"/>
  <c r="P505" i="12"/>
  <c r="P501" i="12"/>
  <c r="P497" i="12"/>
  <c r="P507" i="12"/>
  <c r="P511" i="12"/>
  <c r="P512" i="12"/>
  <c r="P508" i="12"/>
  <c r="P504" i="12"/>
  <c r="P500" i="12"/>
  <c r="P499" i="12"/>
  <c r="P496" i="12"/>
  <c r="P495" i="12"/>
  <c r="P494" i="12"/>
  <c r="P493" i="12"/>
  <c r="AY100" i="36"/>
  <c r="AW100" i="36" s="1"/>
  <c r="AS100" i="36"/>
  <c r="AS101" i="36"/>
  <c r="AY101" i="36"/>
  <c r="AS49" i="36"/>
  <c r="P306" i="12"/>
  <c r="P290" i="12"/>
  <c r="P274" i="12"/>
  <c r="P258" i="12"/>
  <c r="P249" i="12"/>
  <c r="P240" i="12"/>
  <c r="P226" i="12"/>
  <c r="P217" i="12"/>
  <c r="P208" i="12"/>
  <c r="P194" i="12"/>
  <c r="P185" i="12"/>
  <c r="P176" i="12"/>
  <c r="P162" i="12"/>
  <c r="P153" i="12"/>
  <c r="P144" i="12"/>
  <c r="P130" i="12"/>
  <c r="P121" i="12"/>
  <c r="P112" i="12"/>
  <c r="P98" i="12"/>
  <c r="P89" i="12"/>
  <c r="P80" i="12"/>
  <c r="P66" i="12"/>
  <c r="P57" i="12"/>
  <c r="P53" i="12"/>
  <c r="P44" i="12"/>
  <c r="P30" i="12"/>
  <c r="P21" i="12"/>
  <c r="P12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00" i="12"/>
  <c r="P284" i="12"/>
  <c r="P268" i="12"/>
  <c r="P253" i="12"/>
  <c r="P244" i="12"/>
  <c r="P230" i="12"/>
  <c r="P221" i="12"/>
  <c r="P212" i="12"/>
  <c r="P198" i="12"/>
  <c r="P189" i="12"/>
  <c r="P180" i="12"/>
  <c r="P166" i="12"/>
  <c r="P157" i="12"/>
  <c r="P148" i="12"/>
  <c r="P134" i="12"/>
  <c r="P125" i="12"/>
  <c r="P116" i="12"/>
  <c r="P102" i="12"/>
  <c r="P93" i="12"/>
  <c r="P84" i="12"/>
  <c r="P70" i="12"/>
  <c r="P61" i="12"/>
  <c r="P48" i="12"/>
  <c r="P310" i="12"/>
  <c r="P294" i="12"/>
  <c r="P278" i="12"/>
  <c r="P262" i="12"/>
  <c r="P257" i="12"/>
  <c r="P248" i="12"/>
  <c r="P234" i="12"/>
  <c r="P225" i="12"/>
  <c r="P216" i="12"/>
  <c r="P202" i="12"/>
  <c r="P193" i="12"/>
  <c r="P184" i="12"/>
  <c r="P170" i="12"/>
  <c r="P161" i="12"/>
  <c r="P152" i="12"/>
  <c r="P138" i="12"/>
  <c r="P129" i="12"/>
  <c r="P120" i="12"/>
  <c r="P106" i="12"/>
  <c r="P97" i="12"/>
  <c r="P88" i="12"/>
  <c r="P74" i="12"/>
  <c r="P65" i="12"/>
  <c r="P56" i="12"/>
  <c r="P52" i="12"/>
  <c r="P38" i="12"/>
  <c r="P29" i="12"/>
  <c r="P20" i="12"/>
  <c r="P2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387" i="12"/>
  <c r="P383" i="12"/>
  <c r="P379" i="12"/>
  <c r="P375" i="12"/>
  <c r="P371" i="12"/>
  <c r="P367" i="12"/>
  <c r="P304" i="12"/>
  <c r="P288" i="12"/>
  <c r="P272" i="12"/>
  <c r="P252" i="12"/>
  <c r="P238" i="12"/>
  <c r="P229" i="12"/>
  <c r="P220" i="12"/>
  <c r="P206" i="12"/>
  <c r="P197" i="12"/>
  <c r="P188" i="12"/>
  <c r="P174" i="12"/>
  <c r="P165" i="12"/>
  <c r="P156" i="12"/>
  <c r="P142" i="12"/>
  <c r="P133" i="12"/>
  <c r="P124" i="12"/>
  <c r="P110" i="12"/>
  <c r="P101" i="12"/>
  <c r="P92" i="12"/>
  <c r="P78" i="12"/>
  <c r="P69" i="12"/>
  <c r="P60" i="12"/>
  <c r="P42" i="12"/>
  <c r="P33" i="12"/>
  <c r="P24" i="12"/>
  <c r="P10" i="12"/>
  <c r="P6" i="12"/>
  <c r="P314" i="12"/>
  <c r="P298" i="12"/>
  <c r="P282" i="12"/>
  <c r="P266" i="12"/>
  <c r="P256" i="12"/>
  <c r="P242" i="12"/>
  <c r="P233" i="12"/>
  <c r="P224" i="12"/>
  <c r="P210" i="12"/>
  <c r="P201" i="12"/>
  <c r="P192" i="12"/>
  <c r="P178" i="12"/>
  <c r="P169" i="12"/>
  <c r="P160" i="12"/>
  <c r="P146" i="12"/>
  <c r="P137" i="12"/>
  <c r="P128" i="12"/>
  <c r="P114" i="12"/>
  <c r="P105" i="12"/>
  <c r="P96" i="12"/>
  <c r="P82" i="12"/>
  <c r="P73" i="12"/>
  <c r="P64" i="12"/>
  <c r="P55" i="12"/>
  <c r="P46" i="12"/>
  <c r="P37" i="12"/>
  <c r="P28" i="12"/>
  <c r="P1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308" i="12"/>
  <c r="P292" i="12"/>
  <c r="P276" i="12"/>
  <c r="P260" i="12"/>
  <c r="P246" i="12"/>
  <c r="P237" i="12"/>
  <c r="P228" i="12"/>
  <c r="P214" i="12"/>
  <c r="P205" i="12"/>
  <c r="P196" i="12"/>
  <c r="P182" i="12"/>
  <c r="P173" i="12"/>
  <c r="P164" i="12"/>
  <c r="P150" i="12"/>
  <c r="P141" i="12"/>
  <c r="P132" i="12"/>
  <c r="P118" i="12"/>
  <c r="P109" i="12"/>
  <c r="P100" i="12"/>
  <c r="P86" i="12"/>
  <c r="P77" i="12"/>
  <c r="P68" i="12"/>
  <c r="P50" i="12"/>
  <c r="P41" i="12"/>
  <c r="P32" i="12"/>
  <c r="P18" i="12"/>
  <c r="P9" i="12"/>
  <c r="P5" i="12"/>
  <c r="P312" i="12"/>
  <c r="P296" i="12"/>
  <c r="P280" i="12"/>
  <c r="P264" i="12"/>
  <c r="P254" i="12"/>
  <c r="P245" i="12"/>
  <c r="P236" i="12"/>
  <c r="P222" i="12"/>
  <c r="P213" i="12"/>
  <c r="P204" i="12"/>
  <c r="P190" i="12"/>
  <c r="P181" i="12"/>
  <c r="P172" i="12"/>
  <c r="P158" i="12"/>
  <c r="P149" i="12"/>
  <c r="P140" i="12"/>
  <c r="P126" i="12"/>
  <c r="P117" i="12"/>
  <c r="P108" i="12"/>
  <c r="P302" i="12"/>
  <c r="P154" i="12"/>
  <c r="P76" i="12"/>
  <c r="P62" i="12"/>
  <c r="P54" i="12"/>
  <c r="P40" i="12"/>
  <c r="P16" i="12"/>
  <c r="P4" i="12"/>
  <c r="P477" i="12"/>
  <c r="P445" i="12"/>
  <c r="P434" i="12"/>
  <c r="P429" i="12"/>
  <c r="P418" i="12"/>
  <c r="P413" i="12"/>
  <c r="P402" i="12"/>
  <c r="P397" i="12"/>
  <c r="P386" i="12"/>
  <c r="P381" i="12"/>
  <c r="P370" i="12"/>
  <c r="P365" i="12"/>
  <c r="P351" i="12"/>
  <c r="P342" i="12"/>
  <c r="P333" i="12"/>
  <c r="P286" i="12"/>
  <c r="P241" i="12"/>
  <c r="P168" i="12"/>
  <c r="P26" i="12"/>
  <c r="P13" i="12"/>
  <c r="P489" i="12"/>
  <c r="P457" i="12"/>
  <c r="P355" i="12"/>
  <c r="P346" i="12"/>
  <c r="P337" i="12"/>
  <c r="P328" i="12"/>
  <c r="P324" i="12"/>
  <c r="P320" i="12"/>
  <c r="P316" i="12"/>
  <c r="P270" i="12"/>
  <c r="P218" i="12"/>
  <c r="P145" i="12"/>
  <c r="P94" i="12"/>
  <c r="P81" i="12"/>
  <c r="P36" i="12"/>
  <c r="P25" i="12"/>
  <c r="P469" i="12"/>
  <c r="P438" i="12"/>
  <c r="P433" i="12"/>
  <c r="P422" i="12"/>
  <c r="P417" i="12"/>
  <c r="P406" i="12"/>
  <c r="P401" i="12"/>
  <c r="P390" i="12"/>
  <c r="P385" i="12"/>
  <c r="P374" i="12"/>
  <c r="P369" i="12"/>
  <c r="P359" i="12"/>
  <c r="P350" i="12"/>
  <c r="P341" i="12"/>
  <c r="P7" i="12"/>
  <c r="P232" i="12"/>
  <c r="P122" i="12"/>
  <c r="P49" i="12"/>
  <c r="P22" i="12"/>
  <c r="P481" i="12"/>
  <c r="P449" i="12"/>
  <c r="P363" i="12"/>
  <c r="P354" i="12"/>
  <c r="P345" i="12"/>
  <c r="P331" i="12"/>
  <c r="P327" i="12"/>
  <c r="P323" i="12"/>
  <c r="P319" i="12"/>
  <c r="P315" i="12"/>
  <c r="P453" i="12"/>
  <c r="P430" i="12"/>
  <c r="P409" i="12"/>
  <c r="P398" i="12"/>
  <c r="P382" i="12"/>
  <c r="P357" i="12"/>
  <c r="P343" i="12"/>
  <c r="P209" i="12"/>
  <c r="P136" i="12"/>
  <c r="P45" i="12"/>
  <c r="P34" i="12"/>
  <c r="P461" i="12"/>
  <c r="P442" i="12"/>
  <c r="P437" i="12"/>
  <c r="P426" i="12"/>
  <c r="P421" i="12"/>
  <c r="P410" i="12"/>
  <c r="P405" i="12"/>
  <c r="P394" i="12"/>
  <c r="P389" i="12"/>
  <c r="P378" i="12"/>
  <c r="P373" i="12"/>
  <c r="P358" i="12"/>
  <c r="P349" i="12"/>
  <c r="P335" i="12"/>
  <c r="P200" i="12"/>
  <c r="P441" i="12"/>
  <c r="P425" i="12"/>
  <c r="P414" i="12"/>
  <c r="P393" i="12"/>
  <c r="P377" i="12"/>
  <c r="P366" i="12"/>
  <c r="P334" i="12"/>
  <c r="P186" i="12"/>
  <c r="P113" i="12"/>
  <c r="P85" i="12"/>
  <c r="P72" i="12"/>
  <c r="P58" i="12"/>
  <c r="P8" i="12"/>
  <c r="P473" i="12"/>
  <c r="P362" i="12"/>
  <c r="P353" i="12"/>
  <c r="P339" i="12"/>
  <c r="P330" i="12"/>
  <c r="P326" i="12"/>
  <c r="P322" i="12"/>
  <c r="P318" i="12"/>
  <c r="P250" i="12"/>
  <c r="P177" i="12"/>
  <c r="P104" i="12"/>
  <c r="P90" i="12"/>
  <c r="P17" i="12"/>
  <c r="P465" i="12"/>
  <c r="P361" i="12"/>
  <c r="P347" i="12"/>
  <c r="P338" i="12"/>
  <c r="P329" i="12"/>
  <c r="P325" i="12"/>
  <c r="P321" i="12"/>
  <c r="P317" i="12"/>
  <c r="P485" i="12"/>
  <c r="P39" i="12"/>
  <c r="P19" i="12"/>
  <c r="P3" i="12"/>
  <c r="P131" i="12"/>
  <c r="P313" i="12"/>
  <c r="P271" i="12"/>
  <c r="P247" i="12"/>
  <c r="P179" i="12"/>
  <c r="P143" i="12"/>
  <c r="P107" i="12"/>
  <c r="P311" i="12"/>
  <c r="P285" i="12"/>
  <c r="P215" i="12"/>
  <c r="P295" i="12"/>
  <c r="P63" i="12"/>
  <c r="P35" i="12"/>
  <c r="P95" i="12"/>
  <c r="P163" i="12"/>
  <c r="P59" i="12"/>
  <c r="P287" i="12"/>
  <c r="P261" i="12"/>
  <c r="P211" i="12"/>
  <c r="P175" i="12"/>
  <c r="P139" i="12"/>
  <c r="P71" i="12"/>
  <c r="P301" i="12"/>
  <c r="P265" i="12"/>
  <c r="P281" i="12"/>
  <c r="P43" i="12"/>
  <c r="P15" i="12"/>
  <c r="P195" i="12"/>
  <c r="P91" i="12"/>
  <c r="P303" i="12"/>
  <c r="P277" i="12"/>
  <c r="P243" i="12"/>
  <c r="P207" i="12"/>
  <c r="P171" i="12"/>
  <c r="P103" i="12"/>
  <c r="P307" i="12"/>
  <c r="P147" i="12"/>
  <c r="P99" i="12"/>
  <c r="P51" i="12"/>
  <c r="P23" i="12"/>
  <c r="P227" i="12"/>
  <c r="P123" i="12"/>
  <c r="P87" i="12"/>
  <c r="P293" i="12"/>
  <c r="P267" i="12"/>
  <c r="P239" i="12"/>
  <c r="P203" i="12"/>
  <c r="P135" i="12"/>
  <c r="P255" i="12"/>
  <c r="P269" i="12"/>
  <c r="P223" i="12"/>
  <c r="P297" i="12"/>
  <c r="P47" i="12"/>
  <c r="P259" i="12"/>
  <c r="P155" i="12"/>
  <c r="P119" i="12"/>
  <c r="P309" i="12"/>
  <c r="P283" i="12"/>
  <c r="P273" i="12"/>
  <c r="P235" i="12"/>
  <c r="P167" i="12"/>
  <c r="P251" i="12"/>
  <c r="P111" i="12"/>
  <c r="P31" i="12"/>
  <c r="P67" i="12"/>
  <c r="P27" i="12"/>
  <c r="P275" i="12"/>
  <c r="P187" i="12"/>
  <c r="P151" i="12"/>
  <c r="P83" i="12"/>
  <c r="P299" i="12"/>
  <c r="P289" i="12"/>
  <c r="P263" i="12"/>
  <c r="P199" i="12"/>
  <c r="P305" i="12"/>
  <c r="P279" i="12"/>
  <c r="P231" i="12"/>
  <c r="P11" i="12"/>
  <c r="P75" i="12"/>
  <c r="P127" i="12"/>
  <c r="P159" i="12"/>
  <c r="P191" i="12"/>
  <c r="P291" i="12"/>
  <c r="P219" i="12"/>
  <c r="P183" i="12"/>
  <c r="P115" i="12"/>
  <c r="P79" i="12"/>
  <c r="AS80" i="36"/>
  <c r="AS81" i="36"/>
  <c r="AY10" i="36"/>
  <c r="AL22" i="36"/>
  <c r="AY11" i="36"/>
  <c r="AL54" i="36"/>
  <c r="AS16" i="36"/>
  <c r="AY51" i="36"/>
  <c r="AL86" i="36"/>
  <c r="AS17" i="36"/>
  <c r="AY74" i="36"/>
  <c r="AS48" i="36"/>
  <c r="AY75" i="36"/>
  <c r="AL30" i="36"/>
  <c r="AL62" i="36"/>
  <c r="AL94" i="36"/>
  <c r="AS91" i="36"/>
  <c r="AS24" i="36"/>
  <c r="AS56" i="36"/>
  <c r="AS88" i="36"/>
  <c r="AY15" i="36"/>
  <c r="AY35" i="36"/>
  <c r="AY58" i="36"/>
  <c r="AY79" i="36"/>
  <c r="AL58" i="36"/>
  <c r="AL90" i="36"/>
  <c r="AY55" i="36"/>
  <c r="AL34" i="36"/>
  <c r="AL66" i="36"/>
  <c r="AL98" i="36"/>
  <c r="AS95" i="36"/>
  <c r="AS25" i="36"/>
  <c r="AS57" i="36"/>
  <c r="AS89" i="36"/>
  <c r="AY18" i="36"/>
  <c r="AY39" i="36"/>
  <c r="AY59" i="36"/>
  <c r="AY82" i="36"/>
  <c r="AY31" i="36"/>
  <c r="AL6" i="36"/>
  <c r="AL38" i="36"/>
  <c r="AL70" i="36"/>
  <c r="AS98" i="36"/>
  <c r="AS32" i="36"/>
  <c r="AS64" i="36"/>
  <c r="AY97" i="36"/>
  <c r="AW97" i="36" s="1"/>
  <c r="AZ97" i="36" s="1"/>
  <c r="AY19" i="36"/>
  <c r="AY42" i="36"/>
  <c r="AY63" i="36"/>
  <c r="AY83" i="36"/>
  <c r="AY34" i="36"/>
  <c r="AL10" i="36"/>
  <c r="AL42" i="36"/>
  <c r="AL74" i="36"/>
  <c r="AS99" i="36"/>
  <c r="AS33" i="36"/>
  <c r="AS65" i="36"/>
  <c r="AY2" i="36"/>
  <c r="AY23" i="36"/>
  <c r="AY43" i="36"/>
  <c r="AY66" i="36"/>
  <c r="AY87" i="36"/>
  <c r="AL14" i="36"/>
  <c r="AL46" i="36"/>
  <c r="AL78" i="36"/>
  <c r="AS8" i="36"/>
  <c r="AS40" i="36"/>
  <c r="AS72" i="36"/>
  <c r="AY3" i="36"/>
  <c r="AY26" i="36"/>
  <c r="AY47" i="36"/>
  <c r="AY67" i="36"/>
  <c r="AY90" i="36"/>
  <c r="AL26" i="36"/>
  <c r="AL18" i="36"/>
  <c r="AL50" i="36"/>
  <c r="AL82" i="36"/>
  <c r="AS9" i="36"/>
  <c r="AS41" i="36"/>
  <c r="AS73" i="36"/>
  <c r="AY7" i="36"/>
  <c r="AY27" i="36"/>
  <c r="AY50" i="36"/>
  <c r="AY71" i="36"/>
  <c r="AY91" i="36"/>
  <c r="AL45" i="36"/>
  <c r="AL93" i="36"/>
  <c r="AS5" i="36"/>
  <c r="AS21" i="36"/>
  <c r="AS37" i="36"/>
  <c r="AS53" i="36"/>
  <c r="AS61" i="36"/>
  <c r="AS77" i="36"/>
  <c r="AS85" i="36"/>
  <c r="AL3" i="36"/>
  <c r="AL11" i="36"/>
  <c r="AL19" i="36"/>
  <c r="AL27" i="36"/>
  <c r="AL35" i="36"/>
  <c r="AL43" i="36"/>
  <c r="AL51" i="36"/>
  <c r="AL59" i="36"/>
  <c r="AL67" i="36"/>
  <c r="AL75" i="36"/>
  <c r="AL83" i="36"/>
  <c r="AL99" i="36"/>
  <c r="AS96" i="36"/>
  <c r="AS6" i="36"/>
  <c r="AS14" i="36"/>
  <c r="AS22" i="36"/>
  <c r="AS30" i="36"/>
  <c r="AS38" i="36"/>
  <c r="AS46" i="36"/>
  <c r="AS54" i="36"/>
  <c r="AS62" i="36"/>
  <c r="AS70" i="36"/>
  <c r="AS78" i="36"/>
  <c r="AS86" i="36"/>
  <c r="AY8" i="36"/>
  <c r="AY16" i="36"/>
  <c r="AY24" i="36"/>
  <c r="AY32" i="36"/>
  <c r="AY40" i="36"/>
  <c r="AY48" i="36"/>
  <c r="AY56" i="36"/>
  <c r="AY64" i="36"/>
  <c r="AY72" i="36"/>
  <c r="AY80" i="36"/>
  <c r="AY88" i="36"/>
  <c r="AL5" i="36"/>
  <c r="AL13" i="36"/>
  <c r="AL37" i="36"/>
  <c r="AS13" i="36"/>
  <c r="AS29" i="36"/>
  <c r="AS45" i="36"/>
  <c r="AS69" i="36"/>
  <c r="AL96" i="36"/>
  <c r="AS97" i="36"/>
  <c r="AS7" i="36"/>
  <c r="AS15" i="36"/>
  <c r="AS23" i="36"/>
  <c r="AS31" i="36"/>
  <c r="AS39" i="36"/>
  <c r="AS47" i="36"/>
  <c r="AS55" i="36"/>
  <c r="AS63" i="36"/>
  <c r="AS71" i="36"/>
  <c r="AS79" i="36"/>
  <c r="AS87" i="36"/>
  <c r="AY9" i="36"/>
  <c r="AY17" i="36"/>
  <c r="AY25" i="36"/>
  <c r="AY33" i="36"/>
  <c r="AY41" i="36"/>
  <c r="AY49" i="36"/>
  <c r="AY57" i="36"/>
  <c r="AY65" i="36"/>
  <c r="AY73" i="36"/>
  <c r="AY81" i="36"/>
  <c r="AY89" i="36"/>
  <c r="AL95" i="36"/>
  <c r="AS92" i="36"/>
  <c r="AY4" i="36"/>
  <c r="AY12" i="36"/>
  <c r="AY20" i="36"/>
  <c r="AY28" i="36"/>
  <c r="AY36" i="36"/>
  <c r="AY44" i="36"/>
  <c r="AY52" i="36"/>
  <c r="AY60" i="36"/>
  <c r="AY68" i="36"/>
  <c r="AY76" i="36"/>
  <c r="AY84" i="36"/>
  <c r="AY92" i="36"/>
  <c r="AL21" i="36"/>
  <c r="AL29" i="36"/>
  <c r="AL53" i="36"/>
  <c r="AL77" i="36"/>
  <c r="AL4" i="36"/>
  <c r="AL12" i="36"/>
  <c r="AL20" i="36"/>
  <c r="AL28" i="36"/>
  <c r="AL36" i="36"/>
  <c r="AL44" i="36"/>
  <c r="AL52" i="36"/>
  <c r="AL60" i="36"/>
  <c r="AL68" i="36"/>
  <c r="AL76" i="36"/>
  <c r="AL84" i="36"/>
  <c r="AS93" i="36"/>
  <c r="AY61" i="36"/>
  <c r="AY69" i="36"/>
  <c r="AY85" i="36"/>
  <c r="AS94" i="36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2" i="40"/>
  <c r="AT93" i="36"/>
  <c r="AU93" i="36"/>
  <c r="AW93" i="36"/>
  <c r="AZ93" i="36" s="1"/>
  <c r="BB93" i="36"/>
  <c r="AT94" i="36"/>
  <c r="AU94" i="36"/>
  <c r="AW94" i="36"/>
  <c r="AZ94" i="36" s="1"/>
  <c r="BB94" i="36"/>
  <c r="AT95" i="36"/>
  <c r="AU95" i="36"/>
  <c r="AW95" i="36"/>
  <c r="AZ95" i="36" s="1"/>
  <c r="BB95" i="36"/>
  <c r="AT96" i="36"/>
  <c r="AU96" i="36"/>
  <c r="AW96" i="36"/>
  <c r="AZ96" i="36" s="1"/>
  <c r="BB96" i="36"/>
  <c r="AT97" i="36"/>
  <c r="AU97" i="36"/>
  <c r="BB97" i="36"/>
  <c r="AT98" i="36"/>
  <c r="AU98" i="36"/>
  <c r="AW98" i="36"/>
  <c r="AZ98" i="36" s="1"/>
  <c r="BB98" i="36"/>
  <c r="AT99" i="36"/>
  <c r="AU99" i="36"/>
  <c r="AW99" i="36"/>
  <c r="AZ99" i="36" s="1"/>
  <c r="BB99" i="36"/>
  <c r="AT100" i="36"/>
  <c r="AU100" i="36"/>
  <c r="AL2" i="36"/>
  <c r="BB101" i="36"/>
  <c r="BB102" i="36"/>
  <c r="BB103" i="36"/>
  <c r="BB104" i="36"/>
  <c r="BB105" i="36"/>
  <c r="BB106" i="36"/>
  <c r="BB107" i="36"/>
  <c r="AJ2" i="36"/>
  <c r="AX94" i="36"/>
  <c r="AX95" i="36"/>
  <c r="AX96" i="36"/>
  <c r="AX98" i="36"/>
  <c r="AX99" i="36"/>
  <c r="AX97" i="36" l="1"/>
  <c r="AV100" i="36"/>
  <c r="AV94" i="36"/>
  <c r="AV98" i="36"/>
  <c r="AV97" i="36"/>
  <c r="AX93" i="36"/>
  <c r="AV93" i="36"/>
  <c r="AV96" i="36"/>
  <c r="AV99" i="36"/>
  <c r="AV95" i="36"/>
  <c r="Z554" i="12" l="1"/>
  <c r="X554" i="12"/>
  <c r="V554" i="12"/>
  <c r="U554" i="12"/>
  <c r="T554" i="12"/>
  <c r="R554" i="12"/>
  <c r="Z553" i="12"/>
  <c r="X553" i="12"/>
  <c r="V553" i="12"/>
  <c r="U553" i="12"/>
  <c r="T553" i="12"/>
  <c r="R553" i="12"/>
  <c r="Z552" i="12"/>
  <c r="X552" i="12"/>
  <c r="V552" i="12"/>
  <c r="U552" i="12"/>
  <c r="T552" i="12"/>
  <c r="R552" i="12"/>
  <c r="Z551" i="12"/>
  <c r="X551" i="12"/>
  <c r="V551" i="12"/>
  <c r="U551" i="12"/>
  <c r="T551" i="12"/>
  <c r="R551" i="12"/>
  <c r="Z550" i="12"/>
  <c r="X550" i="12"/>
  <c r="V550" i="12"/>
  <c r="U550" i="12"/>
  <c r="T550" i="12"/>
  <c r="R550" i="12"/>
  <c r="Z549" i="12"/>
  <c r="X549" i="12"/>
  <c r="V549" i="12"/>
  <c r="U549" i="12"/>
  <c r="T549" i="12"/>
  <c r="R549" i="12"/>
  <c r="Z548" i="12"/>
  <c r="X548" i="12"/>
  <c r="V548" i="12"/>
  <c r="U548" i="12"/>
  <c r="T548" i="12"/>
  <c r="R548" i="12"/>
  <c r="Z547" i="12"/>
  <c r="X547" i="12"/>
  <c r="V547" i="12"/>
  <c r="U547" i="12"/>
  <c r="T547" i="12"/>
  <c r="R547" i="12"/>
  <c r="Z546" i="12"/>
  <c r="X546" i="12"/>
  <c r="V546" i="12"/>
  <c r="U546" i="12"/>
  <c r="T546" i="12"/>
  <c r="R546" i="12"/>
  <c r="Z545" i="12"/>
  <c r="X545" i="12"/>
  <c r="V545" i="12"/>
  <c r="U545" i="12"/>
  <c r="T545" i="12"/>
  <c r="R545" i="12"/>
  <c r="Z544" i="12"/>
  <c r="X544" i="12"/>
  <c r="V544" i="12"/>
  <c r="U544" i="12"/>
  <c r="T544" i="12"/>
  <c r="R544" i="12"/>
  <c r="Z543" i="12"/>
  <c r="X543" i="12"/>
  <c r="V543" i="12"/>
  <c r="U543" i="12"/>
  <c r="T543" i="12"/>
  <c r="R543" i="12"/>
  <c r="Z542" i="12"/>
  <c r="X542" i="12"/>
  <c r="V542" i="12"/>
  <c r="U542" i="12"/>
  <c r="T542" i="12"/>
  <c r="R542" i="12"/>
  <c r="Z541" i="12"/>
  <c r="X541" i="12"/>
  <c r="V541" i="12"/>
  <c r="U541" i="12"/>
  <c r="T541" i="12"/>
  <c r="R541" i="12"/>
  <c r="Z540" i="12"/>
  <c r="X540" i="12"/>
  <c r="V540" i="12"/>
  <c r="U540" i="12"/>
  <c r="T540" i="12"/>
  <c r="R540" i="12"/>
  <c r="Z539" i="12"/>
  <c r="X539" i="12"/>
  <c r="V539" i="12"/>
  <c r="U539" i="12"/>
  <c r="T539" i="12"/>
  <c r="R539" i="12"/>
  <c r="Z538" i="12"/>
  <c r="X538" i="12"/>
  <c r="V538" i="12"/>
  <c r="U538" i="12"/>
  <c r="T538" i="12"/>
  <c r="R538" i="12"/>
  <c r="Z537" i="12"/>
  <c r="X537" i="12"/>
  <c r="V537" i="12"/>
  <c r="U537" i="12"/>
  <c r="T537" i="12"/>
  <c r="R537" i="12"/>
  <c r="Z536" i="12"/>
  <c r="X536" i="12"/>
  <c r="V536" i="12"/>
  <c r="U536" i="12"/>
  <c r="T536" i="12"/>
  <c r="R536" i="12"/>
  <c r="Z535" i="12"/>
  <c r="X535" i="12"/>
  <c r="V535" i="12"/>
  <c r="U535" i="12"/>
  <c r="T535" i="12"/>
  <c r="R535" i="12"/>
  <c r="Z534" i="12"/>
  <c r="X534" i="12"/>
  <c r="V534" i="12"/>
  <c r="U534" i="12"/>
  <c r="T534" i="12"/>
  <c r="R534" i="12"/>
  <c r="Z533" i="12"/>
  <c r="X533" i="12"/>
  <c r="V533" i="12"/>
  <c r="U533" i="12"/>
  <c r="T533" i="12"/>
  <c r="R533" i="12"/>
  <c r="Z532" i="12"/>
  <c r="X532" i="12"/>
  <c r="V532" i="12"/>
  <c r="U532" i="12"/>
  <c r="T532" i="12"/>
  <c r="R532" i="12"/>
  <c r="Z531" i="12"/>
  <c r="X531" i="12"/>
  <c r="V531" i="12"/>
  <c r="U531" i="12"/>
  <c r="T531" i="12"/>
  <c r="R531" i="12"/>
  <c r="Z530" i="12"/>
  <c r="X530" i="12"/>
  <c r="V530" i="12"/>
  <c r="U530" i="12"/>
  <c r="T530" i="12"/>
  <c r="R530" i="12"/>
  <c r="Z529" i="12"/>
  <c r="X529" i="12"/>
  <c r="V529" i="12"/>
  <c r="U529" i="12"/>
  <c r="T529" i="12"/>
  <c r="R529" i="12"/>
  <c r="Z528" i="12"/>
  <c r="X528" i="12"/>
  <c r="V528" i="12"/>
  <c r="U528" i="12"/>
  <c r="T528" i="12"/>
  <c r="R528" i="12"/>
  <c r="Z527" i="12"/>
  <c r="X527" i="12"/>
  <c r="V527" i="12"/>
  <c r="U527" i="12"/>
  <c r="T527" i="12"/>
  <c r="R527" i="12"/>
  <c r="Z526" i="12"/>
  <c r="X526" i="12"/>
  <c r="V526" i="12"/>
  <c r="U526" i="12"/>
  <c r="T526" i="12"/>
  <c r="R526" i="12"/>
  <c r="Z525" i="12"/>
  <c r="X525" i="12"/>
  <c r="V525" i="12"/>
  <c r="U525" i="12"/>
  <c r="T525" i="12"/>
  <c r="R525" i="12"/>
  <c r="Z524" i="12"/>
  <c r="X524" i="12"/>
  <c r="V524" i="12"/>
  <c r="U524" i="12"/>
  <c r="T524" i="12"/>
  <c r="R524" i="12"/>
  <c r="Z523" i="12"/>
  <c r="X523" i="12"/>
  <c r="V523" i="12"/>
  <c r="U523" i="12"/>
  <c r="T523" i="12"/>
  <c r="R523" i="12"/>
  <c r="Z522" i="12"/>
  <c r="X522" i="12"/>
  <c r="V522" i="12"/>
  <c r="U522" i="12"/>
  <c r="T522" i="12"/>
  <c r="R522" i="12"/>
  <c r="Z521" i="12"/>
  <c r="X521" i="12"/>
  <c r="V521" i="12"/>
  <c r="U521" i="12"/>
  <c r="T521" i="12"/>
  <c r="R521" i="12"/>
  <c r="Z520" i="12"/>
  <c r="X520" i="12"/>
  <c r="V520" i="12"/>
  <c r="U520" i="12"/>
  <c r="T520" i="12"/>
  <c r="R520" i="12"/>
  <c r="Z519" i="12"/>
  <c r="X519" i="12"/>
  <c r="V519" i="12"/>
  <c r="U519" i="12"/>
  <c r="T519" i="12"/>
  <c r="R519" i="12"/>
  <c r="Z518" i="12"/>
  <c r="X518" i="12"/>
  <c r="V518" i="12"/>
  <c r="U518" i="12"/>
  <c r="T518" i="12"/>
  <c r="R518" i="12"/>
  <c r="Z517" i="12"/>
  <c r="X517" i="12"/>
  <c r="V517" i="12"/>
  <c r="U517" i="12"/>
  <c r="T517" i="12"/>
  <c r="R517" i="12"/>
  <c r="Z516" i="12"/>
  <c r="X516" i="12"/>
  <c r="V516" i="12"/>
  <c r="U516" i="12"/>
  <c r="T516" i="12"/>
  <c r="R516" i="12"/>
  <c r="Z515" i="12"/>
  <c r="X515" i="12"/>
  <c r="V515" i="12"/>
  <c r="U515" i="12"/>
  <c r="T515" i="12"/>
  <c r="R515" i="12"/>
  <c r="Z514" i="12"/>
  <c r="X514" i="12"/>
  <c r="V514" i="12"/>
  <c r="U514" i="12"/>
  <c r="T514" i="12"/>
  <c r="R514" i="12"/>
  <c r="X513" i="12"/>
  <c r="V513" i="12"/>
  <c r="U513" i="12"/>
  <c r="R513" i="12"/>
  <c r="T513" i="12" s="1"/>
  <c r="Z513" i="12" s="1"/>
  <c r="V512" i="12"/>
  <c r="U512" i="12"/>
  <c r="X512" i="12" s="1"/>
  <c r="R512" i="12"/>
  <c r="T512" i="12" s="1"/>
  <c r="Z512" i="12" s="1"/>
  <c r="V511" i="12"/>
  <c r="U511" i="12"/>
  <c r="X511" i="12" s="1"/>
  <c r="R511" i="12"/>
  <c r="T511" i="12" s="1"/>
  <c r="Z511" i="12" s="1"/>
  <c r="V510" i="12"/>
  <c r="U510" i="12"/>
  <c r="X510" i="12" s="1"/>
  <c r="R510" i="12"/>
  <c r="T510" i="12" s="1"/>
  <c r="Z510" i="12" s="1"/>
  <c r="V509" i="12"/>
  <c r="U509" i="12"/>
  <c r="X509" i="12" s="1"/>
  <c r="R509" i="12"/>
  <c r="T509" i="12" s="1"/>
  <c r="Z509" i="12" s="1"/>
  <c r="V508" i="12"/>
  <c r="U508" i="12"/>
  <c r="X508" i="12" s="1"/>
  <c r="R508" i="12"/>
  <c r="T508" i="12" s="1"/>
  <c r="Z508" i="12" s="1"/>
  <c r="V507" i="12"/>
  <c r="U507" i="12"/>
  <c r="X507" i="12" s="1"/>
  <c r="R507" i="12"/>
  <c r="T507" i="12" s="1"/>
  <c r="Z507" i="12" s="1"/>
  <c r="V506" i="12"/>
  <c r="U506" i="12"/>
  <c r="X506" i="12" s="1"/>
  <c r="R506" i="12"/>
  <c r="T506" i="12" s="1"/>
  <c r="Z506" i="12" s="1"/>
  <c r="V505" i="12"/>
  <c r="U505" i="12"/>
  <c r="X505" i="12" s="1"/>
  <c r="R505" i="12"/>
  <c r="T505" i="12" s="1"/>
  <c r="Z505" i="12" s="1"/>
  <c r="V504" i="12"/>
  <c r="U504" i="12"/>
  <c r="X504" i="12" s="1"/>
  <c r="R504" i="12"/>
  <c r="T504" i="12" s="1"/>
  <c r="Z504" i="12" s="1"/>
  <c r="V503" i="12"/>
  <c r="U503" i="12"/>
  <c r="X503" i="12" s="1"/>
  <c r="R503" i="12"/>
  <c r="T503" i="12" s="1"/>
  <c r="Z503" i="12" s="1"/>
  <c r="V502" i="12"/>
  <c r="U502" i="12"/>
  <c r="X502" i="12" s="1"/>
  <c r="R502" i="12"/>
  <c r="T502" i="12" s="1"/>
  <c r="Z502" i="12" s="1"/>
  <c r="V501" i="12"/>
  <c r="U501" i="12"/>
  <c r="X501" i="12" s="1"/>
  <c r="R501" i="12"/>
  <c r="T501" i="12" s="1"/>
  <c r="Z501" i="12" s="1"/>
  <c r="V500" i="12"/>
  <c r="U500" i="12"/>
  <c r="X500" i="12" s="1"/>
  <c r="R500" i="12"/>
  <c r="T500" i="12" s="1"/>
  <c r="Z500" i="12" s="1"/>
  <c r="V499" i="12"/>
  <c r="U499" i="12"/>
  <c r="X499" i="12" s="1"/>
  <c r="R499" i="12"/>
  <c r="T499" i="12" s="1"/>
  <c r="Z499" i="12" s="1"/>
  <c r="V498" i="12"/>
  <c r="U498" i="12"/>
  <c r="X498" i="12" s="1"/>
  <c r="R498" i="12"/>
  <c r="T498" i="12" s="1"/>
  <c r="Z498" i="12" s="1"/>
  <c r="V497" i="12"/>
  <c r="U497" i="12"/>
  <c r="X497" i="12" s="1"/>
  <c r="R497" i="12"/>
  <c r="T497" i="12" s="1"/>
  <c r="Z497" i="12" s="1"/>
  <c r="V496" i="12"/>
  <c r="U496" i="12"/>
  <c r="X496" i="12" s="1"/>
  <c r="R496" i="12"/>
  <c r="T496" i="12" s="1"/>
  <c r="Z496" i="12" s="1"/>
  <c r="V495" i="12"/>
  <c r="U495" i="12"/>
  <c r="X495" i="12" s="1"/>
  <c r="R495" i="12"/>
  <c r="T495" i="12" s="1"/>
  <c r="Z495" i="12" s="1"/>
  <c r="V494" i="12"/>
  <c r="U494" i="12"/>
  <c r="X494" i="12" s="1"/>
  <c r="R494" i="12"/>
  <c r="T494" i="12" s="1"/>
  <c r="Z494" i="12" s="1"/>
  <c r="V493" i="12"/>
  <c r="U493" i="12"/>
  <c r="X493" i="12" s="1"/>
  <c r="R493" i="12"/>
  <c r="T493" i="12" s="1"/>
  <c r="Z493" i="12" s="1"/>
  <c r="V492" i="12"/>
  <c r="U492" i="12"/>
  <c r="X492" i="12" s="1"/>
  <c r="R492" i="12"/>
  <c r="T492" i="12" s="1"/>
  <c r="Z492" i="12" s="1"/>
  <c r="V491" i="12"/>
  <c r="U491" i="12"/>
  <c r="X491" i="12" s="1"/>
  <c r="R491" i="12"/>
  <c r="T491" i="12" s="1"/>
  <c r="Z491" i="12" s="1"/>
  <c r="V490" i="12"/>
  <c r="R490" i="12"/>
  <c r="V489" i="12"/>
  <c r="R489" i="12"/>
  <c r="T489" i="12" s="1"/>
  <c r="Z489" i="12" s="1"/>
  <c r="V488" i="12"/>
  <c r="R488" i="12"/>
  <c r="V487" i="12"/>
  <c r="R487" i="12"/>
  <c r="T487" i="12" s="1"/>
  <c r="Z487" i="12" s="1"/>
  <c r="V486" i="12"/>
  <c r="R486" i="12"/>
  <c r="T486" i="12" s="1"/>
  <c r="Z486" i="12" s="1"/>
  <c r="U485" i="12"/>
  <c r="X485" i="12" s="1"/>
  <c r="R485" i="12"/>
  <c r="V484" i="12"/>
  <c r="R484" i="12"/>
  <c r="T484" i="12" s="1"/>
  <c r="Z484" i="12" s="1"/>
  <c r="V483" i="12"/>
  <c r="R483" i="12"/>
  <c r="T483" i="12" s="1"/>
  <c r="Z483" i="12" s="1"/>
  <c r="V482" i="12"/>
  <c r="R482" i="12"/>
  <c r="T482" i="12" s="1"/>
  <c r="Z482" i="12" s="1"/>
  <c r="U481" i="12"/>
  <c r="X481" i="12" s="1"/>
  <c r="R481" i="12"/>
  <c r="V480" i="12"/>
  <c r="R480" i="12"/>
  <c r="V479" i="12"/>
  <c r="R479" i="12"/>
  <c r="T479" i="12" s="1"/>
  <c r="Z479" i="12" s="1"/>
  <c r="V478" i="12"/>
  <c r="R478" i="12"/>
  <c r="V477" i="12"/>
  <c r="R477" i="12"/>
  <c r="V476" i="12"/>
  <c r="R476" i="12"/>
  <c r="T476" i="12" s="1"/>
  <c r="Z476" i="12" s="1"/>
  <c r="V475" i="12"/>
  <c r="R475" i="12"/>
  <c r="U474" i="12"/>
  <c r="X474" i="12" s="1"/>
  <c r="R474" i="12"/>
  <c r="U473" i="12"/>
  <c r="X473" i="12" s="1"/>
  <c r="R473" i="12"/>
  <c r="V472" i="12"/>
  <c r="R472" i="12"/>
  <c r="T472" i="12" s="1"/>
  <c r="Z472" i="12" s="1"/>
  <c r="V471" i="12"/>
  <c r="R471" i="12"/>
  <c r="U470" i="12"/>
  <c r="X470" i="12" s="1"/>
  <c r="R470" i="12"/>
  <c r="V469" i="12"/>
  <c r="R469" i="12"/>
  <c r="T469" i="12" s="1"/>
  <c r="Z469" i="12" s="1"/>
  <c r="U468" i="12"/>
  <c r="X468" i="12" s="1"/>
  <c r="R468" i="12"/>
  <c r="U467" i="12"/>
  <c r="X467" i="12" s="1"/>
  <c r="R467" i="12"/>
  <c r="U466" i="12"/>
  <c r="X466" i="12" s="1"/>
  <c r="R466" i="12"/>
  <c r="U465" i="12"/>
  <c r="X465" i="12" s="1"/>
  <c r="R465" i="12"/>
  <c r="U464" i="12"/>
  <c r="X464" i="12" s="1"/>
  <c r="R464" i="12"/>
  <c r="U463" i="12"/>
  <c r="X463" i="12" s="1"/>
  <c r="R463" i="12"/>
  <c r="U462" i="12"/>
  <c r="X462" i="12" s="1"/>
  <c r="R462" i="12"/>
  <c r="U461" i="12"/>
  <c r="X461" i="12" s="1"/>
  <c r="R461" i="12"/>
  <c r="U460" i="12"/>
  <c r="X460" i="12" s="1"/>
  <c r="R460" i="12"/>
  <c r="V459" i="12"/>
  <c r="R459" i="12"/>
  <c r="V458" i="12"/>
  <c r="R458" i="12"/>
  <c r="V457" i="12"/>
  <c r="R457" i="12"/>
  <c r="V456" i="12"/>
  <c r="R456" i="12"/>
  <c r="V455" i="12"/>
  <c r="R455" i="12"/>
  <c r="V454" i="12"/>
  <c r="R454" i="12"/>
  <c r="V453" i="12"/>
  <c r="R453" i="12"/>
  <c r="U452" i="12"/>
  <c r="X452" i="12" s="1"/>
  <c r="R452" i="12"/>
  <c r="V451" i="12"/>
  <c r="R451" i="12"/>
  <c r="U450" i="12"/>
  <c r="X450" i="12" s="1"/>
  <c r="R450" i="12"/>
  <c r="V449" i="12"/>
  <c r="R449" i="12"/>
  <c r="U448" i="12"/>
  <c r="X448" i="12" s="1"/>
  <c r="R448" i="12"/>
  <c r="V447" i="12"/>
  <c r="R447" i="12"/>
  <c r="U446" i="12"/>
  <c r="X446" i="12" s="1"/>
  <c r="R446" i="12"/>
  <c r="V445" i="12"/>
  <c r="R445" i="12"/>
  <c r="V444" i="12"/>
  <c r="R444" i="12"/>
  <c r="R443" i="12"/>
  <c r="U442" i="12"/>
  <c r="X442" i="12" s="1"/>
  <c r="R442" i="12"/>
  <c r="V441" i="12"/>
  <c r="R441" i="12"/>
  <c r="U440" i="12"/>
  <c r="X440" i="12" s="1"/>
  <c r="R440" i="12"/>
  <c r="V439" i="12"/>
  <c r="R439" i="12"/>
  <c r="U438" i="12"/>
  <c r="X438" i="12" s="1"/>
  <c r="R438" i="12"/>
  <c r="V437" i="12"/>
  <c r="R437" i="12"/>
  <c r="V436" i="12"/>
  <c r="R436" i="12"/>
  <c r="R435" i="12"/>
  <c r="V434" i="12"/>
  <c r="R434" i="12"/>
  <c r="R433" i="12"/>
  <c r="R432" i="12"/>
  <c r="U431" i="12"/>
  <c r="X431" i="12" s="1"/>
  <c r="R431" i="12"/>
  <c r="U430" i="12"/>
  <c r="X430" i="12" s="1"/>
  <c r="R430" i="12"/>
  <c r="V429" i="12"/>
  <c r="R429" i="12"/>
  <c r="R428" i="12"/>
  <c r="R427" i="12"/>
  <c r="R426" i="12"/>
  <c r="V425" i="12"/>
  <c r="R425" i="12"/>
  <c r="U424" i="12"/>
  <c r="X424" i="12" s="1"/>
  <c r="R424" i="12"/>
  <c r="V423" i="12"/>
  <c r="R423" i="12"/>
  <c r="U422" i="12"/>
  <c r="X422" i="12" s="1"/>
  <c r="R422" i="12"/>
  <c r="V421" i="12"/>
  <c r="R421" i="12"/>
  <c r="U420" i="12"/>
  <c r="X420" i="12" s="1"/>
  <c r="R420" i="12"/>
  <c r="R419" i="12"/>
  <c r="V418" i="12"/>
  <c r="R418" i="12"/>
  <c r="V417" i="12"/>
  <c r="R417" i="12"/>
  <c r="R416" i="12"/>
  <c r="U415" i="12"/>
  <c r="X415" i="12" s="1"/>
  <c r="R415" i="12"/>
  <c r="U414" i="12"/>
  <c r="X414" i="12" s="1"/>
  <c r="R414" i="12"/>
  <c r="V413" i="12"/>
  <c r="R413" i="12"/>
  <c r="V412" i="12"/>
  <c r="R412" i="12"/>
  <c r="R411" i="12"/>
  <c r="V410" i="12"/>
  <c r="R410" i="12"/>
  <c r="R409" i="12"/>
  <c r="R408" i="12"/>
  <c r="V407" i="12"/>
  <c r="R407" i="12"/>
  <c r="U406" i="12"/>
  <c r="X406" i="12" s="1"/>
  <c r="R406" i="12"/>
  <c r="V405" i="12"/>
  <c r="R405" i="12"/>
  <c r="V404" i="12"/>
  <c r="R404" i="12"/>
  <c r="R403" i="12"/>
  <c r="U402" i="12"/>
  <c r="X402" i="12" s="1"/>
  <c r="R402" i="12"/>
  <c r="V401" i="12"/>
  <c r="R401" i="12"/>
  <c r="U400" i="12"/>
  <c r="X400" i="12" s="1"/>
  <c r="R400" i="12"/>
  <c r="V399" i="12"/>
  <c r="R399" i="12"/>
  <c r="U398" i="12"/>
  <c r="X398" i="12" s="1"/>
  <c r="R398" i="12"/>
  <c r="V397" i="12"/>
  <c r="R397" i="12"/>
  <c r="V396" i="12"/>
  <c r="R396" i="12"/>
  <c r="R395" i="12"/>
  <c r="U394" i="12"/>
  <c r="X394" i="12" s="1"/>
  <c r="R394" i="12"/>
  <c r="V393" i="12"/>
  <c r="R393" i="12"/>
  <c r="U392" i="12"/>
  <c r="X392" i="12" s="1"/>
  <c r="R392" i="12"/>
  <c r="T392" i="12" s="1"/>
  <c r="Z392" i="12" s="1"/>
  <c r="V391" i="12"/>
  <c r="R391" i="12"/>
  <c r="U390" i="12"/>
  <c r="X390" i="12" s="1"/>
  <c r="R390" i="12"/>
  <c r="V389" i="12"/>
  <c r="R389" i="12"/>
  <c r="R388" i="12"/>
  <c r="T388" i="12" s="1"/>
  <c r="Z388" i="12" s="1"/>
  <c r="R387" i="12"/>
  <c r="R386" i="12"/>
  <c r="V385" i="12"/>
  <c r="R385" i="12"/>
  <c r="U384" i="12"/>
  <c r="X384" i="12" s="1"/>
  <c r="R384" i="12"/>
  <c r="T384" i="12" s="1"/>
  <c r="Z384" i="12" s="1"/>
  <c r="V383" i="12"/>
  <c r="R383" i="12"/>
  <c r="U382" i="12"/>
  <c r="X382" i="12" s="1"/>
  <c r="R382" i="12"/>
  <c r="V381" i="12"/>
  <c r="R381" i="12"/>
  <c r="R380" i="12"/>
  <c r="T380" i="12" s="1"/>
  <c r="Z380" i="12" s="1"/>
  <c r="R379" i="12"/>
  <c r="R378" i="12"/>
  <c r="V377" i="12"/>
  <c r="R377" i="12"/>
  <c r="U376" i="12"/>
  <c r="X376" i="12" s="1"/>
  <c r="R376" i="12"/>
  <c r="V375" i="12"/>
  <c r="R375" i="12"/>
  <c r="U374" i="12"/>
  <c r="X374" i="12" s="1"/>
  <c r="R374" i="12"/>
  <c r="U373" i="12"/>
  <c r="X373" i="12" s="1"/>
  <c r="R373" i="12"/>
  <c r="U372" i="12"/>
  <c r="X372" i="12" s="1"/>
  <c r="R372" i="12"/>
  <c r="R371" i="12"/>
  <c r="V370" i="12"/>
  <c r="R370" i="12"/>
  <c r="V369" i="12"/>
  <c r="R369" i="12"/>
  <c r="U368" i="12"/>
  <c r="X368" i="12" s="1"/>
  <c r="R368" i="12"/>
  <c r="V367" i="12"/>
  <c r="R367" i="12"/>
  <c r="U366" i="12"/>
  <c r="X366" i="12" s="1"/>
  <c r="R366" i="12"/>
  <c r="R365" i="12"/>
  <c r="U364" i="12"/>
  <c r="X364" i="12" s="1"/>
  <c r="R364" i="12"/>
  <c r="R363" i="12"/>
  <c r="U362" i="12"/>
  <c r="X362" i="12" s="1"/>
  <c r="R362" i="12"/>
  <c r="R361" i="12"/>
  <c r="U360" i="12"/>
  <c r="X360" i="12" s="1"/>
  <c r="R360" i="12"/>
  <c r="V359" i="12"/>
  <c r="R359" i="12"/>
  <c r="U358" i="12"/>
  <c r="X358" i="12" s="1"/>
  <c r="R358" i="12"/>
  <c r="V357" i="12"/>
  <c r="R357" i="12"/>
  <c r="V356" i="12"/>
  <c r="R356" i="12"/>
  <c r="R355" i="12"/>
  <c r="V354" i="12"/>
  <c r="R354" i="12"/>
  <c r="R353" i="12"/>
  <c r="U352" i="12"/>
  <c r="X352" i="12" s="1"/>
  <c r="R352" i="12"/>
  <c r="U351" i="12"/>
  <c r="X351" i="12" s="1"/>
  <c r="R351" i="12"/>
  <c r="U350" i="12"/>
  <c r="X350" i="12" s="1"/>
  <c r="R350" i="12"/>
  <c r="V349" i="12"/>
  <c r="R349" i="12"/>
  <c r="U348" i="12"/>
  <c r="X348" i="12" s="1"/>
  <c r="R348" i="12"/>
  <c r="U347" i="12"/>
  <c r="X347" i="12" s="1"/>
  <c r="R347" i="12"/>
  <c r="V346" i="12"/>
  <c r="R346" i="12"/>
  <c r="V345" i="12"/>
  <c r="R345" i="12"/>
  <c r="U344" i="12"/>
  <c r="X344" i="12" s="1"/>
  <c r="R344" i="12"/>
  <c r="V343" i="12"/>
  <c r="R343" i="12"/>
  <c r="U342" i="12"/>
  <c r="X342" i="12" s="1"/>
  <c r="R342" i="12"/>
  <c r="U341" i="12"/>
  <c r="X341" i="12" s="1"/>
  <c r="R341" i="12"/>
  <c r="V340" i="12"/>
  <c r="R340" i="12"/>
  <c r="U339" i="12"/>
  <c r="X339" i="12" s="1"/>
  <c r="R339" i="12"/>
  <c r="V338" i="12"/>
  <c r="R338" i="12"/>
  <c r="R337" i="12"/>
  <c r="V336" i="12"/>
  <c r="R336" i="12"/>
  <c r="T336" i="12" s="1"/>
  <c r="Z336" i="12" s="1"/>
  <c r="R335" i="12"/>
  <c r="V334" i="12"/>
  <c r="R334" i="12"/>
  <c r="U333" i="12"/>
  <c r="X333" i="12" s="1"/>
  <c r="R333" i="12"/>
  <c r="R332" i="12"/>
  <c r="T332" i="12" s="1"/>
  <c r="Z332" i="12" s="1"/>
  <c r="U331" i="12"/>
  <c r="X331" i="12" s="1"/>
  <c r="R331" i="12"/>
  <c r="V330" i="12"/>
  <c r="R330" i="12"/>
  <c r="U329" i="12"/>
  <c r="X329" i="12" s="1"/>
  <c r="R329" i="12"/>
  <c r="V328" i="12"/>
  <c r="R328" i="12"/>
  <c r="T328" i="12" s="1"/>
  <c r="Z328" i="12" s="1"/>
  <c r="R327" i="12"/>
  <c r="R326" i="12"/>
  <c r="R325" i="12"/>
  <c r="R324" i="12"/>
  <c r="T324" i="12" s="1"/>
  <c r="Z324" i="12" s="1"/>
  <c r="U323" i="12"/>
  <c r="X323" i="12" s="1"/>
  <c r="R323" i="12"/>
  <c r="V322" i="12"/>
  <c r="R322" i="12"/>
  <c r="R321" i="12"/>
  <c r="V320" i="12"/>
  <c r="R320" i="12"/>
  <c r="T320" i="12" s="1"/>
  <c r="Z320" i="12" s="1"/>
  <c r="R319" i="12"/>
  <c r="R318" i="12"/>
  <c r="R317" i="12"/>
  <c r="U316" i="12"/>
  <c r="X316" i="12" s="1"/>
  <c r="R316" i="12"/>
  <c r="T316" i="12" s="1"/>
  <c r="Z316" i="12" s="1"/>
  <c r="V315" i="12"/>
  <c r="R315" i="12"/>
  <c r="R314" i="12"/>
  <c r="R313" i="12"/>
  <c r="V312" i="12"/>
  <c r="R312" i="12"/>
  <c r="T312" i="12" s="1"/>
  <c r="Z312" i="12" s="1"/>
  <c r="R311" i="12"/>
  <c r="U310" i="12"/>
  <c r="X310" i="12" s="1"/>
  <c r="R310" i="12"/>
  <c r="U309" i="12"/>
  <c r="X309" i="12" s="1"/>
  <c r="R309" i="12"/>
  <c r="R308" i="12"/>
  <c r="T308" i="12" s="1"/>
  <c r="Z308" i="12" s="1"/>
  <c r="R307" i="12"/>
  <c r="V306" i="12"/>
  <c r="R306" i="12"/>
  <c r="R305" i="12"/>
  <c r="V304" i="12"/>
  <c r="R304" i="12"/>
  <c r="R303" i="12"/>
  <c r="R302" i="12"/>
  <c r="R301" i="12"/>
  <c r="R300" i="12"/>
  <c r="U299" i="12"/>
  <c r="X299" i="12" s="1"/>
  <c r="R299" i="12"/>
  <c r="V298" i="12"/>
  <c r="R298" i="12"/>
  <c r="V297" i="12"/>
  <c r="R297" i="12"/>
  <c r="V296" i="12"/>
  <c r="R296" i="12"/>
  <c r="R295" i="12"/>
  <c r="U294" i="12"/>
  <c r="X294" i="12" s="1"/>
  <c r="R294" i="12"/>
  <c r="R293" i="12"/>
  <c r="R292" i="12"/>
  <c r="U291" i="12"/>
  <c r="X291" i="12" s="1"/>
  <c r="R291" i="12"/>
  <c r="V290" i="12"/>
  <c r="R290" i="12"/>
  <c r="V289" i="12"/>
  <c r="R289" i="12"/>
  <c r="R288" i="12"/>
  <c r="R287" i="12"/>
  <c r="R286" i="12"/>
  <c r="R285" i="12"/>
  <c r="R284" i="12"/>
  <c r="R283" i="12"/>
  <c r="V282" i="12"/>
  <c r="R282" i="12"/>
  <c r="V281" i="12"/>
  <c r="R281" i="12"/>
  <c r="R280" i="12"/>
  <c r="R279" i="12"/>
  <c r="U278" i="12"/>
  <c r="X278" i="12" s="1"/>
  <c r="R278" i="12"/>
  <c r="U277" i="12"/>
  <c r="X277" i="12" s="1"/>
  <c r="R277" i="12"/>
  <c r="R276" i="12"/>
  <c r="V275" i="12"/>
  <c r="R275" i="12"/>
  <c r="R274" i="12"/>
  <c r="R273" i="12"/>
  <c r="R272" i="12"/>
  <c r="R271" i="12"/>
  <c r="V270" i="12"/>
  <c r="R270" i="12"/>
  <c r="U269" i="12"/>
  <c r="X269" i="12" s="1"/>
  <c r="R269" i="12"/>
  <c r="U268" i="12"/>
  <c r="X268" i="12" s="1"/>
  <c r="R268" i="12"/>
  <c r="V267" i="12"/>
  <c r="R267" i="12"/>
  <c r="R266" i="12"/>
  <c r="R265" i="12"/>
  <c r="R264" i="12"/>
  <c r="U263" i="12"/>
  <c r="X263" i="12" s="1"/>
  <c r="R263" i="12"/>
  <c r="V262" i="12"/>
  <c r="R262" i="12"/>
  <c r="U261" i="12"/>
  <c r="X261" i="12" s="1"/>
  <c r="R261" i="12"/>
  <c r="U260" i="12"/>
  <c r="X260" i="12" s="1"/>
  <c r="R260" i="12"/>
  <c r="U259" i="12"/>
  <c r="X259" i="12" s="1"/>
  <c r="R259" i="12"/>
  <c r="U258" i="12"/>
  <c r="X258" i="12" s="1"/>
  <c r="R258" i="12"/>
  <c r="V257" i="12"/>
  <c r="R257" i="12"/>
  <c r="U256" i="12"/>
  <c r="X256" i="12" s="1"/>
  <c r="R256" i="12"/>
  <c r="R255" i="12"/>
  <c r="U254" i="12"/>
  <c r="X254" i="12" s="1"/>
  <c r="R254" i="12"/>
  <c r="R253" i="12"/>
  <c r="U252" i="12"/>
  <c r="X252" i="12" s="1"/>
  <c r="R252" i="12"/>
  <c r="R251" i="12"/>
  <c r="R250" i="12"/>
  <c r="V249" i="12"/>
  <c r="R249" i="12"/>
  <c r="R248" i="12"/>
  <c r="V247" i="12"/>
  <c r="R247" i="12"/>
  <c r="R246" i="12"/>
  <c r="R245" i="12"/>
  <c r="U244" i="12"/>
  <c r="X244" i="12" s="1"/>
  <c r="R244" i="12"/>
  <c r="R243" i="12"/>
  <c r="U242" i="12"/>
  <c r="X242" i="12" s="1"/>
  <c r="R242" i="12"/>
  <c r="R241" i="12"/>
  <c r="R240" i="12"/>
  <c r="V239" i="12"/>
  <c r="R239" i="12"/>
  <c r="R238" i="12"/>
  <c r="U237" i="12"/>
  <c r="X237" i="12" s="1"/>
  <c r="R237" i="12"/>
  <c r="U236" i="12"/>
  <c r="X236" i="12" s="1"/>
  <c r="R236" i="12"/>
  <c r="R235" i="12"/>
  <c r="V234" i="12"/>
  <c r="R234" i="12"/>
  <c r="V233" i="12"/>
  <c r="R233" i="12"/>
  <c r="U232" i="12"/>
  <c r="X232" i="12" s="1"/>
  <c r="R232" i="12"/>
  <c r="V231" i="12"/>
  <c r="R231" i="12"/>
  <c r="U230" i="12"/>
  <c r="X230" i="12" s="1"/>
  <c r="R230" i="12"/>
  <c r="U229" i="12"/>
  <c r="X229" i="12" s="1"/>
  <c r="R229" i="12"/>
  <c r="U228" i="12"/>
  <c r="X228" i="12" s="1"/>
  <c r="R228" i="12"/>
  <c r="R227" i="12"/>
  <c r="U226" i="12"/>
  <c r="X226" i="12" s="1"/>
  <c r="R226" i="12"/>
  <c r="V225" i="12"/>
  <c r="R225" i="12"/>
  <c r="U224" i="12"/>
  <c r="X224" i="12" s="1"/>
  <c r="R224" i="12"/>
  <c r="V223" i="12"/>
  <c r="R223" i="12"/>
  <c r="R222" i="12"/>
  <c r="V221" i="12"/>
  <c r="R221" i="12"/>
  <c r="R220" i="12"/>
  <c r="R219" i="12"/>
  <c r="V218" i="12"/>
  <c r="R218" i="12"/>
  <c r="V217" i="12"/>
  <c r="R217" i="12"/>
  <c r="U216" i="12"/>
  <c r="X216" i="12" s="1"/>
  <c r="R216" i="12"/>
  <c r="R215" i="12"/>
  <c r="R214" i="12"/>
  <c r="R213" i="12"/>
  <c r="U212" i="12"/>
  <c r="X212" i="12" s="1"/>
  <c r="R212" i="12"/>
  <c r="R211" i="12"/>
  <c r="U210" i="12"/>
  <c r="X210" i="12" s="1"/>
  <c r="R210" i="12"/>
  <c r="V209" i="12"/>
  <c r="R209" i="12"/>
  <c r="U208" i="12"/>
  <c r="X208" i="12" s="1"/>
  <c r="R208" i="12"/>
  <c r="V207" i="12"/>
  <c r="R207" i="12"/>
  <c r="U206" i="12"/>
  <c r="X206" i="12" s="1"/>
  <c r="R206" i="12"/>
  <c r="V205" i="12"/>
  <c r="R205" i="12"/>
  <c r="V204" i="12"/>
  <c r="R204" i="12"/>
  <c r="R203" i="12"/>
  <c r="U202" i="12"/>
  <c r="X202" i="12" s="1"/>
  <c r="R202" i="12"/>
  <c r="V201" i="12"/>
  <c r="R201" i="12"/>
  <c r="U200" i="12"/>
  <c r="X200" i="12" s="1"/>
  <c r="R200" i="12"/>
  <c r="V199" i="12"/>
  <c r="R199" i="12"/>
  <c r="U198" i="12"/>
  <c r="X198" i="12" s="1"/>
  <c r="R198" i="12"/>
  <c r="U197" i="12"/>
  <c r="X197" i="12" s="1"/>
  <c r="R197" i="12"/>
  <c r="U196" i="12"/>
  <c r="X196" i="12" s="1"/>
  <c r="R196" i="12"/>
  <c r="R195" i="12"/>
  <c r="V194" i="12"/>
  <c r="R194" i="12"/>
  <c r="V193" i="12"/>
  <c r="R193" i="12"/>
  <c r="U192" i="12"/>
  <c r="X192" i="12" s="1"/>
  <c r="R192" i="12"/>
  <c r="V191" i="12"/>
  <c r="R191" i="12"/>
  <c r="V190" i="12"/>
  <c r="R190" i="12"/>
  <c r="V189" i="12"/>
  <c r="R189" i="12"/>
  <c r="V188" i="12"/>
  <c r="R188" i="12"/>
  <c r="R187" i="12"/>
  <c r="V186" i="12"/>
  <c r="R186" i="12"/>
  <c r="V185" i="12"/>
  <c r="R185" i="12"/>
  <c r="R184" i="12"/>
  <c r="R183" i="12"/>
  <c r="V182" i="12"/>
  <c r="R182" i="12"/>
  <c r="V181" i="12"/>
  <c r="R181" i="12"/>
  <c r="U180" i="12"/>
  <c r="X180" i="12" s="1"/>
  <c r="R180" i="12"/>
  <c r="U179" i="12"/>
  <c r="X179" i="12" s="1"/>
  <c r="R179" i="12"/>
  <c r="R178" i="12"/>
  <c r="V177" i="12"/>
  <c r="R177" i="12"/>
  <c r="V176" i="12"/>
  <c r="R176" i="12"/>
  <c r="U175" i="12"/>
  <c r="X175" i="12" s="1"/>
  <c r="R175" i="12"/>
  <c r="V174" i="12"/>
  <c r="R174" i="12"/>
  <c r="V173" i="12"/>
  <c r="R173" i="12"/>
  <c r="R172" i="12"/>
  <c r="V171" i="12"/>
  <c r="R171" i="12"/>
  <c r="R170" i="12"/>
  <c r="R169" i="12"/>
  <c r="V168" i="12"/>
  <c r="R168" i="12"/>
  <c r="U167" i="12"/>
  <c r="X167" i="12" s="1"/>
  <c r="R167" i="12"/>
  <c r="V166" i="12"/>
  <c r="R166" i="12"/>
  <c r="V165" i="12"/>
  <c r="R165" i="12"/>
  <c r="U164" i="12"/>
  <c r="X164" i="12" s="1"/>
  <c r="R164" i="12"/>
  <c r="R163" i="12"/>
  <c r="R162" i="12"/>
  <c r="U161" i="12"/>
  <c r="X161" i="12" s="1"/>
  <c r="R161" i="12"/>
  <c r="V160" i="12"/>
  <c r="R160" i="12"/>
  <c r="U159" i="12"/>
  <c r="X159" i="12" s="1"/>
  <c r="R159" i="12"/>
  <c r="R158" i="12"/>
  <c r="V157" i="12"/>
  <c r="R157" i="12"/>
  <c r="V156" i="12"/>
  <c r="R156" i="12"/>
  <c r="V155" i="12"/>
  <c r="R155" i="12"/>
  <c r="R154" i="12"/>
  <c r="U153" i="12"/>
  <c r="X153" i="12" s="1"/>
  <c r="R153" i="12"/>
  <c r="U152" i="12"/>
  <c r="X152" i="12" s="1"/>
  <c r="R152" i="12"/>
  <c r="U151" i="12"/>
  <c r="X151" i="12" s="1"/>
  <c r="R151" i="12"/>
  <c r="V150" i="12"/>
  <c r="R150" i="12"/>
  <c r="V149" i="12"/>
  <c r="R149" i="12"/>
  <c r="U148" i="12"/>
  <c r="X148" i="12" s="1"/>
  <c r="R148" i="12"/>
  <c r="V147" i="12"/>
  <c r="R147" i="12"/>
  <c r="R146" i="12"/>
  <c r="V145" i="12"/>
  <c r="R145" i="12"/>
  <c r="U144" i="12"/>
  <c r="X144" i="12" s="1"/>
  <c r="R144" i="12"/>
  <c r="U143" i="12"/>
  <c r="X143" i="12" s="1"/>
  <c r="R143" i="12"/>
  <c r="V142" i="12"/>
  <c r="R142" i="12"/>
  <c r="V141" i="12"/>
  <c r="R141" i="12"/>
  <c r="U140" i="12"/>
  <c r="X140" i="12" s="1"/>
  <c r="R140" i="12"/>
  <c r="V139" i="12"/>
  <c r="R139" i="12"/>
  <c r="R138" i="12"/>
  <c r="U137" i="12"/>
  <c r="X137" i="12" s="1"/>
  <c r="R137" i="12"/>
  <c r="R136" i="12"/>
  <c r="R135" i="12"/>
  <c r="V134" i="12"/>
  <c r="R134" i="12"/>
  <c r="V133" i="12"/>
  <c r="R133" i="12"/>
  <c r="V132" i="12"/>
  <c r="R132" i="12"/>
  <c r="V131" i="12"/>
  <c r="R131" i="12"/>
  <c r="R130" i="12"/>
  <c r="V129" i="12"/>
  <c r="R129" i="12"/>
  <c r="U128" i="12"/>
  <c r="X128" i="12" s="1"/>
  <c r="R128" i="12"/>
  <c r="U127" i="12"/>
  <c r="X127" i="12" s="1"/>
  <c r="R127" i="12"/>
  <c r="V126" i="12"/>
  <c r="R126" i="12"/>
  <c r="V125" i="12"/>
  <c r="R125" i="12"/>
  <c r="U124" i="12"/>
  <c r="X124" i="12" s="1"/>
  <c r="R124" i="12"/>
  <c r="V123" i="12"/>
  <c r="R123" i="12"/>
  <c r="R122" i="12"/>
  <c r="U121" i="12"/>
  <c r="X121" i="12" s="1"/>
  <c r="R121" i="12"/>
  <c r="R120" i="12"/>
  <c r="R119" i="12"/>
  <c r="V118" i="12"/>
  <c r="R118" i="12"/>
  <c r="V117" i="12"/>
  <c r="R117" i="12"/>
  <c r="U116" i="12"/>
  <c r="X116" i="12" s="1"/>
  <c r="R116" i="12"/>
  <c r="R115" i="12"/>
  <c r="R114" i="12"/>
  <c r="V113" i="12"/>
  <c r="R113" i="12"/>
  <c r="U112" i="12"/>
  <c r="X112" i="12" s="1"/>
  <c r="R112" i="12"/>
  <c r="V111" i="12"/>
  <c r="R111" i="12"/>
  <c r="V110" i="12"/>
  <c r="R110" i="12"/>
  <c r="R109" i="12"/>
  <c r="V108" i="12"/>
  <c r="R108" i="12"/>
  <c r="V107" i="12"/>
  <c r="R107" i="12"/>
  <c r="R106" i="12"/>
  <c r="R105" i="12"/>
  <c r="U104" i="12"/>
  <c r="X104" i="12" s="1"/>
  <c r="R104" i="12"/>
  <c r="R103" i="12"/>
  <c r="V102" i="12"/>
  <c r="R102" i="12"/>
  <c r="R101" i="12"/>
  <c r="R100" i="12"/>
  <c r="V99" i="12"/>
  <c r="R99" i="12"/>
  <c r="U98" i="12"/>
  <c r="X98" i="12" s="1"/>
  <c r="R98" i="12"/>
  <c r="R97" i="12"/>
  <c r="U96" i="12"/>
  <c r="X96" i="12" s="1"/>
  <c r="R96" i="12"/>
  <c r="R95" i="12"/>
  <c r="V94" i="12"/>
  <c r="R94" i="12"/>
  <c r="U93" i="12"/>
  <c r="X93" i="12" s="1"/>
  <c r="R93" i="12"/>
  <c r="V92" i="12"/>
  <c r="R92" i="12"/>
  <c r="V91" i="12"/>
  <c r="R91" i="12"/>
  <c r="U90" i="12"/>
  <c r="X90" i="12" s="1"/>
  <c r="R90" i="12"/>
  <c r="V89" i="12"/>
  <c r="R89" i="12"/>
  <c r="U88" i="12"/>
  <c r="X88" i="12" s="1"/>
  <c r="R88" i="12"/>
  <c r="V87" i="12"/>
  <c r="R87" i="12"/>
  <c r="V86" i="12"/>
  <c r="R86" i="12"/>
  <c r="V85" i="12"/>
  <c r="R85" i="12"/>
  <c r="R84" i="12"/>
  <c r="U83" i="12"/>
  <c r="X83" i="12" s="1"/>
  <c r="R83" i="12"/>
  <c r="V82" i="12"/>
  <c r="R82" i="12"/>
  <c r="R81" i="12"/>
  <c r="R80" i="12"/>
  <c r="R79" i="12"/>
  <c r="R78" i="12"/>
  <c r="R77" i="12"/>
  <c r="R76" i="12"/>
  <c r="U75" i="12"/>
  <c r="X75" i="12" s="1"/>
  <c r="R75" i="12"/>
  <c r="V74" i="12"/>
  <c r="R74" i="12"/>
  <c r="U73" i="12"/>
  <c r="X73" i="12" s="1"/>
  <c r="R73" i="12"/>
  <c r="V72" i="12"/>
  <c r="R72" i="12"/>
  <c r="R71" i="12"/>
  <c r="U70" i="12"/>
  <c r="X70" i="12" s="1"/>
  <c r="R70" i="12"/>
  <c r="U69" i="12"/>
  <c r="X69" i="12" s="1"/>
  <c r="R69" i="12"/>
  <c r="R68" i="12"/>
  <c r="V67" i="12"/>
  <c r="R67" i="12"/>
  <c r="V66" i="12"/>
  <c r="R66" i="12"/>
  <c r="U65" i="12"/>
  <c r="X65" i="12" s="1"/>
  <c r="R65" i="12"/>
  <c r="U64" i="12"/>
  <c r="X64" i="12" s="1"/>
  <c r="R64" i="12"/>
  <c r="U63" i="12"/>
  <c r="X63" i="12" s="1"/>
  <c r="R63" i="12"/>
  <c r="U62" i="12"/>
  <c r="X62" i="12" s="1"/>
  <c r="R62" i="12"/>
  <c r="V61" i="12"/>
  <c r="R61" i="12"/>
  <c r="R60" i="12"/>
  <c r="V59" i="12"/>
  <c r="R59" i="12"/>
  <c r="V474" i="12" l="1"/>
  <c r="V485" i="12"/>
  <c r="V473" i="12"/>
  <c r="U469" i="12"/>
  <c r="X469" i="12" s="1"/>
  <c r="U484" i="12"/>
  <c r="X484" i="12" s="1"/>
  <c r="T459" i="12"/>
  <c r="Z459" i="12" s="1"/>
  <c r="T478" i="12"/>
  <c r="Z478" i="12" s="1"/>
  <c r="T457" i="12"/>
  <c r="Z457" i="12" s="1"/>
  <c r="U458" i="12"/>
  <c r="X458" i="12" s="1"/>
  <c r="T470" i="12"/>
  <c r="Z470" i="12" s="1"/>
  <c r="T481" i="12"/>
  <c r="Z481" i="12" s="1"/>
  <c r="T490" i="12"/>
  <c r="Z490" i="12" s="1"/>
  <c r="T480" i="12"/>
  <c r="Z480" i="12" s="1"/>
  <c r="T488" i="12"/>
  <c r="Z488" i="12" s="1"/>
  <c r="U489" i="12"/>
  <c r="X489" i="12" s="1"/>
  <c r="T351" i="12"/>
  <c r="Z351" i="12" s="1"/>
  <c r="T375" i="12"/>
  <c r="Z375" i="12" s="1"/>
  <c r="T451" i="12"/>
  <c r="Z451" i="12" s="1"/>
  <c r="T473" i="12"/>
  <c r="Z473" i="12" s="1"/>
  <c r="T485" i="12"/>
  <c r="Z485" i="12" s="1"/>
  <c r="U487" i="12"/>
  <c r="X487" i="12" s="1"/>
  <c r="U488" i="12"/>
  <c r="X488" i="12" s="1"/>
  <c r="T471" i="12"/>
  <c r="Z471" i="12" s="1"/>
  <c r="V481" i="12"/>
  <c r="U482" i="12"/>
  <c r="X482" i="12" s="1"/>
  <c r="U490" i="12"/>
  <c r="X490" i="12" s="1"/>
  <c r="T464" i="12"/>
  <c r="Z464" i="12" s="1"/>
  <c r="T468" i="12"/>
  <c r="Z468" i="12" s="1"/>
  <c r="V470" i="12"/>
  <c r="V468" i="12"/>
  <c r="T474" i="12"/>
  <c r="Z474" i="12" s="1"/>
  <c r="T477" i="12"/>
  <c r="Z477" i="12" s="1"/>
  <c r="U483" i="12"/>
  <c r="X483" i="12" s="1"/>
  <c r="T458" i="12"/>
  <c r="Z458" i="12" s="1"/>
  <c r="T475" i="12"/>
  <c r="Z475" i="12" s="1"/>
  <c r="U476" i="12"/>
  <c r="X476" i="12" s="1"/>
  <c r="U486" i="12"/>
  <c r="X486" i="12" s="1"/>
  <c r="T462" i="12"/>
  <c r="Z462" i="12" s="1"/>
  <c r="U477" i="12"/>
  <c r="X477" i="12" s="1"/>
  <c r="U471" i="12"/>
  <c r="X471" i="12" s="1"/>
  <c r="U479" i="12"/>
  <c r="X479" i="12" s="1"/>
  <c r="T463" i="12"/>
  <c r="Z463" i="12" s="1"/>
  <c r="T467" i="12"/>
  <c r="Z467" i="12" s="1"/>
  <c r="T461" i="12"/>
  <c r="Z461" i="12" s="1"/>
  <c r="T466" i="12"/>
  <c r="Z466" i="12" s="1"/>
  <c r="V467" i="12"/>
  <c r="U472" i="12"/>
  <c r="X472" i="12" s="1"/>
  <c r="U480" i="12"/>
  <c r="X480" i="12" s="1"/>
  <c r="V462" i="12"/>
  <c r="U475" i="12"/>
  <c r="X475" i="12" s="1"/>
  <c r="T460" i="12"/>
  <c r="Z460" i="12" s="1"/>
  <c r="V461" i="12"/>
  <c r="T465" i="12"/>
  <c r="Z465" i="12" s="1"/>
  <c r="U478" i="12"/>
  <c r="X478" i="12" s="1"/>
  <c r="T373" i="12"/>
  <c r="Z373" i="12" s="1"/>
  <c r="T381" i="12"/>
  <c r="Z381" i="12" s="1"/>
  <c r="T385" i="12"/>
  <c r="Z385" i="12" s="1"/>
  <c r="T389" i="12"/>
  <c r="Z389" i="12" s="1"/>
  <c r="T397" i="12"/>
  <c r="Z397" i="12" s="1"/>
  <c r="T425" i="12"/>
  <c r="Z425" i="12" s="1"/>
  <c r="T429" i="12"/>
  <c r="Z429" i="12" s="1"/>
  <c r="T426" i="12"/>
  <c r="Z426" i="12" s="1"/>
  <c r="T430" i="12"/>
  <c r="Z430" i="12" s="1"/>
  <c r="T434" i="12"/>
  <c r="Z434" i="12" s="1"/>
  <c r="T449" i="12"/>
  <c r="Z449" i="12" s="1"/>
  <c r="V460" i="12"/>
  <c r="V463" i="12"/>
  <c r="V464" i="12"/>
  <c r="V465" i="12"/>
  <c r="V466" i="12"/>
  <c r="T67" i="12"/>
  <c r="Z67" i="12" s="1"/>
  <c r="T103" i="12"/>
  <c r="Z103" i="12" s="1"/>
  <c r="T119" i="12"/>
  <c r="Z119" i="12" s="1"/>
  <c r="T131" i="12"/>
  <c r="Z131" i="12" s="1"/>
  <c r="T155" i="12"/>
  <c r="Z155" i="12" s="1"/>
  <c r="T159" i="12"/>
  <c r="Z159" i="12" s="1"/>
  <c r="T179" i="12"/>
  <c r="Z179" i="12" s="1"/>
  <c r="T203" i="12"/>
  <c r="Z203" i="12" s="1"/>
  <c r="T219" i="12"/>
  <c r="Z219" i="12" s="1"/>
  <c r="T223" i="12"/>
  <c r="Z223" i="12" s="1"/>
  <c r="T231" i="12"/>
  <c r="Z231" i="12" s="1"/>
  <c r="T235" i="12"/>
  <c r="Z235" i="12" s="1"/>
  <c r="T243" i="12"/>
  <c r="Z243" i="12" s="1"/>
  <c r="T251" i="12"/>
  <c r="Z251" i="12" s="1"/>
  <c r="T263" i="12"/>
  <c r="Z263" i="12" s="1"/>
  <c r="T117" i="12"/>
  <c r="Z117" i="12" s="1"/>
  <c r="T161" i="12"/>
  <c r="Z161" i="12" s="1"/>
  <c r="T205" i="12"/>
  <c r="Z205" i="12" s="1"/>
  <c r="T124" i="12"/>
  <c r="Z124" i="12" s="1"/>
  <c r="T136" i="12"/>
  <c r="Z136" i="12" s="1"/>
  <c r="T140" i="12"/>
  <c r="Z140" i="12" s="1"/>
  <c r="T148" i="12"/>
  <c r="Z148" i="12" s="1"/>
  <c r="T168" i="12"/>
  <c r="Z168" i="12" s="1"/>
  <c r="T200" i="12"/>
  <c r="Z200" i="12" s="1"/>
  <c r="T217" i="12"/>
  <c r="Z217" i="12" s="1"/>
  <c r="T237" i="12"/>
  <c r="Z237" i="12" s="1"/>
  <c r="U457" i="12"/>
  <c r="X457" i="12" s="1"/>
  <c r="U459" i="12"/>
  <c r="X459" i="12" s="1"/>
  <c r="T264" i="12"/>
  <c r="Z264" i="12" s="1"/>
  <c r="T272" i="12"/>
  <c r="Z272" i="12" s="1"/>
  <c r="T162" i="12"/>
  <c r="Z162" i="12" s="1"/>
  <c r="T166" i="12"/>
  <c r="Z166" i="12" s="1"/>
  <c r="T170" i="12"/>
  <c r="Z170" i="12" s="1"/>
  <c r="T194" i="12"/>
  <c r="Z194" i="12" s="1"/>
  <c r="T198" i="12"/>
  <c r="Z198" i="12" s="1"/>
  <c r="T234" i="12"/>
  <c r="Z234" i="12" s="1"/>
  <c r="T238" i="12"/>
  <c r="Z238" i="12" s="1"/>
  <c r="T242" i="12"/>
  <c r="Z242" i="12" s="1"/>
  <c r="T246" i="12"/>
  <c r="Z246" i="12" s="1"/>
  <c r="T282" i="12"/>
  <c r="Z282" i="12" s="1"/>
  <c r="T456" i="12"/>
  <c r="Z456" i="12" s="1"/>
  <c r="T287" i="12"/>
  <c r="Z287" i="12" s="1"/>
  <c r="T291" i="12"/>
  <c r="Z291" i="12" s="1"/>
  <c r="T295" i="12"/>
  <c r="Z295" i="12" s="1"/>
  <c r="T299" i="12"/>
  <c r="Z299" i="12" s="1"/>
  <c r="T269" i="12"/>
  <c r="Z269" i="12" s="1"/>
  <c r="T350" i="12"/>
  <c r="Z350" i="12" s="1"/>
  <c r="T354" i="12"/>
  <c r="Z354" i="12" s="1"/>
  <c r="V402" i="12"/>
  <c r="T281" i="12"/>
  <c r="Z281" i="12" s="1"/>
  <c r="T394" i="12"/>
  <c r="Z394" i="12" s="1"/>
  <c r="T402" i="12"/>
  <c r="Z402" i="12" s="1"/>
  <c r="T427" i="12"/>
  <c r="Z427" i="12" s="1"/>
  <c r="T76" i="12"/>
  <c r="Z76" i="12" s="1"/>
  <c r="T80" i="12"/>
  <c r="Z80" i="12" s="1"/>
  <c r="T84" i="12"/>
  <c r="Z84" i="12" s="1"/>
  <c r="T92" i="12"/>
  <c r="Z92" i="12" s="1"/>
  <c r="T96" i="12"/>
  <c r="Z96" i="12" s="1"/>
  <c r="T301" i="12"/>
  <c r="Z301" i="12" s="1"/>
  <c r="T313" i="12"/>
  <c r="Z313" i="12" s="1"/>
  <c r="V415" i="12"/>
  <c r="U447" i="12"/>
  <c r="X447" i="12" s="1"/>
  <c r="T450" i="12"/>
  <c r="Z450" i="12" s="1"/>
  <c r="T102" i="12"/>
  <c r="Z102" i="12" s="1"/>
  <c r="T110" i="12"/>
  <c r="Z110" i="12" s="1"/>
  <c r="T404" i="12"/>
  <c r="Z404" i="12" s="1"/>
  <c r="T105" i="12"/>
  <c r="Z105" i="12" s="1"/>
  <c r="T286" i="12"/>
  <c r="Z286" i="12" s="1"/>
  <c r="T290" i="12"/>
  <c r="Z290" i="12" s="1"/>
  <c r="T294" i="12"/>
  <c r="Z294" i="12" s="1"/>
  <c r="T298" i="12"/>
  <c r="Z298" i="12" s="1"/>
  <c r="U218" i="12"/>
  <c r="X218" i="12" s="1"/>
  <c r="V242" i="12"/>
  <c r="V258" i="12"/>
  <c r="U247" i="12"/>
  <c r="X247" i="12" s="1"/>
  <c r="U160" i="12"/>
  <c r="X160" i="12" s="1"/>
  <c r="U282" i="12"/>
  <c r="X282" i="12" s="1"/>
  <c r="V104" i="12"/>
  <c r="U393" i="12"/>
  <c r="X393" i="12" s="1"/>
  <c r="V206" i="12"/>
  <c r="V244" i="12"/>
  <c r="U249" i="12"/>
  <c r="X249" i="12" s="1"/>
  <c r="V299" i="12"/>
  <c r="U132" i="12"/>
  <c r="X132" i="12" s="1"/>
  <c r="U72" i="12"/>
  <c r="X72" i="12" s="1"/>
  <c r="V167" i="12"/>
  <c r="U204" i="12"/>
  <c r="X204" i="12" s="1"/>
  <c r="U454" i="12"/>
  <c r="X454" i="12" s="1"/>
  <c r="V452" i="12"/>
  <c r="U456" i="12"/>
  <c r="X456" i="12" s="1"/>
  <c r="V212" i="12"/>
  <c r="U399" i="12"/>
  <c r="X399" i="12" s="1"/>
  <c r="U421" i="12"/>
  <c r="X421" i="12" s="1"/>
  <c r="T66" i="12"/>
  <c r="Z66" i="12" s="1"/>
  <c r="T70" i="12"/>
  <c r="Z70" i="12" s="1"/>
  <c r="T87" i="12"/>
  <c r="Z87" i="12" s="1"/>
  <c r="T91" i="12"/>
  <c r="Z91" i="12" s="1"/>
  <c r="T95" i="12"/>
  <c r="Z95" i="12" s="1"/>
  <c r="T130" i="12"/>
  <c r="Z130" i="12" s="1"/>
  <c r="T177" i="12"/>
  <c r="Z177" i="12" s="1"/>
  <c r="T181" i="12"/>
  <c r="Z181" i="12" s="1"/>
  <c r="T189" i="12"/>
  <c r="Z189" i="12" s="1"/>
  <c r="T229" i="12"/>
  <c r="Z229" i="12" s="1"/>
  <c r="T303" i="12"/>
  <c r="Z303" i="12" s="1"/>
  <c r="T311" i="12"/>
  <c r="Z311" i="12" s="1"/>
  <c r="T331" i="12"/>
  <c r="Z331" i="12" s="1"/>
  <c r="T335" i="12"/>
  <c r="Z335" i="12" s="1"/>
  <c r="T339" i="12"/>
  <c r="Z339" i="12" s="1"/>
  <c r="T364" i="12"/>
  <c r="Z364" i="12" s="1"/>
  <c r="T368" i="12"/>
  <c r="Z368" i="12" s="1"/>
  <c r="T372" i="12"/>
  <c r="Z372" i="12" s="1"/>
  <c r="V394" i="12"/>
  <c r="T416" i="12"/>
  <c r="Z416" i="12" s="1"/>
  <c r="U417" i="12"/>
  <c r="X417" i="12" s="1"/>
  <c r="T422" i="12"/>
  <c r="Z422" i="12" s="1"/>
  <c r="T448" i="12"/>
  <c r="Z448" i="12" s="1"/>
  <c r="V450" i="12"/>
  <c r="V143" i="12"/>
  <c r="T188" i="12"/>
  <c r="Z188" i="12" s="1"/>
  <c r="V197" i="12"/>
  <c r="T201" i="12"/>
  <c r="Z201" i="12" s="1"/>
  <c r="V202" i="12"/>
  <c r="T215" i="12"/>
  <c r="Z215" i="12" s="1"/>
  <c r="V216" i="12"/>
  <c r="T220" i="12"/>
  <c r="Z220" i="12" s="1"/>
  <c r="T224" i="12"/>
  <c r="Z224" i="12" s="1"/>
  <c r="T338" i="12"/>
  <c r="Z338" i="12" s="1"/>
  <c r="T363" i="12"/>
  <c r="Z363" i="12" s="1"/>
  <c r="T367" i="12"/>
  <c r="Z367" i="12" s="1"/>
  <c r="V372" i="12"/>
  <c r="U108" i="12"/>
  <c r="X108" i="12" s="1"/>
  <c r="T116" i="12"/>
  <c r="Z116" i="12" s="1"/>
  <c r="U134" i="12"/>
  <c r="X134" i="12" s="1"/>
  <c r="T154" i="12"/>
  <c r="Z154" i="12" s="1"/>
  <c r="T210" i="12"/>
  <c r="Z210" i="12" s="1"/>
  <c r="T60" i="12"/>
  <c r="Z60" i="12" s="1"/>
  <c r="T77" i="12"/>
  <c r="Z77" i="12" s="1"/>
  <c r="T81" i="12"/>
  <c r="Z81" i="12" s="1"/>
  <c r="T101" i="12"/>
  <c r="Z101" i="12" s="1"/>
  <c r="U102" i="12"/>
  <c r="X102" i="12" s="1"/>
  <c r="T244" i="12"/>
  <c r="Z244" i="12" s="1"/>
  <c r="T341" i="12"/>
  <c r="Z341" i="12" s="1"/>
  <c r="T345" i="12"/>
  <c r="Z345" i="12" s="1"/>
  <c r="T362" i="12"/>
  <c r="Z362" i="12" s="1"/>
  <c r="T370" i="12"/>
  <c r="Z370" i="12" s="1"/>
  <c r="T413" i="12"/>
  <c r="Z413" i="12" s="1"/>
  <c r="V414" i="12"/>
  <c r="T419" i="12"/>
  <c r="Z419" i="12" s="1"/>
  <c r="V420" i="12"/>
  <c r="V446" i="12"/>
  <c r="T454" i="12"/>
  <c r="Z454" i="12" s="1"/>
  <c r="V116" i="12"/>
  <c r="T199" i="12"/>
  <c r="Z199" i="12" s="1"/>
  <c r="V263" i="12"/>
  <c r="T267" i="12"/>
  <c r="Z267" i="12" s="1"/>
  <c r="T275" i="12"/>
  <c r="Z275" i="12" s="1"/>
  <c r="T279" i="12"/>
  <c r="Z279" i="12" s="1"/>
  <c r="T288" i="12"/>
  <c r="Z288" i="12" s="1"/>
  <c r="U354" i="12"/>
  <c r="X354" i="12" s="1"/>
  <c r="T378" i="12"/>
  <c r="Z378" i="12" s="1"/>
  <c r="T382" i="12"/>
  <c r="Z382" i="12" s="1"/>
  <c r="T399" i="12"/>
  <c r="Z399" i="12" s="1"/>
  <c r="T432" i="12"/>
  <c r="Z432" i="12" s="1"/>
  <c r="T440" i="12"/>
  <c r="Z440" i="12" s="1"/>
  <c r="U441" i="12"/>
  <c r="X441" i="12" s="1"/>
  <c r="T452" i="12"/>
  <c r="Z452" i="12" s="1"/>
  <c r="T453" i="12"/>
  <c r="Z453" i="12" s="1"/>
  <c r="T455" i="12"/>
  <c r="Z455" i="12" s="1"/>
  <c r="U113" i="12"/>
  <c r="X113" i="12" s="1"/>
  <c r="T252" i="12"/>
  <c r="Z252" i="12" s="1"/>
  <c r="V268" i="12"/>
  <c r="T321" i="12"/>
  <c r="Z321" i="12" s="1"/>
  <c r="T325" i="12"/>
  <c r="Z325" i="12" s="1"/>
  <c r="U330" i="12"/>
  <c r="X330" i="12" s="1"/>
  <c r="V348" i="12"/>
  <c r="V398" i="12"/>
  <c r="V70" i="12"/>
  <c r="T75" i="12"/>
  <c r="Z75" i="12" s="1"/>
  <c r="T79" i="12"/>
  <c r="Z79" i="12" s="1"/>
  <c r="T100" i="12"/>
  <c r="Z100" i="12" s="1"/>
  <c r="V112" i="12"/>
  <c r="T153" i="12"/>
  <c r="Z153" i="12" s="1"/>
  <c r="T157" i="12"/>
  <c r="Z157" i="12" s="1"/>
  <c r="T175" i="12"/>
  <c r="Z175" i="12" s="1"/>
  <c r="T180" i="12"/>
  <c r="Z180" i="12" s="1"/>
  <c r="T193" i="12"/>
  <c r="Z193" i="12" s="1"/>
  <c r="U194" i="12"/>
  <c r="X194" i="12" s="1"/>
  <c r="T209" i="12"/>
  <c r="Z209" i="12" s="1"/>
  <c r="V210" i="12"/>
  <c r="T228" i="12"/>
  <c r="Z228" i="12" s="1"/>
  <c r="T233" i="12"/>
  <c r="Z233" i="12" s="1"/>
  <c r="T266" i="12"/>
  <c r="Z266" i="12" s="1"/>
  <c r="U267" i="12"/>
  <c r="X267" i="12" s="1"/>
  <c r="T271" i="12"/>
  <c r="Z271" i="12" s="1"/>
  <c r="T289" i="12"/>
  <c r="Z289" i="12" s="1"/>
  <c r="T293" i="12"/>
  <c r="Z293" i="12" s="1"/>
  <c r="T297" i="12"/>
  <c r="Z297" i="12" s="1"/>
  <c r="T302" i="12"/>
  <c r="Z302" i="12" s="1"/>
  <c r="T306" i="12"/>
  <c r="Z306" i="12" s="1"/>
  <c r="T310" i="12"/>
  <c r="Z310" i="12" s="1"/>
  <c r="T352" i="12"/>
  <c r="Z352" i="12" s="1"/>
  <c r="T361" i="12"/>
  <c r="Z361" i="12" s="1"/>
  <c r="T365" i="12"/>
  <c r="Z365" i="12" s="1"/>
  <c r="T369" i="12"/>
  <c r="Z369" i="12" s="1"/>
  <c r="T374" i="12"/>
  <c r="Z374" i="12" s="1"/>
  <c r="U375" i="12"/>
  <c r="X375" i="12" s="1"/>
  <c r="T379" i="12"/>
  <c r="Z379" i="12" s="1"/>
  <c r="T383" i="12"/>
  <c r="Z383" i="12" s="1"/>
  <c r="T387" i="12"/>
  <c r="Z387" i="12" s="1"/>
  <c r="T391" i="12"/>
  <c r="Z391" i="12" s="1"/>
  <c r="T403" i="12"/>
  <c r="Z403" i="12" s="1"/>
  <c r="T407" i="12"/>
  <c r="Z407" i="12" s="1"/>
  <c r="U413" i="12"/>
  <c r="X413" i="12" s="1"/>
  <c r="V422" i="12"/>
  <c r="U423" i="12"/>
  <c r="X423" i="12" s="1"/>
  <c r="T431" i="12"/>
  <c r="Z431" i="12" s="1"/>
  <c r="T436" i="12"/>
  <c r="Z436" i="12" s="1"/>
  <c r="V442" i="12"/>
  <c r="T68" i="12"/>
  <c r="Z68" i="12" s="1"/>
  <c r="T74" i="12"/>
  <c r="Z74" i="12" s="1"/>
  <c r="T78" i="12"/>
  <c r="Z78" i="12" s="1"/>
  <c r="V83" i="12"/>
  <c r="T104" i="12"/>
  <c r="Z104" i="12" s="1"/>
  <c r="T125" i="12"/>
  <c r="Z125" i="12" s="1"/>
  <c r="U126" i="12"/>
  <c r="X126" i="12" s="1"/>
  <c r="T134" i="12"/>
  <c r="Z134" i="12" s="1"/>
  <c r="T156" i="12"/>
  <c r="Z156" i="12" s="1"/>
  <c r="V180" i="12"/>
  <c r="T192" i="12"/>
  <c r="Z192" i="12" s="1"/>
  <c r="T197" i="12"/>
  <c r="Z197" i="12" s="1"/>
  <c r="T208" i="12"/>
  <c r="Z208" i="12" s="1"/>
  <c r="T218" i="12"/>
  <c r="Z218" i="12" s="1"/>
  <c r="V228" i="12"/>
  <c r="T270" i="12"/>
  <c r="Z270" i="12" s="1"/>
  <c r="T292" i="12"/>
  <c r="Z292" i="12" s="1"/>
  <c r="T296" i="12"/>
  <c r="Z296" i="12" s="1"/>
  <c r="T305" i="12"/>
  <c r="Z305" i="12" s="1"/>
  <c r="T309" i="12"/>
  <c r="Z309" i="12" s="1"/>
  <c r="V310" i="12"/>
  <c r="T386" i="12"/>
  <c r="Z386" i="12" s="1"/>
  <c r="T390" i="12"/>
  <c r="Z390" i="12" s="1"/>
  <c r="U391" i="12"/>
  <c r="X391" i="12" s="1"/>
  <c r="T401" i="12"/>
  <c r="Z401" i="12" s="1"/>
  <c r="T406" i="12"/>
  <c r="Z406" i="12" s="1"/>
  <c r="T410" i="12"/>
  <c r="Z410" i="12" s="1"/>
  <c r="T411" i="12"/>
  <c r="Z411" i="12" s="1"/>
  <c r="U436" i="12"/>
  <c r="X436" i="12" s="1"/>
  <c r="T59" i="12"/>
  <c r="Z59" i="12" s="1"/>
  <c r="T63" i="12"/>
  <c r="Z63" i="12" s="1"/>
  <c r="V64" i="12"/>
  <c r="T73" i="12"/>
  <c r="Z73" i="12" s="1"/>
  <c r="T86" i="12"/>
  <c r="Z86" i="12" s="1"/>
  <c r="T90" i="12"/>
  <c r="Z90" i="12" s="1"/>
  <c r="T98" i="12"/>
  <c r="Z98" i="12" s="1"/>
  <c r="T109" i="12"/>
  <c r="Z109" i="12" s="1"/>
  <c r="T115" i="12"/>
  <c r="Z115" i="12" s="1"/>
  <c r="T129" i="12"/>
  <c r="Z129" i="12" s="1"/>
  <c r="T147" i="12"/>
  <c r="Z147" i="12" s="1"/>
  <c r="T164" i="12"/>
  <c r="Z164" i="12" s="1"/>
  <c r="T169" i="12"/>
  <c r="Z169" i="12" s="1"/>
  <c r="U174" i="12"/>
  <c r="X174" i="12" s="1"/>
  <c r="T178" i="12"/>
  <c r="Z178" i="12" s="1"/>
  <c r="V179" i="12"/>
  <c r="T183" i="12"/>
  <c r="Z183" i="12" s="1"/>
  <c r="T187" i="12"/>
  <c r="Z187" i="12" s="1"/>
  <c r="T191" i="12"/>
  <c r="Z191" i="12" s="1"/>
  <c r="T196" i="12"/>
  <c r="Z196" i="12" s="1"/>
  <c r="T212" i="12"/>
  <c r="Z212" i="12" s="1"/>
  <c r="T222" i="12"/>
  <c r="Z222" i="12" s="1"/>
  <c r="T226" i="12"/>
  <c r="Z226" i="12" s="1"/>
  <c r="T236" i="12"/>
  <c r="Z236" i="12" s="1"/>
  <c r="T240" i="12"/>
  <c r="Z240" i="12" s="1"/>
  <c r="T245" i="12"/>
  <c r="Z245" i="12" s="1"/>
  <c r="T250" i="12"/>
  <c r="Z250" i="12" s="1"/>
  <c r="T254" i="12"/>
  <c r="Z254" i="12" s="1"/>
  <c r="T300" i="12"/>
  <c r="Z300" i="12" s="1"/>
  <c r="T327" i="12"/>
  <c r="Z327" i="12" s="1"/>
  <c r="T344" i="12"/>
  <c r="Z344" i="12" s="1"/>
  <c r="V373" i="12"/>
  <c r="T395" i="12"/>
  <c r="Z395" i="12" s="1"/>
  <c r="U418" i="12"/>
  <c r="X418" i="12" s="1"/>
  <c r="V430" i="12"/>
  <c r="U401" i="12"/>
  <c r="X401" i="12" s="1"/>
  <c r="T405" i="12"/>
  <c r="Z405" i="12" s="1"/>
  <c r="U410" i="12"/>
  <c r="X410" i="12" s="1"/>
  <c r="T415" i="12"/>
  <c r="Z415" i="12" s="1"/>
  <c r="T433" i="12"/>
  <c r="Z433" i="12" s="1"/>
  <c r="U434" i="12"/>
  <c r="X434" i="12" s="1"/>
  <c r="U451" i="12"/>
  <c r="X451" i="12" s="1"/>
  <c r="U453" i="12"/>
  <c r="X453" i="12" s="1"/>
  <c r="U455" i="12"/>
  <c r="X455" i="12" s="1"/>
  <c r="T62" i="12"/>
  <c r="Z62" i="12" s="1"/>
  <c r="T71" i="12"/>
  <c r="Z71" i="12" s="1"/>
  <c r="V73" i="12"/>
  <c r="T93" i="12"/>
  <c r="Z93" i="12" s="1"/>
  <c r="T97" i="12"/>
  <c r="Z97" i="12" s="1"/>
  <c r="V98" i="12"/>
  <c r="T114" i="12"/>
  <c r="Z114" i="12" s="1"/>
  <c r="T132" i="12"/>
  <c r="Z132" i="12" s="1"/>
  <c r="T137" i="12"/>
  <c r="Z137" i="12" s="1"/>
  <c r="U142" i="12"/>
  <c r="X142" i="12" s="1"/>
  <c r="T150" i="12"/>
  <c r="Z150" i="12" s="1"/>
  <c r="V151" i="12"/>
  <c r="T163" i="12"/>
  <c r="Z163" i="12" s="1"/>
  <c r="T182" i="12"/>
  <c r="Z182" i="12" s="1"/>
  <c r="T186" i="12"/>
  <c r="Z186" i="12" s="1"/>
  <c r="T190" i="12"/>
  <c r="Z190" i="12" s="1"/>
  <c r="U191" i="12"/>
  <c r="X191" i="12" s="1"/>
  <c r="T195" i="12"/>
  <c r="Z195" i="12" s="1"/>
  <c r="V196" i="12"/>
  <c r="U207" i="12"/>
  <c r="X207" i="12" s="1"/>
  <c r="V226" i="12"/>
  <c r="T230" i="12"/>
  <c r="Z230" i="12" s="1"/>
  <c r="T239" i="12"/>
  <c r="Z239" i="12" s="1"/>
  <c r="V259" i="12"/>
  <c r="V278" i="12"/>
  <c r="T314" i="12"/>
  <c r="Z314" i="12" s="1"/>
  <c r="T322" i="12"/>
  <c r="Z322" i="12" s="1"/>
  <c r="T326" i="12"/>
  <c r="Z326" i="12" s="1"/>
  <c r="T330" i="12"/>
  <c r="Z330" i="12" s="1"/>
  <c r="T343" i="12"/>
  <c r="Z343" i="12" s="1"/>
  <c r="T348" i="12"/>
  <c r="Z348" i="12" s="1"/>
  <c r="T376" i="12"/>
  <c r="Z376" i="12" s="1"/>
  <c r="U377" i="12"/>
  <c r="X377" i="12" s="1"/>
  <c r="T398" i="12"/>
  <c r="Z398" i="12" s="1"/>
  <c r="T424" i="12"/>
  <c r="Z424" i="12" s="1"/>
  <c r="T428" i="12"/>
  <c r="Z428" i="12" s="1"/>
  <c r="T438" i="12"/>
  <c r="Z438" i="12" s="1"/>
  <c r="T443" i="12"/>
  <c r="Z443" i="12" s="1"/>
  <c r="U61" i="12"/>
  <c r="X61" i="12" s="1"/>
  <c r="U94" i="12"/>
  <c r="X94" i="12" s="1"/>
  <c r="U139" i="12"/>
  <c r="X139" i="12" s="1"/>
  <c r="U190" i="12"/>
  <c r="X190" i="12" s="1"/>
  <c r="V229" i="12"/>
  <c r="U234" i="12"/>
  <c r="X234" i="12" s="1"/>
  <c r="U275" i="12"/>
  <c r="X275" i="12" s="1"/>
  <c r="U298" i="12"/>
  <c r="X298" i="12" s="1"/>
  <c r="V344" i="12"/>
  <c r="U359" i="12"/>
  <c r="X359" i="12" s="1"/>
  <c r="U356" i="12"/>
  <c r="X356" i="12" s="1"/>
  <c r="U357" i="12"/>
  <c r="X357" i="12" s="1"/>
  <c r="T447" i="12"/>
  <c r="Z447" i="12" s="1"/>
  <c r="U110" i="12"/>
  <c r="X110" i="12" s="1"/>
  <c r="U59" i="12"/>
  <c r="X59" i="12" s="1"/>
  <c r="U111" i="12"/>
  <c r="X111" i="12" s="1"/>
  <c r="V127" i="12"/>
  <c r="T142" i="12"/>
  <c r="Z142" i="12" s="1"/>
  <c r="V153" i="12"/>
  <c r="U166" i="12"/>
  <c r="X166" i="12" s="1"/>
  <c r="U176" i="12"/>
  <c r="X176" i="12" s="1"/>
  <c r="U177" i="12"/>
  <c r="X177" i="12" s="1"/>
  <c r="V362" i="12"/>
  <c r="V424" i="12"/>
  <c r="V96" i="12"/>
  <c r="U131" i="12"/>
  <c r="X131" i="12" s="1"/>
  <c r="V198" i="12"/>
  <c r="V277" i="12"/>
  <c r="V309" i="12"/>
  <c r="V347" i="12"/>
  <c r="V376" i="12"/>
  <c r="U385" i="12"/>
  <c r="X385" i="12" s="1"/>
  <c r="V406" i="12"/>
  <c r="T418" i="12"/>
  <c r="Z418" i="12" s="1"/>
  <c r="U444" i="12"/>
  <c r="X444" i="12" s="1"/>
  <c r="V90" i="12"/>
  <c r="V140" i="12"/>
  <c r="U150" i="12"/>
  <c r="X150" i="12" s="1"/>
  <c r="U186" i="12"/>
  <c r="X186" i="12" s="1"/>
  <c r="U281" i="12"/>
  <c r="X281" i="12" s="1"/>
  <c r="T111" i="12"/>
  <c r="Z111" i="12" s="1"/>
  <c r="V121" i="12"/>
  <c r="T126" i="12"/>
  <c r="Z126" i="12" s="1"/>
  <c r="V128" i="12"/>
  <c r="U129" i="12"/>
  <c r="X129" i="12" s="1"/>
  <c r="V159" i="12"/>
  <c r="V161" i="12"/>
  <c r="U168" i="12"/>
  <c r="X168" i="12" s="1"/>
  <c r="V175" i="12"/>
  <c r="V236" i="12"/>
  <c r="V254" i="12"/>
  <c r="V316" i="12"/>
  <c r="U336" i="12"/>
  <c r="X336" i="12" s="1"/>
  <c r="U343" i="12"/>
  <c r="X343" i="12" s="1"/>
  <c r="V358" i="12"/>
  <c r="V364" i="12"/>
  <c r="V374" i="12"/>
  <c r="V400" i="12"/>
  <c r="U445" i="12"/>
  <c r="X445" i="12" s="1"/>
  <c r="V448" i="12"/>
  <c r="V62" i="12"/>
  <c r="V69" i="12"/>
  <c r="V88" i="12"/>
  <c r="T145" i="12"/>
  <c r="Z145" i="12" s="1"/>
  <c r="V152" i="12"/>
  <c r="V192" i="12"/>
  <c r="V252" i="12"/>
  <c r="U297" i="12"/>
  <c r="X297" i="12" s="1"/>
  <c r="V329" i="12"/>
  <c r="U334" i="12"/>
  <c r="X334" i="12" s="1"/>
  <c r="V390" i="12"/>
  <c r="U407" i="12"/>
  <c r="X407" i="12" s="1"/>
  <c r="T315" i="12"/>
  <c r="Z315" i="12" s="1"/>
  <c r="T85" i="12"/>
  <c r="Z85" i="12" s="1"/>
  <c r="U262" i="12"/>
  <c r="X262" i="12" s="1"/>
  <c r="U396" i="12"/>
  <c r="X396" i="12" s="1"/>
  <c r="T412" i="12"/>
  <c r="Z412" i="12" s="1"/>
  <c r="T442" i="12"/>
  <c r="Z442" i="12" s="1"/>
  <c r="U67" i="12"/>
  <c r="X67" i="12" s="1"/>
  <c r="T83" i="12"/>
  <c r="Z83" i="12" s="1"/>
  <c r="U85" i="12"/>
  <c r="X85" i="12" s="1"/>
  <c r="U86" i="12"/>
  <c r="X86" i="12" s="1"/>
  <c r="U92" i="12"/>
  <c r="X92" i="12" s="1"/>
  <c r="V93" i="12"/>
  <c r="U118" i="12"/>
  <c r="X118" i="12" s="1"/>
  <c r="V124" i="12"/>
  <c r="V137" i="12"/>
  <c r="U171" i="12"/>
  <c r="X171" i="12" s="1"/>
  <c r="U182" i="12"/>
  <c r="X182" i="12" s="1"/>
  <c r="U188" i="12"/>
  <c r="X188" i="12" s="1"/>
  <c r="U189" i="12"/>
  <c r="X189" i="12" s="1"/>
  <c r="U223" i="12"/>
  <c r="X223" i="12" s="1"/>
  <c r="V224" i="12"/>
  <c r="V232" i="12"/>
  <c r="U239" i="12"/>
  <c r="X239" i="12" s="1"/>
  <c r="V261" i="12"/>
  <c r="U270" i="12"/>
  <c r="X270" i="12" s="1"/>
  <c r="U290" i="12"/>
  <c r="X290" i="12" s="1"/>
  <c r="V291" i="12"/>
  <c r="V323" i="12"/>
  <c r="U340" i="12"/>
  <c r="X340" i="12" s="1"/>
  <c r="V352" i="12"/>
  <c r="U367" i="12"/>
  <c r="X367" i="12" s="1"/>
  <c r="V368" i="12"/>
  <c r="U369" i="12"/>
  <c r="X369" i="12" s="1"/>
  <c r="U383" i="12"/>
  <c r="X383" i="12" s="1"/>
  <c r="V384" i="12"/>
  <c r="U404" i="12"/>
  <c r="X404" i="12" s="1"/>
  <c r="T420" i="12"/>
  <c r="Z420" i="12" s="1"/>
  <c r="U439" i="12"/>
  <c r="X439" i="12" s="1"/>
  <c r="U99" i="12"/>
  <c r="X99" i="12" s="1"/>
  <c r="U123" i="12"/>
  <c r="X123" i="12" s="1"/>
  <c r="V148" i="12"/>
  <c r="U199" i="12"/>
  <c r="X199" i="12" s="1"/>
  <c r="V200" i="12"/>
  <c r="V208" i="12"/>
  <c r="V230" i="12"/>
  <c r="U231" i="12"/>
  <c r="X231" i="12" s="1"/>
  <c r="U257" i="12"/>
  <c r="X257" i="12" s="1"/>
  <c r="V260" i="12"/>
  <c r="V269" i="12"/>
  <c r="U289" i="12"/>
  <c r="X289" i="12" s="1"/>
  <c r="V339" i="12"/>
  <c r="U346" i="12"/>
  <c r="X346" i="12" s="1"/>
  <c r="U349" i="12"/>
  <c r="X349" i="12" s="1"/>
  <c r="V351" i="12"/>
  <c r="V366" i="12"/>
  <c r="V382" i="12"/>
  <c r="U425" i="12"/>
  <c r="X425" i="12" s="1"/>
  <c r="U293" i="12"/>
  <c r="X293" i="12" s="1"/>
  <c r="V293" i="12"/>
  <c r="U426" i="12"/>
  <c r="X426" i="12" s="1"/>
  <c r="V426" i="12"/>
  <c r="U184" i="12"/>
  <c r="X184" i="12" s="1"/>
  <c r="V184" i="12"/>
  <c r="U238" i="12"/>
  <c r="X238" i="12" s="1"/>
  <c r="V238" i="12"/>
  <c r="V388" i="12"/>
  <c r="U388" i="12"/>
  <c r="X388" i="12" s="1"/>
  <c r="V318" i="12"/>
  <c r="U318" i="12"/>
  <c r="X318" i="12" s="1"/>
  <c r="V115" i="12"/>
  <c r="U115" i="12"/>
  <c r="X115" i="12" s="1"/>
  <c r="U220" i="12"/>
  <c r="X220" i="12" s="1"/>
  <c r="V220" i="12"/>
  <c r="U285" i="12"/>
  <c r="X285" i="12" s="1"/>
  <c r="V285" i="12"/>
  <c r="U308" i="12"/>
  <c r="X308" i="12" s="1"/>
  <c r="V308" i="12"/>
  <c r="U416" i="12"/>
  <c r="X416" i="12" s="1"/>
  <c r="V416" i="12"/>
  <c r="V77" i="12"/>
  <c r="U77" i="12"/>
  <c r="X77" i="12" s="1"/>
  <c r="T99" i="12"/>
  <c r="Z99" i="12" s="1"/>
  <c r="V103" i="12"/>
  <c r="U103" i="12"/>
  <c r="X103" i="12" s="1"/>
  <c r="T108" i="12"/>
  <c r="Z108" i="12" s="1"/>
  <c r="T121" i="12"/>
  <c r="Z121" i="12" s="1"/>
  <c r="T146" i="12"/>
  <c r="Z146" i="12" s="1"/>
  <c r="U147" i="12"/>
  <c r="X147" i="12" s="1"/>
  <c r="V158" i="12"/>
  <c r="U158" i="12"/>
  <c r="X158" i="12" s="1"/>
  <c r="U169" i="12"/>
  <c r="X169" i="12" s="1"/>
  <c r="V169" i="12"/>
  <c r="T173" i="12"/>
  <c r="Z173" i="12" s="1"/>
  <c r="T174" i="12"/>
  <c r="Z174" i="12" s="1"/>
  <c r="T204" i="12"/>
  <c r="Z204" i="12" s="1"/>
  <c r="T216" i="12"/>
  <c r="Z216" i="12" s="1"/>
  <c r="V237" i="12"/>
  <c r="T265" i="12"/>
  <c r="Z265" i="12" s="1"/>
  <c r="V266" i="12"/>
  <c r="U266" i="12"/>
  <c r="X266" i="12" s="1"/>
  <c r="T278" i="12"/>
  <c r="Z278" i="12" s="1"/>
  <c r="T280" i="12"/>
  <c r="Z280" i="12" s="1"/>
  <c r="U317" i="12"/>
  <c r="X317" i="12" s="1"/>
  <c r="V317" i="12"/>
  <c r="T337" i="12"/>
  <c r="Z337" i="12" s="1"/>
  <c r="U412" i="12"/>
  <c r="X412" i="12" s="1"/>
  <c r="V438" i="12"/>
  <c r="V440" i="12"/>
  <c r="U71" i="12"/>
  <c r="X71" i="12" s="1"/>
  <c r="V71" i="12"/>
  <c r="U79" i="12"/>
  <c r="X79" i="12" s="1"/>
  <c r="V79" i="12"/>
  <c r="V433" i="12"/>
  <c r="U433" i="12"/>
  <c r="X433" i="12" s="1"/>
  <c r="T82" i="12"/>
  <c r="Z82" i="12" s="1"/>
  <c r="U214" i="12"/>
  <c r="X214" i="12" s="1"/>
  <c r="V214" i="12"/>
  <c r="V255" i="12"/>
  <c r="U255" i="12"/>
  <c r="X255" i="12" s="1"/>
  <c r="V274" i="12"/>
  <c r="U274" i="12"/>
  <c r="X274" i="12" s="1"/>
  <c r="V286" i="12"/>
  <c r="U286" i="12"/>
  <c r="X286" i="12" s="1"/>
  <c r="U324" i="12"/>
  <c r="X324" i="12" s="1"/>
  <c r="V324" i="12"/>
  <c r="V78" i="12"/>
  <c r="U78" i="12"/>
  <c r="X78" i="12" s="1"/>
  <c r="T184" i="12"/>
  <c r="Z184" i="12" s="1"/>
  <c r="V302" i="12"/>
  <c r="U302" i="12"/>
  <c r="X302" i="12" s="1"/>
  <c r="U307" i="12"/>
  <c r="X307" i="12" s="1"/>
  <c r="V307" i="12"/>
  <c r="U315" i="12"/>
  <c r="X315" i="12" s="1"/>
  <c r="V321" i="12"/>
  <c r="U321" i="12"/>
  <c r="X321" i="12" s="1"/>
  <c r="V380" i="12"/>
  <c r="U380" i="12"/>
  <c r="X380" i="12" s="1"/>
  <c r="T61" i="12"/>
  <c r="Z61" i="12" s="1"/>
  <c r="V75" i="12"/>
  <c r="V80" i="12"/>
  <c r="U80" i="12"/>
  <c r="X80" i="12" s="1"/>
  <c r="T88" i="12"/>
  <c r="Z88" i="12" s="1"/>
  <c r="V100" i="12"/>
  <c r="U100" i="12"/>
  <c r="X100" i="12" s="1"/>
  <c r="T106" i="12"/>
  <c r="Z106" i="12" s="1"/>
  <c r="U107" i="12"/>
  <c r="X107" i="12" s="1"/>
  <c r="T133" i="12"/>
  <c r="Z133" i="12" s="1"/>
  <c r="T135" i="12"/>
  <c r="Z135" i="12" s="1"/>
  <c r="U155" i="12"/>
  <c r="X155" i="12" s="1"/>
  <c r="U156" i="12"/>
  <c r="X156" i="12" s="1"/>
  <c r="T202" i="12"/>
  <c r="Z202" i="12" s="1"/>
  <c r="T256" i="12"/>
  <c r="Z256" i="12" s="1"/>
  <c r="T258" i="12"/>
  <c r="Z258" i="12" s="1"/>
  <c r="T259" i="12"/>
  <c r="Z259" i="12" s="1"/>
  <c r="T262" i="12"/>
  <c r="Z262" i="12" s="1"/>
  <c r="V265" i="12"/>
  <c r="U265" i="12"/>
  <c r="X265" i="12" s="1"/>
  <c r="V283" i="12"/>
  <c r="U283" i="12"/>
  <c r="X283" i="12" s="1"/>
  <c r="V294" i="12"/>
  <c r="T329" i="12"/>
  <c r="Z329" i="12" s="1"/>
  <c r="V331" i="12"/>
  <c r="T396" i="12"/>
  <c r="Z396" i="12" s="1"/>
  <c r="V409" i="12"/>
  <c r="U409" i="12"/>
  <c r="X409" i="12" s="1"/>
  <c r="U120" i="12"/>
  <c r="X120" i="12" s="1"/>
  <c r="V120" i="12"/>
  <c r="U135" i="12"/>
  <c r="X135" i="12" s="1"/>
  <c r="V135" i="12"/>
  <c r="V163" i="12"/>
  <c r="U163" i="12"/>
  <c r="X163" i="12" s="1"/>
  <c r="V63" i="12"/>
  <c r="T118" i="12"/>
  <c r="Z118" i="12" s="1"/>
  <c r="T120" i="12"/>
  <c r="Z120" i="12" s="1"/>
  <c r="U136" i="12"/>
  <c r="X136" i="12" s="1"/>
  <c r="V136" i="12"/>
  <c r="T141" i="12"/>
  <c r="Z141" i="12" s="1"/>
  <c r="V144" i="12"/>
  <c r="U145" i="12"/>
  <c r="X145" i="12" s="1"/>
  <c r="T152" i="12"/>
  <c r="Z152" i="12" s="1"/>
  <c r="T185" i="12"/>
  <c r="Z185" i="12" s="1"/>
  <c r="V187" i="12"/>
  <c r="U187" i="12"/>
  <c r="X187" i="12" s="1"/>
  <c r="T214" i="12"/>
  <c r="Z214" i="12" s="1"/>
  <c r="V215" i="12"/>
  <c r="U215" i="12"/>
  <c r="X215" i="12" s="1"/>
  <c r="U222" i="12"/>
  <c r="X222" i="12" s="1"/>
  <c r="V222" i="12"/>
  <c r="T248" i="12"/>
  <c r="Z248" i="12" s="1"/>
  <c r="V250" i="12"/>
  <c r="U250" i="12"/>
  <c r="X250" i="12" s="1"/>
  <c r="T273" i="12"/>
  <c r="Z273" i="12" s="1"/>
  <c r="T274" i="12"/>
  <c r="Z274" i="12" s="1"/>
  <c r="U301" i="12"/>
  <c r="X301" i="12" s="1"/>
  <c r="V301" i="12"/>
  <c r="T304" i="12"/>
  <c r="Z304" i="12" s="1"/>
  <c r="V313" i="12"/>
  <c r="U313" i="12"/>
  <c r="X313" i="12" s="1"/>
  <c r="T417" i="12"/>
  <c r="Z417" i="12" s="1"/>
  <c r="V428" i="12"/>
  <c r="U428" i="12"/>
  <c r="X428" i="12" s="1"/>
  <c r="T112" i="12"/>
  <c r="Z112" i="12" s="1"/>
  <c r="T113" i="12"/>
  <c r="Z113" i="12" s="1"/>
  <c r="T160" i="12"/>
  <c r="Z160" i="12" s="1"/>
  <c r="T167" i="12"/>
  <c r="Z167" i="12" s="1"/>
  <c r="T172" i="12"/>
  <c r="Z172" i="12" s="1"/>
  <c r="T206" i="12"/>
  <c r="Z206" i="12" s="1"/>
  <c r="T207" i="12"/>
  <c r="Z207" i="12" s="1"/>
  <c r="T211" i="12"/>
  <c r="Z211" i="12" s="1"/>
  <c r="T213" i="12"/>
  <c r="Z213" i="12" s="1"/>
  <c r="T232" i="12"/>
  <c r="Z232" i="12" s="1"/>
  <c r="U246" i="12"/>
  <c r="X246" i="12" s="1"/>
  <c r="V246" i="12"/>
  <c r="T253" i="12"/>
  <c r="Z253" i="12" s="1"/>
  <c r="T283" i="12"/>
  <c r="Z283" i="12" s="1"/>
  <c r="U284" i="12"/>
  <c r="X284" i="12" s="1"/>
  <c r="V284" i="12"/>
  <c r="U292" i="12"/>
  <c r="X292" i="12" s="1"/>
  <c r="V292" i="12"/>
  <c r="U300" i="12"/>
  <c r="X300" i="12" s="1"/>
  <c r="V300" i="12"/>
  <c r="T334" i="12"/>
  <c r="Z334" i="12" s="1"/>
  <c r="T346" i="12"/>
  <c r="Z346" i="12" s="1"/>
  <c r="V361" i="12"/>
  <c r="U361" i="12"/>
  <c r="X361" i="12" s="1"/>
  <c r="T393" i="12"/>
  <c r="Z393" i="12" s="1"/>
  <c r="T400" i="12"/>
  <c r="Z400" i="12" s="1"/>
  <c r="T408" i="12"/>
  <c r="Z408" i="12" s="1"/>
  <c r="T421" i="12"/>
  <c r="Z421" i="12" s="1"/>
  <c r="T423" i="12"/>
  <c r="Z423" i="12" s="1"/>
  <c r="T69" i="12"/>
  <c r="Z69" i="12" s="1"/>
  <c r="V241" i="12"/>
  <c r="U241" i="12"/>
  <c r="X241" i="12" s="1"/>
  <c r="V314" i="12"/>
  <c r="U314" i="12"/>
  <c r="X314" i="12" s="1"/>
  <c r="V431" i="12"/>
  <c r="T158" i="12"/>
  <c r="Z158" i="12" s="1"/>
  <c r="V305" i="12"/>
  <c r="U305" i="12"/>
  <c r="X305" i="12" s="1"/>
  <c r="V326" i="12"/>
  <c r="U326" i="12"/>
  <c r="X326" i="12" s="1"/>
  <c r="U432" i="12"/>
  <c r="X432" i="12" s="1"/>
  <c r="V432" i="12"/>
  <c r="T64" i="12"/>
  <c r="Z64" i="12" s="1"/>
  <c r="T65" i="12"/>
  <c r="Z65" i="12" s="1"/>
  <c r="T72" i="12"/>
  <c r="Z72" i="12" s="1"/>
  <c r="T89" i="12"/>
  <c r="Z89" i="12" s="1"/>
  <c r="T94" i="12"/>
  <c r="Z94" i="12" s="1"/>
  <c r="T122" i="12"/>
  <c r="Z122" i="12" s="1"/>
  <c r="T123" i="12"/>
  <c r="Z123" i="12" s="1"/>
  <c r="T127" i="12"/>
  <c r="Z127" i="12" s="1"/>
  <c r="T128" i="12"/>
  <c r="Z128" i="12" s="1"/>
  <c r="T138" i="12"/>
  <c r="Z138" i="12" s="1"/>
  <c r="T139" i="12"/>
  <c r="Z139" i="12" s="1"/>
  <c r="T143" i="12"/>
  <c r="Z143" i="12" s="1"/>
  <c r="T144" i="12"/>
  <c r="Z144" i="12" s="1"/>
  <c r="T149" i="12"/>
  <c r="Z149" i="12" s="1"/>
  <c r="T151" i="12"/>
  <c r="Z151" i="12" s="1"/>
  <c r="T176" i="12"/>
  <c r="Z176" i="12" s="1"/>
  <c r="T247" i="12"/>
  <c r="Z247" i="12" s="1"/>
  <c r="U325" i="12"/>
  <c r="X325" i="12" s="1"/>
  <c r="V325" i="12"/>
  <c r="T340" i="12"/>
  <c r="Z340" i="12" s="1"/>
  <c r="T371" i="12"/>
  <c r="Z371" i="12" s="1"/>
  <c r="V378" i="12"/>
  <c r="U378" i="12"/>
  <c r="X378" i="12" s="1"/>
  <c r="V386" i="12"/>
  <c r="U386" i="12"/>
  <c r="X386" i="12" s="1"/>
  <c r="T446" i="12"/>
  <c r="Z446" i="12" s="1"/>
  <c r="U306" i="12"/>
  <c r="X306" i="12" s="1"/>
  <c r="T307" i="12"/>
  <c r="Z307" i="12" s="1"/>
  <c r="T318" i="12"/>
  <c r="Z318" i="12" s="1"/>
  <c r="T319" i="12"/>
  <c r="Z319" i="12" s="1"/>
  <c r="U322" i="12"/>
  <c r="X322" i="12" s="1"/>
  <c r="T323" i="12"/>
  <c r="Z323" i="12" s="1"/>
  <c r="V333" i="12"/>
  <c r="V341" i="12"/>
  <c r="V350" i="12"/>
  <c r="T353" i="12"/>
  <c r="Z353" i="12" s="1"/>
  <c r="T441" i="12"/>
  <c r="Z441" i="12" s="1"/>
  <c r="T221" i="12"/>
  <c r="Z221" i="12" s="1"/>
  <c r="T225" i="12"/>
  <c r="Z225" i="12" s="1"/>
  <c r="T227" i="12"/>
  <c r="Z227" i="12" s="1"/>
  <c r="T257" i="12"/>
  <c r="Z257" i="12" s="1"/>
  <c r="T317" i="12"/>
  <c r="Z317" i="12" s="1"/>
  <c r="T355" i="12"/>
  <c r="Z355" i="12" s="1"/>
  <c r="T356" i="12"/>
  <c r="Z356" i="12" s="1"/>
  <c r="T357" i="12"/>
  <c r="Z357" i="12" s="1"/>
  <c r="T358" i="12"/>
  <c r="Z358" i="12" s="1"/>
  <c r="T359" i="12"/>
  <c r="Z359" i="12" s="1"/>
  <c r="T360" i="12"/>
  <c r="Z360" i="12" s="1"/>
  <c r="T409" i="12"/>
  <c r="Z409" i="12" s="1"/>
  <c r="T414" i="12"/>
  <c r="Z414" i="12" s="1"/>
  <c r="T435" i="12"/>
  <c r="Z435" i="12" s="1"/>
  <c r="T437" i="12"/>
  <c r="Z437" i="12" s="1"/>
  <c r="T439" i="12"/>
  <c r="Z439" i="12" s="1"/>
  <c r="T444" i="12"/>
  <c r="Z444" i="12" s="1"/>
  <c r="T445" i="12"/>
  <c r="Z445" i="12" s="1"/>
  <c r="T171" i="12"/>
  <c r="Z171" i="12" s="1"/>
  <c r="U81" i="12"/>
  <c r="X81" i="12" s="1"/>
  <c r="V81" i="12"/>
  <c r="U119" i="12"/>
  <c r="X119" i="12" s="1"/>
  <c r="V119" i="12"/>
  <c r="T107" i="12"/>
  <c r="Z107" i="12" s="1"/>
  <c r="T165" i="12"/>
  <c r="Z165" i="12" s="1"/>
  <c r="V170" i="12"/>
  <c r="U170" i="12"/>
  <c r="X170" i="12" s="1"/>
  <c r="V211" i="12"/>
  <c r="U211" i="12"/>
  <c r="X211" i="12" s="1"/>
  <c r="U105" i="12"/>
  <c r="X105" i="12" s="1"/>
  <c r="V105" i="12"/>
  <c r="U114" i="12"/>
  <c r="X114" i="12" s="1"/>
  <c r="V114" i="12"/>
  <c r="V65" i="12"/>
  <c r="U106" i="12"/>
  <c r="X106" i="12" s="1"/>
  <c r="V106" i="12"/>
  <c r="V164" i="12"/>
  <c r="V146" i="12"/>
  <c r="U146" i="12"/>
  <c r="X146" i="12" s="1"/>
  <c r="V60" i="12"/>
  <c r="U60" i="12"/>
  <c r="X60" i="12" s="1"/>
  <c r="V97" i="12"/>
  <c r="U97" i="12"/>
  <c r="X97" i="12" s="1"/>
  <c r="V172" i="12"/>
  <c r="U172" i="12"/>
  <c r="X172" i="12" s="1"/>
  <c r="V245" i="12"/>
  <c r="U245" i="12"/>
  <c r="X245" i="12" s="1"/>
  <c r="V84" i="12"/>
  <c r="U84" i="12"/>
  <c r="X84" i="12" s="1"/>
  <c r="V101" i="12"/>
  <c r="U101" i="12"/>
  <c r="X101" i="12" s="1"/>
  <c r="U248" i="12"/>
  <c r="X248" i="12" s="1"/>
  <c r="V248" i="12"/>
  <c r="V130" i="12"/>
  <c r="U130" i="12"/>
  <c r="X130" i="12" s="1"/>
  <c r="V76" i="12"/>
  <c r="U76" i="12"/>
  <c r="X76" i="12" s="1"/>
  <c r="V95" i="12"/>
  <c r="U95" i="12"/>
  <c r="X95" i="12" s="1"/>
  <c r="V183" i="12"/>
  <c r="U183" i="12"/>
  <c r="X183" i="12" s="1"/>
  <c r="V253" i="12"/>
  <c r="U253" i="12"/>
  <c r="X253" i="12" s="1"/>
  <c r="V363" i="12"/>
  <c r="U363" i="12"/>
  <c r="X363" i="12" s="1"/>
  <c r="V68" i="12"/>
  <c r="U68" i="12"/>
  <c r="X68" i="12" s="1"/>
  <c r="V109" i="12"/>
  <c r="U109" i="12"/>
  <c r="X109" i="12" s="1"/>
  <c r="U240" i="12"/>
  <c r="X240" i="12" s="1"/>
  <c r="V240" i="12"/>
  <c r="U66" i="12"/>
  <c r="X66" i="12" s="1"/>
  <c r="U74" i="12"/>
  <c r="X74" i="12" s="1"/>
  <c r="U82" i="12"/>
  <c r="X82" i="12" s="1"/>
  <c r="U87" i="12"/>
  <c r="X87" i="12" s="1"/>
  <c r="U89" i="12"/>
  <c r="X89" i="12" s="1"/>
  <c r="V162" i="12"/>
  <c r="U162" i="12"/>
  <c r="X162" i="12" s="1"/>
  <c r="U91" i="12"/>
  <c r="X91" i="12" s="1"/>
  <c r="V219" i="12"/>
  <c r="U219" i="12"/>
  <c r="X219" i="12" s="1"/>
  <c r="V178" i="12"/>
  <c r="U178" i="12"/>
  <c r="X178" i="12" s="1"/>
  <c r="V203" i="12"/>
  <c r="U203" i="12"/>
  <c r="X203" i="12" s="1"/>
  <c r="V213" i="12"/>
  <c r="U213" i="12"/>
  <c r="X213" i="12" s="1"/>
  <c r="V227" i="12"/>
  <c r="U227" i="12"/>
  <c r="X227" i="12" s="1"/>
  <c r="T255" i="12"/>
  <c r="Z255" i="12" s="1"/>
  <c r="V122" i="12"/>
  <c r="U122" i="12"/>
  <c r="X122" i="12" s="1"/>
  <c r="V138" i="12"/>
  <c r="U138" i="12"/>
  <c r="X138" i="12" s="1"/>
  <c r="V154" i="12"/>
  <c r="U154" i="12"/>
  <c r="X154" i="12" s="1"/>
  <c r="T241" i="12"/>
  <c r="Z241" i="12" s="1"/>
  <c r="V273" i="12"/>
  <c r="U273" i="12"/>
  <c r="X273" i="12" s="1"/>
  <c r="V288" i="12"/>
  <c r="U288" i="12"/>
  <c r="X288" i="12" s="1"/>
  <c r="U117" i="12"/>
  <c r="X117" i="12" s="1"/>
  <c r="U125" i="12"/>
  <c r="X125" i="12" s="1"/>
  <c r="U133" i="12"/>
  <c r="X133" i="12" s="1"/>
  <c r="U141" i="12"/>
  <c r="X141" i="12" s="1"/>
  <c r="U149" i="12"/>
  <c r="X149" i="12" s="1"/>
  <c r="U157" i="12"/>
  <c r="X157" i="12" s="1"/>
  <c r="U165" i="12"/>
  <c r="X165" i="12" s="1"/>
  <c r="U173" i="12"/>
  <c r="X173" i="12" s="1"/>
  <c r="U181" i="12"/>
  <c r="X181" i="12" s="1"/>
  <c r="U185" i="12"/>
  <c r="X185" i="12" s="1"/>
  <c r="U205" i="12"/>
  <c r="X205" i="12" s="1"/>
  <c r="U221" i="12"/>
  <c r="X221" i="12" s="1"/>
  <c r="V251" i="12"/>
  <c r="U251" i="12"/>
  <c r="X251" i="12" s="1"/>
  <c r="U332" i="12"/>
  <c r="X332" i="12" s="1"/>
  <c r="V332" i="12"/>
  <c r="U408" i="12"/>
  <c r="X408" i="12" s="1"/>
  <c r="V408" i="12"/>
  <c r="V195" i="12"/>
  <c r="U195" i="12"/>
  <c r="X195" i="12" s="1"/>
  <c r="V243" i="12"/>
  <c r="U243" i="12"/>
  <c r="X243" i="12" s="1"/>
  <c r="V256" i="12"/>
  <c r="U276" i="12"/>
  <c r="X276" i="12" s="1"/>
  <c r="V276" i="12"/>
  <c r="V235" i="12"/>
  <c r="U235" i="12"/>
  <c r="X235" i="12" s="1"/>
  <c r="T249" i="12"/>
  <c r="Z249" i="12" s="1"/>
  <c r="T261" i="12"/>
  <c r="Z261" i="12" s="1"/>
  <c r="T285" i="12"/>
  <c r="Z285" i="12" s="1"/>
  <c r="V435" i="12"/>
  <c r="U435" i="12"/>
  <c r="X435" i="12" s="1"/>
  <c r="V264" i="12"/>
  <c r="U264" i="12"/>
  <c r="X264" i="12" s="1"/>
  <c r="T268" i="12"/>
  <c r="Z268" i="12" s="1"/>
  <c r="V271" i="12"/>
  <c r="U271" i="12"/>
  <c r="X271" i="12" s="1"/>
  <c r="V392" i="12"/>
  <c r="U193" i="12"/>
  <c r="X193" i="12" s="1"/>
  <c r="U201" i="12"/>
  <c r="X201" i="12" s="1"/>
  <c r="U209" i="12"/>
  <c r="X209" i="12" s="1"/>
  <c r="U217" i="12"/>
  <c r="X217" i="12" s="1"/>
  <c r="U225" i="12"/>
  <c r="X225" i="12" s="1"/>
  <c r="U233" i="12"/>
  <c r="X233" i="12" s="1"/>
  <c r="V335" i="12"/>
  <c r="U335" i="12"/>
  <c r="X335" i="12" s="1"/>
  <c r="V272" i="12"/>
  <c r="U272" i="12"/>
  <c r="X272" i="12" s="1"/>
  <c r="T276" i="12"/>
  <c r="Z276" i="12" s="1"/>
  <c r="V279" i="12"/>
  <c r="U279" i="12"/>
  <c r="X279" i="12" s="1"/>
  <c r="V327" i="12"/>
  <c r="U327" i="12"/>
  <c r="X327" i="12" s="1"/>
  <c r="V353" i="12"/>
  <c r="U353" i="12"/>
  <c r="X353" i="12" s="1"/>
  <c r="V365" i="12"/>
  <c r="U365" i="12"/>
  <c r="X365" i="12" s="1"/>
  <c r="V427" i="12"/>
  <c r="U427" i="12"/>
  <c r="X427" i="12" s="1"/>
  <c r="V443" i="12"/>
  <c r="U443" i="12"/>
  <c r="X443" i="12" s="1"/>
  <c r="T260" i="12"/>
  <c r="Z260" i="12" s="1"/>
  <c r="V303" i="12"/>
  <c r="U303" i="12"/>
  <c r="X303" i="12" s="1"/>
  <c r="V319" i="12"/>
  <c r="U319" i="12"/>
  <c r="X319" i="12" s="1"/>
  <c r="U345" i="12"/>
  <c r="X345" i="12" s="1"/>
  <c r="V360" i="12"/>
  <c r="T277" i="12"/>
  <c r="Z277" i="12" s="1"/>
  <c r="V280" i="12"/>
  <c r="U280" i="12"/>
  <c r="X280" i="12" s="1"/>
  <c r="T284" i="12"/>
  <c r="Z284" i="12" s="1"/>
  <c r="V287" i="12"/>
  <c r="U287" i="12"/>
  <c r="X287" i="12" s="1"/>
  <c r="V295" i="12"/>
  <c r="U295" i="12"/>
  <c r="X295" i="12" s="1"/>
  <c r="V311" i="12"/>
  <c r="U311" i="12"/>
  <c r="X311" i="12" s="1"/>
  <c r="T333" i="12"/>
  <c r="Z333" i="12" s="1"/>
  <c r="V337" i="12"/>
  <c r="U337" i="12"/>
  <c r="X337" i="12" s="1"/>
  <c r="T342" i="12"/>
  <c r="Z342" i="12" s="1"/>
  <c r="T377" i="12"/>
  <c r="Z377" i="12" s="1"/>
  <c r="U296" i="12"/>
  <c r="X296" i="12" s="1"/>
  <c r="U304" i="12"/>
  <c r="X304" i="12" s="1"/>
  <c r="U312" i="12"/>
  <c r="X312" i="12" s="1"/>
  <c r="U320" i="12"/>
  <c r="X320" i="12" s="1"/>
  <c r="U328" i="12"/>
  <c r="X328" i="12" s="1"/>
  <c r="U338" i="12"/>
  <c r="X338" i="12" s="1"/>
  <c r="U370" i="12"/>
  <c r="X370" i="12" s="1"/>
  <c r="U381" i="12"/>
  <c r="X381" i="12" s="1"/>
  <c r="U389" i="12"/>
  <c r="X389" i="12" s="1"/>
  <c r="U397" i="12"/>
  <c r="X397" i="12" s="1"/>
  <c r="U405" i="12"/>
  <c r="X405" i="12" s="1"/>
  <c r="V342" i="12"/>
  <c r="V355" i="12"/>
  <c r="U355" i="12"/>
  <c r="X355" i="12" s="1"/>
  <c r="V371" i="12"/>
  <c r="U371" i="12"/>
  <c r="X371" i="12" s="1"/>
  <c r="U429" i="12"/>
  <c r="X429" i="12" s="1"/>
  <c r="U437" i="12"/>
  <c r="X437" i="12" s="1"/>
  <c r="T347" i="12"/>
  <c r="Z347" i="12" s="1"/>
  <c r="T349" i="12"/>
  <c r="Z349" i="12" s="1"/>
  <c r="T366" i="12"/>
  <c r="Z366" i="12" s="1"/>
  <c r="V379" i="12"/>
  <c r="U379" i="12"/>
  <c r="X379" i="12" s="1"/>
  <c r="V387" i="12"/>
  <c r="U387" i="12"/>
  <c r="X387" i="12" s="1"/>
  <c r="V395" i="12"/>
  <c r="U395" i="12"/>
  <c r="X395" i="12" s="1"/>
  <c r="V403" i="12"/>
  <c r="U403" i="12"/>
  <c r="X403" i="12" s="1"/>
  <c r="V411" i="12"/>
  <c r="U411" i="12"/>
  <c r="X411" i="12" s="1"/>
  <c r="V419" i="12"/>
  <c r="U419" i="12"/>
  <c r="X419" i="12" s="1"/>
  <c r="U449" i="12"/>
  <c r="X449" i="12" s="1"/>
  <c r="O396" i="36" l="1"/>
  <c r="O395" i="36"/>
  <c r="O394" i="36"/>
  <c r="O393" i="36"/>
  <c r="O392" i="36"/>
  <c r="O391" i="36"/>
  <c r="O390" i="36"/>
  <c r="O389" i="36"/>
  <c r="O388" i="36"/>
  <c r="O387" i="36"/>
  <c r="O386" i="36"/>
  <c r="O385" i="36"/>
  <c r="O384" i="36"/>
  <c r="O383" i="36"/>
  <c r="O382" i="36"/>
  <c r="O381" i="36"/>
  <c r="O380" i="36"/>
  <c r="O379" i="36"/>
  <c r="O378" i="36"/>
  <c r="O377" i="36"/>
  <c r="O376" i="36"/>
  <c r="O375" i="36"/>
  <c r="O374" i="36"/>
  <c r="O373" i="36"/>
  <c r="O372" i="36"/>
  <c r="O371" i="36"/>
  <c r="O370" i="36"/>
  <c r="O369" i="36"/>
  <c r="O368" i="36"/>
  <c r="O367" i="36"/>
  <c r="O366" i="36"/>
  <c r="O365" i="36"/>
  <c r="O364" i="36"/>
  <c r="O363" i="36"/>
  <c r="O362" i="36"/>
  <c r="O361" i="36"/>
  <c r="O360" i="36"/>
  <c r="O359" i="36"/>
  <c r="O358" i="36"/>
  <c r="O357" i="36"/>
  <c r="O356" i="36"/>
  <c r="O355" i="36"/>
  <c r="O354" i="36"/>
  <c r="O353" i="36"/>
  <c r="O352" i="36"/>
  <c r="O351" i="36"/>
  <c r="O350" i="36"/>
  <c r="O349" i="36"/>
  <c r="O348" i="36"/>
  <c r="O347" i="36"/>
  <c r="O346" i="36"/>
  <c r="O345" i="36"/>
  <c r="O344" i="36"/>
  <c r="O343" i="36"/>
  <c r="O342" i="36"/>
  <c r="O341" i="36"/>
  <c r="O340" i="36"/>
  <c r="O339" i="36"/>
  <c r="O338" i="36"/>
  <c r="O337" i="36"/>
  <c r="O336" i="36"/>
  <c r="O335" i="36"/>
  <c r="O334" i="36"/>
  <c r="O333" i="36"/>
  <c r="O332" i="36"/>
  <c r="O331" i="36"/>
  <c r="O330" i="36"/>
  <c r="O329" i="36"/>
  <c r="O328" i="36"/>
  <c r="O327" i="36"/>
  <c r="O326" i="36"/>
  <c r="O325" i="36"/>
  <c r="O324" i="36"/>
  <c r="O323" i="36"/>
  <c r="O322" i="36"/>
  <c r="O321" i="36"/>
  <c r="O320" i="36"/>
  <c r="O319" i="36"/>
  <c r="O318" i="36"/>
  <c r="O317" i="36"/>
  <c r="O316" i="36"/>
  <c r="O315" i="36"/>
  <c r="O314" i="36"/>
  <c r="O313" i="36"/>
  <c r="O312" i="36"/>
  <c r="O311" i="36"/>
  <c r="O310" i="36"/>
  <c r="O309" i="36"/>
  <c r="O308" i="36"/>
  <c r="O307" i="36"/>
  <c r="O306" i="36"/>
  <c r="O305" i="36"/>
  <c r="O304" i="36"/>
  <c r="O303" i="36"/>
  <c r="O302" i="36"/>
  <c r="O301" i="36"/>
  <c r="O300" i="36"/>
  <c r="O299" i="36"/>
  <c r="O298" i="36"/>
  <c r="O297" i="36"/>
  <c r="O296" i="36"/>
  <c r="O295" i="36"/>
  <c r="O294" i="36"/>
  <c r="O293" i="36"/>
  <c r="O292" i="36"/>
  <c r="O291" i="36"/>
  <c r="O290" i="36"/>
  <c r="O289" i="36"/>
  <c r="O288" i="36"/>
  <c r="O287" i="36"/>
  <c r="O286" i="36"/>
  <c r="O285" i="36"/>
  <c r="O284" i="36"/>
  <c r="O283" i="36"/>
  <c r="O282" i="36"/>
  <c r="O281" i="36"/>
  <c r="O280" i="36"/>
  <c r="O279" i="36"/>
  <c r="O278" i="36"/>
  <c r="O277" i="36"/>
  <c r="O276" i="36"/>
  <c r="O275" i="36"/>
  <c r="O274" i="36"/>
  <c r="O273" i="36"/>
  <c r="O272" i="36"/>
  <c r="O271" i="36"/>
  <c r="O270" i="36"/>
  <c r="O269" i="36"/>
  <c r="O268" i="36"/>
  <c r="O267" i="36"/>
  <c r="O266" i="36"/>
  <c r="O265" i="36"/>
  <c r="O264" i="36"/>
  <c r="O263" i="36"/>
  <c r="O262" i="36"/>
  <c r="O261" i="36"/>
  <c r="O260" i="36"/>
  <c r="O259" i="36"/>
  <c r="O258" i="36"/>
  <c r="O257" i="36"/>
  <c r="O256" i="36"/>
  <c r="O255" i="36"/>
  <c r="O254" i="36"/>
  <c r="O253" i="36"/>
  <c r="O252" i="36"/>
  <c r="O251" i="36"/>
  <c r="O250" i="36"/>
  <c r="O249" i="36"/>
  <c r="O248" i="36"/>
  <c r="O247" i="36"/>
  <c r="O246" i="36"/>
  <c r="O245" i="36"/>
  <c r="O244" i="36"/>
  <c r="O243" i="36"/>
  <c r="O242" i="36"/>
  <c r="O241" i="36"/>
  <c r="O240" i="36"/>
  <c r="O239" i="36"/>
  <c r="O238" i="36"/>
  <c r="O237" i="36"/>
  <c r="O236" i="36"/>
  <c r="O235" i="36"/>
  <c r="O234" i="36"/>
  <c r="O233" i="36"/>
  <c r="O232" i="36"/>
  <c r="O231" i="36"/>
  <c r="O230" i="36"/>
  <c r="O229" i="36"/>
  <c r="O228" i="36"/>
  <c r="O227" i="36"/>
  <c r="O226" i="36"/>
  <c r="O225" i="36"/>
  <c r="O224" i="36"/>
  <c r="O223" i="36"/>
  <c r="O222" i="36"/>
  <c r="O221" i="36"/>
  <c r="O220" i="36"/>
  <c r="O219" i="36"/>
  <c r="O218" i="36"/>
  <c r="O217" i="36"/>
  <c r="O216" i="36"/>
  <c r="O215" i="36"/>
  <c r="O214" i="36"/>
  <c r="O213" i="36"/>
  <c r="O212" i="36"/>
  <c r="O211" i="36"/>
  <c r="O210" i="36"/>
  <c r="O209" i="36"/>
  <c r="O208" i="36"/>
  <c r="O207" i="36"/>
  <c r="O206" i="36"/>
  <c r="O205" i="36"/>
  <c r="O204" i="36"/>
  <c r="O203" i="36"/>
  <c r="O202" i="36"/>
  <c r="O201" i="36"/>
  <c r="O200" i="36"/>
  <c r="O199" i="36"/>
  <c r="O198" i="36"/>
  <c r="O197" i="36"/>
  <c r="O196" i="36"/>
  <c r="O195" i="36"/>
  <c r="O194" i="36"/>
  <c r="O193" i="36"/>
  <c r="O192" i="36"/>
  <c r="O191" i="36"/>
  <c r="O190" i="36"/>
  <c r="O189" i="36"/>
  <c r="O188" i="36"/>
  <c r="O187" i="36"/>
  <c r="O186" i="36"/>
  <c r="O185" i="36"/>
  <c r="O184" i="36"/>
  <c r="O183" i="36"/>
  <c r="O182" i="36"/>
  <c r="O181" i="36"/>
  <c r="O180" i="36"/>
  <c r="O179" i="36"/>
  <c r="O178" i="36"/>
  <c r="O177" i="36"/>
  <c r="O176" i="36"/>
  <c r="O175" i="36"/>
  <c r="O174" i="36"/>
  <c r="O173" i="36"/>
  <c r="O172" i="36"/>
  <c r="O171" i="36"/>
  <c r="O170" i="36"/>
  <c r="O169" i="36"/>
  <c r="O168" i="36"/>
  <c r="O167" i="36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61" i="36"/>
  <c r="O60" i="36"/>
  <c r="O59" i="36"/>
  <c r="O58" i="36"/>
  <c r="O57" i="36"/>
  <c r="O56" i="36"/>
  <c r="O55" i="36"/>
  <c r="O54" i="36"/>
  <c r="O53" i="36"/>
  <c r="O52" i="36"/>
  <c r="O51" i="36"/>
  <c r="O50" i="36"/>
  <c r="O49" i="36"/>
  <c r="O48" i="36"/>
  <c r="O47" i="36"/>
  <c r="O46" i="36"/>
  <c r="O45" i="36"/>
  <c r="O44" i="36"/>
  <c r="O43" i="36"/>
  <c r="O42" i="36"/>
  <c r="O41" i="36"/>
  <c r="O40" i="36"/>
  <c r="O39" i="36"/>
  <c r="O38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O2" i="36"/>
  <c r="O397" i="36"/>
  <c r="BB92" i="36" l="1"/>
  <c r="BB91" i="36"/>
  <c r="BB90" i="36"/>
  <c r="BB89" i="36"/>
  <c r="BB88" i="36"/>
  <c r="BB87" i="36"/>
  <c r="BB86" i="36"/>
  <c r="BB85" i="36"/>
  <c r="BB84" i="36"/>
  <c r="BB83" i="36"/>
  <c r="BB82" i="36"/>
  <c r="BB81" i="36"/>
  <c r="BB80" i="36"/>
  <c r="BB79" i="36"/>
  <c r="BB78" i="36"/>
  <c r="BB77" i="36"/>
  <c r="BB76" i="36"/>
  <c r="BB75" i="36"/>
  <c r="BB74" i="36"/>
  <c r="BB73" i="36"/>
  <c r="BB72" i="36"/>
  <c r="BB71" i="36"/>
  <c r="BB70" i="36"/>
  <c r="BB69" i="36"/>
  <c r="BB68" i="36"/>
  <c r="BB67" i="36"/>
  <c r="BB66" i="36"/>
  <c r="BB65" i="36"/>
  <c r="BB64" i="36"/>
  <c r="BB63" i="36"/>
  <c r="BB62" i="36"/>
  <c r="BB61" i="36"/>
  <c r="BB60" i="36"/>
  <c r="BB59" i="36"/>
  <c r="BB58" i="36"/>
  <c r="BB57" i="36"/>
  <c r="BB56" i="36"/>
  <c r="BB55" i="36"/>
  <c r="BB54" i="36"/>
  <c r="BB53" i="36"/>
  <c r="BB52" i="36"/>
  <c r="BB51" i="36"/>
  <c r="BB50" i="36"/>
  <c r="BB49" i="36"/>
  <c r="BB48" i="36"/>
  <c r="BB47" i="36"/>
  <c r="BB46" i="36"/>
  <c r="BB45" i="36"/>
  <c r="BB44" i="36"/>
  <c r="BB43" i="36"/>
  <c r="BB42" i="36"/>
  <c r="BB41" i="36"/>
  <c r="BB40" i="36"/>
  <c r="BB39" i="36"/>
  <c r="BB38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BB2" i="36"/>
  <c r="N68" i="40" l="1"/>
  <c r="O68" i="40" s="1"/>
  <c r="P68" i="40" s="1"/>
  <c r="N67" i="40"/>
  <c r="O67" i="40" s="1"/>
  <c r="P67" i="40" s="1"/>
  <c r="N66" i="40"/>
  <c r="O66" i="40" s="1"/>
  <c r="P66" i="40" s="1"/>
  <c r="N65" i="40"/>
  <c r="O65" i="40" s="1"/>
  <c r="P65" i="40" s="1"/>
  <c r="N64" i="40"/>
  <c r="O64" i="40" s="1"/>
  <c r="P64" i="40" s="1"/>
  <c r="N63" i="40"/>
  <c r="O63" i="40" s="1"/>
  <c r="P63" i="40" s="1"/>
  <c r="N62" i="40"/>
  <c r="O62" i="40" s="1"/>
  <c r="P62" i="40" s="1"/>
  <c r="N61" i="40"/>
  <c r="O61" i="40" s="1"/>
  <c r="N60" i="40"/>
  <c r="O60" i="40" s="1"/>
  <c r="N59" i="40"/>
  <c r="O59" i="40" s="1"/>
  <c r="AT92" i="36" l="1"/>
  <c r="AT79" i="36"/>
  <c r="AT80" i="36"/>
  <c r="AT81" i="36"/>
  <c r="AT82" i="36"/>
  <c r="AT83" i="36"/>
  <c r="AT84" i="36"/>
  <c r="AT85" i="36"/>
  <c r="AT86" i="36"/>
  <c r="AT87" i="36"/>
  <c r="AT88" i="36"/>
  <c r="AT89" i="36"/>
  <c r="AT90" i="36"/>
  <c r="AT91" i="36"/>
  <c r="O415" i="36"/>
  <c r="O416" i="36"/>
  <c r="O417" i="36"/>
  <c r="O399" i="36"/>
  <c r="O400" i="36"/>
  <c r="O401" i="36"/>
  <c r="O402" i="36"/>
  <c r="O403" i="36"/>
  <c r="O404" i="36"/>
  <c r="O405" i="36"/>
  <c r="O406" i="36"/>
  <c r="O407" i="36"/>
  <c r="O408" i="36"/>
  <c r="O409" i="36"/>
  <c r="O410" i="36"/>
  <c r="O411" i="36"/>
  <c r="O412" i="36"/>
  <c r="O413" i="36"/>
  <c r="O414" i="36"/>
  <c r="O398" i="36"/>
  <c r="P407" i="36"/>
  <c r="P408" i="36"/>
  <c r="P409" i="36"/>
  <c r="P410" i="36"/>
  <c r="P411" i="36"/>
  <c r="P412" i="36"/>
  <c r="P413" i="36"/>
  <c r="P414" i="36"/>
  <c r="P415" i="36"/>
  <c r="P416" i="36"/>
  <c r="P417" i="36"/>
  <c r="Q417" i="36" l="1"/>
  <c r="Q415" i="36"/>
  <c r="Q416" i="36"/>
  <c r="Q412" i="36"/>
  <c r="Q411" i="36"/>
  <c r="Q409" i="36"/>
  <c r="Q410" i="36"/>
  <c r="Q407" i="36"/>
  <c r="Q408" i="36"/>
  <c r="Q413" i="36"/>
  <c r="Q414" i="36"/>
  <c r="AF32" i="40" l="1"/>
  <c r="AF33" i="40"/>
  <c r="AF34" i="40"/>
  <c r="AF35" i="40"/>
  <c r="AF36" i="40"/>
  <c r="AF37" i="40"/>
  <c r="AF38" i="40"/>
  <c r="AF39" i="40"/>
  <c r="AF40" i="40"/>
  <c r="AF41" i="40"/>
  <c r="AF42" i="40"/>
  <c r="AF43" i="40"/>
  <c r="AF44" i="40"/>
  <c r="AF45" i="40"/>
  <c r="AF46" i="40"/>
  <c r="AF47" i="40"/>
  <c r="AF48" i="40"/>
  <c r="AF49" i="40"/>
  <c r="AF50" i="40"/>
  <c r="AI79" i="12"/>
  <c r="AI80" i="12"/>
  <c r="AI81" i="12"/>
  <c r="AH80" i="12"/>
  <c r="AH81" i="12"/>
  <c r="AH3" i="12"/>
  <c r="AI3" i="12" s="1"/>
  <c r="AH4" i="12"/>
  <c r="AI4" i="12" s="1"/>
  <c r="AH5" i="12"/>
  <c r="AI5" i="12" s="1"/>
  <c r="AH6" i="12"/>
  <c r="AI6" i="12" s="1"/>
  <c r="AH7" i="12"/>
  <c r="AI7" i="12" s="1"/>
  <c r="AH8" i="12"/>
  <c r="AI8" i="12" s="1"/>
  <c r="AH9" i="12"/>
  <c r="AI9" i="12" s="1"/>
  <c r="AH10" i="12"/>
  <c r="AI10" i="12" s="1"/>
  <c r="AH11" i="12"/>
  <c r="AI11" i="12" s="1"/>
  <c r="AH12" i="12"/>
  <c r="AI12" i="12" s="1"/>
  <c r="AH13" i="12"/>
  <c r="AI13" i="12" s="1"/>
  <c r="AH14" i="12"/>
  <c r="AI14" i="12" s="1"/>
  <c r="AH15" i="12"/>
  <c r="AI15" i="12" s="1"/>
  <c r="AH16" i="12"/>
  <c r="AI16" i="12" s="1"/>
  <c r="AH17" i="12"/>
  <c r="AI17" i="12" s="1"/>
  <c r="AH18" i="12"/>
  <c r="AI18" i="12" s="1"/>
  <c r="AH19" i="12"/>
  <c r="AI19" i="12" s="1"/>
  <c r="AH20" i="12"/>
  <c r="AI20" i="12" s="1"/>
  <c r="AH21" i="12"/>
  <c r="AI21" i="12" s="1"/>
  <c r="AH22" i="12"/>
  <c r="AI22" i="12" s="1"/>
  <c r="AH23" i="12"/>
  <c r="AI23" i="12" s="1"/>
  <c r="AH24" i="12"/>
  <c r="AI24" i="12" s="1"/>
  <c r="AH25" i="12"/>
  <c r="AI25" i="12" s="1"/>
  <c r="AH26" i="12"/>
  <c r="AI26" i="12" s="1"/>
  <c r="AH27" i="12"/>
  <c r="AI27" i="12" s="1"/>
  <c r="AH28" i="12"/>
  <c r="AI28" i="12" s="1"/>
  <c r="AH29" i="12"/>
  <c r="AI29" i="12" s="1"/>
  <c r="AH30" i="12"/>
  <c r="AI30" i="12" s="1"/>
  <c r="AH31" i="12"/>
  <c r="AI31" i="12" s="1"/>
  <c r="AH32" i="12"/>
  <c r="AI32" i="12" s="1"/>
  <c r="AH33" i="12"/>
  <c r="AI33" i="12" s="1"/>
  <c r="AH34" i="12"/>
  <c r="AI34" i="12" s="1"/>
  <c r="AH35" i="12"/>
  <c r="AI35" i="12" s="1"/>
  <c r="AH36" i="12"/>
  <c r="AI36" i="12" s="1"/>
  <c r="AH37" i="12"/>
  <c r="AI37" i="12" s="1"/>
  <c r="AH38" i="12"/>
  <c r="AI38" i="12" s="1"/>
  <c r="AH39" i="12"/>
  <c r="AI39" i="12" s="1"/>
  <c r="AH40" i="12"/>
  <c r="AI40" i="12" s="1"/>
  <c r="AH41" i="12"/>
  <c r="AI41" i="12" s="1"/>
  <c r="AH42" i="12"/>
  <c r="AI42" i="12" s="1"/>
  <c r="AH43" i="12"/>
  <c r="AI43" i="12" s="1"/>
  <c r="AH44" i="12"/>
  <c r="AI44" i="12" s="1"/>
  <c r="AH45" i="12"/>
  <c r="AI45" i="12" s="1"/>
  <c r="AH46" i="12"/>
  <c r="AI46" i="12" s="1"/>
  <c r="AH47" i="12"/>
  <c r="AI47" i="12" s="1"/>
  <c r="AH48" i="12"/>
  <c r="AI48" i="12" s="1"/>
  <c r="AH49" i="12"/>
  <c r="AI49" i="12" s="1"/>
  <c r="AH50" i="12"/>
  <c r="AI50" i="12" s="1"/>
  <c r="AH51" i="12"/>
  <c r="AI51" i="12" s="1"/>
  <c r="AH52" i="12"/>
  <c r="AI52" i="12" s="1"/>
  <c r="AH53" i="12"/>
  <c r="AI53" i="12" s="1"/>
  <c r="AH54" i="12"/>
  <c r="AI54" i="12" s="1"/>
  <c r="AH55" i="12"/>
  <c r="AI55" i="12" s="1"/>
  <c r="AH56" i="12"/>
  <c r="AI56" i="12" s="1"/>
  <c r="AH57" i="12"/>
  <c r="AI57" i="12" s="1"/>
  <c r="AH58" i="12"/>
  <c r="AI58" i="12" s="1"/>
  <c r="AH59" i="12"/>
  <c r="AI59" i="12" s="1"/>
  <c r="AH60" i="12"/>
  <c r="AI60" i="12" s="1"/>
  <c r="AH61" i="12"/>
  <c r="AI61" i="12" s="1"/>
  <c r="AH62" i="12"/>
  <c r="AI62" i="12" s="1"/>
  <c r="AH63" i="12"/>
  <c r="AI63" i="12" s="1"/>
  <c r="AH64" i="12"/>
  <c r="AI64" i="12" s="1"/>
  <c r="AH65" i="12"/>
  <c r="AI65" i="12" s="1"/>
  <c r="AH66" i="12"/>
  <c r="AI66" i="12" s="1"/>
  <c r="AH67" i="12"/>
  <c r="AI67" i="12" s="1"/>
  <c r="AH68" i="12"/>
  <c r="AI68" i="12" s="1"/>
  <c r="AH69" i="12"/>
  <c r="AI69" i="12" s="1"/>
  <c r="AH70" i="12"/>
  <c r="AI70" i="12" s="1"/>
  <c r="AH71" i="12"/>
  <c r="AI71" i="12" s="1"/>
  <c r="AH72" i="12"/>
  <c r="AI72" i="12" s="1"/>
  <c r="AH73" i="12"/>
  <c r="AI73" i="12" s="1"/>
  <c r="AH74" i="12"/>
  <c r="AI74" i="12" s="1"/>
  <c r="AH75" i="12"/>
  <c r="AI75" i="12" s="1"/>
  <c r="AH76" i="12"/>
  <c r="AI76" i="12" s="1"/>
  <c r="AH77" i="12"/>
  <c r="AI77" i="12" s="1"/>
  <c r="AH78" i="12"/>
  <c r="AI78" i="12" s="1"/>
  <c r="AH79" i="12"/>
  <c r="AH2" i="12"/>
  <c r="AI2" i="12" s="1"/>
  <c r="AN2" i="40"/>
  <c r="AN3" i="40"/>
  <c r="AN4" i="40"/>
  <c r="AN5" i="40"/>
  <c r="AN6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N29" i="40"/>
  <c r="AN30" i="40"/>
  <c r="AN31" i="40"/>
  <c r="AN32" i="40"/>
  <c r="AN33" i="40"/>
  <c r="AN34" i="40"/>
  <c r="AN35" i="40"/>
  <c r="AN36" i="40"/>
  <c r="AN37" i="40"/>
  <c r="AN38" i="40"/>
  <c r="AN39" i="40"/>
  <c r="AN40" i="40"/>
  <c r="AN41" i="40"/>
  <c r="AN42" i="40"/>
  <c r="AN43" i="40"/>
  <c r="AN44" i="40"/>
  <c r="AN45" i="40"/>
  <c r="AN46" i="40"/>
  <c r="AN47" i="40"/>
  <c r="AN48" i="40"/>
  <c r="AN49" i="40"/>
  <c r="AN50" i="40"/>
  <c r="AN51" i="40"/>
  <c r="AN52" i="40"/>
  <c r="AN53" i="40"/>
  <c r="AN54" i="40"/>
  <c r="AN55" i="40"/>
  <c r="AN56" i="40"/>
  <c r="AN57" i="40"/>
  <c r="AN58" i="40"/>
  <c r="AN59" i="40"/>
  <c r="AN60" i="40"/>
  <c r="AN61" i="40"/>
  <c r="AN62" i="40"/>
  <c r="AW92" i="36"/>
  <c r="AZ92" i="36" s="1"/>
  <c r="AU92" i="36"/>
  <c r="AW91" i="36"/>
  <c r="AZ91" i="36" s="1"/>
  <c r="AU91" i="36"/>
  <c r="AV91" i="36" s="1"/>
  <c r="AX91" i="36"/>
  <c r="P368" i="36"/>
  <c r="V368" i="36"/>
  <c r="P369" i="36"/>
  <c r="V369" i="36"/>
  <c r="P370" i="36"/>
  <c r="V370" i="36"/>
  <c r="P371" i="36"/>
  <c r="V371" i="36"/>
  <c r="P372" i="36"/>
  <c r="V372" i="36"/>
  <c r="P373" i="36"/>
  <c r="V373" i="36"/>
  <c r="P374" i="36"/>
  <c r="V374" i="36"/>
  <c r="P375" i="36"/>
  <c r="V375" i="36"/>
  <c r="P376" i="36"/>
  <c r="V376" i="36"/>
  <c r="P377" i="36"/>
  <c r="V377" i="36"/>
  <c r="P378" i="36"/>
  <c r="V378" i="36"/>
  <c r="P379" i="36"/>
  <c r="V379" i="36"/>
  <c r="P380" i="36"/>
  <c r="V380" i="36"/>
  <c r="P381" i="36"/>
  <c r="V381" i="36"/>
  <c r="P382" i="36"/>
  <c r="V382" i="36"/>
  <c r="P383" i="36"/>
  <c r="V383" i="36"/>
  <c r="P384" i="36"/>
  <c r="V384" i="36"/>
  <c r="P385" i="36"/>
  <c r="V385" i="36"/>
  <c r="P386" i="36"/>
  <c r="V386" i="36"/>
  <c r="P387" i="36"/>
  <c r="V387" i="36"/>
  <c r="P388" i="36"/>
  <c r="V388" i="36"/>
  <c r="P389" i="36"/>
  <c r="V389" i="36"/>
  <c r="P390" i="36"/>
  <c r="V390" i="36"/>
  <c r="P391" i="36"/>
  <c r="V391" i="36"/>
  <c r="P392" i="36"/>
  <c r="V392" i="36"/>
  <c r="P393" i="36"/>
  <c r="V393" i="36"/>
  <c r="P394" i="36"/>
  <c r="Q394" i="36" s="1"/>
  <c r="W394" i="36" s="1"/>
  <c r="V394" i="36"/>
  <c r="P395" i="36"/>
  <c r="V395" i="36"/>
  <c r="P396" i="36"/>
  <c r="V396" i="36"/>
  <c r="P397" i="36"/>
  <c r="V397" i="36"/>
  <c r="P398" i="36"/>
  <c r="V398" i="36"/>
  <c r="P399" i="36"/>
  <c r="V399" i="36"/>
  <c r="P400" i="36"/>
  <c r="V400" i="36"/>
  <c r="P401" i="36"/>
  <c r="V401" i="36"/>
  <c r="P402" i="36"/>
  <c r="V402" i="36"/>
  <c r="P403" i="36"/>
  <c r="Q403" i="36" s="1"/>
  <c r="W403" i="36" s="1"/>
  <c r="V403" i="36"/>
  <c r="P404" i="36"/>
  <c r="Q404" i="36" s="1"/>
  <c r="W404" i="36" s="1"/>
  <c r="V404" i="36"/>
  <c r="P405" i="36"/>
  <c r="Q405" i="36" s="1"/>
  <c r="W405" i="36" s="1"/>
  <c r="V405" i="36"/>
  <c r="P406" i="36"/>
  <c r="V406" i="36"/>
  <c r="V407" i="36"/>
  <c r="V408" i="36"/>
  <c r="W409" i="36"/>
  <c r="V409" i="36"/>
  <c r="W410" i="36"/>
  <c r="V410" i="36"/>
  <c r="V411" i="36"/>
  <c r="W412" i="36"/>
  <c r="V412" i="36"/>
  <c r="W413" i="36"/>
  <c r="V413" i="36"/>
  <c r="V414" i="36"/>
  <c r="V415" i="36"/>
  <c r="V416" i="36"/>
  <c r="W417" i="36"/>
  <c r="V417" i="36"/>
  <c r="AJ79" i="12" l="1"/>
  <c r="AJ78" i="12"/>
  <c r="P61" i="40"/>
  <c r="P60" i="40"/>
  <c r="P59" i="40"/>
  <c r="Q391" i="36"/>
  <c r="W391" i="36" s="1"/>
  <c r="Q384" i="36"/>
  <c r="W384" i="36" s="1"/>
  <c r="Q368" i="36"/>
  <c r="W368" i="36" s="1"/>
  <c r="Q372" i="36"/>
  <c r="W372" i="36" s="1"/>
  <c r="Q370" i="36"/>
  <c r="W370" i="36" s="1"/>
  <c r="Q395" i="36"/>
  <c r="W395" i="36" s="1"/>
  <c r="Q382" i="36"/>
  <c r="W382" i="36" s="1"/>
  <c r="Q389" i="36"/>
  <c r="W389" i="36" s="1"/>
  <c r="Q373" i="36"/>
  <c r="W373" i="36" s="1"/>
  <c r="Q393" i="36"/>
  <c r="W393" i="36" s="1"/>
  <c r="Q369" i="36"/>
  <c r="W369" i="36" s="1"/>
  <c r="Q388" i="36"/>
  <c r="W388" i="36" s="1"/>
  <c r="Q392" i="36"/>
  <c r="W392" i="36" s="1"/>
  <c r="Q371" i="36"/>
  <c r="W371" i="36" s="1"/>
  <c r="AX92" i="36"/>
  <c r="AV92" i="36"/>
  <c r="W415" i="36"/>
  <c r="W414" i="36"/>
  <c r="W411" i="36"/>
  <c r="W416" i="36"/>
  <c r="W407" i="36"/>
  <c r="Q399" i="36"/>
  <c r="W399" i="36" s="1"/>
  <c r="Q379" i="36"/>
  <c r="W379" i="36" s="1"/>
  <c r="Q401" i="36"/>
  <c r="W401" i="36" s="1"/>
  <c r="Q396" i="36"/>
  <c r="W396" i="36" s="1"/>
  <c r="Q386" i="36"/>
  <c r="W386" i="36" s="1"/>
  <c r="Q381" i="36"/>
  <c r="W381" i="36" s="1"/>
  <c r="Q378" i="36"/>
  <c r="W378" i="36" s="1"/>
  <c r="Q398" i="36"/>
  <c r="W398" i="36" s="1"/>
  <c r="Q383" i="36"/>
  <c r="W383" i="36" s="1"/>
  <c r="Q380" i="36"/>
  <c r="W380" i="36" s="1"/>
  <c r="Q375" i="36"/>
  <c r="W375" i="36" s="1"/>
  <c r="Q400" i="36"/>
  <c r="W400" i="36" s="1"/>
  <c r="Q397" i="36"/>
  <c r="W397" i="36" s="1"/>
  <c r="Q390" i="36"/>
  <c r="W390" i="36" s="1"/>
  <c r="Q385" i="36"/>
  <c r="W385" i="36" s="1"/>
  <c r="Q377" i="36"/>
  <c r="W377" i="36" s="1"/>
  <c r="AO62" i="40"/>
  <c r="AJ7" i="12"/>
  <c r="AP44" i="40"/>
  <c r="AO17" i="40"/>
  <c r="AP7" i="40"/>
  <c r="AP61" i="40"/>
  <c r="AP36" i="40"/>
  <c r="AJ9" i="12"/>
  <c r="AJ77" i="12"/>
  <c r="AP5" i="40"/>
  <c r="W408" i="36"/>
  <c r="Q387" i="36"/>
  <c r="W387" i="36" s="1"/>
  <c r="Q376" i="36"/>
  <c r="W376" i="36" s="1"/>
  <c r="Q406" i="36"/>
  <c r="W406" i="36" s="1"/>
  <c r="Q374" i="36"/>
  <c r="W374" i="36" s="1"/>
  <c r="Q402" i="36"/>
  <c r="W402" i="36" s="1"/>
  <c r="AJ27" i="12" l="1"/>
  <c r="AP27" i="40"/>
  <c r="AO11" i="40"/>
  <c r="AP57" i="40"/>
  <c r="AO31" i="40"/>
  <c r="AJ41" i="12"/>
  <c r="AP20" i="40"/>
  <c r="AO13" i="40"/>
  <c r="AO16" i="40"/>
  <c r="AO25" i="40"/>
  <c r="AJ72" i="12"/>
  <c r="AP10" i="40"/>
  <c r="AJ35" i="12"/>
  <c r="AO26" i="40"/>
  <c r="AP23" i="40"/>
  <c r="AJ33" i="12"/>
  <c r="AO7" i="40"/>
  <c r="AJ57" i="12"/>
  <c r="AO8" i="40"/>
  <c r="AP53" i="40"/>
  <c r="AP58" i="40"/>
  <c r="AP59" i="40"/>
  <c r="AJ5" i="12"/>
  <c r="AP60" i="40"/>
  <c r="AJ14" i="12"/>
  <c r="AJ45" i="12"/>
  <c r="AP15" i="40"/>
  <c r="AP19" i="40"/>
  <c r="AJ25" i="12"/>
  <c r="AP43" i="40"/>
  <c r="AP24" i="40"/>
  <c r="AJ39" i="12"/>
  <c r="AJ49" i="12"/>
  <c r="AP39" i="40"/>
  <c r="AJ51" i="12"/>
  <c r="AP30" i="40"/>
  <c r="AO43" i="40"/>
  <c r="AJ59" i="12"/>
  <c r="AO51" i="40"/>
  <c r="AO18" i="40"/>
  <c r="AJ63" i="12"/>
  <c r="AJ73" i="12"/>
  <c r="AO50" i="40"/>
  <c r="AJ67" i="12"/>
  <c r="AP54" i="40"/>
  <c r="AP21" i="40"/>
  <c r="AO22" i="40"/>
  <c r="AP9" i="40"/>
  <c r="AJ3" i="12"/>
  <c r="AJ65" i="12"/>
  <c r="AJ43" i="12"/>
  <c r="AP40" i="40"/>
  <c r="AJ13" i="12"/>
  <c r="AJ75" i="12"/>
  <c r="AJ21" i="12"/>
  <c r="AP41" i="40"/>
  <c r="AO58" i="40"/>
  <c r="AJ32" i="12"/>
  <c r="AJ56" i="12"/>
  <c r="AP17" i="40"/>
  <c r="AP32" i="40"/>
  <c r="AO6" i="40"/>
  <c r="AJ17" i="12"/>
  <c r="AO2" i="40"/>
  <c r="AJ28" i="12"/>
  <c r="AJ76" i="12"/>
  <c r="AJ52" i="12"/>
  <c r="AJ68" i="12"/>
  <c r="AP3" i="40"/>
  <c r="AJ6" i="12"/>
  <c r="AJ22" i="12"/>
  <c r="AJ40" i="12"/>
  <c r="AJ48" i="12"/>
  <c r="AJ64" i="12"/>
  <c r="AP29" i="40"/>
  <c r="AP31" i="40"/>
  <c r="AJ42" i="12"/>
  <c r="AP22" i="40"/>
  <c r="AP28" i="40"/>
  <c r="AP42" i="40"/>
  <c r="AJ11" i="12"/>
  <c r="AJ53" i="12"/>
  <c r="AP48" i="40"/>
  <c r="AJ20" i="12"/>
  <c r="AP33" i="40"/>
  <c r="AO23" i="40"/>
  <c r="AP35" i="40"/>
  <c r="AO20" i="40"/>
  <c r="AO14" i="40"/>
  <c r="AO52" i="40"/>
  <c r="AJ55" i="12"/>
  <c r="AP25" i="40"/>
  <c r="AO41" i="40"/>
  <c r="AO40" i="40"/>
  <c r="AO9" i="40"/>
  <c r="AP56" i="40"/>
  <c r="AJ19" i="12"/>
  <c r="AO3" i="40"/>
  <c r="AO34" i="40"/>
  <c r="AP51" i="40"/>
  <c r="AP13" i="40"/>
  <c r="AJ61" i="12"/>
  <c r="AP55" i="40"/>
  <c r="AJ34" i="12"/>
  <c r="AP34" i="40"/>
  <c r="AJ58" i="12"/>
  <c r="AO29" i="40"/>
  <c r="AJ4" i="12"/>
  <c r="AJ36" i="12"/>
  <c r="AJ44" i="12"/>
  <c r="AJ60" i="12"/>
  <c r="AJ30" i="12"/>
  <c r="AJ38" i="12"/>
  <c r="AJ54" i="12"/>
  <c r="AJ24" i="12"/>
  <c r="AJ70" i="12"/>
  <c r="AP62" i="40"/>
  <c r="AJ2" i="12"/>
  <c r="AP38" i="40"/>
  <c r="AJ74" i="12"/>
  <c r="AJ62" i="12"/>
  <c r="AJ66" i="12"/>
  <c r="AP2" i="40"/>
  <c r="AO59" i="40"/>
  <c r="AO46" i="40"/>
  <c r="AO37" i="40"/>
  <c r="AJ10" i="12"/>
  <c r="AJ46" i="12"/>
  <c r="AJ26" i="12"/>
  <c r="AP46" i="40"/>
  <c r="AP6" i="40"/>
  <c r="AP37" i="40"/>
  <c r="AJ69" i="12"/>
  <c r="AO28" i="40"/>
  <c r="AJ71" i="12"/>
  <c r="AO32" i="40"/>
  <c r="AO24" i="40"/>
  <c r="AO47" i="40"/>
  <c r="AO48" i="40"/>
  <c r="AP4" i="40"/>
  <c r="AO42" i="40"/>
  <c r="AO55" i="40"/>
  <c r="AO5" i="40"/>
  <c r="AO53" i="40"/>
  <c r="AO35" i="40"/>
  <c r="AJ16" i="12"/>
  <c r="AP16" i="40"/>
  <c r="AJ15" i="12"/>
  <c r="AO12" i="40"/>
  <c r="AP45" i="40"/>
  <c r="AO10" i="40"/>
  <c r="AO21" i="40"/>
  <c r="AO61" i="40"/>
  <c r="AJ12" i="12"/>
  <c r="AP12" i="40"/>
  <c r="AO36" i="40"/>
  <c r="AO4" i="40"/>
  <c r="AO30" i="40"/>
  <c r="AO39" i="40"/>
  <c r="AO44" i="40"/>
  <c r="AP26" i="40"/>
  <c r="AJ29" i="12"/>
  <c r="AP11" i="40"/>
  <c r="AO38" i="40"/>
  <c r="AJ23" i="12"/>
  <c r="AO15" i="40"/>
  <c r="AP49" i="40"/>
  <c r="AJ18" i="12"/>
  <c r="AP18" i="40"/>
  <c r="AO49" i="40"/>
  <c r="AO57" i="40"/>
  <c r="AO27" i="40"/>
  <c r="AP47" i="40"/>
  <c r="AJ47" i="12"/>
  <c r="AP8" i="40"/>
  <c r="AJ8" i="12"/>
  <c r="AJ50" i="12"/>
  <c r="AP50" i="40"/>
  <c r="AO33" i="40"/>
  <c r="AJ37" i="12"/>
  <c r="AP14" i="40"/>
  <c r="AJ31" i="12"/>
  <c r="AO19" i="40"/>
  <c r="AP52" i="40"/>
  <c r="AO54" i="40"/>
  <c r="AO56" i="40"/>
  <c r="AO60" i="40"/>
  <c r="AO45" i="40"/>
  <c r="Y2" i="40" l="1"/>
  <c r="Y3" i="40"/>
  <c r="Y4" i="40"/>
  <c r="Y5" i="40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AC2" i="40"/>
  <c r="N2" i="40"/>
  <c r="N3" i="40"/>
  <c r="N4" i="40"/>
  <c r="N5" i="40"/>
  <c r="N6" i="40"/>
  <c r="N7" i="40"/>
  <c r="N8" i="40"/>
  <c r="N9" i="40"/>
  <c r="AW9" i="40" s="1"/>
  <c r="AV9" i="40" s="1"/>
  <c r="N10" i="40"/>
  <c r="AW10" i="40" s="1"/>
  <c r="AV10" i="40" s="1"/>
  <c r="N11" i="40"/>
  <c r="N12" i="40"/>
  <c r="AW12" i="40" s="1"/>
  <c r="AV12" i="40" s="1"/>
  <c r="N13" i="40"/>
  <c r="N14" i="40"/>
  <c r="N15" i="40"/>
  <c r="AW15" i="40" s="1"/>
  <c r="AV15" i="40" s="1"/>
  <c r="N16" i="40"/>
  <c r="N17" i="40"/>
  <c r="N18" i="40"/>
  <c r="AZ18" i="40" s="1"/>
  <c r="N19" i="40"/>
  <c r="AW19" i="40" s="1"/>
  <c r="AV19" i="40" s="1"/>
  <c r="N20" i="40"/>
  <c r="AZ20" i="40" s="1"/>
  <c r="N21" i="40"/>
  <c r="AW21" i="40" s="1"/>
  <c r="AV21" i="40" s="1"/>
  <c r="N22" i="40"/>
  <c r="AZ22" i="40" s="1"/>
  <c r="N23" i="40"/>
  <c r="AW23" i="40" s="1"/>
  <c r="AV23" i="40" s="1"/>
  <c r="N24" i="40"/>
  <c r="AW24" i="40" s="1"/>
  <c r="AV24" i="40" s="1"/>
  <c r="N25" i="40"/>
  <c r="N26" i="40"/>
  <c r="N27" i="40"/>
  <c r="N28" i="40"/>
  <c r="N29" i="40"/>
  <c r="N30" i="40"/>
  <c r="N31" i="40"/>
  <c r="N32" i="40"/>
  <c r="N33" i="40"/>
  <c r="N34" i="40"/>
  <c r="N35" i="40"/>
  <c r="N36" i="40"/>
  <c r="AW36" i="40" s="1"/>
  <c r="AV36" i="40" s="1"/>
  <c r="N37" i="40"/>
  <c r="N38" i="40"/>
  <c r="N39" i="40"/>
  <c r="N40" i="40"/>
  <c r="N41" i="40"/>
  <c r="AZ41" i="40" s="1"/>
  <c r="N42" i="40"/>
  <c r="N43" i="40"/>
  <c r="N44" i="40"/>
  <c r="N45" i="40"/>
  <c r="AZ45" i="40" s="1"/>
  <c r="N46" i="40"/>
  <c r="AZ46" i="40" s="1"/>
  <c r="N47" i="40"/>
  <c r="AW47" i="40" s="1"/>
  <c r="AV47" i="40" s="1"/>
  <c r="N48" i="40"/>
  <c r="AW48" i="40" s="1"/>
  <c r="AV48" i="40" s="1"/>
  <c r="N49" i="40"/>
  <c r="AW49" i="40" s="1"/>
  <c r="AV49" i="40" s="1"/>
  <c r="N50" i="40"/>
  <c r="AZ50" i="40" s="1"/>
  <c r="N51" i="40"/>
  <c r="AZ51" i="40" s="1"/>
  <c r="N52" i="40"/>
  <c r="N53" i="40"/>
  <c r="N54" i="40"/>
  <c r="AW54" i="40" s="1"/>
  <c r="AV54" i="40" s="1"/>
  <c r="N55" i="40"/>
  <c r="AZ55" i="40" s="1"/>
  <c r="N56" i="40"/>
  <c r="AW56" i="40" s="1"/>
  <c r="AV56" i="40" s="1"/>
  <c r="N57" i="40"/>
  <c r="AZ57" i="40" s="1"/>
  <c r="N58" i="40"/>
  <c r="AW58" i="40" s="1"/>
  <c r="AV58" i="40" s="1"/>
  <c r="AZ59" i="40"/>
  <c r="AZ60" i="40"/>
  <c r="AW61" i="40"/>
  <c r="AV61" i="40" s="1"/>
  <c r="AP63" i="40"/>
  <c r="AP64" i="40"/>
  <c r="AP65" i="40"/>
  <c r="AP66" i="40"/>
  <c r="AP67" i="40"/>
  <c r="AP68" i="40"/>
  <c r="AN63" i="40"/>
  <c r="AO63" i="40" s="1"/>
  <c r="AN64" i="40"/>
  <c r="AO64" i="40" s="1"/>
  <c r="AN65" i="40"/>
  <c r="AO65" i="40" s="1"/>
  <c r="AN66" i="40"/>
  <c r="AO66" i="40" s="1"/>
  <c r="AN67" i="40"/>
  <c r="AO67" i="40" s="1"/>
  <c r="AN68" i="40"/>
  <c r="AO68" i="40" s="1"/>
  <c r="N77" i="40"/>
  <c r="N76" i="40"/>
  <c r="N75" i="40"/>
  <c r="N74" i="40"/>
  <c r="AC44" i="40"/>
  <c r="AC12" i="40"/>
  <c r="AC3" i="40"/>
  <c r="AC5" i="40"/>
  <c r="AC7" i="40"/>
  <c r="AC8" i="40"/>
  <c r="AC9" i="40"/>
  <c r="AC10" i="40"/>
  <c r="AC11" i="40"/>
  <c r="AC13" i="40"/>
  <c r="AC14" i="40"/>
  <c r="AC15" i="40"/>
  <c r="AC16" i="40"/>
  <c r="AC17" i="40"/>
  <c r="AC18" i="40"/>
  <c r="AC19" i="40"/>
  <c r="AC20" i="40"/>
  <c r="AC21" i="40"/>
  <c r="AC22" i="40"/>
  <c r="AC23" i="40"/>
  <c r="AC24" i="40"/>
  <c r="AC25" i="40"/>
  <c r="AC26" i="40"/>
  <c r="AC27" i="40"/>
  <c r="AC28" i="40"/>
  <c r="AC29" i="40"/>
  <c r="AC30" i="40"/>
  <c r="AC31" i="40"/>
  <c r="AC32" i="40"/>
  <c r="AC33" i="40"/>
  <c r="AC34" i="40"/>
  <c r="AC35" i="40"/>
  <c r="AC36" i="40"/>
  <c r="AC37" i="40"/>
  <c r="AC38" i="40"/>
  <c r="AC39" i="40"/>
  <c r="AC40" i="40"/>
  <c r="AC41" i="40"/>
  <c r="AC42" i="40"/>
  <c r="AC43" i="40"/>
  <c r="AC45" i="40"/>
  <c r="AC46" i="40"/>
  <c r="AC47" i="40"/>
  <c r="AC48" i="40"/>
  <c r="AC49" i="40"/>
  <c r="AC50" i="40"/>
  <c r="AC51" i="40"/>
  <c r="AC6" i="40"/>
  <c r="AD6" i="40" s="1"/>
  <c r="AJ51" i="40"/>
  <c r="AJ52" i="40"/>
  <c r="AJ53" i="40"/>
  <c r="AJ54" i="40"/>
  <c r="AH42" i="40"/>
  <c r="AJ33" i="40"/>
  <c r="AJ34" i="40"/>
  <c r="AJ35" i="40"/>
  <c r="AJ36" i="40"/>
  <c r="AJ37" i="40"/>
  <c r="AJ38" i="40"/>
  <c r="AJ39" i="40"/>
  <c r="AJ40" i="40"/>
  <c r="AJ41" i="40"/>
  <c r="AJ43" i="40"/>
  <c r="AJ44" i="40"/>
  <c r="AJ45" i="40"/>
  <c r="AJ46" i="40"/>
  <c r="AJ47" i="40"/>
  <c r="AJ48" i="40"/>
  <c r="AJ49" i="40"/>
  <c r="AJ50" i="40"/>
  <c r="AJ32" i="40"/>
  <c r="Y63" i="40"/>
  <c r="Y64" i="40"/>
  <c r="Y65" i="40"/>
  <c r="Y66" i="40"/>
  <c r="Y67" i="40"/>
  <c r="Y68" i="40"/>
  <c r="S74" i="40"/>
  <c r="Y74" i="40"/>
  <c r="S75" i="40"/>
  <c r="Y75" i="40"/>
  <c r="S76" i="40"/>
  <c r="Y76" i="40"/>
  <c r="S77" i="40"/>
  <c r="Y77" i="40"/>
  <c r="P364" i="36"/>
  <c r="V364" i="36"/>
  <c r="P365" i="36"/>
  <c r="V365" i="36"/>
  <c r="P366" i="36"/>
  <c r="V366" i="36"/>
  <c r="P367" i="36"/>
  <c r="V367" i="36"/>
  <c r="AW35" i="40" l="1"/>
  <c r="AV35" i="40" s="1"/>
  <c r="AW3" i="40"/>
  <c r="AV3" i="40" s="1"/>
  <c r="AZ42" i="40"/>
  <c r="AZ34" i="40"/>
  <c r="AZ2" i="40"/>
  <c r="AW53" i="40"/>
  <c r="AV53" i="40" s="1"/>
  <c r="AW29" i="40"/>
  <c r="AV29" i="40" s="1"/>
  <c r="AW33" i="40"/>
  <c r="AV33" i="40" s="1"/>
  <c r="AZ27" i="40"/>
  <c r="AW40" i="40"/>
  <c r="AV40" i="40" s="1"/>
  <c r="AW32" i="40"/>
  <c r="AV32" i="40" s="1"/>
  <c r="AW37" i="40"/>
  <c r="AV37" i="40" s="1"/>
  <c r="AZ52" i="40"/>
  <c r="AW4" i="40"/>
  <c r="AV4" i="40" s="1"/>
  <c r="AZ39" i="40"/>
  <c r="AZ28" i="40"/>
  <c r="AZ43" i="40"/>
  <c r="AZ38" i="40"/>
  <c r="AZ30" i="40"/>
  <c r="AW14" i="40"/>
  <c r="AV14" i="40" s="1"/>
  <c r="AZ6" i="40"/>
  <c r="Q364" i="36"/>
  <c r="W364" i="36" s="1"/>
  <c r="Q366" i="36"/>
  <c r="W366" i="36" s="1"/>
  <c r="AW46" i="40"/>
  <c r="AV46" i="40" s="1"/>
  <c r="AW42" i="40"/>
  <c r="AV42" i="40" s="1"/>
  <c r="AW57" i="40"/>
  <c r="AV57" i="40" s="1"/>
  <c r="AZ24" i="40"/>
  <c r="AZ15" i="40"/>
  <c r="AZ3" i="40"/>
  <c r="AW2" i="40"/>
  <c r="AV2" i="40" s="1"/>
  <c r="AW6" i="40"/>
  <c r="AV6" i="40" s="1"/>
  <c r="AW51" i="40"/>
  <c r="AV51" i="40" s="1"/>
  <c r="AZ11" i="40"/>
  <c r="AW11" i="40"/>
  <c r="AV11" i="40" s="1"/>
  <c r="AZ32" i="40"/>
  <c r="AZ35" i="40"/>
  <c r="AW41" i="40"/>
  <c r="AV41" i="40" s="1"/>
  <c r="AW52" i="40"/>
  <c r="AV52" i="40" s="1"/>
  <c r="AZ48" i="40"/>
  <c r="AZ37" i="40"/>
  <c r="AZ10" i="40"/>
  <c r="AZ12" i="40"/>
  <c r="AW28" i="40"/>
  <c r="AV28" i="40" s="1"/>
  <c r="AW18" i="40"/>
  <c r="AV18" i="40" s="1"/>
  <c r="AW26" i="40"/>
  <c r="AV26" i="40" s="1"/>
  <c r="AZ26" i="40"/>
  <c r="AZ14" i="40"/>
  <c r="AW30" i="40"/>
  <c r="AV30" i="40" s="1"/>
  <c r="AZ40" i="40"/>
  <c r="AW25" i="40"/>
  <c r="AV25" i="40" s="1"/>
  <c r="AZ25" i="40"/>
  <c r="AZ17" i="40"/>
  <c r="AW17" i="40"/>
  <c r="AV17" i="40" s="1"/>
  <c r="AZ53" i="40"/>
  <c r="AZ61" i="40"/>
  <c r="AW34" i="40"/>
  <c r="AV34" i="40" s="1"/>
  <c r="AZ23" i="40"/>
  <c r="AZ49" i="40"/>
  <c r="AZ4" i="40"/>
  <c r="AW20" i="40"/>
  <c r="AV20" i="40" s="1"/>
  <c r="AW27" i="40"/>
  <c r="AV27" i="40" s="1"/>
  <c r="AW39" i="40"/>
  <c r="AV39" i="40" s="1"/>
  <c r="AW16" i="40"/>
  <c r="AV16" i="40" s="1"/>
  <c r="AZ16" i="40"/>
  <c r="AW8" i="40"/>
  <c r="AV8" i="40" s="1"/>
  <c r="AZ8" i="40"/>
  <c r="AW55" i="40"/>
  <c r="AV55" i="40" s="1"/>
  <c r="AZ47" i="40"/>
  <c r="AW50" i="40"/>
  <c r="AV50" i="40" s="1"/>
  <c r="AW31" i="40"/>
  <c r="AV31" i="40" s="1"/>
  <c r="AZ31" i="40"/>
  <c r="AZ7" i="40"/>
  <c r="AW7" i="40"/>
  <c r="AV7" i="40" s="1"/>
  <c r="AZ21" i="40"/>
  <c r="AZ19" i="40"/>
  <c r="AZ29" i="40"/>
  <c r="AW59" i="40"/>
  <c r="AV59" i="40" s="1"/>
  <c r="AZ9" i="40"/>
  <c r="AZ36" i="40"/>
  <c r="AZ56" i="40"/>
  <c r="AZ33" i="40"/>
  <c r="AZ54" i="40"/>
  <c r="AW22" i="40"/>
  <c r="AV22" i="40" s="1"/>
  <c r="AW38" i="40"/>
  <c r="AV38" i="40" s="1"/>
  <c r="AW45" i="40"/>
  <c r="AV45" i="40" s="1"/>
  <c r="AW43" i="40"/>
  <c r="AV43" i="40" s="1"/>
  <c r="AW44" i="40"/>
  <c r="AV44" i="40" s="1"/>
  <c r="AZ44" i="40"/>
  <c r="AW60" i="40"/>
  <c r="AV60" i="40" s="1"/>
  <c r="AW13" i="40"/>
  <c r="AV13" i="40" s="1"/>
  <c r="AZ13" i="40"/>
  <c r="AZ5" i="40"/>
  <c r="AW5" i="40"/>
  <c r="AV5" i="40" s="1"/>
  <c r="AZ58" i="40"/>
  <c r="O55" i="40"/>
  <c r="P55" i="40" s="1"/>
  <c r="AR55" i="40"/>
  <c r="AT55" i="40"/>
  <c r="AS55" i="40"/>
  <c r="AQ55" i="40"/>
  <c r="O47" i="40"/>
  <c r="P47" i="40" s="1"/>
  <c r="AR47" i="40"/>
  <c r="AT47" i="40"/>
  <c r="AS47" i="40"/>
  <c r="AQ47" i="40"/>
  <c r="O39" i="40"/>
  <c r="P39" i="40" s="1"/>
  <c r="AR39" i="40"/>
  <c r="AT39" i="40"/>
  <c r="AQ39" i="40"/>
  <c r="AS39" i="40"/>
  <c r="O31" i="40"/>
  <c r="P31" i="40" s="1"/>
  <c r="AR31" i="40"/>
  <c r="AT31" i="40"/>
  <c r="AQ31" i="40"/>
  <c r="AS31" i="40"/>
  <c r="O23" i="40"/>
  <c r="P23" i="40" s="1"/>
  <c r="AR23" i="40"/>
  <c r="AT23" i="40"/>
  <c r="AQ23" i="40"/>
  <c r="AS23" i="40"/>
  <c r="O15" i="40"/>
  <c r="P15" i="40" s="1"/>
  <c r="AR15" i="40"/>
  <c r="AT15" i="40"/>
  <c r="AS15" i="40"/>
  <c r="AQ15" i="40"/>
  <c r="O7" i="40"/>
  <c r="P7" i="40" s="1"/>
  <c r="AR7" i="40"/>
  <c r="AQ7" i="40"/>
  <c r="AT7" i="40"/>
  <c r="AS7" i="40"/>
  <c r="O54" i="40"/>
  <c r="P54" i="40" s="1"/>
  <c r="AS54" i="40"/>
  <c r="AQ54" i="40"/>
  <c r="AR54" i="40"/>
  <c r="AT54" i="40"/>
  <c r="O46" i="40"/>
  <c r="P46" i="40" s="1"/>
  <c r="AQ46" i="40"/>
  <c r="AR46" i="40"/>
  <c r="AS46" i="40"/>
  <c r="AT46" i="40"/>
  <c r="O38" i="40"/>
  <c r="P38" i="40" s="1"/>
  <c r="AQ38" i="40"/>
  <c r="AS38" i="40"/>
  <c r="AT38" i="40"/>
  <c r="AR38" i="40"/>
  <c r="O30" i="40"/>
  <c r="P30" i="40" s="1"/>
  <c r="AQ30" i="40"/>
  <c r="AS30" i="40"/>
  <c r="AR30" i="40"/>
  <c r="AT30" i="40"/>
  <c r="O22" i="40"/>
  <c r="P22" i="40" s="1"/>
  <c r="AQ22" i="40"/>
  <c r="AS22" i="40"/>
  <c r="AT22" i="40"/>
  <c r="AR22" i="40"/>
  <c r="O14" i="40"/>
  <c r="P14" i="40" s="1"/>
  <c r="AQ14" i="40"/>
  <c r="AS14" i="40"/>
  <c r="AR14" i="40"/>
  <c r="AT14" i="40"/>
  <c r="O6" i="40"/>
  <c r="P6" i="40" s="1"/>
  <c r="AR6" i="40"/>
  <c r="AQ6" i="40"/>
  <c r="AT6" i="40"/>
  <c r="AS6" i="40"/>
  <c r="AT61" i="40"/>
  <c r="AQ61" i="40"/>
  <c r="AR61" i="40"/>
  <c r="AS61" i="40"/>
  <c r="O53" i="40"/>
  <c r="P53" i="40" s="1"/>
  <c r="AT53" i="40"/>
  <c r="AQ53" i="40"/>
  <c r="AR53" i="40"/>
  <c r="AS53" i="40"/>
  <c r="O45" i="40"/>
  <c r="P45" i="40" s="1"/>
  <c r="AT45" i="40"/>
  <c r="AQ45" i="40"/>
  <c r="AR45" i="40"/>
  <c r="AS45" i="40"/>
  <c r="O37" i="40"/>
  <c r="P37" i="40" s="1"/>
  <c r="AQ37" i="40"/>
  <c r="AS37" i="40"/>
  <c r="AR37" i="40"/>
  <c r="AT37" i="40"/>
  <c r="O29" i="40"/>
  <c r="P29" i="40" s="1"/>
  <c r="AQ29" i="40"/>
  <c r="AR29" i="40"/>
  <c r="AS29" i="40"/>
  <c r="AT29" i="40"/>
  <c r="O21" i="40"/>
  <c r="P21" i="40" s="1"/>
  <c r="AQ21" i="40"/>
  <c r="AR21" i="40"/>
  <c r="AS21" i="40"/>
  <c r="AT21" i="40"/>
  <c r="O13" i="40"/>
  <c r="P13" i="40" s="1"/>
  <c r="AT13" i="40"/>
  <c r="AQ13" i="40"/>
  <c r="AR13" i="40"/>
  <c r="AS13" i="40"/>
  <c r="O5" i="40"/>
  <c r="P5" i="40" s="1"/>
  <c r="AQ5" i="40"/>
  <c r="AS5" i="40"/>
  <c r="AT5" i="40"/>
  <c r="AR5" i="40"/>
  <c r="AQ60" i="40"/>
  <c r="AT60" i="40"/>
  <c r="AS60" i="40"/>
  <c r="AR60" i="40"/>
  <c r="O52" i="40"/>
  <c r="P52" i="40" s="1"/>
  <c r="AS52" i="40"/>
  <c r="AT52" i="40"/>
  <c r="AQ52" i="40"/>
  <c r="AR52" i="40"/>
  <c r="O44" i="40"/>
  <c r="P44" i="40" s="1"/>
  <c r="AQ44" i="40"/>
  <c r="AT44" i="40"/>
  <c r="AR44" i="40"/>
  <c r="AS44" i="40"/>
  <c r="O36" i="40"/>
  <c r="P36" i="40" s="1"/>
  <c r="AQ36" i="40"/>
  <c r="AS36" i="40"/>
  <c r="AT36" i="40"/>
  <c r="AR36" i="40"/>
  <c r="O28" i="40"/>
  <c r="P28" i="40" s="1"/>
  <c r="AQ28" i="40"/>
  <c r="AS28" i="40"/>
  <c r="AT28" i="40"/>
  <c r="AR28" i="40"/>
  <c r="O20" i="40"/>
  <c r="P20" i="40" s="1"/>
  <c r="AQ20" i="40"/>
  <c r="AS20" i="40"/>
  <c r="AT20" i="40"/>
  <c r="AR20" i="40"/>
  <c r="O12" i="40"/>
  <c r="P12" i="40" s="1"/>
  <c r="AR12" i="40"/>
  <c r="AQ12" i="40"/>
  <c r="AS12" i="40"/>
  <c r="AT12" i="40"/>
  <c r="O4" i="40"/>
  <c r="P4" i="40" s="1"/>
  <c r="AT4" i="40"/>
  <c r="AR4" i="40"/>
  <c r="AQ4" i="40"/>
  <c r="AS4" i="40"/>
  <c r="AS62" i="40"/>
  <c r="AR62" i="40"/>
  <c r="AQ62" i="40"/>
  <c r="AQ59" i="40"/>
  <c r="AR59" i="40"/>
  <c r="AS59" i="40"/>
  <c r="AT59" i="40"/>
  <c r="O51" i="40"/>
  <c r="P51" i="40" s="1"/>
  <c r="AQ51" i="40"/>
  <c r="AR51" i="40"/>
  <c r="AS51" i="40"/>
  <c r="AT51" i="40"/>
  <c r="O43" i="40"/>
  <c r="P43" i="40" s="1"/>
  <c r="AQ43" i="40"/>
  <c r="AR43" i="40"/>
  <c r="AS43" i="40"/>
  <c r="AT43" i="40"/>
  <c r="O35" i="40"/>
  <c r="P35" i="40" s="1"/>
  <c r="AQ35" i="40"/>
  <c r="AR35" i="40"/>
  <c r="AS35" i="40"/>
  <c r="AT35" i="40"/>
  <c r="O27" i="40"/>
  <c r="P27" i="40" s="1"/>
  <c r="AT27" i="40"/>
  <c r="AQ27" i="40"/>
  <c r="AR27" i="40"/>
  <c r="AS27" i="40"/>
  <c r="O19" i="40"/>
  <c r="P19" i="40" s="1"/>
  <c r="AQ19" i="40"/>
  <c r="AR19" i="40"/>
  <c r="AS19" i="40"/>
  <c r="AT19" i="40"/>
  <c r="O11" i="40"/>
  <c r="P11" i="40" s="1"/>
  <c r="AT11" i="40"/>
  <c r="AQ11" i="40"/>
  <c r="AR11" i="40"/>
  <c r="AS11" i="40"/>
  <c r="O3" i="40"/>
  <c r="P3" i="40" s="1"/>
  <c r="AQ3" i="40"/>
  <c r="AR3" i="40"/>
  <c r="AT3" i="40"/>
  <c r="AS3" i="40"/>
  <c r="O58" i="40"/>
  <c r="P58" i="40" s="1"/>
  <c r="AT58" i="40"/>
  <c r="AS58" i="40"/>
  <c r="AR58" i="40"/>
  <c r="AQ58" i="40"/>
  <c r="O50" i="40"/>
  <c r="P50" i="40" s="1"/>
  <c r="AQ50" i="40"/>
  <c r="AT50" i="40"/>
  <c r="AS50" i="40"/>
  <c r="AR50" i="40"/>
  <c r="O42" i="40"/>
  <c r="P42" i="40" s="1"/>
  <c r="AR42" i="40"/>
  <c r="AS42" i="40"/>
  <c r="AQ42" i="40"/>
  <c r="AT42" i="40"/>
  <c r="O34" i="40"/>
  <c r="P34" i="40" s="1"/>
  <c r="AT34" i="40"/>
  <c r="AR34" i="40"/>
  <c r="AQ34" i="40"/>
  <c r="AS34" i="40"/>
  <c r="O26" i="40"/>
  <c r="P26" i="40" s="1"/>
  <c r="AQ26" i="40"/>
  <c r="AT26" i="40"/>
  <c r="AR26" i="40"/>
  <c r="AS26" i="40"/>
  <c r="O18" i="40"/>
  <c r="P18" i="40" s="1"/>
  <c r="AS18" i="40"/>
  <c r="AQ18" i="40"/>
  <c r="AR18" i="40"/>
  <c r="AT18" i="40"/>
  <c r="O10" i="40"/>
  <c r="P10" i="40" s="1"/>
  <c r="AR10" i="40"/>
  <c r="AS10" i="40"/>
  <c r="AQ10" i="40"/>
  <c r="AT10" i="40"/>
  <c r="O2" i="40"/>
  <c r="P2" i="40" s="1"/>
  <c r="AT2" i="40"/>
  <c r="AQ2" i="40"/>
  <c r="AS2" i="40"/>
  <c r="AR2" i="40"/>
  <c r="O57" i="40"/>
  <c r="P57" i="40" s="1"/>
  <c r="AQ57" i="40"/>
  <c r="AR57" i="40"/>
  <c r="AT57" i="40"/>
  <c r="AS57" i="40"/>
  <c r="O49" i="40"/>
  <c r="P49" i="40" s="1"/>
  <c r="AT49" i="40"/>
  <c r="AR49" i="40"/>
  <c r="AS49" i="40"/>
  <c r="AQ49" i="40"/>
  <c r="O41" i="40"/>
  <c r="P41" i="40" s="1"/>
  <c r="AT41" i="40"/>
  <c r="AQ41" i="40"/>
  <c r="AR41" i="40"/>
  <c r="AS41" i="40"/>
  <c r="O33" i="40"/>
  <c r="P33" i="40" s="1"/>
  <c r="AT33" i="40"/>
  <c r="AQ33" i="40"/>
  <c r="AR33" i="40"/>
  <c r="AS33" i="40"/>
  <c r="O25" i="40"/>
  <c r="P25" i="40" s="1"/>
  <c r="AS25" i="40"/>
  <c r="AT25" i="40"/>
  <c r="AQ25" i="40"/>
  <c r="AR25" i="40"/>
  <c r="O17" i="40"/>
  <c r="P17" i="40" s="1"/>
  <c r="AT17" i="40"/>
  <c r="AQ17" i="40"/>
  <c r="AR17" i="40"/>
  <c r="AS17" i="40"/>
  <c r="O9" i="40"/>
  <c r="P9" i="40" s="1"/>
  <c r="AS9" i="40"/>
  <c r="AT9" i="40"/>
  <c r="AQ9" i="40"/>
  <c r="AR9" i="40"/>
  <c r="O56" i="40"/>
  <c r="P56" i="40" s="1"/>
  <c r="AS56" i="40"/>
  <c r="AT56" i="40"/>
  <c r="AR56" i="40"/>
  <c r="AQ56" i="40"/>
  <c r="O48" i="40"/>
  <c r="P48" i="40" s="1"/>
  <c r="AR48" i="40"/>
  <c r="AT48" i="40"/>
  <c r="AQ48" i="40"/>
  <c r="AS48" i="40"/>
  <c r="O40" i="40"/>
  <c r="P40" i="40" s="1"/>
  <c r="AS40" i="40"/>
  <c r="AQ40" i="40"/>
  <c r="AT40" i="40"/>
  <c r="AR40" i="40"/>
  <c r="O32" i="40"/>
  <c r="P32" i="40" s="1"/>
  <c r="AT32" i="40"/>
  <c r="AS32" i="40"/>
  <c r="AQ32" i="40"/>
  <c r="AR32" i="40"/>
  <c r="O24" i="40"/>
  <c r="P24" i="40" s="1"/>
  <c r="AR24" i="40"/>
  <c r="AT24" i="40"/>
  <c r="AS24" i="40"/>
  <c r="AQ24" i="40"/>
  <c r="O16" i="40"/>
  <c r="P16" i="40" s="1"/>
  <c r="AT16" i="40"/>
  <c r="AS16" i="40"/>
  <c r="AQ16" i="40"/>
  <c r="AR16" i="40"/>
  <c r="O8" i="40"/>
  <c r="P8" i="40" s="1"/>
  <c r="AR8" i="40"/>
  <c r="AS8" i="40"/>
  <c r="AT8" i="40"/>
  <c r="AQ8" i="40"/>
  <c r="Q367" i="36"/>
  <c r="W367" i="36" s="1"/>
  <c r="R59" i="40"/>
  <c r="R9" i="40"/>
  <c r="R43" i="40"/>
  <c r="R50" i="40"/>
  <c r="W50" i="40" s="1"/>
  <c r="R57" i="40"/>
  <c r="R33" i="40"/>
  <c r="R26" i="40"/>
  <c r="W26" i="40" s="1"/>
  <c r="R19" i="40"/>
  <c r="W19" i="40" s="1"/>
  <c r="R49" i="40"/>
  <c r="R42" i="40"/>
  <c r="R35" i="40"/>
  <c r="R11" i="40"/>
  <c r="W11" i="40" s="1"/>
  <c r="Z25" i="40"/>
  <c r="R58" i="40"/>
  <c r="W58" i="40" s="1"/>
  <c r="R51" i="40"/>
  <c r="R41" i="40"/>
  <c r="R34" i="40"/>
  <c r="W34" i="40" s="1"/>
  <c r="R27" i="40"/>
  <c r="R17" i="40"/>
  <c r="R60" i="40"/>
  <c r="R52" i="40"/>
  <c r="W52" i="40" s="1"/>
  <c r="R44" i="40"/>
  <c r="W44" i="40" s="1"/>
  <c r="R36" i="40"/>
  <c r="W36" i="40" s="1"/>
  <c r="R28" i="40"/>
  <c r="R20" i="40"/>
  <c r="W20" i="40" s="1"/>
  <c r="R12" i="40"/>
  <c r="W12" i="40" s="1"/>
  <c r="R4" i="40"/>
  <c r="W4" i="40" s="1"/>
  <c r="R54" i="40"/>
  <c r="W54" i="40" s="1"/>
  <c r="R46" i="40"/>
  <c r="W46" i="40" s="1"/>
  <c r="R38" i="40"/>
  <c r="W38" i="40" s="1"/>
  <c r="R30" i="40"/>
  <c r="W30" i="40" s="1"/>
  <c r="R22" i="40"/>
  <c r="R14" i="40"/>
  <c r="R6" i="40"/>
  <c r="W6" i="40" s="1"/>
  <c r="R3" i="40"/>
  <c r="R56" i="40"/>
  <c r="R48" i="40"/>
  <c r="R40" i="40"/>
  <c r="W40" i="40" s="1"/>
  <c r="R32" i="40"/>
  <c r="W32" i="40" s="1"/>
  <c r="R24" i="40"/>
  <c r="W24" i="40" s="1"/>
  <c r="R16" i="40"/>
  <c r="W16" i="40" s="1"/>
  <c r="R8" i="40"/>
  <c r="R61" i="40"/>
  <c r="T61" i="40" s="1"/>
  <c r="R53" i="40"/>
  <c r="R45" i="40"/>
  <c r="R37" i="40"/>
  <c r="R29" i="40"/>
  <c r="R21" i="40"/>
  <c r="W21" i="40" s="1"/>
  <c r="R13" i="40"/>
  <c r="W13" i="40" s="1"/>
  <c r="R5" i="40"/>
  <c r="R18" i="40"/>
  <c r="W18" i="40" s="1"/>
  <c r="R10" i="40"/>
  <c r="R2" i="40"/>
  <c r="W2" i="40" s="1"/>
  <c r="R55" i="40"/>
  <c r="R47" i="40"/>
  <c r="W47" i="40" s="1"/>
  <c r="R39" i="40"/>
  <c r="R31" i="40"/>
  <c r="W31" i="40" s="1"/>
  <c r="R23" i="40"/>
  <c r="R15" i="40"/>
  <c r="R7" i="40"/>
  <c r="Q365" i="36"/>
  <c r="W365" i="36" s="1"/>
  <c r="R62" i="40"/>
  <c r="Z62" i="40"/>
  <c r="AW74" i="40"/>
  <c r="AV74" i="40" s="1"/>
  <c r="AW66" i="40"/>
  <c r="AV66" i="40" s="1"/>
  <c r="AW64" i="40"/>
  <c r="AV64" i="40" s="1"/>
  <c r="O76" i="40"/>
  <c r="P76" i="40" s="1"/>
  <c r="AZ76" i="40"/>
  <c r="AT76" i="40"/>
  <c r="AS76" i="40"/>
  <c r="O77" i="40"/>
  <c r="P77" i="40" s="1"/>
  <c r="AZ77" i="40"/>
  <c r="AT77" i="40"/>
  <c r="AS77" i="40"/>
  <c r="AZ62" i="40"/>
  <c r="AT62" i="40"/>
  <c r="AT64" i="40"/>
  <c r="AS64" i="40"/>
  <c r="AZ64" i="40"/>
  <c r="AS63" i="40"/>
  <c r="AZ63" i="40"/>
  <c r="AT63" i="40"/>
  <c r="AZ68" i="40"/>
  <c r="AT68" i="40"/>
  <c r="AS68" i="40"/>
  <c r="AZ65" i="40"/>
  <c r="AT65" i="40"/>
  <c r="AS65" i="40"/>
  <c r="AS66" i="40"/>
  <c r="AZ66" i="40"/>
  <c r="AT66" i="40"/>
  <c r="O74" i="40"/>
  <c r="P74" i="40" s="1"/>
  <c r="AT74" i="40"/>
  <c r="AS74" i="40"/>
  <c r="AZ74" i="40"/>
  <c r="AZ67" i="40"/>
  <c r="AS67" i="40"/>
  <c r="AT67" i="40"/>
  <c r="O75" i="40"/>
  <c r="P75" i="40" s="1"/>
  <c r="AS75" i="40"/>
  <c r="AZ75" i="40"/>
  <c r="AT75" i="40"/>
  <c r="AW62" i="40"/>
  <c r="AV62" i="40" s="1"/>
  <c r="AW63" i="40"/>
  <c r="AV63" i="40" s="1"/>
  <c r="AR65" i="40"/>
  <c r="AQ64" i="40"/>
  <c r="AR76" i="40"/>
  <c r="AR64" i="40"/>
  <c r="AQ68" i="40"/>
  <c r="AR68" i="40"/>
  <c r="AQ66" i="40"/>
  <c r="AR74" i="40"/>
  <c r="AW77" i="40"/>
  <c r="AV77" i="40" s="1"/>
  <c r="AR66" i="40"/>
  <c r="AW76" i="40"/>
  <c r="AV76" i="40" s="1"/>
  <c r="AW68" i="40"/>
  <c r="AV68" i="40" s="1"/>
  <c r="AW75" i="40"/>
  <c r="AV75" i="40" s="1"/>
  <c r="AW67" i="40"/>
  <c r="AV67" i="40" s="1"/>
  <c r="AQ63" i="40"/>
  <c r="AQ65" i="40"/>
  <c r="AQ67" i="40"/>
  <c r="AR63" i="40"/>
  <c r="AR67" i="40"/>
  <c r="AR75" i="40"/>
  <c r="AR77" i="40"/>
  <c r="AW65" i="40"/>
  <c r="AV65" i="40" s="1"/>
  <c r="AJ42" i="40"/>
  <c r="AC4" i="40"/>
  <c r="AC52" i="40"/>
  <c r="AB48" i="40"/>
  <c r="AB40" i="40"/>
  <c r="AB32" i="40"/>
  <c r="AB3" i="40"/>
  <c r="R67" i="40"/>
  <c r="T67" i="40" s="1"/>
  <c r="R75" i="40"/>
  <c r="T75" i="40" s="1"/>
  <c r="R64" i="40"/>
  <c r="U64" i="40" s="1"/>
  <c r="X64" i="40" s="1"/>
  <c r="R77" i="40"/>
  <c r="R74" i="40"/>
  <c r="R66" i="40"/>
  <c r="T66" i="40" s="1"/>
  <c r="R63" i="40"/>
  <c r="T63" i="40" s="1"/>
  <c r="R76" i="40"/>
  <c r="V76" i="40" s="1"/>
  <c r="Z68" i="40"/>
  <c r="R65" i="40"/>
  <c r="P363" i="36"/>
  <c r="V363" i="36"/>
  <c r="AU2" i="36"/>
  <c r="P362" i="36"/>
  <c r="P361" i="36"/>
  <c r="P360" i="36"/>
  <c r="P359" i="36"/>
  <c r="P358" i="36"/>
  <c r="P357" i="36"/>
  <c r="P356" i="36"/>
  <c r="P355" i="36"/>
  <c r="P354" i="36"/>
  <c r="P353" i="36"/>
  <c r="P352" i="36"/>
  <c r="P351" i="36"/>
  <c r="P350" i="36"/>
  <c r="P349" i="36"/>
  <c r="P348" i="36"/>
  <c r="P347" i="36"/>
  <c r="P346" i="36"/>
  <c r="P345" i="36"/>
  <c r="P344" i="36"/>
  <c r="P343" i="36"/>
  <c r="P342" i="36"/>
  <c r="P341" i="36"/>
  <c r="P340" i="36"/>
  <c r="P339" i="36"/>
  <c r="P338" i="36"/>
  <c r="P337" i="36"/>
  <c r="P336" i="36"/>
  <c r="P335" i="36"/>
  <c r="P334" i="36"/>
  <c r="P333" i="36"/>
  <c r="P332" i="36"/>
  <c r="P331" i="36"/>
  <c r="P330" i="36"/>
  <c r="P329" i="36"/>
  <c r="P328" i="36"/>
  <c r="P327" i="36"/>
  <c r="P326" i="36"/>
  <c r="P325" i="36"/>
  <c r="P324" i="36"/>
  <c r="P323" i="36"/>
  <c r="P322" i="36"/>
  <c r="P321" i="36"/>
  <c r="P320" i="36"/>
  <c r="P319" i="36"/>
  <c r="P318" i="36"/>
  <c r="P317" i="36"/>
  <c r="P316" i="36"/>
  <c r="P315" i="36"/>
  <c r="P314" i="36"/>
  <c r="P313" i="36"/>
  <c r="P312" i="36"/>
  <c r="P311" i="36"/>
  <c r="P310" i="36"/>
  <c r="P309" i="36"/>
  <c r="P308" i="36"/>
  <c r="P307" i="36"/>
  <c r="P306" i="36"/>
  <c r="P305" i="36"/>
  <c r="P304" i="36"/>
  <c r="P303" i="36"/>
  <c r="P302" i="36"/>
  <c r="P301" i="36"/>
  <c r="P300" i="36"/>
  <c r="P299" i="36"/>
  <c r="P298" i="36"/>
  <c r="P297" i="36"/>
  <c r="P296" i="36"/>
  <c r="P295" i="36"/>
  <c r="P294" i="36"/>
  <c r="P293" i="36"/>
  <c r="P292" i="36"/>
  <c r="P291" i="36"/>
  <c r="P290" i="36"/>
  <c r="P289" i="36"/>
  <c r="P288" i="36"/>
  <c r="P287" i="36"/>
  <c r="P286" i="36"/>
  <c r="P285" i="36"/>
  <c r="P284" i="36"/>
  <c r="P283" i="36"/>
  <c r="P282" i="36"/>
  <c r="P281" i="36"/>
  <c r="P280" i="36"/>
  <c r="P279" i="36"/>
  <c r="P278" i="36"/>
  <c r="P277" i="36"/>
  <c r="P276" i="36"/>
  <c r="P275" i="36"/>
  <c r="P274" i="36"/>
  <c r="P273" i="36"/>
  <c r="P272" i="36"/>
  <c r="P271" i="36"/>
  <c r="P270" i="36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T37" i="40" l="1"/>
  <c r="W37" i="40"/>
  <c r="V37" i="40" s="1"/>
  <c r="T45" i="40"/>
  <c r="W45" i="40"/>
  <c r="U45" i="40" s="1"/>
  <c r="X45" i="40" s="1"/>
  <c r="T48" i="40"/>
  <c r="W48" i="40"/>
  <c r="V48" i="40" s="1"/>
  <c r="T57" i="40"/>
  <c r="W57" i="40"/>
  <c r="U57" i="40" s="1"/>
  <c r="X57" i="40" s="1"/>
  <c r="T10" i="40"/>
  <c r="W10" i="40"/>
  <c r="U10" i="40" s="1"/>
  <c r="X10" i="40" s="1"/>
  <c r="T53" i="40"/>
  <c r="W53" i="40"/>
  <c r="V53" i="40" s="1"/>
  <c r="T3" i="40"/>
  <c r="W3" i="40"/>
  <c r="U3" i="40" s="1"/>
  <c r="X3" i="40" s="1"/>
  <c r="T17" i="40"/>
  <c r="W17" i="40"/>
  <c r="U17" i="40" s="1"/>
  <c r="X17" i="40" s="1"/>
  <c r="T35" i="40"/>
  <c r="W35" i="40"/>
  <c r="V35" i="40" s="1"/>
  <c r="T43" i="40"/>
  <c r="W43" i="40"/>
  <c r="U43" i="40" s="1"/>
  <c r="X43" i="40" s="1"/>
  <c r="T23" i="40"/>
  <c r="W23" i="40"/>
  <c r="U23" i="40" s="1"/>
  <c r="X23" i="40" s="1"/>
  <c r="T5" i="40"/>
  <c r="W5" i="40"/>
  <c r="U5" i="40" s="1"/>
  <c r="X5" i="40" s="1"/>
  <c r="T8" i="40"/>
  <c r="W8" i="40"/>
  <c r="U8" i="40" s="1"/>
  <c r="X8" i="40" s="1"/>
  <c r="T27" i="40"/>
  <c r="W27" i="40"/>
  <c r="V27" i="40" s="1"/>
  <c r="T42" i="40"/>
  <c r="W42" i="40"/>
  <c r="V42" i="40" s="1"/>
  <c r="T9" i="40"/>
  <c r="W9" i="40"/>
  <c r="V9" i="40" s="1"/>
  <c r="T56" i="40"/>
  <c r="W56" i="40"/>
  <c r="U56" i="40" s="1"/>
  <c r="X56" i="40" s="1"/>
  <c r="T15" i="40"/>
  <c r="W15" i="40"/>
  <c r="U15" i="40" s="1"/>
  <c r="X15" i="40" s="1"/>
  <c r="W14" i="40"/>
  <c r="U14" i="40" s="1"/>
  <c r="X14" i="40" s="1"/>
  <c r="T49" i="40"/>
  <c r="W49" i="40"/>
  <c r="V49" i="40" s="1"/>
  <c r="T22" i="40"/>
  <c r="W22" i="40"/>
  <c r="V22" i="40" s="1"/>
  <c r="T28" i="40"/>
  <c r="W28" i="40"/>
  <c r="V28" i="40" s="1"/>
  <c r="T41" i="40"/>
  <c r="W41" i="40"/>
  <c r="U41" i="40" s="1"/>
  <c r="X41" i="40" s="1"/>
  <c r="T29" i="40"/>
  <c r="W29" i="40"/>
  <c r="V29" i="40" s="1"/>
  <c r="T32" i="40"/>
  <c r="U32" i="40"/>
  <c r="X32" i="40" s="1"/>
  <c r="T51" i="40"/>
  <c r="W51" i="40"/>
  <c r="U51" i="40" s="1"/>
  <c r="X51" i="40" s="1"/>
  <c r="T7" i="40"/>
  <c r="W7" i="40"/>
  <c r="U7" i="40" s="1"/>
  <c r="X7" i="40" s="1"/>
  <c r="T39" i="40"/>
  <c r="W39" i="40"/>
  <c r="U39" i="40" s="1"/>
  <c r="X39" i="40" s="1"/>
  <c r="T55" i="40"/>
  <c r="W55" i="40"/>
  <c r="V55" i="40" s="1"/>
  <c r="T33" i="40"/>
  <c r="W33" i="40"/>
  <c r="U33" i="40" s="1"/>
  <c r="X33" i="40" s="1"/>
  <c r="Z57" i="40"/>
  <c r="Z43" i="40"/>
  <c r="Z17" i="40"/>
  <c r="Z50" i="40"/>
  <c r="T60" i="40"/>
  <c r="Z10" i="40"/>
  <c r="Z35" i="40"/>
  <c r="Z9" i="40"/>
  <c r="Z14" i="40"/>
  <c r="Z54" i="40"/>
  <c r="T50" i="40"/>
  <c r="Z60" i="40"/>
  <c r="T54" i="40"/>
  <c r="Z53" i="40"/>
  <c r="T11" i="40"/>
  <c r="T34" i="40"/>
  <c r="T20" i="40"/>
  <c r="Z34" i="40"/>
  <c r="Z56" i="40"/>
  <c r="Z11" i="40"/>
  <c r="Z27" i="40"/>
  <c r="Z42" i="40"/>
  <c r="T16" i="40"/>
  <c r="T12" i="40"/>
  <c r="Z52" i="40"/>
  <c r="T19" i="40"/>
  <c r="Z59" i="40"/>
  <c r="Z13" i="40"/>
  <c r="Z31" i="40"/>
  <c r="T31" i="40"/>
  <c r="Z46" i="40"/>
  <c r="Z2" i="40"/>
  <c r="Z41" i="40"/>
  <c r="T59" i="40"/>
  <c r="Z16" i="40"/>
  <c r="Z20" i="40"/>
  <c r="Z28" i="40"/>
  <c r="T14" i="40"/>
  <c r="Z19" i="40"/>
  <c r="Z49" i="40"/>
  <c r="T13" i="40"/>
  <c r="Z44" i="40"/>
  <c r="Z37" i="40"/>
  <c r="AB16" i="40"/>
  <c r="Z8" i="40"/>
  <c r="Q363" i="36"/>
  <c r="W363" i="36" s="1"/>
  <c r="T40" i="40"/>
  <c r="T44" i="40"/>
  <c r="Z55" i="40"/>
  <c r="T38" i="40"/>
  <c r="T58" i="40"/>
  <c r="Z33" i="40"/>
  <c r="Z38" i="40"/>
  <c r="Z24" i="40"/>
  <c r="Z40" i="40"/>
  <c r="Z58" i="40"/>
  <c r="T26" i="40"/>
  <c r="Z29" i="40"/>
  <c r="T47" i="40"/>
  <c r="Z36" i="40"/>
  <c r="T36" i="40"/>
  <c r="Z30" i="40"/>
  <c r="Z47" i="40"/>
  <c r="Z51" i="40"/>
  <c r="T30" i="40"/>
  <c r="Z26" i="40"/>
  <c r="Z32" i="40"/>
  <c r="T6" i="40"/>
  <c r="Z7" i="40"/>
  <c r="Z39" i="40"/>
  <c r="T21" i="40"/>
  <c r="T2" i="40"/>
  <c r="Z45" i="40"/>
  <c r="T52" i="40"/>
  <c r="Z48" i="40"/>
  <c r="T46" i="40"/>
  <c r="Z18" i="40"/>
  <c r="Z5" i="40"/>
  <c r="R25" i="40"/>
  <c r="W25" i="40" s="1"/>
  <c r="T18" i="40"/>
  <c r="T4" i="40"/>
  <c r="Z61" i="40"/>
  <c r="Z12" i="40"/>
  <c r="Z23" i="40"/>
  <c r="Z15" i="40"/>
  <c r="Z22" i="40"/>
  <c r="Z21" i="40"/>
  <c r="U61" i="40"/>
  <c r="X61" i="40" s="1"/>
  <c r="T24" i="40"/>
  <c r="Z3" i="40"/>
  <c r="Z4" i="40"/>
  <c r="Z6" i="40"/>
  <c r="AB2" i="40"/>
  <c r="U21" i="40"/>
  <c r="X21" i="40" s="1"/>
  <c r="V21" i="40"/>
  <c r="U50" i="40"/>
  <c r="X50" i="40" s="1"/>
  <c r="V50" i="40"/>
  <c r="V36" i="40"/>
  <c r="U36" i="40"/>
  <c r="X36" i="40" s="1"/>
  <c r="V18" i="40"/>
  <c r="U18" i="40"/>
  <c r="X18" i="40" s="1"/>
  <c r="V4" i="40"/>
  <c r="U4" i="40"/>
  <c r="X4" i="40" s="1"/>
  <c r="V38" i="40"/>
  <c r="U38" i="40"/>
  <c r="X38" i="40" s="1"/>
  <c r="V54" i="40"/>
  <c r="U54" i="40"/>
  <c r="X54" i="40" s="1"/>
  <c r="U26" i="40"/>
  <c r="X26" i="40" s="1"/>
  <c r="V26" i="40"/>
  <c r="V30" i="40"/>
  <c r="U30" i="40"/>
  <c r="X30" i="40" s="1"/>
  <c r="U11" i="40"/>
  <c r="X11" i="40" s="1"/>
  <c r="V11" i="40"/>
  <c r="U59" i="40"/>
  <c r="X59" i="40" s="1"/>
  <c r="V59" i="40"/>
  <c r="U13" i="40"/>
  <c r="X13" i="40" s="1"/>
  <c r="V13" i="40"/>
  <c r="V34" i="40"/>
  <c r="U34" i="40"/>
  <c r="X34" i="40" s="1"/>
  <c r="V6" i="40"/>
  <c r="U6" i="40"/>
  <c r="X6" i="40" s="1"/>
  <c r="U58" i="40"/>
  <c r="X58" i="40" s="1"/>
  <c r="V58" i="40"/>
  <c r="U12" i="40"/>
  <c r="X12" i="40" s="1"/>
  <c r="V12" i="40"/>
  <c r="V60" i="40"/>
  <c r="U60" i="40"/>
  <c r="X60" i="40" s="1"/>
  <c r="V44" i="40"/>
  <c r="U44" i="40"/>
  <c r="X44" i="40" s="1"/>
  <c r="U19" i="40"/>
  <c r="X19" i="40" s="1"/>
  <c r="V19" i="40"/>
  <c r="U31" i="40"/>
  <c r="X31" i="40" s="1"/>
  <c r="V31" i="40"/>
  <c r="U47" i="40"/>
  <c r="X47" i="40" s="1"/>
  <c r="V47" i="40"/>
  <c r="U24" i="40"/>
  <c r="X24" i="40" s="1"/>
  <c r="V24" i="40"/>
  <c r="U2" i="40"/>
  <c r="X2" i="40" s="1"/>
  <c r="V2" i="40"/>
  <c r="V46" i="40"/>
  <c r="U46" i="40"/>
  <c r="X46" i="40" s="1"/>
  <c r="V16" i="40"/>
  <c r="U16" i="40"/>
  <c r="X16" i="40" s="1"/>
  <c r="V40" i="40"/>
  <c r="U40" i="40"/>
  <c r="X40" i="40" s="1"/>
  <c r="V20" i="40"/>
  <c r="U20" i="40"/>
  <c r="X20" i="40" s="1"/>
  <c r="V52" i="40"/>
  <c r="U52" i="40"/>
  <c r="X52" i="40" s="1"/>
  <c r="T62" i="40"/>
  <c r="AB22" i="40"/>
  <c r="AB38" i="40"/>
  <c r="AB15" i="40"/>
  <c r="AB8" i="40"/>
  <c r="AB46" i="40"/>
  <c r="AB7" i="40"/>
  <c r="AB29" i="40"/>
  <c r="AB31" i="40"/>
  <c r="AB13" i="40"/>
  <c r="AB45" i="40"/>
  <c r="AB47" i="40"/>
  <c r="AB6" i="40"/>
  <c r="AB34" i="40"/>
  <c r="AB18" i="40"/>
  <c r="AB11" i="40"/>
  <c r="AB24" i="40"/>
  <c r="AB17" i="40"/>
  <c r="AB33" i="40"/>
  <c r="AB50" i="40"/>
  <c r="AB49" i="40"/>
  <c r="AB43" i="40"/>
  <c r="AB37" i="40"/>
  <c r="AB27" i="40"/>
  <c r="AB4" i="40"/>
  <c r="AB14" i="40"/>
  <c r="AB30" i="40"/>
  <c r="AB23" i="40"/>
  <c r="AB20" i="40"/>
  <c r="AB5" i="40"/>
  <c r="AB21" i="40"/>
  <c r="AB39" i="40"/>
  <c r="AB36" i="40"/>
  <c r="AB51" i="40"/>
  <c r="AB9" i="40"/>
  <c r="AB28" i="40"/>
  <c r="AG9" i="40"/>
  <c r="AG10" i="40" s="1"/>
  <c r="AB42" i="40"/>
  <c r="AB19" i="40"/>
  <c r="AG13" i="40"/>
  <c r="AG14" i="40" s="1"/>
  <c r="AB26" i="40"/>
  <c r="AF13" i="40"/>
  <c r="AF14" i="40" s="1"/>
  <c r="AB41" i="40"/>
  <c r="AB35" i="40"/>
  <c r="AB10" i="40"/>
  <c r="AB25" i="40"/>
  <c r="AB52" i="40"/>
  <c r="AF11" i="40"/>
  <c r="AF9" i="40"/>
  <c r="AF10" i="40" s="1"/>
  <c r="AB44" i="40"/>
  <c r="AB12" i="40"/>
  <c r="T77" i="40"/>
  <c r="Z77" i="40"/>
  <c r="V64" i="40"/>
  <c r="Z74" i="40"/>
  <c r="Z64" i="40"/>
  <c r="T64" i="40"/>
  <c r="AG15" i="40"/>
  <c r="AF15" i="40"/>
  <c r="T74" i="40"/>
  <c r="Z67" i="40"/>
  <c r="U67" i="40"/>
  <c r="X67" i="40" s="1"/>
  <c r="AG5" i="40"/>
  <c r="AG6" i="40" s="1"/>
  <c r="AF5" i="40"/>
  <c r="AF6" i="40" s="1"/>
  <c r="U76" i="40"/>
  <c r="X76" i="40" s="1"/>
  <c r="T76" i="40"/>
  <c r="V63" i="40"/>
  <c r="Z63" i="40"/>
  <c r="Z76" i="40"/>
  <c r="Z66" i="40"/>
  <c r="T65" i="40"/>
  <c r="U66" i="40"/>
  <c r="X66" i="40" s="1"/>
  <c r="Z65" i="40"/>
  <c r="R68" i="40"/>
  <c r="V68" i="40" s="1"/>
  <c r="V75" i="40"/>
  <c r="Z75" i="40"/>
  <c r="U74" i="40"/>
  <c r="X74" i="40" s="1"/>
  <c r="V74" i="40"/>
  <c r="U77" i="40"/>
  <c r="X77" i="40" s="1"/>
  <c r="V77" i="40"/>
  <c r="U65" i="40"/>
  <c r="X65" i="40" s="1"/>
  <c r="V65" i="40"/>
  <c r="Q353" i="36"/>
  <c r="W353" i="36" s="1"/>
  <c r="V353" i="36"/>
  <c r="Q354" i="36"/>
  <c r="W354" i="36" s="1"/>
  <c r="V354" i="36"/>
  <c r="Q355" i="36"/>
  <c r="W355" i="36" s="1"/>
  <c r="V355" i="36"/>
  <c r="V356" i="36"/>
  <c r="Q357" i="36"/>
  <c r="W357" i="36" s="1"/>
  <c r="V357" i="36"/>
  <c r="V358" i="36"/>
  <c r="V359" i="36"/>
  <c r="Q360" i="36"/>
  <c r="W360" i="36" s="1"/>
  <c r="V360" i="36"/>
  <c r="V361" i="36"/>
  <c r="Q362" i="36"/>
  <c r="W362" i="36" s="1"/>
  <c r="V362" i="36"/>
  <c r="V352" i="36"/>
  <c r="V351" i="36"/>
  <c r="V350" i="36"/>
  <c r="V349" i="36"/>
  <c r="V348" i="36"/>
  <c r="V347" i="36"/>
  <c r="V346" i="36"/>
  <c r="V345" i="36"/>
  <c r="V344" i="36"/>
  <c r="V343" i="36"/>
  <c r="V342" i="36"/>
  <c r="V341" i="36"/>
  <c r="V340" i="36"/>
  <c r="V339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1" i="36"/>
  <c r="V320" i="36"/>
  <c r="V319" i="36"/>
  <c r="V318" i="36"/>
  <c r="V317" i="36"/>
  <c r="V316" i="36"/>
  <c r="V315" i="36"/>
  <c r="V314" i="36"/>
  <c r="V313" i="36"/>
  <c r="V312" i="36"/>
  <c r="V311" i="36"/>
  <c r="V310" i="36"/>
  <c r="V309" i="36"/>
  <c r="V308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90" i="36"/>
  <c r="V289" i="36"/>
  <c r="V288" i="36"/>
  <c r="V287" i="36"/>
  <c r="V286" i="36"/>
  <c r="V285" i="36"/>
  <c r="V284" i="36"/>
  <c r="V283" i="36"/>
  <c r="V282" i="36"/>
  <c r="V281" i="36"/>
  <c r="V280" i="36"/>
  <c r="V279" i="36"/>
  <c r="V278" i="36"/>
  <c r="V277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9" i="36"/>
  <c r="V258" i="36"/>
  <c r="V257" i="36"/>
  <c r="V256" i="36"/>
  <c r="V255" i="36"/>
  <c r="V254" i="36"/>
  <c r="V253" i="36"/>
  <c r="V252" i="36"/>
  <c r="V251" i="36"/>
  <c r="V250" i="36"/>
  <c r="V249" i="36"/>
  <c r="V248" i="36"/>
  <c r="V247" i="36"/>
  <c r="V246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8" i="36"/>
  <c r="V227" i="36"/>
  <c r="V226" i="36"/>
  <c r="V225" i="36"/>
  <c r="V224" i="36"/>
  <c r="V223" i="36"/>
  <c r="V222" i="36"/>
  <c r="V221" i="36"/>
  <c r="V220" i="36"/>
  <c r="V219" i="36"/>
  <c r="V218" i="36"/>
  <c r="V217" i="36"/>
  <c r="V216" i="36"/>
  <c r="V215" i="36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7" i="36"/>
  <c r="V196" i="36"/>
  <c r="V195" i="36"/>
  <c r="V194" i="36"/>
  <c r="V193" i="36"/>
  <c r="V192" i="36"/>
  <c r="V191" i="36"/>
  <c r="V190" i="36"/>
  <c r="V189" i="36"/>
  <c r="V188" i="36"/>
  <c r="V187" i="36"/>
  <c r="V186" i="36"/>
  <c r="V185" i="36"/>
  <c r="V184" i="36"/>
  <c r="V183" i="36"/>
  <c r="V182" i="36"/>
  <c r="V181" i="36"/>
  <c r="V180" i="36"/>
  <c r="V179" i="36"/>
  <c r="V178" i="36"/>
  <c r="V177" i="36"/>
  <c r="V176" i="36"/>
  <c r="V175" i="36"/>
  <c r="V174" i="36"/>
  <c r="V173" i="36"/>
  <c r="V172" i="36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2" i="36"/>
  <c r="Q348" i="36"/>
  <c r="W348" i="36" s="1"/>
  <c r="Q347" i="36"/>
  <c r="W347" i="36" s="1"/>
  <c r="Q346" i="36"/>
  <c r="W346" i="36" s="1"/>
  <c r="Q340" i="36"/>
  <c r="W340" i="36" s="1"/>
  <c r="Q339" i="36"/>
  <c r="W339" i="36" s="1"/>
  <c r="Q332" i="36"/>
  <c r="W332" i="36" s="1"/>
  <c r="Q330" i="36"/>
  <c r="W330" i="36" s="1"/>
  <c r="Q329" i="36"/>
  <c r="W329" i="36" s="1"/>
  <c r="Q324" i="36"/>
  <c r="W324" i="36" s="1"/>
  <c r="Q322" i="36"/>
  <c r="W322" i="36" s="1"/>
  <c r="Q321" i="36"/>
  <c r="W321" i="36" s="1"/>
  <c r="Q316" i="36"/>
  <c r="W316" i="36" s="1"/>
  <c r="Q315" i="36"/>
  <c r="W315" i="36" s="1"/>
  <c r="Q314" i="36"/>
  <c r="W314" i="36" s="1"/>
  <c r="Q308" i="36"/>
  <c r="W308" i="36" s="1"/>
  <c r="Q300" i="36"/>
  <c r="W300" i="36" s="1"/>
  <c r="Q296" i="36"/>
  <c r="W296" i="36" s="1"/>
  <c r="Q292" i="36"/>
  <c r="W292" i="36" s="1"/>
  <c r="Q291" i="36"/>
  <c r="W291" i="36" s="1"/>
  <c r="Q290" i="36"/>
  <c r="W290" i="36" s="1"/>
  <c r="Q284" i="36"/>
  <c r="W284" i="36" s="1"/>
  <c r="Q283" i="36"/>
  <c r="W283" i="36" s="1"/>
  <c r="Q276" i="36"/>
  <c r="W276" i="36" s="1"/>
  <c r="Q275" i="36"/>
  <c r="W275" i="36" s="1"/>
  <c r="Q274" i="36"/>
  <c r="W274" i="36" s="1"/>
  <c r="Q268" i="36"/>
  <c r="W268" i="36" s="1"/>
  <c r="Q267" i="36"/>
  <c r="W267" i="36" s="1"/>
  <c r="Q266" i="36"/>
  <c r="W266" i="36" s="1"/>
  <c r="Q260" i="36"/>
  <c r="W260" i="36" s="1"/>
  <c r="Q259" i="36"/>
  <c r="W259" i="36" s="1"/>
  <c r="Q258" i="36"/>
  <c r="W258" i="36" s="1"/>
  <c r="Q255" i="36"/>
  <c r="W255" i="36" s="1"/>
  <c r="Q252" i="36"/>
  <c r="W252" i="36" s="1"/>
  <c r="Q251" i="36"/>
  <c r="W251" i="36" s="1"/>
  <c r="Q250" i="36"/>
  <c r="W250" i="36" s="1"/>
  <c r="Q244" i="36"/>
  <c r="W244" i="36" s="1"/>
  <c r="Q243" i="36"/>
  <c r="W243" i="36" s="1"/>
  <c r="Q242" i="36"/>
  <c r="W242" i="36" s="1"/>
  <c r="Q236" i="36"/>
  <c r="W236" i="36" s="1"/>
  <c r="Q235" i="36"/>
  <c r="W235" i="36" s="1"/>
  <c r="Q234" i="36"/>
  <c r="W234" i="36" s="1"/>
  <c r="Q228" i="36"/>
  <c r="W228" i="36" s="1"/>
  <c r="Q226" i="36"/>
  <c r="W226" i="36" s="1"/>
  <c r="Q220" i="36"/>
  <c r="W220" i="36" s="1"/>
  <c r="Q218" i="36"/>
  <c r="W218" i="36" s="1"/>
  <c r="Q212" i="36"/>
  <c r="W212" i="36" s="1"/>
  <c r="Q211" i="36"/>
  <c r="W211" i="36" s="1"/>
  <c r="Q204" i="36"/>
  <c r="W204" i="36" s="1"/>
  <c r="Q202" i="36"/>
  <c r="W202" i="36" s="1"/>
  <c r="Q196" i="36"/>
  <c r="W196" i="36" s="1"/>
  <c r="Q195" i="36"/>
  <c r="W195" i="36" s="1"/>
  <c r="Q194" i="36"/>
  <c r="W194" i="36" s="1"/>
  <c r="Q188" i="36"/>
  <c r="W188" i="36" s="1"/>
  <c r="Q180" i="36"/>
  <c r="W180" i="36" s="1"/>
  <c r="Q178" i="36"/>
  <c r="W178" i="36" s="1"/>
  <c r="Q170" i="36"/>
  <c r="W170" i="36" s="1"/>
  <c r="Q162" i="36"/>
  <c r="W162" i="36" s="1"/>
  <c r="Q154" i="36"/>
  <c r="W154" i="36" s="1"/>
  <c r="Q148" i="36"/>
  <c r="W148" i="36" s="1"/>
  <c r="Q147" i="36"/>
  <c r="W147" i="36" s="1"/>
  <c r="Q146" i="36"/>
  <c r="W146" i="36" s="1"/>
  <c r="Q140" i="36"/>
  <c r="W140" i="36" s="1"/>
  <c r="Q139" i="36"/>
  <c r="W139" i="36" s="1"/>
  <c r="Q138" i="36"/>
  <c r="W138" i="36" s="1"/>
  <c r="Q132" i="36"/>
  <c r="W132" i="36" s="1"/>
  <c r="Q131" i="36"/>
  <c r="W131" i="36" s="1"/>
  <c r="Q130" i="36"/>
  <c r="W130" i="36" s="1"/>
  <c r="Q124" i="36"/>
  <c r="W124" i="36" s="1"/>
  <c r="Q123" i="36"/>
  <c r="W123" i="36" s="1"/>
  <c r="Q122" i="36"/>
  <c r="W122" i="36" s="1"/>
  <c r="Q116" i="36"/>
  <c r="W116" i="36" s="1"/>
  <c r="Q115" i="36"/>
  <c r="W115" i="36" s="1"/>
  <c r="Q108" i="36"/>
  <c r="W108" i="36" s="1"/>
  <c r="Q100" i="36"/>
  <c r="W100" i="36" s="1"/>
  <c r="Q99" i="36"/>
  <c r="W99" i="36" s="1"/>
  <c r="Q98" i="36"/>
  <c r="W98" i="36" s="1"/>
  <c r="Q92" i="36"/>
  <c r="W92" i="36" s="1"/>
  <c r="Q84" i="36"/>
  <c r="W84" i="36" s="1"/>
  <c r="Q83" i="36"/>
  <c r="W83" i="36" s="1"/>
  <c r="Q82" i="36"/>
  <c r="W82" i="36" s="1"/>
  <c r="Q76" i="36"/>
  <c r="W76" i="36" s="1"/>
  <c r="Q75" i="36"/>
  <c r="W75" i="36" s="1"/>
  <c r="Q74" i="36"/>
  <c r="W74" i="36" s="1"/>
  <c r="Q68" i="36"/>
  <c r="W68" i="36" s="1"/>
  <c r="Q66" i="36"/>
  <c r="W66" i="36" s="1"/>
  <c r="Q60" i="36"/>
  <c r="W60" i="36" s="1"/>
  <c r="Q59" i="36"/>
  <c r="W59" i="36" s="1"/>
  <c r="Q52" i="36"/>
  <c r="W52" i="36" s="1"/>
  <c r="Q51" i="36"/>
  <c r="W51" i="36" s="1"/>
  <c r="Q50" i="36"/>
  <c r="W50" i="36" s="1"/>
  <c r="Q44" i="36"/>
  <c r="W44" i="36" s="1"/>
  <c r="Q43" i="36"/>
  <c r="W43" i="36" s="1"/>
  <c r="Q42" i="36"/>
  <c r="W42" i="36" s="1"/>
  <c r="Q36" i="36"/>
  <c r="W36" i="36" s="1"/>
  <c r="Q35" i="36"/>
  <c r="W35" i="36" s="1"/>
  <c r="Q34" i="36"/>
  <c r="W34" i="36" s="1"/>
  <c r="Q32" i="36"/>
  <c r="W32" i="36" s="1"/>
  <c r="Q28" i="36"/>
  <c r="W28" i="36" s="1"/>
  <c r="Q27" i="36"/>
  <c r="W27" i="36" s="1"/>
  <c r="Q26" i="36"/>
  <c r="W26" i="36" s="1"/>
  <c r="Q20" i="36"/>
  <c r="W20" i="36" s="1"/>
  <c r="Q19" i="36"/>
  <c r="W19" i="36" s="1"/>
  <c r="Q18" i="36"/>
  <c r="W18" i="36" s="1"/>
  <c r="Q12" i="36"/>
  <c r="W12" i="36" s="1"/>
  <c r="Q11" i="36"/>
  <c r="W11" i="36" s="1"/>
  <c r="Q10" i="36"/>
  <c r="W10" i="36" s="1"/>
  <c r="Q4" i="36"/>
  <c r="W4" i="36" s="1"/>
  <c r="Q2" i="36"/>
  <c r="W2" i="36" s="1"/>
  <c r="W581" i="36"/>
  <c r="W580" i="36"/>
  <c r="W579" i="36"/>
  <c r="W578" i="36"/>
  <c r="W577" i="36"/>
  <c r="W576" i="36"/>
  <c r="W575" i="36"/>
  <c r="W574" i="36"/>
  <c r="W573" i="36"/>
  <c r="W572" i="36"/>
  <c r="W571" i="36"/>
  <c r="W570" i="36"/>
  <c r="W569" i="36"/>
  <c r="W568" i="36"/>
  <c r="W567" i="36"/>
  <c r="W566" i="36"/>
  <c r="W565" i="36"/>
  <c r="W564" i="36"/>
  <c r="W563" i="36"/>
  <c r="W562" i="36"/>
  <c r="W561" i="36"/>
  <c r="W560" i="36"/>
  <c r="W559" i="36"/>
  <c r="W558" i="36"/>
  <c r="W557" i="36"/>
  <c r="W556" i="36"/>
  <c r="W555" i="36"/>
  <c r="W554" i="36"/>
  <c r="W553" i="36"/>
  <c r="W552" i="36"/>
  <c r="W551" i="36"/>
  <c r="W550" i="36"/>
  <c r="W549" i="36"/>
  <c r="W548" i="36"/>
  <c r="W547" i="36"/>
  <c r="W546" i="36"/>
  <c r="W545" i="36"/>
  <c r="W544" i="36"/>
  <c r="W543" i="36"/>
  <c r="W542" i="36"/>
  <c r="W541" i="36"/>
  <c r="W540" i="36"/>
  <c r="W539" i="36"/>
  <c r="W538" i="36"/>
  <c r="W537" i="36"/>
  <c r="W536" i="36"/>
  <c r="W535" i="36"/>
  <c r="W534" i="36"/>
  <c r="W533" i="36"/>
  <c r="W532" i="36"/>
  <c r="W531" i="36"/>
  <c r="W530" i="36"/>
  <c r="W529" i="36"/>
  <c r="W528" i="36"/>
  <c r="W527" i="36"/>
  <c r="W526" i="36"/>
  <c r="W525" i="36"/>
  <c r="W524" i="36"/>
  <c r="W523" i="36"/>
  <c r="W522" i="36"/>
  <c r="W521" i="36"/>
  <c r="W520" i="36"/>
  <c r="W519" i="36"/>
  <c r="W518" i="36"/>
  <c r="W517" i="36"/>
  <c r="W516" i="36"/>
  <c r="W515" i="36"/>
  <c r="W514" i="36"/>
  <c r="W513" i="36"/>
  <c r="W512" i="36"/>
  <c r="W511" i="36"/>
  <c r="W510" i="36"/>
  <c r="W509" i="36"/>
  <c r="W508" i="36"/>
  <c r="W507" i="36"/>
  <c r="W506" i="36"/>
  <c r="W505" i="36"/>
  <c r="W504" i="36"/>
  <c r="W503" i="36"/>
  <c r="W502" i="36"/>
  <c r="W501" i="36"/>
  <c r="W500" i="36"/>
  <c r="P581" i="36"/>
  <c r="P580" i="36"/>
  <c r="P579" i="36"/>
  <c r="P578" i="36"/>
  <c r="P577" i="36"/>
  <c r="P576" i="36"/>
  <c r="P575" i="36"/>
  <c r="P574" i="36"/>
  <c r="P573" i="36"/>
  <c r="P572" i="36"/>
  <c r="P571" i="36"/>
  <c r="P570" i="36"/>
  <c r="P569" i="36"/>
  <c r="P568" i="36"/>
  <c r="P567" i="36"/>
  <c r="P566" i="36"/>
  <c r="P565" i="36"/>
  <c r="P564" i="36"/>
  <c r="P563" i="36"/>
  <c r="P562" i="36"/>
  <c r="P561" i="36"/>
  <c r="P560" i="36"/>
  <c r="P559" i="36"/>
  <c r="P558" i="36"/>
  <c r="P557" i="36"/>
  <c r="P556" i="36"/>
  <c r="P555" i="36"/>
  <c r="P554" i="36"/>
  <c r="P553" i="36"/>
  <c r="P552" i="36"/>
  <c r="P551" i="36"/>
  <c r="P550" i="36"/>
  <c r="P549" i="36"/>
  <c r="P548" i="36"/>
  <c r="P547" i="36"/>
  <c r="P546" i="36"/>
  <c r="P545" i="36"/>
  <c r="P544" i="36"/>
  <c r="P543" i="36"/>
  <c r="P542" i="36"/>
  <c r="P541" i="36"/>
  <c r="P540" i="36"/>
  <c r="P539" i="36"/>
  <c r="P538" i="36"/>
  <c r="P537" i="36"/>
  <c r="P536" i="36"/>
  <c r="P535" i="36"/>
  <c r="P534" i="36"/>
  <c r="P533" i="36"/>
  <c r="P532" i="36"/>
  <c r="P531" i="36"/>
  <c r="P530" i="36"/>
  <c r="P529" i="36"/>
  <c r="P528" i="36"/>
  <c r="P527" i="36"/>
  <c r="P526" i="36"/>
  <c r="P525" i="36"/>
  <c r="P524" i="36"/>
  <c r="P523" i="36"/>
  <c r="P522" i="36"/>
  <c r="P521" i="36"/>
  <c r="P520" i="36"/>
  <c r="P519" i="36"/>
  <c r="P518" i="36"/>
  <c r="P517" i="36"/>
  <c r="P516" i="36"/>
  <c r="P515" i="36"/>
  <c r="P514" i="36"/>
  <c r="P513" i="36"/>
  <c r="P512" i="36"/>
  <c r="P511" i="36"/>
  <c r="P510" i="36"/>
  <c r="P509" i="36"/>
  <c r="P508" i="36"/>
  <c r="P507" i="36"/>
  <c r="P506" i="36"/>
  <c r="P505" i="36"/>
  <c r="P504" i="36"/>
  <c r="P503" i="36"/>
  <c r="P502" i="36"/>
  <c r="P501" i="36"/>
  <c r="P500" i="36"/>
  <c r="AT78" i="36"/>
  <c r="AT77" i="36"/>
  <c r="AT76" i="36"/>
  <c r="AT75" i="36"/>
  <c r="AT74" i="36"/>
  <c r="AT73" i="36"/>
  <c r="AT72" i="36"/>
  <c r="AT71" i="36"/>
  <c r="AT70" i="36"/>
  <c r="AT69" i="36"/>
  <c r="AT68" i="36"/>
  <c r="AT67" i="36"/>
  <c r="AT66" i="36"/>
  <c r="AT65" i="36"/>
  <c r="AT64" i="36"/>
  <c r="AT63" i="36"/>
  <c r="AT62" i="36"/>
  <c r="AT61" i="36"/>
  <c r="AT60" i="36"/>
  <c r="AT59" i="36"/>
  <c r="AT58" i="36"/>
  <c r="AT57" i="36"/>
  <c r="AT56" i="36"/>
  <c r="AT55" i="36"/>
  <c r="AT54" i="36"/>
  <c r="AT53" i="36"/>
  <c r="AT52" i="36"/>
  <c r="AT51" i="36"/>
  <c r="AT50" i="36"/>
  <c r="AT49" i="36"/>
  <c r="AT48" i="36"/>
  <c r="AT47" i="36"/>
  <c r="AT46" i="36"/>
  <c r="AT45" i="36"/>
  <c r="AT44" i="36"/>
  <c r="AT43" i="36"/>
  <c r="AT42" i="36"/>
  <c r="AT41" i="36"/>
  <c r="AT40" i="36"/>
  <c r="AT39" i="36"/>
  <c r="AT38" i="36"/>
  <c r="AT37" i="36"/>
  <c r="AT36" i="36"/>
  <c r="AT35" i="36"/>
  <c r="AT34" i="36"/>
  <c r="AT33" i="36"/>
  <c r="AT32" i="36"/>
  <c r="AT31" i="36"/>
  <c r="AT30" i="36"/>
  <c r="AT29" i="36"/>
  <c r="AT28" i="36"/>
  <c r="AT27" i="36"/>
  <c r="AT26" i="36"/>
  <c r="AT25" i="36"/>
  <c r="AT24" i="36"/>
  <c r="AT23" i="36"/>
  <c r="AT22" i="36"/>
  <c r="AT21" i="36"/>
  <c r="AT20" i="36"/>
  <c r="AT19" i="36"/>
  <c r="AT18" i="36"/>
  <c r="AT17" i="36"/>
  <c r="AT16" i="36"/>
  <c r="AT15" i="36"/>
  <c r="AT14" i="36"/>
  <c r="AT13" i="36"/>
  <c r="AT12" i="36"/>
  <c r="AT11" i="36"/>
  <c r="AT10" i="36"/>
  <c r="AT9" i="36"/>
  <c r="AT8" i="36"/>
  <c r="AT7" i="36"/>
  <c r="AT6" i="36"/>
  <c r="AT5" i="36"/>
  <c r="AT4" i="36"/>
  <c r="AT3" i="36"/>
  <c r="AT2" i="36"/>
  <c r="V14" i="40" l="1"/>
  <c r="U35" i="40"/>
  <c r="X35" i="40" s="1"/>
  <c r="V33" i="40"/>
  <c r="V17" i="40"/>
  <c r="U27" i="40"/>
  <c r="X27" i="40" s="1"/>
  <c r="V57" i="40"/>
  <c r="V10" i="40"/>
  <c r="V43" i="40"/>
  <c r="U53" i="40"/>
  <c r="X53" i="40" s="1"/>
  <c r="U42" i="40"/>
  <c r="X42" i="40" s="1"/>
  <c r="U49" i="40"/>
  <c r="X49" i="40" s="1"/>
  <c r="V56" i="40"/>
  <c r="V32" i="40"/>
  <c r="U22" i="40"/>
  <c r="X22" i="40" s="1"/>
  <c r="U9" i="40"/>
  <c r="X9" i="40" s="1"/>
  <c r="V7" i="40"/>
  <c r="V45" i="40"/>
  <c r="V51" i="40"/>
  <c r="V41" i="40"/>
  <c r="U28" i="40"/>
  <c r="X28" i="40" s="1"/>
  <c r="V39" i="40"/>
  <c r="V23" i="40"/>
  <c r="U55" i="40"/>
  <c r="X55" i="40" s="1"/>
  <c r="U29" i="40"/>
  <c r="X29" i="40" s="1"/>
  <c r="U37" i="40"/>
  <c r="X37" i="40" s="1"/>
  <c r="U48" i="40"/>
  <c r="X48" i="40" s="1"/>
  <c r="V15" i="40"/>
  <c r="V61" i="40"/>
  <c r="V8" i="40"/>
  <c r="V5" i="40"/>
  <c r="T25" i="40"/>
  <c r="V3" i="40"/>
  <c r="U62" i="40"/>
  <c r="X62" i="40" s="1"/>
  <c r="V62" i="40"/>
  <c r="AH14" i="40"/>
  <c r="AH10" i="40"/>
  <c r="AH13" i="40"/>
  <c r="AG11" i="40"/>
  <c r="AH11" i="40" s="1"/>
  <c r="AH9" i="40"/>
  <c r="AH6" i="40"/>
  <c r="AH15" i="40"/>
  <c r="V67" i="40"/>
  <c r="U75" i="40"/>
  <c r="X75" i="40" s="1"/>
  <c r="T68" i="40"/>
  <c r="U68" i="40"/>
  <c r="X68" i="40" s="1"/>
  <c r="AH5" i="40"/>
  <c r="AG7" i="40"/>
  <c r="AF7" i="40"/>
  <c r="U63" i="40"/>
  <c r="X63" i="40" s="1"/>
  <c r="V66" i="40"/>
  <c r="Q359" i="36"/>
  <c r="W359" i="36" s="1"/>
  <c r="Q356" i="36"/>
  <c r="W356" i="36" s="1"/>
  <c r="Q358" i="36"/>
  <c r="W358" i="36" s="1"/>
  <c r="Q25" i="36"/>
  <c r="W25" i="36" s="1"/>
  <c r="Q17" i="36"/>
  <c r="W17" i="36" s="1"/>
  <c r="Q361" i="36"/>
  <c r="W361" i="36" s="1"/>
  <c r="Q57" i="36"/>
  <c r="W57" i="36" s="1"/>
  <c r="Q49" i="36"/>
  <c r="W49" i="36" s="1"/>
  <c r="Q233" i="36"/>
  <c r="W233" i="36" s="1"/>
  <c r="Q289" i="36"/>
  <c r="W289" i="36" s="1"/>
  <c r="Q37" i="36"/>
  <c r="W37" i="36" s="1"/>
  <c r="Q53" i="36"/>
  <c r="W53" i="36" s="1"/>
  <c r="Q125" i="36"/>
  <c r="W125" i="36" s="1"/>
  <c r="Q157" i="36"/>
  <c r="W157" i="36" s="1"/>
  <c r="Q165" i="36"/>
  <c r="W165" i="36" s="1"/>
  <c r="Q189" i="36"/>
  <c r="W189" i="36" s="1"/>
  <c r="Q245" i="36"/>
  <c r="W245" i="36" s="1"/>
  <c r="Q253" i="36"/>
  <c r="W253" i="36" s="1"/>
  <c r="Q261" i="36"/>
  <c r="W261" i="36" s="1"/>
  <c r="Q269" i="36"/>
  <c r="W269" i="36" s="1"/>
  <c r="Q277" i="36"/>
  <c r="W277" i="36" s="1"/>
  <c r="Q293" i="36"/>
  <c r="W293" i="36" s="1"/>
  <c r="Q301" i="36"/>
  <c r="W301" i="36" s="1"/>
  <c r="Q309" i="36"/>
  <c r="W309" i="36" s="1"/>
  <c r="Q97" i="36"/>
  <c r="W97" i="36" s="1"/>
  <c r="Q161" i="36"/>
  <c r="W161" i="36" s="1"/>
  <c r="Q169" i="36"/>
  <c r="W169" i="36" s="1"/>
  <c r="Q177" i="36"/>
  <c r="W177" i="36" s="1"/>
  <c r="Q187" i="36"/>
  <c r="W187" i="36" s="1"/>
  <c r="Q129" i="36"/>
  <c r="W129" i="36" s="1"/>
  <c r="Q91" i="36"/>
  <c r="W91" i="36" s="1"/>
  <c r="Q219" i="36"/>
  <c r="W219" i="36" s="1"/>
  <c r="Q153" i="36"/>
  <c r="W153" i="36" s="1"/>
  <c r="Q265" i="36"/>
  <c r="W265" i="36" s="1"/>
  <c r="Q273" i="36"/>
  <c r="W273" i="36" s="1"/>
  <c r="Q325" i="36"/>
  <c r="W325" i="36" s="1"/>
  <c r="Q41" i="36"/>
  <c r="W41" i="36" s="1"/>
  <c r="Q22" i="36"/>
  <c r="W22" i="36" s="1"/>
  <c r="Q30" i="36"/>
  <c r="W30" i="36" s="1"/>
  <c r="Q38" i="36"/>
  <c r="W38" i="36" s="1"/>
  <c r="Q70" i="36"/>
  <c r="W70" i="36" s="1"/>
  <c r="Q94" i="36"/>
  <c r="W94" i="36" s="1"/>
  <c r="Q110" i="36"/>
  <c r="W110" i="36" s="1"/>
  <c r="Q118" i="36"/>
  <c r="W118" i="36" s="1"/>
  <c r="Q126" i="36"/>
  <c r="W126" i="36" s="1"/>
  <c r="Q150" i="36"/>
  <c r="W150" i="36" s="1"/>
  <c r="Q158" i="36"/>
  <c r="W158" i="36" s="1"/>
  <c r="Q182" i="36"/>
  <c r="W182" i="36" s="1"/>
  <c r="Q190" i="36"/>
  <c r="W190" i="36" s="1"/>
  <c r="Q198" i="36"/>
  <c r="W198" i="36" s="1"/>
  <c r="Q222" i="36"/>
  <c r="W222" i="36" s="1"/>
  <c r="Q230" i="36"/>
  <c r="W230" i="36" s="1"/>
  <c r="Q238" i="36"/>
  <c r="W238" i="36" s="1"/>
  <c r="Q262" i="36"/>
  <c r="W262" i="36" s="1"/>
  <c r="Q278" i="36"/>
  <c r="W278" i="36" s="1"/>
  <c r="Q286" i="36"/>
  <c r="W286" i="36" s="1"/>
  <c r="Q334" i="36"/>
  <c r="W334" i="36" s="1"/>
  <c r="Q342" i="36"/>
  <c r="W342" i="36" s="1"/>
  <c r="Q350" i="36"/>
  <c r="W350" i="36" s="1"/>
  <c r="Q101" i="36"/>
  <c r="W101" i="36" s="1"/>
  <c r="Q229" i="36"/>
  <c r="W229" i="36" s="1"/>
  <c r="Q33" i="36"/>
  <c r="W33" i="36" s="1"/>
  <c r="Q73" i="36"/>
  <c r="W73" i="36" s="1"/>
  <c r="Q155" i="36"/>
  <c r="W155" i="36" s="1"/>
  <c r="Q163" i="36"/>
  <c r="W163" i="36" s="1"/>
  <c r="Q171" i="36"/>
  <c r="W171" i="36" s="1"/>
  <c r="Q193" i="36"/>
  <c r="W193" i="36" s="1"/>
  <c r="Q201" i="36"/>
  <c r="W201" i="36" s="1"/>
  <c r="Q313" i="36"/>
  <c r="W313" i="36" s="1"/>
  <c r="Q3" i="36"/>
  <c r="W3" i="36" s="1"/>
  <c r="Q81" i="36"/>
  <c r="W81" i="36" s="1"/>
  <c r="Q156" i="36"/>
  <c r="W156" i="36" s="1"/>
  <c r="Q164" i="36"/>
  <c r="W164" i="36" s="1"/>
  <c r="Q172" i="36"/>
  <c r="W172" i="36" s="1"/>
  <c r="Q217" i="36"/>
  <c r="W217" i="36" s="1"/>
  <c r="Q225" i="36"/>
  <c r="W225" i="36" s="1"/>
  <c r="Q8" i="36"/>
  <c r="W8" i="36" s="1"/>
  <c r="Q16" i="36"/>
  <c r="W16" i="36" s="1"/>
  <c r="Q24" i="36"/>
  <c r="W24" i="36" s="1"/>
  <c r="Q48" i="36"/>
  <c r="W48" i="36" s="1"/>
  <c r="Q64" i="36"/>
  <c r="W64" i="36" s="1"/>
  <c r="Q264" i="36"/>
  <c r="W264" i="36" s="1"/>
  <c r="Q280" i="36"/>
  <c r="W280" i="36" s="1"/>
  <c r="Q288" i="36"/>
  <c r="W288" i="36" s="1"/>
  <c r="Q336" i="36"/>
  <c r="W336" i="36" s="1"/>
  <c r="Q344" i="36"/>
  <c r="W344" i="36" s="1"/>
  <c r="Q121" i="36"/>
  <c r="W121" i="36" s="1"/>
  <c r="Q241" i="36"/>
  <c r="W241" i="36" s="1"/>
  <c r="Q249" i="36"/>
  <c r="W249" i="36" s="1"/>
  <c r="Q345" i="36"/>
  <c r="W345" i="36" s="1"/>
  <c r="Q46" i="36"/>
  <c r="W46" i="36" s="1"/>
  <c r="Q142" i="36"/>
  <c r="W142" i="36" s="1"/>
  <c r="Q173" i="36"/>
  <c r="W173" i="36" s="1"/>
  <c r="Q312" i="36"/>
  <c r="W312" i="36" s="1"/>
  <c r="Q89" i="36"/>
  <c r="W89" i="36" s="1"/>
  <c r="Q105" i="36"/>
  <c r="W105" i="36" s="1"/>
  <c r="Q137" i="36"/>
  <c r="W137" i="36" s="1"/>
  <c r="Q257" i="36"/>
  <c r="W257" i="36" s="1"/>
  <c r="Q281" i="36"/>
  <c r="W281" i="36" s="1"/>
  <c r="Q337" i="36"/>
  <c r="W337" i="36" s="1"/>
  <c r="Q206" i="36"/>
  <c r="W206" i="36" s="1"/>
  <c r="Q40" i="36"/>
  <c r="W40" i="36" s="1"/>
  <c r="Q256" i="36"/>
  <c r="W256" i="36" s="1"/>
  <c r="Q307" i="36"/>
  <c r="W307" i="36" s="1"/>
  <c r="Q58" i="36"/>
  <c r="W58" i="36" s="1"/>
  <c r="Q90" i="36"/>
  <c r="W90" i="36" s="1"/>
  <c r="Q114" i="36"/>
  <c r="W114" i="36" s="1"/>
  <c r="Q186" i="36"/>
  <c r="W186" i="36" s="1"/>
  <c r="Q210" i="36"/>
  <c r="W210" i="36" s="1"/>
  <c r="Q282" i="36"/>
  <c r="W282" i="36" s="1"/>
  <c r="Q306" i="36"/>
  <c r="W306" i="36" s="1"/>
  <c r="Q54" i="36"/>
  <c r="W54" i="36" s="1"/>
  <c r="Q78" i="36"/>
  <c r="W78" i="36" s="1"/>
  <c r="Q134" i="36"/>
  <c r="W134" i="36" s="1"/>
  <c r="Q214" i="36"/>
  <c r="W214" i="36" s="1"/>
  <c r="Q302" i="36"/>
  <c r="W302" i="36" s="1"/>
  <c r="Q107" i="36"/>
  <c r="W107" i="36" s="1"/>
  <c r="Q179" i="36"/>
  <c r="W179" i="36" s="1"/>
  <c r="Q5" i="36"/>
  <c r="W5" i="36" s="1"/>
  <c r="Q133" i="36"/>
  <c r="W133" i="36" s="1"/>
  <c r="Q85" i="36"/>
  <c r="W85" i="36" s="1"/>
  <c r="Q310" i="36"/>
  <c r="W310" i="36" s="1"/>
  <c r="Q319" i="36"/>
  <c r="W319" i="36" s="1"/>
  <c r="Q304" i="36"/>
  <c r="W304" i="36" s="1"/>
  <c r="Q323" i="36"/>
  <c r="W323" i="36" s="1"/>
  <c r="Q205" i="36"/>
  <c r="W205" i="36" s="1"/>
  <c r="Q6" i="36"/>
  <c r="W6" i="36" s="1"/>
  <c r="Q166" i="36"/>
  <c r="W166" i="36" s="1"/>
  <c r="Q254" i="36"/>
  <c r="W254" i="36" s="1"/>
  <c r="Q61" i="36"/>
  <c r="W61" i="36" s="1"/>
  <c r="Q69" i="36"/>
  <c r="W69" i="36" s="1"/>
  <c r="Q109" i="36"/>
  <c r="W109" i="36" s="1"/>
  <c r="Q181" i="36"/>
  <c r="W181" i="36" s="1"/>
  <c r="Q13" i="36"/>
  <c r="W13" i="36" s="1"/>
  <c r="Q14" i="36"/>
  <c r="W14" i="36" s="1"/>
  <c r="Q341" i="36"/>
  <c r="W341" i="36" s="1"/>
  <c r="Q102" i="36"/>
  <c r="W102" i="36" s="1"/>
  <c r="Q333" i="36"/>
  <c r="W333" i="36" s="1"/>
  <c r="Q86" i="36"/>
  <c r="W86" i="36" s="1"/>
  <c r="Q294" i="36"/>
  <c r="W294" i="36" s="1"/>
  <c r="Q326" i="36"/>
  <c r="W326" i="36" s="1"/>
  <c r="Q117" i="36"/>
  <c r="W117" i="36" s="1"/>
  <c r="Q149" i="36"/>
  <c r="W149" i="36" s="1"/>
  <c r="Q285" i="36"/>
  <c r="W285" i="36" s="1"/>
  <c r="Q349" i="36"/>
  <c r="W349" i="36" s="1"/>
  <c r="Q237" i="36"/>
  <c r="W237" i="36" s="1"/>
  <c r="Q65" i="36"/>
  <c r="W65" i="36" s="1"/>
  <c r="Q9" i="36"/>
  <c r="W9" i="36" s="1"/>
  <c r="Q106" i="36"/>
  <c r="W106" i="36" s="1"/>
  <c r="Q113" i="36"/>
  <c r="W113" i="36" s="1"/>
  <c r="Q185" i="36"/>
  <c r="W185" i="36" s="1"/>
  <c r="Q197" i="36"/>
  <c r="W197" i="36" s="1"/>
  <c r="Q221" i="36"/>
  <c r="W221" i="36" s="1"/>
  <c r="Q298" i="36"/>
  <c r="W298" i="36" s="1"/>
  <c r="Q305" i="36"/>
  <c r="W305" i="36" s="1"/>
  <c r="Q62" i="36"/>
  <c r="W62" i="36" s="1"/>
  <c r="Q174" i="36"/>
  <c r="W174" i="36" s="1"/>
  <c r="Q246" i="36"/>
  <c r="W246" i="36" s="1"/>
  <c r="Q270" i="36"/>
  <c r="W270" i="36" s="1"/>
  <c r="Q318" i="36"/>
  <c r="W318" i="36" s="1"/>
  <c r="Q93" i="36"/>
  <c r="W93" i="36" s="1"/>
  <c r="Q141" i="36"/>
  <c r="W141" i="36" s="1"/>
  <c r="Q213" i="36"/>
  <c r="W213" i="36" s="1"/>
  <c r="Q56" i="36"/>
  <c r="W56" i="36" s="1"/>
  <c r="Q240" i="36"/>
  <c r="W240" i="36" s="1"/>
  <c r="Q248" i="36"/>
  <c r="W248" i="36" s="1"/>
  <c r="Q272" i="36"/>
  <c r="W272" i="36" s="1"/>
  <c r="Q320" i="36"/>
  <c r="W320" i="36" s="1"/>
  <c r="Q328" i="36"/>
  <c r="W328" i="36" s="1"/>
  <c r="Q352" i="36"/>
  <c r="W352" i="36" s="1"/>
  <c r="Q29" i="36"/>
  <c r="W29" i="36" s="1"/>
  <c r="Q77" i="36"/>
  <c r="W77" i="36" s="1"/>
  <c r="Q209" i="36"/>
  <c r="W209" i="36" s="1"/>
  <c r="Q297" i="36"/>
  <c r="W297" i="36" s="1"/>
  <c r="Q45" i="36"/>
  <c r="W45" i="36" s="1"/>
  <c r="Q21" i="36"/>
  <c r="W21" i="36" s="1"/>
  <c r="Q67" i="36"/>
  <c r="W67" i="36" s="1"/>
  <c r="Q145" i="36"/>
  <c r="W145" i="36" s="1"/>
  <c r="Q203" i="36"/>
  <c r="W203" i="36" s="1"/>
  <c r="Q227" i="36"/>
  <c r="W227" i="36" s="1"/>
  <c r="Q299" i="36"/>
  <c r="W299" i="36" s="1"/>
  <c r="Q317" i="36"/>
  <c r="W317" i="36" s="1"/>
  <c r="Q331" i="36"/>
  <c r="W331" i="36" s="1"/>
  <c r="Q338" i="36"/>
  <c r="W338" i="36" s="1"/>
  <c r="Q7" i="36"/>
  <c r="W7" i="36" s="1"/>
  <c r="Q15" i="36"/>
  <c r="W15" i="36" s="1"/>
  <c r="Q23" i="36"/>
  <c r="W23" i="36" s="1"/>
  <c r="Q31" i="36"/>
  <c r="W31" i="36" s="1"/>
  <c r="Q39" i="36"/>
  <c r="W39" i="36" s="1"/>
  <c r="Q47" i="36"/>
  <c r="W47" i="36" s="1"/>
  <c r="Q55" i="36"/>
  <c r="W55" i="36" s="1"/>
  <c r="Q63" i="36"/>
  <c r="W63" i="36" s="1"/>
  <c r="Q79" i="36"/>
  <c r="W79" i="36" s="1"/>
  <c r="Q95" i="36"/>
  <c r="W95" i="36" s="1"/>
  <c r="Q111" i="36"/>
  <c r="W111" i="36" s="1"/>
  <c r="Q127" i="36"/>
  <c r="W127" i="36" s="1"/>
  <c r="Q143" i="36"/>
  <c r="W143" i="36" s="1"/>
  <c r="Q159" i="36"/>
  <c r="W159" i="36" s="1"/>
  <c r="Q175" i="36"/>
  <c r="W175" i="36" s="1"/>
  <c r="Q191" i="36"/>
  <c r="W191" i="36" s="1"/>
  <c r="Q207" i="36"/>
  <c r="W207" i="36" s="1"/>
  <c r="Q223" i="36"/>
  <c r="W223" i="36" s="1"/>
  <c r="Q239" i="36"/>
  <c r="W239" i="36" s="1"/>
  <c r="Q247" i="36"/>
  <c r="W247" i="36" s="1"/>
  <c r="Q263" i="36"/>
  <c r="W263" i="36" s="1"/>
  <c r="Q271" i="36"/>
  <c r="W271" i="36" s="1"/>
  <c r="Q279" i="36"/>
  <c r="W279" i="36" s="1"/>
  <c r="Q287" i="36"/>
  <c r="W287" i="36" s="1"/>
  <c r="Q295" i="36"/>
  <c r="W295" i="36" s="1"/>
  <c r="Q303" i="36"/>
  <c r="W303" i="36" s="1"/>
  <c r="Q311" i="36"/>
  <c r="W311" i="36" s="1"/>
  <c r="Q327" i="36"/>
  <c r="W327" i="36" s="1"/>
  <c r="Q335" i="36"/>
  <c r="W335" i="36" s="1"/>
  <c r="Q343" i="36"/>
  <c r="W343" i="36" s="1"/>
  <c r="Q351" i="36"/>
  <c r="W351" i="36" s="1"/>
  <c r="Q80" i="36"/>
  <c r="W80" i="36" s="1"/>
  <c r="Q96" i="36"/>
  <c r="W96" i="36" s="1"/>
  <c r="Q112" i="36"/>
  <c r="W112" i="36" s="1"/>
  <c r="Q128" i="36"/>
  <c r="W128" i="36" s="1"/>
  <c r="Q144" i="36"/>
  <c r="W144" i="36" s="1"/>
  <c r="Q160" i="36"/>
  <c r="W160" i="36" s="1"/>
  <c r="Q176" i="36"/>
  <c r="W176" i="36" s="1"/>
  <c r="Q192" i="36"/>
  <c r="W192" i="36" s="1"/>
  <c r="Q208" i="36"/>
  <c r="W208" i="36" s="1"/>
  <c r="Q224" i="36"/>
  <c r="W224" i="36" s="1"/>
  <c r="Q71" i="36"/>
  <c r="W71" i="36" s="1"/>
  <c r="Q87" i="36"/>
  <c r="W87" i="36" s="1"/>
  <c r="Q103" i="36"/>
  <c r="W103" i="36" s="1"/>
  <c r="Q119" i="36"/>
  <c r="W119" i="36" s="1"/>
  <c r="Q135" i="36"/>
  <c r="W135" i="36" s="1"/>
  <c r="Q151" i="36"/>
  <c r="W151" i="36" s="1"/>
  <c r="Q167" i="36"/>
  <c r="W167" i="36" s="1"/>
  <c r="Q183" i="36"/>
  <c r="W183" i="36" s="1"/>
  <c r="Q199" i="36"/>
  <c r="W199" i="36" s="1"/>
  <c r="Q215" i="36"/>
  <c r="W215" i="36" s="1"/>
  <c r="Q231" i="36"/>
  <c r="W231" i="36" s="1"/>
  <c r="Q72" i="36"/>
  <c r="W72" i="36" s="1"/>
  <c r="Q88" i="36"/>
  <c r="W88" i="36" s="1"/>
  <c r="Q104" i="36"/>
  <c r="W104" i="36" s="1"/>
  <c r="Q120" i="36"/>
  <c r="W120" i="36" s="1"/>
  <c r="Q136" i="36"/>
  <c r="W136" i="36" s="1"/>
  <c r="Q152" i="36"/>
  <c r="W152" i="36" s="1"/>
  <c r="Q168" i="36"/>
  <c r="W168" i="36" s="1"/>
  <c r="Q184" i="36"/>
  <c r="W184" i="36" s="1"/>
  <c r="Q200" i="36"/>
  <c r="W200" i="36" s="1"/>
  <c r="Q216" i="36"/>
  <c r="W216" i="36" s="1"/>
  <c r="Q232" i="36"/>
  <c r="W232" i="36" s="1"/>
  <c r="U25" i="40" l="1"/>
  <c r="X25" i="40" s="1"/>
  <c r="V25" i="40"/>
  <c r="AH7" i="40"/>
  <c r="AW90" i="36"/>
  <c r="AU90" i="36"/>
  <c r="AV90" i="36" s="1"/>
  <c r="AW89" i="36"/>
  <c r="AU89" i="36"/>
  <c r="AV89" i="36" s="1"/>
  <c r="AU88" i="36"/>
  <c r="AV88" i="36" s="1"/>
  <c r="AW87" i="36"/>
  <c r="AU87" i="36"/>
  <c r="AV87" i="36" s="1"/>
  <c r="AW86" i="36"/>
  <c r="AU86" i="36"/>
  <c r="AV86" i="36" s="1"/>
  <c r="AW85" i="36"/>
  <c r="AU85" i="36"/>
  <c r="AV85" i="36" s="1"/>
  <c r="AU84" i="36"/>
  <c r="AV84" i="36" s="1"/>
  <c r="AW83" i="36"/>
  <c r="AU83" i="36"/>
  <c r="AV83" i="36" s="1"/>
  <c r="AX82" i="36"/>
  <c r="AU82" i="36"/>
  <c r="AV82" i="36" s="1"/>
  <c r="AW81" i="36"/>
  <c r="AU81" i="36"/>
  <c r="AV81" i="36" s="1"/>
  <c r="AW80" i="36"/>
  <c r="AU80" i="36"/>
  <c r="AV80" i="36" s="1"/>
  <c r="AW79" i="36"/>
  <c r="AU79" i="36"/>
  <c r="AV79" i="36" s="1"/>
  <c r="AU78" i="36"/>
  <c r="AV78" i="36" s="1"/>
  <c r="AW77" i="36"/>
  <c r="AU77" i="36"/>
  <c r="AV77" i="36" s="1"/>
  <c r="AW76" i="36"/>
  <c r="AU76" i="36"/>
  <c r="AV76" i="36" s="1"/>
  <c r="AW75" i="36"/>
  <c r="AU75" i="36"/>
  <c r="AV75" i="36" s="1"/>
  <c r="AX74" i="36"/>
  <c r="AU74" i="36"/>
  <c r="AV74" i="36" s="1"/>
  <c r="AW73" i="36"/>
  <c r="AU73" i="36"/>
  <c r="AV73" i="36" s="1"/>
  <c r="AW72" i="36"/>
  <c r="AU72" i="36"/>
  <c r="AV72" i="36" s="1"/>
  <c r="AW71" i="36"/>
  <c r="AU71" i="36"/>
  <c r="AV71" i="36" s="1"/>
  <c r="AW70" i="36"/>
  <c r="AU70" i="36"/>
  <c r="AV70" i="36" s="1"/>
  <c r="AW69" i="36"/>
  <c r="AU69" i="36"/>
  <c r="AV69" i="36" s="1"/>
  <c r="AU68" i="36"/>
  <c r="AV68" i="36" s="1"/>
  <c r="AW67" i="36"/>
  <c r="AU67" i="36"/>
  <c r="AV67" i="36" s="1"/>
  <c r="AW66" i="36"/>
  <c r="AU66" i="36"/>
  <c r="AV66" i="36" s="1"/>
  <c r="AW65" i="36"/>
  <c r="AU65" i="36"/>
  <c r="AV65" i="36" s="1"/>
  <c r="AW64" i="36"/>
  <c r="AU64" i="36"/>
  <c r="AV64" i="36" s="1"/>
  <c r="AW63" i="36"/>
  <c r="AU63" i="36"/>
  <c r="AV63" i="36" s="1"/>
  <c r="AU62" i="36"/>
  <c r="AV62" i="36" s="1"/>
  <c r="AW61" i="36"/>
  <c r="AU61" i="36"/>
  <c r="AV61" i="36" s="1"/>
  <c r="AW60" i="36"/>
  <c r="AU60" i="36"/>
  <c r="AV60" i="36" s="1"/>
  <c r="AW59" i="36"/>
  <c r="AU59" i="36"/>
  <c r="AV59" i="36" s="1"/>
  <c r="AW58" i="36"/>
  <c r="AU58" i="36"/>
  <c r="AV58" i="36" s="1"/>
  <c r="AW57" i="36"/>
  <c r="AU57" i="36"/>
  <c r="AV57" i="36" s="1"/>
  <c r="AU56" i="36"/>
  <c r="AV56" i="36" s="1"/>
  <c r="AW55" i="36"/>
  <c r="AU55" i="36"/>
  <c r="AV55" i="36" s="1"/>
  <c r="AW54" i="36"/>
  <c r="AU54" i="36"/>
  <c r="AV54" i="36" s="1"/>
  <c r="AW53" i="36"/>
  <c r="AU53" i="36"/>
  <c r="AV53" i="36" s="1"/>
  <c r="AU52" i="36"/>
  <c r="AV52" i="36" s="1"/>
  <c r="AW51" i="36"/>
  <c r="AU51" i="36"/>
  <c r="AV51" i="36" s="1"/>
  <c r="AX50" i="36"/>
  <c r="AU50" i="36"/>
  <c r="AV50" i="36" s="1"/>
  <c r="AW49" i="36"/>
  <c r="AU49" i="36"/>
  <c r="AV49" i="36" s="1"/>
  <c r="AU48" i="36"/>
  <c r="AV48" i="36" s="1"/>
  <c r="AW47" i="36"/>
  <c r="AU47" i="36"/>
  <c r="AV47" i="36" s="1"/>
  <c r="AX46" i="36"/>
  <c r="AU46" i="36"/>
  <c r="AV46" i="36" s="1"/>
  <c r="AW45" i="36"/>
  <c r="AU45" i="36"/>
  <c r="AV45" i="36" s="1"/>
  <c r="AW44" i="36"/>
  <c r="AU44" i="36"/>
  <c r="AV44" i="36" s="1"/>
  <c r="AW43" i="36"/>
  <c r="AU43" i="36"/>
  <c r="AV43" i="36" s="1"/>
  <c r="AU42" i="36"/>
  <c r="AV42" i="36" s="1"/>
  <c r="AW41" i="36"/>
  <c r="AU41" i="36"/>
  <c r="AV41" i="36" s="1"/>
  <c r="AW40" i="36"/>
  <c r="AU40" i="36"/>
  <c r="AV40" i="36" s="1"/>
  <c r="AW39" i="36"/>
  <c r="AU39" i="36"/>
  <c r="AV39" i="36" s="1"/>
  <c r="AW38" i="36"/>
  <c r="AU38" i="36"/>
  <c r="AV38" i="36" s="1"/>
  <c r="AW37" i="36"/>
  <c r="AU37" i="36"/>
  <c r="AV37" i="36" s="1"/>
  <c r="AU36" i="36"/>
  <c r="AV36" i="36" s="1"/>
  <c r="AW35" i="36"/>
  <c r="AU35" i="36"/>
  <c r="AV35" i="36" s="1"/>
  <c r="AW34" i="36"/>
  <c r="AU34" i="36"/>
  <c r="AV34" i="36" s="1"/>
  <c r="AW33" i="36"/>
  <c r="AU33" i="36"/>
  <c r="AV33" i="36" s="1"/>
  <c r="AW32" i="36"/>
  <c r="AU32" i="36"/>
  <c r="AV32" i="36" s="1"/>
  <c r="AW31" i="36"/>
  <c r="AU31" i="36"/>
  <c r="AV31" i="36" s="1"/>
  <c r="AU30" i="36"/>
  <c r="AV30" i="36" s="1"/>
  <c r="AW29" i="36"/>
  <c r="AU29" i="36"/>
  <c r="AV29" i="36" s="1"/>
  <c r="AW28" i="36"/>
  <c r="AU28" i="36"/>
  <c r="AV28" i="36" s="1"/>
  <c r="AW27" i="36"/>
  <c r="AU27" i="36"/>
  <c r="AV27" i="36" s="1"/>
  <c r="AW26" i="36"/>
  <c r="AU26" i="36"/>
  <c r="AV26" i="36" s="1"/>
  <c r="AW25" i="36"/>
  <c r="AU25" i="36"/>
  <c r="AV25" i="36" s="1"/>
  <c r="AU24" i="36"/>
  <c r="AV24" i="36" s="1"/>
  <c r="AW23" i="36"/>
  <c r="AU23" i="36"/>
  <c r="AV23" i="36" s="1"/>
  <c r="AW22" i="36"/>
  <c r="AU22" i="36"/>
  <c r="AV22" i="36" s="1"/>
  <c r="AW21" i="36"/>
  <c r="AU21" i="36"/>
  <c r="AV21" i="36" s="1"/>
  <c r="AU20" i="36"/>
  <c r="AV20" i="36" s="1"/>
  <c r="AW19" i="36"/>
  <c r="AU19" i="36"/>
  <c r="AV19" i="36" s="1"/>
  <c r="AU18" i="36"/>
  <c r="AV18" i="36" s="1"/>
  <c r="AW17" i="36"/>
  <c r="AU17" i="36"/>
  <c r="AV17" i="36" s="1"/>
  <c r="AU16" i="36"/>
  <c r="AV16" i="36" s="1"/>
  <c r="AW15" i="36"/>
  <c r="AU15" i="36"/>
  <c r="AV15" i="36" s="1"/>
  <c r="AU14" i="36"/>
  <c r="AV14" i="36" s="1"/>
  <c r="AW13" i="36"/>
  <c r="AU13" i="36"/>
  <c r="AV13" i="36" s="1"/>
  <c r="AU12" i="36"/>
  <c r="AV12" i="36" s="1"/>
  <c r="AW11" i="36"/>
  <c r="AU11" i="36"/>
  <c r="AV11" i="36" s="1"/>
  <c r="AX10" i="36"/>
  <c r="AU10" i="36"/>
  <c r="AV10" i="36" s="1"/>
  <c r="AW9" i="36"/>
  <c r="AU9" i="36"/>
  <c r="AV9" i="36" s="1"/>
  <c r="AW8" i="36"/>
  <c r="AU8" i="36"/>
  <c r="AV8" i="36" s="1"/>
  <c r="AW7" i="36"/>
  <c r="AU7" i="36"/>
  <c r="AV7" i="36" s="1"/>
  <c r="AU6" i="36"/>
  <c r="AV6" i="36" s="1"/>
  <c r="AW5" i="36"/>
  <c r="AU5" i="36"/>
  <c r="AV5" i="36" s="1"/>
  <c r="AW4" i="36"/>
  <c r="AZ4" i="36" s="1"/>
  <c r="AU4" i="36"/>
  <c r="AV4" i="36" s="1"/>
  <c r="AW3" i="36"/>
  <c r="AU3" i="36"/>
  <c r="AV3" i="36" s="1"/>
  <c r="AV2" i="36"/>
  <c r="AX3" i="36"/>
  <c r="AX7" i="36"/>
  <c r="AX11" i="36"/>
  <c r="AX15" i="36"/>
  <c r="AX18" i="36"/>
  <c r="AX19" i="36"/>
  <c r="AX23" i="36"/>
  <c r="AX26" i="36"/>
  <c r="AX27" i="36"/>
  <c r="AX31" i="36"/>
  <c r="AX35" i="36"/>
  <c r="AX37" i="36"/>
  <c r="AX39" i="36"/>
  <c r="AX42" i="36"/>
  <c r="AX43" i="36"/>
  <c r="AX47" i="36"/>
  <c r="AX51" i="36"/>
  <c r="AX53" i="36"/>
  <c r="AX54" i="36"/>
  <c r="AX55" i="36"/>
  <c r="AX59" i="36"/>
  <c r="AX62" i="36"/>
  <c r="AX63" i="36"/>
  <c r="AX67" i="36"/>
  <c r="AX70" i="36"/>
  <c r="AX71" i="36"/>
  <c r="AX75" i="36"/>
  <c r="AX78" i="36"/>
  <c r="AX79" i="36"/>
  <c r="AX83" i="36"/>
  <c r="AX87" i="36"/>
  <c r="AX21" i="36" l="1"/>
  <c r="AX86" i="36"/>
  <c r="AX34" i="36"/>
  <c r="AX66" i="36"/>
  <c r="AX5" i="36"/>
  <c r="AX77" i="36"/>
  <c r="AX58" i="36"/>
  <c r="AX45" i="36"/>
  <c r="AX29" i="36"/>
  <c r="AX61" i="36"/>
  <c r="AX85" i="36"/>
  <c r="AX13" i="36"/>
  <c r="AX69" i="36"/>
  <c r="AX90" i="36"/>
  <c r="AX60" i="36"/>
  <c r="AX52" i="36"/>
  <c r="AX44" i="36"/>
  <c r="AX36" i="36"/>
  <c r="AX28" i="36"/>
  <c r="AX20" i="36"/>
  <c r="AX12" i="36"/>
  <c r="AX4" i="36"/>
  <c r="AX76" i="36"/>
  <c r="AX84" i="36"/>
  <c r="AX68" i="36"/>
  <c r="AX73" i="36"/>
  <c r="AX25" i="36"/>
  <c r="AX57" i="36"/>
  <c r="AX17" i="36"/>
  <c r="AX81" i="36"/>
  <c r="AX49" i="36"/>
  <c r="AX9" i="36"/>
  <c r="AX89" i="36"/>
  <c r="AX65" i="36"/>
  <c r="AX41" i="36"/>
  <c r="AX33" i="36"/>
  <c r="AX38" i="36"/>
  <c r="AX30" i="36"/>
  <c r="AW52" i="36"/>
  <c r="AZ52" i="36" s="1"/>
  <c r="AW20" i="36"/>
  <c r="AZ20" i="36" s="1"/>
  <c r="AW56" i="36"/>
  <c r="AZ56" i="36" s="1"/>
  <c r="AW2" i="36"/>
  <c r="AZ2" i="36" s="1"/>
  <c r="AX2" i="36"/>
  <c r="AW12" i="36"/>
  <c r="AZ12" i="36" s="1"/>
  <c r="AW48" i="36"/>
  <c r="AZ48" i="36" s="1"/>
  <c r="AW84" i="36"/>
  <c r="AZ84" i="36" s="1"/>
  <c r="AX72" i="36"/>
  <c r="AX56" i="36"/>
  <c r="AX48" i="36"/>
  <c r="AX40" i="36"/>
  <c r="AX32" i="36"/>
  <c r="AX24" i="36"/>
  <c r="AX16" i="36"/>
  <c r="AX8" i="36"/>
  <c r="AW6" i="36"/>
  <c r="AZ6" i="36" s="1"/>
  <c r="AW10" i="36"/>
  <c r="AZ10" i="36" s="1"/>
  <c r="AW14" i="36"/>
  <c r="AZ14" i="36" s="1"/>
  <c r="AW18" i="36"/>
  <c r="AZ18" i="36" s="1"/>
  <c r="AW30" i="36"/>
  <c r="AZ30" i="36" s="1"/>
  <c r="AW42" i="36"/>
  <c r="AZ42" i="36" s="1"/>
  <c r="AW46" i="36"/>
  <c r="AZ46" i="36" s="1"/>
  <c r="AW50" i="36"/>
  <c r="AZ50" i="36" s="1"/>
  <c r="AW62" i="36"/>
  <c r="AZ62" i="36" s="1"/>
  <c r="AW74" i="36"/>
  <c r="AZ74" i="36" s="1"/>
  <c r="AW78" i="36"/>
  <c r="AZ78" i="36" s="1"/>
  <c r="AW82" i="36"/>
  <c r="AZ82" i="36" s="1"/>
  <c r="AW16" i="36"/>
  <c r="AZ16" i="36" s="1"/>
  <c r="AW36" i="36"/>
  <c r="AZ36" i="36" s="1"/>
  <c r="AX80" i="36"/>
  <c r="AW24" i="36"/>
  <c r="AZ24" i="36" s="1"/>
  <c r="AW68" i="36"/>
  <c r="AZ68" i="36" s="1"/>
  <c r="AW88" i="36"/>
  <c r="AZ88" i="36" s="1"/>
  <c r="AX88" i="36"/>
  <c r="AX64" i="36"/>
  <c r="AX22" i="36"/>
  <c r="AX14" i="36"/>
  <c r="AX6" i="36"/>
  <c r="AZ22" i="36"/>
  <c r="AZ54" i="36"/>
  <c r="AZ80" i="36"/>
  <c r="AZ86" i="36"/>
  <c r="AZ28" i="36"/>
  <c r="AZ34" i="36"/>
  <c r="AZ60" i="36"/>
  <c r="AZ66" i="36"/>
  <c r="AZ8" i="36"/>
  <c r="AZ40" i="36"/>
  <c r="AZ72" i="36"/>
  <c r="AZ26" i="36"/>
  <c r="AZ58" i="36"/>
  <c r="AZ90" i="36"/>
  <c r="AZ32" i="36"/>
  <c r="AZ38" i="36"/>
  <c r="AZ64" i="36"/>
  <c r="AZ70" i="36"/>
  <c r="AZ44" i="36"/>
  <c r="AZ76" i="36"/>
  <c r="AZ5" i="36"/>
  <c r="AZ9" i="36"/>
  <c r="AZ13" i="36"/>
  <c r="AZ17" i="36"/>
  <c r="AZ21" i="36"/>
  <c r="AZ25" i="36"/>
  <c r="AZ29" i="36"/>
  <c r="AZ33" i="36"/>
  <c r="AZ37" i="36"/>
  <c r="AZ41" i="36"/>
  <c r="AZ45" i="36"/>
  <c r="AZ49" i="36"/>
  <c r="AZ53" i="36"/>
  <c r="AZ57" i="36"/>
  <c r="AZ61" i="36"/>
  <c r="AZ65" i="36"/>
  <c r="AZ69" i="36"/>
  <c r="AZ73" i="36"/>
  <c r="AZ77" i="36"/>
  <c r="AZ81" i="36"/>
  <c r="AZ85" i="36"/>
  <c r="AZ89" i="36"/>
  <c r="AZ3" i="36"/>
  <c r="AZ7" i="36"/>
  <c r="AZ11" i="36"/>
  <c r="AZ15" i="36"/>
  <c r="AZ19" i="36"/>
  <c r="AZ23" i="36"/>
  <c r="AZ27" i="36"/>
  <c r="AZ31" i="36"/>
  <c r="AZ35" i="36"/>
  <c r="AZ39" i="36"/>
  <c r="AZ43" i="36"/>
  <c r="AZ47" i="36"/>
  <c r="AZ51" i="36"/>
  <c r="AZ55" i="36"/>
  <c r="AZ59" i="36"/>
  <c r="AZ63" i="36"/>
  <c r="AZ67" i="36"/>
  <c r="AZ71" i="36"/>
  <c r="AZ75" i="36"/>
  <c r="AZ79" i="36"/>
  <c r="AZ83" i="36"/>
  <c r="AZ87" i="36"/>
  <c r="R58" i="12" l="1"/>
  <c r="W58" i="12" s="1"/>
  <c r="R57" i="12"/>
  <c r="W57" i="12" s="1"/>
  <c r="R55" i="12"/>
  <c r="W55" i="12" s="1"/>
  <c r="R56" i="12"/>
  <c r="W56" i="12" s="1"/>
  <c r="R54" i="12"/>
  <c r="W54" i="12" s="1"/>
  <c r="R27" i="12"/>
  <c r="W27" i="12" s="1"/>
  <c r="R25" i="12"/>
  <c r="W25" i="12" s="1"/>
  <c r="R13" i="12"/>
  <c r="W13" i="12" s="1"/>
  <c r="R8" i="12"/>
  <c r="W8" i="12" s="1"/>
  <c r="R6" i="12"/>
  <c r="W6" i="12" s="1"/>
  <c r="R4" i="12"/>
  <c r="W4" i="12" s="1"/>
  <c r="R36" i="12"/>
  <c r="W36" i="12" s="1"/>
  <c r="R31" i="12"/>
  <c r="W31" i="12" s="1"/>
  <c r="R18" i="12"/>
  <c r="W18" i="12" s="1"/>
  <c r="R52" i="12"/>
  <c r="W52" i="12" s="1"/>
  <c r="R47" i="12"/>
  <c r="W47" i="12" s="1"/>
  <c r="R45" i="12"/>
  <c r="W45" i="12" s="1"/>
  <c r="R39" i="12"/>
  <c r="W39" i="12" s="1"/>
  <c r="R35" i="12"/>
  <c r="W35" i="12" s="1"/>
  <c r="R33" i="12"/>
  <c r="W33" i="12" s="1"/>
  <c r="R23" i="12"/>
  <c r="W23" i="12" s="1"/>
  <c r="R21" i="12"/>
  <c r="W21" i="12" s="1"/>
  <c r="R16" i="12"/>
  <c r="W16" i="12" s="1"/>
  <c r="R42" i="12"/>
  <c r="W42" i="12" s="1"/>
  <c r="R46" i="12"/>
  <c r="W46" i="12" s="1"/>
  <c r="R20" i="12"/>
  <c r="W20" i="12" s="1"/>
  <c r="R14" i="12"/>
  <c r="W14" i="12" s="1"/>
  <c r="R10" i="12"/>
  <c r="W10" i="12" s="1"/>
  <c r="R2" i="12"/>
  <c r="W2" i="12" s="1"/>
  <c r="R41" i="12"/>
  <c r="W41" i="12" s="1"/>
  <c r="R37" i="12"/>
  <c r="W37" i="12" s="1"/>
  <c r="R50" i="12"/>
  <c r="W50" i="12" s="1"/>
  <c r="R48" i="12"/>
  <c r="W48" i="12" s="1"/>
  <c r="R43" i="12"/>
  <c r="W43" i="12" s="1"/>
  <c r="R30" i="12"/>
  <c r="W30" i="12" s="1"/>
  <c r="R28" i="12"/>
  <c r="W28" i="12" s="1"/>
  <c r="R22" i="12"/>
  <c r="W22" i="12" s="1"/>
  <c r="R7" i="12"/>
  <c r="W7" i="12" s="1"/>
  <c r="R53" i="12"/>
  <c r="W53" i="12" s="1"/>
  <c r="R3" i="12"/>
  <c r="W3" i="12" s="1"/>
  <c r="R44" i="12"/>
  <c r="W44" i="12" s="1"/>
  <c r="R38" i="12"/>
  <c r="W38" i="12" s="1"/>
  <c r="R32" i="12"/>
  <c r="W32" i="12" s="1"/>
  <c r="R19" i="12"/>
  <c r="W19" i="12" s="1"/>
  <c r="R17" i="12"/>
  <c r="W17" i="12" s="1"/>
  <c r="R15" i="12"/>
  <c r="W15" i="12" s="1"/>
  <c r="R11" i="12"/>
  <c r="W11" i="12" s="1"/>
  <c r="R49" i="12"/>
  <c r="W49" i="12" s="1"/>
  <c r="R40" i="12"/>
  <c r="W40" i="12" s="1"/>
  <c r="R34" i="12"/>
  <c r="W34" i="12" s="1"/>
  <c r="R51" i="12"/>
  <c r="W51" i="12" s="1"/>
  <c r="R12" i="12"/>
  <c r="W12" i="12" s="1"/>
  <c r="R5" i="12"/>
  <c r="W5" i="12" s="1"/>
  <c r="R26" i="12"/>
  <c r="W26" i="12" s="1"/>
  <c r="R9" i="12"/>
  <c r="W9" i="12" s="1"/>
  <c r="R24" i="12"/>
  <c r="W24" i="12" s="1"/>
  <c r="R29" i="12"/>
  <c r="W29" i="12" s="1"/>
  <c r="T57" i="12" l="1"/>
  <c r="Z57" i="12" s="1"/>
  <c r="T58" i="12"/>
  <c r="Z58" i="12" s="1"/>
  <c r="T54" i="12"/>
  <c r="Z54" i="12" s="1"/>
  <c r="T56" i="12"/>
  <c r="Z56" i="12" s="1"/>
  <c r="T55" i="12"/>
  <c r="Z55" i="12" s="1"/>
  <c r="T5" i="12"/>
  <c r="Z5" i="12" s="1"/>
  <c r="T31" i="12"/>
  <c r="Z31" i="12" s="1"/>
  <c r="T10" i="12"/>
  <c r="Z10" i="12" s="1"/>
  <c r="T32" i="12"/>
  <c r="Z32" i="12" s="1"/>
  <c r="T23" i="12"/>
  <c r="Z23" i="12" s="1"/>
  <c r="T19" i="12"/>
  <c r="Z19" i="12" s="1"/>
  <c r="T36" i="12"/>
  <c r="Z36" i="12" s="1"/>
  <c r="T51" i="12"/>
  <c r="Z51" i="12" s="1"/>
  <c r="T30" i="12"/>
  <c r="Z30" i="12" s="1"/>
  <c r="T14" i="12"/>
  <c r="Z14" i="12" s="1"/>
  <c r="T35" i="12"/>
  <c r="Z35" i="12" s="1"/>
  <c r="T4" i="12"/>
  <c r="Z4" i="12" s="1"/>
  <c r="T34" i="12"/>
  <c r="Z34" i="12" s="1"/>
  <c r="T38" i="12"/>
  <c r="Z38" i="12" s="1"/>
  <c r="T43" i="12"/>
  <c r="Z43" i="12" s="1"/>
  <c r="T20" i="12"/>
  <c r="Z20" i="12" s="1"/>
  <c r="T39" i="12"/>
  <c r="Z39" i="12" s="1"/>
  <c r="T6" i="12"/>
  <c r="Z6" i="12" s="1"/>
  <c r="U6" i="12"/>
  <c r="T48" i="12"/>
  <c r="Z48" i="12" s="1"/>
  <c r="T45" i="12"/>
  <c r="Z45" i="12" s="1"/>
  <c r="T8" i="12"/>
  <c r="Z8" i="12" s="1"/>
  <c r="T22" i="12"/>
  <c r="Z22" i="12" s="1"/>
  <c r="T12" i="12"/>
  <c r="Z12" i="12" s="1"/>
  <c r="T29" i="12"/>
  <c r="Z29" i="12" s="1"/>
  <c r="T40" i="12"/>
  <c r="Z40" i="12" s="1"/>
  <c r="T24" i="12"/>
  <c r="Z24" i="12" s="1"/>
  <c r="T3" i="12"/>
  <c r="Z3" i="12" s="1"/>
  <c r="T50" i="12"/>
  <c r="Z50" i="12" s="1"/>
  <c r="T42" i="12"/>
  <c r="Z42" i="12" s="1"/>
  <c r="T47" i="12"/>
  <c r="Z47" i="12" s="1"/>
  <c r="T13" i="12"/>
  <c r="Z13" i="12" s="1"/>
  <c r="T17" i="12"/>
  <c r="Z17" i="12" s="1"/>
  <c r="T33" i="12"/>
  <c r="Z33" i="12" s="1"/>
  <c r="T46" i="12"/>
  <c r="Z46" i="12" s="1"/>
  <c r="T49" i="12"/>
  <c r="Z49" i="12" s="1"/>
  <c r="T9" i="12"/>
  <c r="Z9" i="12" s="1"/>
  <c r="T11" i="12"/>
  <c r="Z11" i="12" s="1"/>
  <c r="T53" i="12"/>
  <c r="Z53" i="12" s="1"/>
  <c r="T37" i="12"/>
  <c r="Z37" i="12" s="1"/>
  <c r="T16" i="12"/>
  <c r="Z16" i="12" s="1"/>
  <c r="T52" i="12"/>
  <c r="Z52" i="12" s="1"/>
  <c r="T25" i="12"/>
  <c r="Z25" i="12" s="1"/>
  <c r="T2" i="12"/>
  <c r="Z2" i="12" s="1"/>
  <c r="T28" i="12"/>
  <c r="Z28" i="12" s="1"/>
  <c r="T44" i="12"/>
  <c r="Z44" i="12" s="1"/>
  <c r="T26" i="12"/>
  <c r="Z26" i="12" s="1"/>
  <c r="T15" i="12"/>
  <c r="Z15" i="12" s="1"/>
  <c r="T7" i="12"/>
  <c r="Z7" i="12" s="1"/>
  <c r="T41" i="12"/>
  <c r="Z41" i="12" s="1"/>
  <c r="T21" i="12"/>
  <c r="Z21" i="12" s="1"/>
  <c r="T18" i="12"/>
  <c r="Z18" i="12" s="1"/>
  <c r="T27" i="12"/>
  <c r="Z27" i="12" s="1"/>
  <c r="V58" i="12" l="1"/>
  <c r="U58" i="12"/>
  <c r="X58" i="12" s="1"/>
  <c r="U57" i="12"/>
  <c r="X57" i="12" s="1"/>
  <c r="V57" i="12"/>
  <c r="U55" i="12"/>
  <c r="X55" i="12" s="1"/>
  <c r="V55" i="12"/>
  <c r="U56" i="12"/>
  <c r="X56" i="12" s="1"/>
  <c r="V56" i="12"/>
  <c r="U54" i="12"/>
  <c r="X54" i="12" s="1"/>
  <c r="V54" i="12"/>
  <c r="V28" i="12"/>
  <c r="U28" i="12"/>
  <c r="X28" i="12" s="1"/>
  <c r="V51" i="12"/>
  <c r="U51" i="12"/>
  <c r="X51" i="12" s="1"/>
  <c r="V45" i="12"/>
  <c r="U45" i="12"/>
  <c r="X45" i="12" s="1"/>
  <c r="U32" i="12"/>
  <c r="X32" i="12" s="1"/>
  <c r="V32" i="12"/>
  <c r="V36" i="12"/>
  <c r="U36" i="12"/>
  <c r="X36" i="12" s="1"/>
  <c r="V18" i="12"/>
  <c r="U18" i="12"/>
  <c r="X18" i="12" s="1"/>
  <c r="U15" i="12"/>
  <c r="X15" i="12" s="1"/>
  <c r="V15" i="12"/>
  <c r="V2" i="12"/>
  <c r="U2" i="12"/>
  <c r="X2" i="12" s="1"/>
  <c r="V37" i="12"/>
  <c r="U37" i="12"/>
  <c r="X37" i="12" s="1"/>
  <c r="V13" i="12"/>
  <c r="U13" i="12"/>
  <c r="X13" i="12" s="1"/>
  <c r="U48" i="12"/>
  <c r="X48" i="12" s="1"/>
  <c r="V48" i="12"/>
  <c r="V43" i="12"/>
  <c r="U43" i="12"/>
  <c r="X43" i="12" s="1"/>
  <c r="V10" i="12"/>
  <c r="U10" i="12"/>
  <c r="X10" i="12" s="1"/>
  <c r="U17" i="12"/>
  <c r="X17" i="12" s="1"/>
  <c r="V17" i="12"/>
  <c r="U7" i="12"/>
  <c r="X7" i="12" s="1"/>
  <c r="V7" i="12"/>
  <c r="V29" i="12"/>
  <c r="U29" i="12"/>
  <c r="X29" i="12" s="1"/>
  <c r="V4" i="12"/>
  <c r="U4" i="12"/>
  <c r="X4" i="12" s="1"/>
  <c r="V12" i="12"/>
  <c r="U12" i="12"/>
  <c r="X12" i="12" s="1"/>
  <c r="U35" i="12"/>
  <c r="X35" i="12" s="1"/>
  <c r="V35" i="12"/>
  <c r="U46" i="12"/>
  <c r="X46" i="12" s="1"/>
  <c r="V46" i="12"/>
  <c r="V6" i="12"/>
  <c r="X6" i="12"/>
  <c r="V38" i="12"/>
  <c r="U38" i="12"/>
  <c r="X38" i="12" s="1"/>
  <c r="V14" i="12"/>
  <c r="U14" i="12"/>
  <c r="X14" i="12" s="1"/>
  <c r="V31" i="12"/>
  <c r="U31" i="12"/>
  <c r="X31" i="12" s="1"/>
  <c r="U27" i="12"/>
  <c r="X27" i="12" s="1"/>
  <c r="V27" i="12"/>
  <c r="U9" i="12"/>
  <c r="X9" i="12" s="1"/>
  <c r="V9" i="12"/>
  <c r="U50" i="12"/>
  <c r="X50" i="12" s="1"/>
  <c r="V50" i="12"/>
  <c r="V20" i="12"/>
  <c r="U20" i="12"/>
  <c r="X20" i="12" s="1"/>
  <c r="V49" i="12"/>
  <c r="U49" i="12"/>
  <c r="X49" i="12" s="1"/>
  <c r="U3" i="12"/>
  <c r="X3" i="12" s="1"/>
  <c r="V3" i="12"/>
  <c r="V21" i="12"/>
  <c r="U21" i="12"/>
  <c r="X21" i="12" s="1"/>
  <c r="V26" i="12"/>
  <c r="U26" i="12"/>
  <c r="X26" i="12" s="1"/>
  <c r="U25" i="12"/>
  <c r="X25" i="12" s="1"/>
  <c r="V25" i="12"/>
  <c r="V53" i="12"/>
  <c r="U53" i="12"/>
  <c r="X53" i="12" s="1"/>
  <c r="V47" i="12"/>
  <c r="U47" i="12"/>
  <c r="X47" i="12" s="1"/>
  <c r="V24" i="12"/>
  <c r="U24" i="12"/>
  <c r="X24" i="12" s="1"/>
  <c r="U22" i="12"/>
  <c r="X22" i="12" s="1"/>
  <c r="V22" i="12"/>
  <c r="U19" i="12"/>
  <c r="X19" i="12" s="1"/>
  <c r="V19" i="12"/>
  <c r="V16" i="12"/>
  <c r="U16" i="12"/>
  <c r="X16" i="12" s="1"/>
  <c r="U41" i="12"/>
  <c r="X41" i="12" s="1"/>
  <c r="V41" i="12"/>
  <c r="U44" i="12"/>
  <c r="X44" i="12" s="1"/>
  <c r="V44" i="12"/>
  <c r="U11" i="12"/>
  <c r="X11" i="12" s="1"/>
  <c r="V11" i="12"/>
  <c r="V8" i="12"/>
  <c r="U8" i="12"/>
  <c r="X8" i="12" s="1"/>
  <c r="U39" i="12"/>
  <c r="X39" i="12" s="1"/>
  <c r="V39" i="12"/>
  <c r="U30" i="12"/>
  <c r="X30" i="12" s="1"/>
  <c r="V30" i="12"/>
  <c r="V52" i="12"/>
  <c r="U52" i="12"/>
  <c r="X52" i="12" s="1"/>
  <c r="U33" i="12"/>
  <c r="X33" i="12" s="1"/>
  <c r="V33" i="12"/>
  <c r="V42" i="12"/>
  <c r="U42" i="12"/>
  <c r="X42" i="12" s="1"/>
  <c r="V40" i="12"/>
  <c r="U40" i="12"/>
  <c r="X40" i="12" s="1"/>
  <c r="V34" i="12"/>
  <c r="U34" i="12"/>
  <c r="X34" i="12" s="1"/>
  <c r="U23" i="12"/>
  <c r="X23" i="12" s="1"/>
  <c r="V23" i="12"/>
  <c r="V5" i="12"/>
  <c r="U5" i="12"/>
  <c r="X5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Bovas PR</author>
  </authors>
  <commentList>
    <comment ref="G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Bovas PR:
not used for lookup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<sst xmlns="http://schemas.openxmlformats.org/spreadsheetml/2006/main" count="15613" uniqueCount="1020">
  <si>
    <t>exchange</t>
  </si>
  <si>
    <t>account</t>
  </si>
  <si>
    <t>instrument</t>
  </si>
  <si>
    <t>position</t>
  </si>
  <si>
    <t>notional</t>
  </si>
  <si>
    <t>mark_price</t>
  </si>
  <si>
    <t>unrealized_pnl</t>
  </si>
  <si>
    <t>instrument_type</t>
  </si>
  <si>
    <t>expiration_time</t>
  </si>
  <si>
    <t>is_linear</t>
  </si>
  <si>
    <t>underlying</t>
  </si>
  <si>
    <t>BINANCE</t>
  </si>
  <si>
    <t>BINE-2-S1-F</t>
  </si>
  <si>
    <t>FUTURE</t>
  </si>
  <si>
    <t>BTC</t>
  </si>
  <si>
    <t>ETH</t>
  </si>
  <si>
    <t>B_P_BTC-USD-SWAP</t>
  </si>
  <si>
    <t>SWAP</t>
  </si>
  <si>
    <t>BINE-2-S1-P</t>
  </si>
  <si>
    <t>AXS</t>
  </si>
  <si>
    <t>BCH</t>
  </si>
  <si>
    <t>BBTCUSDT</t>
  </si>
  <si>
    <t>DOT</t>
  </si>
  <si>
    <t>EOS</t>
  </si>
  <si>
    <t>LTC</t>
  </si>
  <si>
    <t>TRX</t>
  </si>
  <si>
    <t>ZIL</t>
  </si>
  <si>
    <t>LINK</t>
  </si>
  <si>
    <t>ENJ</t>
  </si>
  <si>
    <t>ETC</t>
  </si>
  <si>
    <t>FIL</t>
  </si>
  <si>
    <t>COMP</t>
  </si>
  <si>
    <t>DYDX</t>
  </si>
  <si>
    <t>DYDX-1-M-P</t>
  </si>
  <si>
    <t>D_T_BTC_USDC_SWAP</t>
  </si>
  <si>
    <t>ATOM</t>
  </si>
  <si>
    <t>FTX</t>
  </si>
  <si>
    <t>SHIB</t>
  </si>
  <si>
    <t>USDT</t>
  </si>
  <si>
    <t>HUOBI</t>
  </si>
  <si>
    <t>FUBI-M</t>
  </si>
  <si>
    <t>HUBI-1-M-P</t>
  </si>
  <si>
    <t>HUBI-1-M-PT</t>
  </si>
  <si>
    <t>KSM</t>
  </si>
  <si>
    <t>HUBI-3-S3-F</t>
  </si>
  <si>
    <t>OKEX</t>
  </si>
  <si>
    <t>OKEX-2-M</t>
  </si>
  <si>
    <t>O_P_BTC-USDT-SWAP</t>
  </si>
  <si>
    <t>OKEX-2-S1</t>
  </si>
  <si>
    <t>O_P_BTC-USD-SWAP</t>
  </si>
  <si>
    <t>OKEX-2-S2</t>
  </si>
  <si>
    <t>OKEX-2-S3</t>
  </si>
  <si>
    <t>days_to_expiry</t>
  </si>
  <si>
    <t>Bucket</t>
  </si>
  <si>
    <t>Column Labels</t>
  </si>
  <si>
    <t>PERP</t>
  </si>
  <si>
    <t>Grand Total</t>
  </si>
  <si>
    <t>Row Labels</t>
  </si>
  <si>
    <t>Sum of notional</t>
  </si>
  <si>
    <t>Long_short</t>
  </si>
  <si>
    <t>LONG</t>
  </si>
  <si>
    <t>SHORT</t>
  </si>
  <si>
    <t>Bucket_LongShort</t>
  </si>
  <si>
    <t>PERP LONG</t>
  </si>
  <si>
    <t>PERP SHORT</t>
  </si>
  <si>
    <t>(All)</t>
  </si>
  <si>
    <t>mark price</t>
  </si>
  <si>
    <t>shifted_notional</t>
  </si>
  <si>
    <t>shifted_mark</t>
  </si>
  <si>
    <t>Shift</t>
  </si>
  <si>
    <t>shift_delta</t>
  </si>
  <si>
    <t>Account</t>
  </si>
  <si>
    <t>Balance</t>
  </si>
  <si>
    <t>BalanceType</t>
  </si>
  <si>
    <t>Currency</t>
  </si>
  <si>
    <t>Source</t>
  </si>
  <si>
    <t>Timestamp</t>
  </si>
  <si>
    <t>Timestamp_Native</t>
  </si>
  <si>
    <t>Notional</t>
  </si>
  <si>
    <t>REFERENCE 1</t>
  </si>
  <si>
    <t>REFERENCE 2</t>
  </si>
  <si>
    <t>TYPE</t>
  </si>
  <si>
    <t>Endpoint</t>
  </si>
  <si>
    <t>BINE-2-S1-E</t>
  </si>
  <si>
    <t>ADA</t>
  </si>
  <si>
    <t>ASSET</t>
  </si>
  <si>
    <t>BINE</t>
  </si>
  <si>
    <t>BNB</t>
  </si>
  <si>
    <t>BUSD</t>
  </si>
  <si>
    <t>OXT</t>
  </si>
  <si>
    <t>Unrealized</t>
  </si>
  <si>
    <t>BINE-2-S1-M</t>
  </si>
  <si>
    <t>USDC</t>
  </si>
  <si>
    <t>BTFX-1-M-E</t>
  </si>
  <si>
    <t xml:space="preserve">BTFX </t>
  </si>
  <si>
    <t>USD</t>
  </si>
  <si>
    <t>UST</t>
  </si>
  <si>
    <t>BTSE</t>
  </si>
  <si>
    <t>SGB</t>
  </si>
  <si>
    <t>XRP</t>
  </si>
  <si>
    <t>BULL-1-M-E</t>
  </si>
  <si>
    <t>BULL</t>
  </si>
  <si>
    <t>BULL-2-M-E</t>
  </si>
  <si>
    <t>BULL-2-M-M</t>
  </si>
  <si>
    <t>BULL-3-M-E</t>
  </si>
  <si>
    <t>BULL-4-M-E</t>
  </si>
  <si>
    <t>FTXE-1-M-E</t>
  </si>
  <si>
    <t>EUR</t>
  </si>
  <si>
    <t>FTXE</t>
  </si>
  <si>
    <t>FTT</t>
  </si>
  <si>
    <t>SRM</t>
  </si>
  <si>
    <t>FUB2-M</t>
  </si>
  <si>
    <t>HUBI</t>
  </si>
  <si>
    <t>BSV</t>
  </si>
  <si>
    <t>HUB2-E</t>
  </si>
  <si>
    <t>HUB2-M</t>
  </si>
  <si>
    <t>AAVE</t>
  </si>
  <si>
    <t>YFII</t>
  </si>
  <si>
    <t>BSCALE</t>
  </si>
  <si>
    <t>HUBI-3-S3-M</t>
  </si>
  <si>
    <t>HUBI-E</t>
  </si>
  <si>
    <t>AAC</t>
  </si>
  <si>
    <t>ALGO</t>
  </si>
  <si>
    <t>ARPA</t>
  </si>
  <si>
    <t>BAT</t>
  </si>
  <si>
    <t>BHD</t>
  </si>
  <si>
    <t>BLZ</t>
  </si>
  <si>
    <t>BOBA</t>
  </si>
  <si>
    <t>BTM</t>
  </si>
  <si>
    <t>BTT</t>
  </si>
  <si>
    <t>CMT</t>
  </si>
  <si>
    <t>CRO</t>
  </si>
  <si>
    <t>DASH</t>
  </si>
  <si>
    <t>DON</t>
  </si>
  <si>
    <t>GAS</t>
  </si>
  <si>
    <t>HBAR</t>
  </si>
  <si>
    <t>HPT</t>
  </si>
  <si>
    <t>HT</t>
  </si>
  <si>
    <t>HUSD</t>
  </si>
  <si>
    <t>IOST</t>
  </si>
  <si>
    <t>IRIS</t>
  </si>
  <si>
    <t>JST</t>
  </si>
  <si>
    <t>LAMB</t>
  </si>
  <si>
    <t>LEND</t>
  </si>
  <si>
    <t>LOL</t>
  </si>
  <si>
    <t>LXT</t>
  </si>
  <si>
    <t>NEO</t>
  </si>
  <si>
    <t>NEW</t>
  </si>
  <si>
    <t>NFT</t>
  </si>
  <si>
    <t>NULS</t>
  </si>
  <si>
    <t>OMG</t>
  </si>
  <si>
    <t>ONG</t>
  </si>
  <si>
    <t>QTUM</t>
  </si>
  <si>
    <t>REI</t>
  </si>
  <si>
    <t>SOL</t>
  </si>
  <si>
    <t>SOLO</t>
  </si>
  <si>
    <t>STORJ</t>
  </si>
  <si>
    <t>TT</t>
  </si>
  <si>
    <t>TUSD</t>
  </si>
  <si>
    <t>UNI</t>
  </si>
  <si>
    <t>USDP</t>
  </si>
  <si>
    <t>VSYS</t>
  </si>
  <si>
    <t>XEC</t>
  </si>
  <si>
    <t>XLM</t>
  </si>
  <si>
    <t>XTZ</t>
  </si>
  <si>
    <t>ZEC</t>
  </si>
  <si>
    <t>HUBI-M</t>
  </si>
  <si>
    <t>KRKE</t>
  </si>
  <si>
    <t>LEND-GACM</t>
  </si>
  <si>
    <t>FUND</t>
  </si>
  <si>
    <t>GALAXY</t>
  </si>
  <si>
    <t>YFI</t>
  </si>
  <si>
    <t>LMAC</t>
  </si>
  <si>
    <t>LMAX</t>
  </si>
  <si>
    <t>OKEX-2-M-W</t>
  </si>
  <si>
    <t>PITX-E</t>
  </si>
  <si>
    <t>PITX</t>
  </si>
  <si>
    <t>GBP</t>
  </si>
  <si>
    <t>PAX</t>
  </si>
  <si>
    <t>TRY</t>
  </si>
  <si>
    <t>SHFT-1-W</t>
  </si>
  <si>
    <t>SHFT</t>
  </si>
  <si>
    <t>SHFT WALLET</t>
  </si>
  <si>
    <t>WOOX-1-M-E</t>
  </si>
  <si>
    <t>WOOX</t>
  </si>
  <si>
    <t>WOO</t>
  </si>
  <si>
    <t>FBLK</t>
  </si>
  <si>
    <t>AVAX</t>
  </si>
  <si>
    <t>CRV</t>
  </si>
  <si>
    <t>CVX</t>
  </si>
  <si>
    <t>DOGE</t>
  </si>
  <si>
    <t>FTM</t>
  </si>
  <si>
    <t>MANA</t>
  </si>
  <si>
    <t>MATIC</t>
  </si>
  <si>
    <t>BINE-2-S1-M Margin Loan</t>
  </si>
  <si>
    <t>EXCHLOAN</t>
  </si>
  <si>
    <t>VET</t>
  </si>
  <si>
    <t>BULL-2-M-M Loan</t>
  </si>
  <si>
    <t>FTXE-1-M-E Margin Loan</t>
  </si>
  <si>
    <t>HUB2-M Margin Loan</t>
  </si>
  <si>
    <t>Margin Loan</t>
  </si>
  <si>
    <t>HUBI-3-S3-M Loan</t>
  </si>
  <si>
    <t>HUBI-M Margin Loan</t>
  </si>
  <si>
    <t>LEND-BULL</t>
  </si>
  <si>
    <t>LEND-HUBI</t>
  </si>
  <si>
    <t>LEND-HUBS6</t>
  </si>
  <si>
    <t>LEND-LMAC</t>
  </si>
  <si>
    <t>LEND-OXTF</t>
  </si>
  <si>
    <t>LOAN</t>
  </si>
  <si>
    <t>ORCHID</t>
  </si>
  <si>
    <t>LEND-XRPF</t>
  </si>
  <si>
    <t>RIPPLE</t>
  </si>
  <si>
    <t>OKEX-2-S3 Margin Loan</t>
  </si>
  <si>
    <t>OKEX-2-M Margin Loan</t>
  </si>
  <si>
    <t>WOOX-1-M-E Margin Loan</t>
  </si>
  <si>
    <t>FUBI</t>
  </si>
  <si>
    <t>endpoint</t>
  </si>
  <si>
    <t>BTFX</t>
  </si>
  <si>
    <t>BULL-1-M-M</t>
  </si>
  <si>
    <t>LEND-OKEX</t>
  </si>
  <si>
    <t>LEND-PITX</t>
  </si>
  <si>
    <t>BINE-MX-S1-P</t>
  </si>
  <si>
    <t>BINEMX</t>
  </si>
  <si>
    <t>BINE-MX-S1-F</t>
  </si>
  <si>
    <t>BINE-MX-S1-E</t>
  </si>
  <si>
    <t>BINE-MX-S1-M</t>
  </si>
  <si>
    <t>BULL-1-M-M Loan</t>
  </si>
  <si>
    <t>HUBI-3-S3-E</t>
  </si>
  <si>
    <t>Trading Venue</t>
  </si>
  <si>
    <t>Huobi Global</t>
  </si>
  <si>
    <t>Bluescale</t>
  </si>
  <si>
    <t>OKEx</t>
  </si>
  <si>
    <t>Blockchain Exchange</t>
  </si>
  <si>
    <t>Binance</t>
  </si>
  <si>
    <t>Matrixport Binance</t>
  </si>
  <si>
    <t>WooTrade</t>
  </si>
  <si>
    <t>FTX Exchange</t>
  </si>
  <si>
    <t>ED&amp;F Man Capital</t>
  </si>
  <si>
    <t>LMAX Digital</t>
  </si>
  <si>
    <t>BITSTAMP</t>
  </si>
  <si>
    <t>Fireblocks</t>
  </si>
  <si>
    <t>Kraken</t>
  </si>
  <si>
    <t>Bitfinex</t>
  </si>
  <si>
    <t>LMAX Global</t>
  </si>
  <si>
    <t>Bullish</t>
  </si>
  <si>
    <t>Self-Hosted SHFT Wallet</t>
  </si>
  <si>
    <t>Cash in Banks</t>
  </si>
  <si>
    <t>Loans To Galaxy Digital</t>
  </si>
  <si>
    <t>Total Capital Deployed</t>
  </si>
  <si>
    <t>External Capital</t>
  </si>
  <si>
    <t>Ripple Foundation</t>
  </si>
  <si>
    <t>Orchid Technologies</t>
  </si>
  <si>
    <t>COIN</t>
  </si>
  <si>
    <t>UNREALIZED</t>
  </si>
  <si>
    <t>Underlying Bucket LS</t>
  </si>
  <si>
    <t>CME</t>
  </si>
  <si>
    <t>OWETHUSDC_WSTETH-09SEP22-1900C_ETH_1Z8K</t>
  </si>
  <si>
    <t>WETH</t>
  </si>
  <si>
    <t>EUROC</t>
  </si>
  <si>
    <t>CASH</t>
  </si>
  <si>
    <t>ASSETCASHASSETUSD</t>
  </si>
  <si>
    <t>ASSETCASH</t>
  </si>
  <si>
    <t>Report Date</t>
  </si>
  <si>
    <t>MARGINLOAN</t>
  </si>
  <si>
    <t/>
  </si>
  <si>
    <t>ED&amp;F</t>
  </si>
  <si>
    <t>EXCHLOANED&amp;F</t>
  </si>
  <si>
    <t>EXCHLOANED&amp;FLOANUSD</t>
  </si>
  <si>
    <t>-</t>
  </si>
  <si>
    <t>Sum of position</t>
  </si>
  <si>
    <t>Exchange</t>
  </si>
  <si>
    <t>Exposure</t>
  </si>
  <si>
    <t>ETHW</t>
  </si>
  <si>
    <t xml:space="preserve">DEFAULT </t>
  </si>
  <si>
    <t>LGD</t>
  </si>
  <si>
    <t>ALL</t>
  </si>
  <si>
    <t>Dec 22</t>
  </si>
  <si>
    <t>Mar 23</t>
  </si>
  <si>
    <t>(blank)</t>
  </si>
  <si>
    <t>abs_notional</t>
  </si>
  <si>
    <t>CME FUTURE</t>
  </si>
  <si>
    <t>Delta</t>
  </si>
  <si>
    <t>Muliplier</t>
  </si>
  <si>
    <t>Coin Equivalent</t>
  </si>
  <si>
    <t>Check</t>
  </si>
  <si>
    <t>DEFI-STRAT-1</t>
  </si>
  <si>
    <t>reward_token</t>
  </si>
  <si>
    <t>supply_token</t>
  </si>
  <si>
    <t>wallet</t>
  </si>
  <si>
    <t>GATE-1-M-E</t>
  </si>
  <si>
    <t>ETHF</t>
  </si>
  <si>
    <t>ROSE</t>
  </si>
  <si>
    <t>GATE-1-M-M</t>
  </si>
  <si>
    <t>DEFI-STRAT-1 Loan</t>
  </si>
  <si>
    <t>DEFI</t>
  </si>
  <si>
    <t>GATE</t>
  </si>
  <si>
    <t>UNMBF222</t>
  </si>
  <si>
    <t>F+10%</t>
  </si>
  <si>
    <t>20221109</t>
  </si>
  <si>
    <t>BINE-2-S2-P</t>
  </si>
  <si>
    <t>DEFI-STRAT-2</t>
  </si>
  <si>
    <t>$ USDCBONUS.COM &lt;- VISIT TO CLAIM BONUS</t>
  </si>
  <si>
    <t>OWETHUSDC/WSTETH-04NOV22-1700C</t>
  </si>
  <si>
    <t>OWETHUSDC/WSTETH-09SEP22-1900C</t>
  </si>
  <si>
    <t>DEFI-STRAT-3</t>
  </si>
  <si>
    <t>DEFI-STRAT-4</t>
  </si>
  <si>
    <t>AURA</t>
  </si>
  <si>
    <t>BAL</t>
  </si>
  <si>
    <t>STETH</t>
  </si>
  <si>
    <t>COLLATERAL</t>
  </si>
  <si>
    <t>CME Dec 22</t>
  </si>
  <si>
    <t>OWETHUSDC_WSTETH-04NOV22-1700C_ETH_SWAA</t>
  </si>
  <si>
    <t>CME Jan 23</t>
  </si>
  <si>
    <t>Inverse factor</t>
  </si>
  <si>
    <t>USDSpotRate</t>
  </si>
  <si>
    <t>$ USDCGIFT.COM &lt;- VISIT TO CLAIM BONUS</t>
  </si>
  <si>
    <t>COLLATERALED&amp;F</t>
  </si>
  <si>
    <t>Accounts:</t>
  </si>
  <si>
    <t>Sum of Balance</t>
  </si>
  <si>
    <t>borrow_token</t>
  </si>
  <si>
    <t>Sum of Notional</t>
  </si>
  <si>
    <t>currency</t>
  </si>
  <si>
    <t>balance</t>
  </si>
  <si>
    <t>USTF0</t>
  </si>
  <si>
    <t>usd</t>
  </si>
  <si>
    <t>EUROC_ETH_F5NG</t>
  </si>
  <si>
    <t>FTM_FANTOM</t>
  </si>
  <si>
    <t>USDT_ERC20</t>
  </si>
  <si>
    <t>aac</t>
  </si>
  <si>
    <t>ada</t>
  </si>
  <si>
    <t>algo</t>
  </si>
  <si>
    <t>arpa</t>
  </si>
  <si>
    <t>atom</t>
  </si>
  <si>
    <t>avax</t>
  </si>
  <si>
    <t>bat</t>
  </si>
  <si>
    <t>bch</t>
  </si>
  <si>
    <t>bhd</t>
  </si>
  <si>
    <t>blz</t>
  </si>
  <si>
    <t>boba</t>
  </si>
  <si>
    <t>bsv</t>
  </si>
  <si>
    <t>btc</t>
  </si>
  <si>
    <t>btm</t>
  </si>
  <si>
    <t>btt</t>
  </si>
  <si>
    <t>cmt</t>
  </si>
  <si>
    <t>comp</t>
  </si>
  <si>
    <t>cro</t>
  </si>
  <si>
    <t>dash</t>
  </si>
  <si>
    <t>don</t>
  </si>
  <si>
    <t>dot</t>
  </si>
  <si>
    <t>enj</t>
  </si>
  <si>
    <t>eos</t>
  </si>
  <si>
    <t>etc</t>
  </si>
  <si>
    <t>eth</t>
  </si>
  <si>
    <t>ethf</t>
  </si>
  <si>
    <t>ethw</t>
  </si>
  <si>
    <t>euroc</t>
  </si>
  <si>
    <t>fil</t>
  </si>
  <si>
    <t>ftt</t>
  </si>
  <si>
    <t>gas</t>
  </si>
  <si>
    <t>hbar</t>
  </si>
  <si>
    <t>hpt</t>
  </si>
  <si>
    <t>ht</t>
  </si>
  <si>
    <t>iost</t>
  </si>
  <si>
    <t>iris</t>
  </si>
  <si>
    <t>jst</t>
  </si>
  <si>
    <t>ksm</t>
  </si>
  <si>
    <t>lamb</t>
  </si>
  <si>
    <t>lend</t>
  </si>
  <si>
    <t>link</t>
  </si>
  <si>
    <t>lol</t>
  </si>
  <si>
    <t>ltc</t>
  </si>
  <si>
    <t>lxt</t>
  </si>
  <si>
    <t>mana</t>
  </si>
  <si>
    <t>neo</t>
  </si>
  <si>
    <t>new</t>
  </si>
  <si>
    <t>nft</t>
  </si>
  <si>
    <t>nuls</t>
  </si>
  <si>
    <t>omg</t>
  </si>
  <si>
    <t>ong</t>
  </si>
  <si>
    <t>oxt</t>
  </si>
  <si>
    <t>qtum</t>
  </si>
  <si>
    <t>rei</t>
  </si>
  <si>
    <t>sgb</t>
  </si>
  <si>
    <t>shib</t>
  </si>
  <si>
    <t>sol</t>
  </si>
  <si>
    <t>solo</t>
  </si>
  <si>
    <t>storj</t>
  </si>
  <si>
    <t>trx</t>
  </si>
  <si>
    <t>tt</t>
  </si>
  <si>
    <t>tusd</t>
  </si>
  <si>
    <t>uni</t>
  </si>
  <si>
    <t>usdc</t>
  </si>
  <si>
    <t>usdp</t>
  </si>
  <si>
    <t>usdt</t>
  </si>
  <si>
    <t>vet</t>
  </si>
  <si>
    <t>vsys</t>
  </si>
  <si>
    <t>xec</t>
  </si>
  <si>
    <t>xlm</t>
  </si>
  <si>
    <t>xrp</t>
  </si>
  <si>
    <t>xtz</t>
  </si>
  <si>
    <t>yfi</t>
  </si>
  <si>
    <t>yfii</t>
  </si>
  <si>
    <t>zec</t>
  </si>
  <si>
    <t>zil</t>
  </si>
  <si>
    <t>Sum of balance</t>
  </si>
  <si>
    <t>asof</t>
  </si>
  <si>
    <t>rn</t>
  </si>
  <si>
    <t>Silvergate Checking</t>
  </si>
  <si>
    <t>Silvergate Network</t>
  </si>
  <si>
    <t>trade</t>
  </si>
  <si>
    <t>DYDX-1-M</t>
  </si>
  <si>
    <t>trading_universe=[</t>
  </si>
  <si>
    <t>Calc'd</t>
  </si>
  <si>
    <t>MKR</t>
  </si>
  <si>
    <t>SUSHI</t>
  </si>
  <si>
    <t>GRT</t>
  </si>
  <si>
    <t>DAI</t>
  </si>
  <si>
    <t>20221119</t>
  </si>
  <si>
    <t>OAAVEUSDC/AAVE-25NOV22-72.5C</t>
  </si>
  <si>
    <t>OWETHUSDC/WETH-25NOV22-1400C</t>
  </si>
  <si>
    <t>counterparty</t>
  </si>
  <si>
    <t>Exchange Credit</t>
  </si>
  <si>
    <t xml:space="preserve"> Total Capital Deployed</t>
  </si>
  <si>
    <t>NAV Report:</t>
  </si>
  <si>
    <t>Galaxy Digital Funding</t>
  </si>
  <si>
    <t>CME Feb 23</t>
  </si>
  <si>
    <t>Refresh pivot above to apply shift</t>
  </si>
  <si>
    <t>WEDBUSH</t>
  </si>
  <si>
    <t>927$ VISIT AUSDBONUS.COM TO CLAIM</t>
  </si>
  <si>
    <t>INVITATION TOKEN. PLEASE VISIT HTTPS://AAKER.SITE AND CLAIM REWARDS.</t>
  </si>
  <si>
    <t>OAAVEUSDC/AAVE-02DEC22-67.5C</t>
  </si>
  <si>
    <t>OWETHUSDC/WSTETH-02DEC22-1350C</t>
  </si>
  <si>
    <t>OWETHUSDC/WETH-09DEC22-1450C</t>
  </si>
  <si>
    <t>idx</t>
  </si>
  <si>
    <t>H_T_BTC_USDT_SWAP</t>
  </si>
  <si>
    <t>utc_timestamp</t>
  </si>
  <si>
    <t>Mark</t>
  </si>
  <si>
    <t>Instrument</t>
  </si>
  <si>
    <t>DEFI-STRAT-5</t>
  </si>
  <si>
    <t>DEFI-STRAT-6</t>
  </si>
  <si>
    <t>GATE-1-M-C</t>
  </si>
  <si>
    <t>GATE-1-M-PT</t>
  </si>
  <si>
    <t>OWAVAXUSDC.E/WAVAX-09DEC22-15.5C</t>
  </si>
  <si>
    <t>OWAVAXUSDC.E/WAVAX-25NOV22-15.5C</t>
  </si>
  <si>
    <t>WAVAX</t>
  </si>
  <si>
    <t>OBALUSDC/BAL-30DEC22-7.6C</t>
  </si>
  <si>
    <t>OPERPUSDC/PERP-30DEC22-0.54C</t>
  </si>
  <si>
    <t>OSPELLUSDC/SPELL-30DEC22-0.00079C</t>
  </si>
  <si>
    <t>Coin Equiv</t>
  </si>
  <si>
    <t>Notional Delta</t>
  </si>
  <si>
    <t>Notional Delta by Exchange</t>
  </si>
  <si>
    <t>Notional Delta by Contract</t>
  </si>
  <si>
    <t>Unshifted notional by Exchange</t>
  </si>
  <si>
    <t>Unshifted notional by Contract</t>
  </si>
  <si>
    <t>Contract Notional</t>
  </si>
  <si>
    <t>Contact Notional</t>
  </si>
  <si>
    <t>Coin by contract coin equivalent</t>
  </si>
  <si>
    <t>BONUS. VISIT HTTPS://BITBONUS.TECH TO CLAIM REWARD.</t>
  </si>
  <si>
    <t>OAAVEUSDC/AAVE-16DEC22-72.5C</t>
  </si>
  <si>
    <t>OWAVAXUSDC.E/WAVAX-16DEC22-15.25C</t>
  </si>
  <si>
    <t>OWETHUSDC/WETH-16DEC22-1450C</t>
  </si>
  <si>
    <t>USD Notional</t>
  </si>
  <si>
    <t>Change</t>
  </si>
  <si>
    <t>B_P_ETH-USD-SWAP</t>
  </si>
  <si>
    <t>BAXSUSDT</t>
  </si>
  <si>
    <t>BEOSUSDT</t>
  </si>
  <si>
    <t>BBCHUSDT</t>
  </si>
  <si>
    <t>BETHUSDT</t>
  </si>
  <si>
    <t>BLTCUSDT</t>
  </si>
  <si>
    <t>BZILUSDT</t>
  </si>
  <si>
    <t>BCOMPUSDT</t>
  </si>
  <si>
    <t>BLINKUSDT</t>
  </si>
  <si>
    <t>D_T_ATOM_USDC_SWAP</t>
  </si>
  <si>
    <t>O_P_EOS-USDT-SWAP</t>
  </si>
  <si>
    <t>O_P_ETH-USD-SWAP</t>
  </si>
  <si>
    <t>O_P_ETH-USDT-SWAP</t>
  </si>
  <si>
    <t>O_P_LINK-USDT-SWAP</t>
  </si>
  <si>
    <t>O_P_SHIB-USDT-SWAP</t>
  </si>
  <si>
    <t>O_P_AXS-USDT-SWAP</t>
  </si>
  <si>
    <t>bine_2_s1_e.account_asset</t>
  </si>
  <si>
    <t>ASSETBINEASSETAAVE</t>
  </si>
  <si>
    <t>ASSETBINE</t>
  </si>
  <si>
    <t>ASSETBINEASSETADA</t>
  </si>
  <si>
    <t>ASSETBINEASSETALGO</t>
  </si>
  <si>
    <t>ASSETBINEASSETATOM</t>
  </si>
  <si>
    <t>ASSETBINEASSETAVAX</t>
  </si>
  <si>
    <t>ASSETBINEASSETBAT</t>
  </si>
  <si>
    <t>ASSETBINEASSETBCH</t>
  </si>
  <si>
    <t>ASSETBINEASSETBNB</t>
  </si>
  <si>
    <t>ASSETBINEASSETBTC</t>
  </si>
  <si>
    <t>ASSETBINEASSETBUSD</t>
  </si>
  <si>
    <t>ASSETBINEASSETCOMP</t>
  </si>
  <si>
    <t>ASSETBINEASSETCRV</t>
  </si>
  <si>
    <t>ASSETBINEASSETDASH</t>
  </si>
  <si>
    <t>ASSETBINEASSETDOGE</t>
  </si>
  <si>
    <t>ASSETBINEASSETDOT</t>
  </si>
  <si>
    <t>ASSETBINEASSETENJ</t>
  </si>
  <si>
    <t>ASSETBINEASSETEOS</t>
  </si>
  <si>
    <t>ASSETBINEASSETETH</t>
  </si>
  <si>
    <t>ASSETBINEASSETEUR</t>
  </si>
  <si>
    <t>ASSETBINEASSETFIL</t>
  </si>
  <si>
    <t>ASSETBINEASSETFTM</t>
  </si>
  <si>
    <t>ASSETBINEASSETHBAR</t>
  </si>
  <si>
    <t>ASSETBINEASSETLINK</t>
  </si>
  <si>
    <t>ASSETBINEASSETLTC</t>
  </si>
  <si>
    <t>ASSETBINEASSETMANA</t>
  </si>
  <si>
    <t>ASSETBINEASSETMATIC</t>
  </si>
  <si>
    <t>ASSETBINEASSETMKR</t>
  </si>
  <si>
    <t>ASSETBINEASSETOMG</t>
  </si>
  <si>
    <t>ASSETBINEASSETOXT</t>
  </si>
  <si>
    <t>ASSETBINEASSETSOL</t>
  </si>
  <si>
    <t>ASSETBINEASSETUNI</t>
  </si>
  <si>
    <t>ASSETBINEASSETUSDT</t>
  </si>
  <si>
    <t>ASSETBINEASSETXLM</t>
  </si>
  <si>
    <t>bine_2_s1_f.account_asset</t>
  </si>
  <si>
    <t>bine_2_s1_m.margin_account_asset</t>
  </si>
  <si>
    <t>ASSETBINEASSETETC</t>
  </si>
  <si>
    <t xml:space="preserve">bine_2_s1_p.futures_account_assets </t>
  </si>
  <si>
    <t xml:space="preserve">bine_2_S2_p.futures_account_assets </t>
  </si>
  <si>
    <t>btfx_1_m_e.wallet_balance</t>
  </si>
  <si>
    <t>ASSETBTFX ASSETBTC</t>
  </si>
  <si>
    <t xml:space="preserve">ASSETBTFX </t>
  </si>
  <si>
    <t>ASSETBTFX ASSETETH</t>
  </si>
  <si>
    <t>ASSETBTFX ASSETETHW</t>
  </si>
  <si>
    <t>ASSETBTFX ASSETUSD</t>
  </si>
  <si>
    <t>ASSETBTFX ASSETUST</t>
  </si>
  <si>
    <t>crypto.snapshotbalances</t>
  </si>
  <si>
    <t>ASSETBTSEASSETBCH</t>
  </si>
  <si>
    <t>ASSETBTSE</t>
  </si>
  <si>
    <t>ASSETBTSEASSETBTC</t>
  </si>
  <si>
    <t>ASSETBTSEASSETETH</t>
  </si>
  <si>
    <t>ASSETBTSEASSETSGB</t>
  </si>
  <si>
    <t>ASSETBTSEASSETUSD</t>
  </si>
  <si>
    <t>ASSETBTSEASSETXRP</t>
  </si>
  <si>
    <t>BULL_1_m.spot_account</t>
  </si>
  <si>
    <t>ASSETBULLASSETBTC</t>
  </si>
  <si>
    <t>ASSETBULL</t>
  </si>
  <si>
    <t>ASSETBULLASSETUSD</t>
  </si>
  <si>
    <t>ASSETBULLASSETUSDC</t>
  </si>
  <si>
    <t>BULL_2_m.spot_account</t>
  </si>
  <si>
    <t>ASSETBULLASSETEOS</t>
  </si>
  <si>
    <t>ASSETBULLASSETLINK</t>
  </si>
  <si>
    <t>ASSETBULLASSETLTC</t>
  </si>
  <si>
    <t>BULL_3_m.spot_account</t>
  </si>
  <si>
    <t>ASSETBULLASSETETH</t>
  </si>
  <si>
    <t>BULL_4_m.spot_account</t>
  </si>
  <si>
    <t>ASSETDEFIASSETCRV</t>
  </si>
  <si>
    <t>ASSETDEFI</t>
  </si>
  <si>
    <t>ASSETDEFIASSETCVX</t>
  </si>
  <si>
    <t>ASSETDEFIASSETETH</t>
  </si>
  <si>
    <t>ASSETDEFIASSETUSDC</t>
  </si>
  <si>
    <t>ASSETDEFIASSET$ USDCBONUS.COM &lt;- VISIT TO CLAIM BONUS</t>
  </si>
  <si>
    <t>ASSETDEFIASSET$ USDCGIFT.COM &lt;- VISIT TO CLAIM BONUS</t>
  </si>
  <si>
    <t>ASSETDEFIASSET927$ VISIT AUSDBONUS.COM TO CLAIM</t>
  </si>
  <si>
    <t>ASSETDEFIASSETAAVE</t>
  </si>
  <si>
    <t>ASSETDEFIASSETINVITATION TOKEN. PLEASE VISIT HTTPS://AAKER.SITE AND CLAIM REWARDS.</t>
  </si>
  <si>
    <t>ASSETDEFIASSETOAAVEUSDC/AAVE-02DEC22-67.5C</t>
  </si>
  <si>
    <t>ASSETDEFIASSETOAAVEUSDC/AAVE-25NOV22-72.5C</t>
  </si>
  <si>
    <t>ASSETDEFIASSETOWETHUSDC/WETH-25NOV22-1400C</t>
  </si>
  <si>
    <t>ASSETDEFIASSETOWETHUSDC/WSTETH-02DEC22-1350C</t>
  </si>
  <si>
    <t>ASSETDEFIASSETOWETHUSDC/WSTETH-04NOV22-1700C</t>
  </si>
  <si>
    <t>ASSETDEFIASSETOWETHUSDC/WSTETH-09SEP22-1900C</t>
  </si>
  <si>
    <t>ASSETDEFIASSETWETH</t>
  </si>
  <si>
    <t>ASSETDYDXASSETUSDC</t>
  </si>
  <si>
    <t>ASSETDYDX</t>
  </si>
  <si>
    <t>fub2.contract_account_info</t>
  </si>
  <si>
    <t>ASSETHUBIASSETADA</t>
  </si>
  <si>
    <t>ASSETHUBI</t>
  </si>
  <si>
    <t>ASSETHUBIASSETBCH</t>
  </si>
  <si>
    <t>ASSETHUBIASSETBSV</t>
  </si>
  <si>
    <t>ASSETHUBIASSETBTC</t>
  </si>
  <si>
    <t>ASSETHUBIASSETEOS</t>
  </si>
  <si>
    <t>ASSETHUBIASSETETC</t>
  </si>
  <si>
    <t>ASSETHUBIASSETETH</t>
  </si>
  <si>
    <t>ASSETHUBIASSETLTC</t>
  </si>
  <si>
    <t>ASSETHUBIASSETTRX</t>
  </si>
  <si>
    <t>ASSETHUBIASSETXRP</t>
  </si>
  <si>
    <t>fubi.contract_account_info</t>
  </si>
  <si>
    <t>ASSETHUBIASSETDOT</t>
  </si>
  <si>
    <t>ASSETHUBIASSETLINK</t>
  </si>
  <si>
    <t>ASSETGATEASSETBTC</t>
  </si>
  <si>
    <t>ASSETGATE</t>
  </si>
  <si>
    <t>ASSETGATEASSETUSDT</t>
  </si>
  <si>
    <t>gate_1_m_e.spot_account</t>
  </si>
  <si>
    <t>ASSETGATEASSETETHF</t>
  </si>
  <si>
    <t>ASSETGATEASSETETHW</t>
  </si>
  <si>
    <t>ASSETGATEASSETROSE</t>
  </si>
  <si>
    <t>gate_1_m_m.margin_account</t>
  </si>
  <si>
    <t>ASSETGATEASSETETH</t>
  </si>
  <si>
    <t>hub2.account_balance</t>
  </si>
  <si>
    <t>ASSETHUBIASSETUSDT</t>
  </si>
  <si>
    <t>hubi_1_m_p.swap_account_info</t>
  </si>
  <si>
    <t>ASSETHUBIASSETAAVE</t>
  </si>
  <si>
    <t>ASSETHUBIASSETSHIB</t>
  </si>
  <si>
    <t>ASSETHUBIASSETYFII</t>
  </si>
  <si>
    <t>hubi.account_balance</t>
  </si>
  <si>
    <t>ASSETHUBIASSETAAC</t>
  </si>
  <si>
    <t>ASSETHUBIASSETALGO</t>
  </si>
  <si>
    <t>ASSETHUBIASSETARPA</t>
  </si>
  <si>
    <t>ASSETHUBIASSETATOM</t>
  </si>
  <si>
    <t>ASSETHUBIASSETAVAX</t>
  </si>
  <si>
    <t>ASSETHUBIASSETBAT</t>
  </si>
  <si>
    <t>ASSETHUBIASSETBHD</t>
  </si>
  <si>
    <t>ASSETHUBIASSETBLZ</t>
  </si>
  <si>
    <t>ASSETHUBIASSETBOBA</t>
  </si>
  <si>
    <t>ASSETHUBIASSETBTM</t>
  </si>
  <si>
    <t>ASSETHUBIASSETBTT</t>
  </si>
  <si>
    <t>ASSETHUBIASSETCMT</t>
  </si>
  <si>
    <t>ASSETHUBIASSETCRO</t>
  </si>
  <si>
    <t>ASSETHUBIASSETDASH</t>
  </si>
  <si>
    <t>ASSETHUBIASSETDON</t>
  </si>
  <si>
    <t>ASSETHUBIASSETENJ</t>
  </si>
  <si>
    <t>ASSETHUBIASSETETHF</t>
  </si>
  <si>
    <t>ASSETHUBIASSETETHW</t>
  </si>
  <si>
    <t>ASSETHUBIASSETEUROC</t>
  </si>
  <si>
    <t>ASSETHUBIASSETFIL</t>
  </si>
  <si>
    <t>ASSETHUBIASSETFTT</t>
  </si>
  <si>
    <t>ASSETHUBIASSETGAS</t>
  </si>
  <si>
    <t>ASSETHUBIASSETHBAR</t>
  </si>
  <si>
    <t>ASSETHUBIASSETHPT</t>
  </si>
  <si>
    <t>ASSETHUBIASSETHT</t>
  </si>
  <si>
    <t>ASSETHUBIASSETIOST</t>
  </si>
  <si>
    <t>ASSETHUBIASSETIRIS</t>
  </si>
  <si>
    <t>ASSETHUBIASSETJST</t>
  </si>
  <si>
    <t>ASSETHUBIASSETKSM</t>
  </si>
  <si>
    <t>ASSETHUBIASSETLAMB</t>
  </si>
  <si>
    <t>ASSETHUBIASSETLEND</t>
  </si>
  <si>
    <t>ASSETHUBIASSETLOL</t>
  </si>
  <si>
    <t>ASSETHUBIASSETLXT</t>
  </si>
  <si>
    <t>ASSETHUBIASSETMANA</t>
  </si>
  <si>
    <t>ASSETHUBIASSETNEO</t>
  </si>
  <si>
    <t>ASSETHUBIASSETNEW</t>
  </si>
  <si>
    <t>ASSETHUBIASSETNFT</t>
  </si>
  <si>
    <t>ASSETHUBIASSETNULS</t>
  </si>
  <si>
    <t>ASSETHUBIASSETONG</t>
  </si>
  <si>
    <t>ASSETHUBIASSETOXT</t>
  </si>
  <si>
    <t>ASSETHUBIASSETQTUM</t>
  </si>
  <si>
    <t>ASSETHUBIASSETREI</t>
  </si>
  <si>
    <t>ASSETHUBIASSETSGB</t>
  </si>
  <si>
    <t>ASSETHUBIASSETSOL</t>
  </si>
  <si>
    <t>ASSETHUBIASSETSOLO</t>
  </si>
  <si>
    <t>ASSETHUBIASSETSTORJ</t>
  </si>
  <si>
    <t>ASSETHUBIASSETTT</t>
  </si>
  <si>
    <t>ASSETHUBIASSETTUSD</t>
  </si>
  <si>
    <t>ASSETHUBIASSETUNI</t>
  </si>
  <si>
    <t>ASSETHUBIASSETUSDC</t>
  </si>
  <si>
    <t>ASSETHUBIASSETUSDP</t>
  </si>
  <si>
    <t>ASSETHUBIASSETVET</t>
  </si>
  <si>
    <t>ASSETHUBIASSETVSYS</t>
  </si>
  <si>
    <t>ASSETHUBIASSETXEC</t>
  </si>
  <si>
    <t>ASSETHUBIASSETXLM</t>
  </si>
  <si>
    <t>ASSETHUBIASSETXTZ</t>
  </si>
  <si>
    <t>ASSETHUBIASSETZEC</t>
  </si>
  <si>
    <t>ASSETHUBIASSETZIL</t>
  </si>
  <si>
    <t>ASSETKRKEASSETATOM</t>
  </si>
  <si>
    <t>ASSETKRKE</t>
  </si>
  <si>
    <t>ASSETKRKEASSETBCH</t>
  </si>
  <si>
    <t>ASSETKRKEASSETBTC</t>
  </si>
  <si>
    <t>ASSETKRKEASSETEOS</t>
  </si>
  <si>
    <t>ASSETKRKEASSETETHW</t>
  </si>
  <si>
    <t>ASSETKRKEASSETLTC</t>
  </si>
  <si>
    <t>ASSETKRKEASSETOXT</t>
  </si>
  <si>
    <t>ASSETKRKEASSETSGB</t>
  </si>
  <si>
    <t>ASSETKRKEASSETUSD</t>
  </si>
  <si>
    <t>ASSETKRKEASSETUSDT</t>
  </si>
  <si>
    <t>ASSETKRKEASSETXLM</t>
  </si>
  <si>
    <t>ASSETKRKEASSETXRP</t>
  </si>
  <si>
    <t>pnl.Loans</t>
  </si>
  <si>
    <t>FUNDGALAXYFUNDBCH</t>
  </si>
  <si>
    <t>FUNDGALAXY</t>
  </si>
  <si>
    <t>FUNDGALAXYFUNDETC</t>
  </si>
  <si>
    <t>ASSETLMACASSETETH</t>
  </si>
  <si>
    <t>ASSETLMAC</t>
  </si>
  <si>
    <t>ASSETLMACASSETUSD</t>
  </si>
  <si>
    <t>ASSETLMAXASSETUSD</t>
  </si>
  <si>
    <t>ASSETLMAX</t>
  </si>
  <si>
    <t>okex_2_s1.account_balance</t>
  </si>
  <si>
    <t>ASSETOKEXASSETBTC</t>
  </si>
  <si>
    <t>ASSETOKEX</t>
  </si>
  <si>
    <t>ASSETOKEXASSETETH</t>
  </si>
  <si>
    <t>ASSETOKEXASSETXRP</t>
  </si>
  <si>
    <t>okex_2_s2.account_balance</t>
  </si>
  <si>
    <t>ASSETOKEXASSETUSDT</t>
  </si>
  <si>
    <t>okex_2_u1.account_balance</t>
  </si>
  <si>
    <t>ASSETOKEXASSETLTC</t>
  </si>
  <si>
    <t>ASSETOKEXASSETOXT</t>
  </si>
  <si>
    <t>ASSETOKEXASSETZIL</t>
  </si>
  <si>
    <t>okex_2_u1.funding_asset_balance</t>
  </si>
  <si>
    <t>ASSETOKEXASSETBSV</t>
  </si>
  <si>
    <t>ASSETOKEXASSETDOT</t>
  </si>
  <si>
    <t>ASSETOKEXASSETETHW</t>
  </si>
  <si>
    <t>ASSETOKEXASSETSHIB</t>
  </si>
  <si>
    <t>ASSETOKEXASSETXEC</t>
  </si>
  <si>
    <t>ASSETPITXASSETETH</t>
  </si>
  <si>
    <t>ASSETPITX</t>
  </si>
  <si>
    <t>ASSETPITXASSETEUR</t>
  </si>
  <si>
    <t>ASSETPITXASSETGBP</t>
  </si>
  <si>
    <t>ASSETPITXASSETTRY</t>
  </si>
  <si>
    <t>ASSETPITXASSETUSD</t>
  </si>
  <si>
    <t>ASSETPITXASSETUSDT</t>
  </si>
  <si>
    <t>ASSETPITXASSETXLM</t>
  </si>
  <si>
    <t>ASSETSHFT WALLETASSETSHFT</t>
  </si>
  <si>
    <t>ASSETSHFT WALLET</t>
  </si>
  <si>
    <t>ASSETWOOX</t>
  </si>
  <si>
    <t>ASSETWOOXASSETBTC</t>
  </si>
  <si>
    <t>ASSETWOOXASSETWOO</t>
  </si>
  <si>
    <t>ASSETFBLKASSETAAVE</t>
  </si>
  <si>
    <t>ASSETFBLK</t>
  </si>
  <si>
    <t>ASSETFBLKASSETAVAX</t>
  </si>
  <si>
    <t>ASSETFBLKASSETBTC</t>
  </si>
  <si>
    <t>ASSETFBLKASSETDASH</t>
  </si>
  <si>
    <t>ASSETFBLKASSETDOT</t>
  </si>
  <si>
    <t>ASSETFBLKASSETEOS</t>
  </si>
  <si>
    <t>ASSETFBLKASSETETC</t>
  </si>
  <si>
    <t>ASSETFBLKASSETETH</t>
  </si>
  <si>
    <t>ASSETFBLKASSETETHW</t>
  </si>
  <si>
    <t>ASSETFBLKASSETEUROC</t>
  </si>
  <si>
    <t>ASSETFBLKASSETFTM</t>
  </si>
  <si>
    <t>ASSETFBLKASSETFTT</t>
  </si>
  <si>
    <t>ASSETFBLKASSETHBAR</t>
  </si>
  <si>
    <t>ASSETFBLKASSETKSM</t>
  </si>
  <si>
    <t>ASSETFBLKASSETMANA</t>
  </si>
  <si>
    <t>ASSETFBLKASSETOMG</t>
  </si>
  <si>
    <t>ASSETFBLKASSETOXT</t>
  </si>
  <si>
    <t>ASSETFBLKASSETUNI</t>
  </si>
  <si>
    <t>ASSETFBLKASSETUSDC</t>
  </si>
  <si>
    <t>ASSETFBLKASSETUSDT</t>
  </si>
  <si>
    <t>ASSETFBLKASSETXLM</t>
  </si>
  <si>
    <t>ASSETFBLKASSETXRP</t>
  </si>
  <si>
    <t>ASSETFBLKASSETYFI</t>
  </si>
  <si>
    <t>EXCHLOANBINEEXCHLOANAAVE</t>
  </si>
  <si>
    <t>EXCHLOANBINE</t>
  </si>
  <si>
    <t>EXCHLOANBINEEXCHLOANADA</t>
  </si>
  <si>
    <t>EXCHLOANBINEEXCHLOANALGO</t>
  </si>
  <si>
    <t>EXCHLOANBINEEXCHLOANAVAX</t>
  </si>
  <si>
    <t>EXCHLOANBINEEXCHLOANBAT</t>
  </si>
  <si>
    <t>EXCHLOANBINEEXCHLOANBCH</t>
  </si>
  <si>
    <t>EXCHLOANBINEEXCHLOANCOMP</t>
  </si>
  <si>
    <t>EXCHLOANBINEEXCHLOANDASH</t>
  </si>
  <si>
    <t>EXCHLOANBINEEXCHLOANDOGE</t>
  </si>
  <si>
    <t>EXCHLOANBINEEXCHLOANDOT</t>
  </si>
  <si>
    <t>EXCHLOANBINEEXCHLOANENJ</t>
  </si>
  <si>
    <t>EXCHLOANBINEEXCHLOANFTM</t>
  </si>
  <si>
    <t>EXCHLOANBINEEXCHLOANLINK</t>
  </si>
  <si>
    <t>EXCHLOANBINEEXCHLOANLTC</t>
  </si>
  <si>
    <t>EXCHLOANBINEEXCHLOANMANA</t>
  </si>
  <si>
    <t>EXCHLOANBINEEXCHLOANMATIC</t>
  </si>
  <si>
    <t>EXCHLOANBINEEXCHLOANMKR</t>
  </si>
  <si>
    <t>EXCHLOANBINEEXCHLOANSHIB</t>
  </si>
  <si>
    <t>EXCHLOANBINEEXCHLOANSOL</t>
  </si>
  <si>
    <t>EXCHLOANBINEEXCHLOANUNI</t>
  </si>
  <si>
    <t>EXCHLOANBINEEXCHLOANVET</t>
  </si>
  <si>
    <t>EXCHLOANBINEEXCHLOANXLM</t>
  </si>
  <si>
    <t>EXCHLOANHUBIEXCHLOANEOS</t>
  </si>
  <si>
    <t>EXCHLOANHUBI</t>
  </si>
  <si>
    <t>EXCHLOANHUBIEXCHLOANLINK</t>
  </si>
  <si>
    <t>EXCHLOANHUBIEXCHLOANLTC</t>
  </si>
  <si>
    <t>EXCHLOANBULLEXCHLOANBTC</t>
  </si>
  <si>
    <t>EXCHLOANBULL</t>
  </si>
  <si>
    <t>EXCHLOANBULLEXCHLOANEOS</t>
  </si>
  <si>
    <t>EXCHLOANBULLEXCHLOANETH</t>
  </si>
  <si>
    <t>FUNDGALAXYFUNDBTC</t>
  </si>
  <si>
    <t>FUNDGALAXYFUNDETH</t>
  </si>
  <si>
    <t>FUNDGALAXYFUNDEUROC</t>
  </si>
  <si>
    <t>FUNDGALAXYFUNDUSD</t>
  </si>
  <si>
    <t>FUNDGALAXYFUNDUSDC</t>
  </si>
  <si>
    <t>FUNDGALAXYFUNDZIL</t>
  </si>
  <si>
    <t>crypto.transfers</t>
  </si>
  <si>
    <t>EXCHLOANHUBIEXCHLOANBCH</t>
  </si>
  <si>
    <t>EXCHLOANHUBIEXCHLOANDOT</t>
  </si>
  <si>
    <t>EXCHLOANHUBIEXCHLOANETC</t>
  </si>
  <si>
    <t>EXCHLOANHUBIEXCHLOANETH</t>
  </si>
  <si>
    <t>LOANORCHIDLOANOXT</t>
  </si>
  <si>
    <t>LOANORCHID</t>
  </si>
  <si>
    <t>LOANORCHIDLOANUSDC</t>
  </si>
  <si>
    <t>LOANRIPPLELOANXRP</t>
  </si>
  <si>
    <t>LOANRIPPLE</t>
  </si>
  <si>
    <t>EXCHLOANOKEX</t>
  </si>
  <si>
    <t>EXCHLOANOKEXEXCHLOANFIL</t>
  </si>
  <si>
    <t>COLLATERALWEDBUSHCOLLATERALUSD</t>
  </si>
  <si>
    <t>COLLATERALWEDBUSH</t>
  </si>
  <si>
    <t>COLLATERALED&amp;FCOLLATERALUSD</t>
  </si>
  <si>
    <t>BTC PERP SHORT</t>
  </si>
  <si>
    <t>ETH PERP SHORT</t>
  </si>
  <si>
    <t>AXS PERP LONG</t>
  </si>
  <si>
    <t>BTC PERP LONG</t>
  </si>
  <si>
    <t>BCH PERP SHORT</t>
  </si>
  <si>
    <t>LTC PERP SHORT</t>
  </si>
  <si>
    <t>ZIL PERP SHORT</t>
  </si>
  <si>
    <t>COMP PERP SHORT</t>
  </si>
  <si>
    <t>LINK PERP SHORT</t>
  </si>
  <si>
    <t>ATOM PERP SHORT</t>
  </si>
  <si>
    <t>SHIB PERP SHORT</t>
  </si>
  <si>
    <t>WALLET</t>
  </si>
  <si>
    <t>COIN LONG</t>
  </si>
  <si>
    <t>ASSETFBLKASSETENJ</t>
  </si>
  <si>
    <t>Galaxy Digital</t>
  </si>
  <si>
    <t>MIM</t>
  </si>
  <si>
    <t>FXS</t>
  </si>
  <si>
    <t>ASSETFBLKASSETLTC</t>
  </si>
  <si>
    <t>DEFI-STRAT-8</t>
  </si>
  <si>
    <t>CASH LONG</t>
  </si>
  <si>
    <t>$ PLEASE VISIT ACADY.SITE TO RECEIVE REWARD.</t>
  </si>
  <si>
    <t>COIN SHORT</t>
  </si>
  <si>
    <t>on-exchange</t>
  </si>
  <si>
    <t>Sum of Coin Equivalent</t>
  </si>
  <si>
    <t>Total Capital</t>
  </si>
  <si>
    <t>Net Funded Capital</t>
  </si>
  <si>
    <t>Wedbush</t>
  </si>
  <si>
    <t>DEFI-STRATS</t>
  </si>
  <si>
    <t>Loan Amount</t>
  </si>
  <si>
    <t>Total External Capital</t>
  </si>
  <si>
    <t>Unsettled Obligations</t>
  </si>
  <si>
    <t>BitGo</t>
  </si>
  <si>
    <t>Total Unsettled Obligations</t>
  </si>
  <si>
    <t>Net Asset Value w/ GD Capital</t>
  </si>
  <si>
    <t>Net Asset Value w/o GD Capital</t>
  </si>
  <si>
    <t>CONFIDENTIAL</t>
  </si>
  <si>
    <t>Blue Fire Capital Europe Cooperatief U.A.</t>
  </si>
  <si>
    <t>NET ASSET VALUE REPORT</t>
  </si>
  <si>
    <t>Reporting Currency:  USD</t>
  </si>
  <si>
    <t>Leverage Factor</t>
  </si>
  <si>
    <t>% of Assets</t>
  </si>
  <si>
    <t>Collateral</t>
  </si>
  <si>
    <t>label</t>
  </si>
  <si>
    <t>Label Map</t>
  </si>
  <si>
    <t>Filter</t>
  </si>
  <si>
    <t>Total Ex-USD</t>
  </si>
  <si>
    <t>EXCHLOANOKEXEXCHLOANEOS</t>
  </si>
  <si>
    <t>USD like totals</t>
  </si>
  <si>
    <t>ASSETBINEASSETSHIB</t>
  </si>
  <si>
    <t>ASSETBINEASSETSUSHI</t>
  </si>
  <si>
    <t>ASSETDEFIASSETOWETHUSDC/WETH-09DEC22-1450C</t>
  </si>
  <si>
    <t>ASSETFBLKASSETSHIB</t>
  </si>
  <si>
    <t>EXCHLOANBINEEXCHLOANEOS</t>
  </si>
  <si>
    <t>EXCHLOANBINEEXCHLOANSUSHI</t>
  </si>
  <si>
    <t>H_P_ETH-USD-SWAP</t>
  </si>
  <si>
    <t>ASSETFBLKASSETGRT</t>
  </si>
  <si>
    <t>ASSETFBLKASSETSUSHI</t>
  </si>
  <si>
    <t>H_T_ETH_USDT_SWAP</t>
  </si>
  <si>
    <t>ASSETBINEASSETGRT</t>
  </si>
  <si>
    <t>ASSETBINEASSETXTZ</t>
  </si>
  <si>
    <t>ASSETFBLKASSETBAT</t>
  </si>
  <si>
    <t>EXCHLOANBINEEXCHLOANGRT</t>
  </si>
  <si>
    <t>EXCHLOANBINEEXCHLOANHBAR</t>
  </si>
  <si>
    <t>EXCHLOANBINEEXCHLOANXTZ</t>
  </si>
  <si>
    <t>ASSETDEFIASSETAVAX</t>
  </si>
  <si>
    <t>ASSETDEFIASSETOWAVAXUSDC.E/WAVAX-09DEC22-15.5C</t>
  </si>
  <si>
    <t>ASSETDEFIASSETOWAVAXUSDC.E/WAVAX-25NOV22-15.5C</t>
  </si>
  <si>
    <t>ASSETDEFIASSETWAVAX</t>
  </si>
  <si>
    <t>ASSETDEFIASSETOBALUSDC/BAL-30DEC22-7.6C</t>
  </si>
  <si>
    <t>ASSETDEFIASSETOPERPUSDC/PERP-30DEC22-0.54C</t>
  </si>
  <si>
    <t>ASSETDEFIASSETOSPELLUSDC/SPELL-30DEC22-0.00079C</t>
  </si>
  <si>
    <t>ASSETFBLKASSETALGO</t>
  </si>
  <si>
    <t>ASSETDEFIASSETOAAVEUSDC/AAVE-16DEC22-72.5C</t>
  </si>
  <si>
    <t>ASSETDEFIASSETOWAVAXUSDC.E/WAVAX-16DEC22-15.25C</t>
  </si>
  <si>
    <t>ASSETDEFIASSETOWETHUSDC/WETH-16DEC22-1450C</t>
  </si>
  <si>
    <t>ASSETDEFIASSETBONUS. VISIT HTTPS://BITBONUS.TECH TO CLAIM REWARD.</t>
  </si>
  <si>
    <t>ASSETDEFIASSETFXS</t>
  </si>
  <si>
    <t>BOMGUSDT</t>
  </si>
  <si>
    <t>ASSETDEFIASSETDAI</t>
  </si>
  <si>
    <t>ASSETDEFIASSETMIM</t>
  </si>
  <si>
    <t>ASSETDEFIASSETUSDT</t>
  </si>
  <si>
    <t>OMG PERP SHORT</t>
  </si>
  <si>
    <t>FUNDGALAXYFUNDUSDT</t>
  </si>
  <si>
    <t>DEFI-STRAT-8 Loan</t>
  </si>
  <si>
    <t>ASSETDEFIASSET$ PLEASE VISIT ACADY.SITE TO RECEIVE REWARD.</t>
  </si>
  <si>
    <t>EXCHLOANDEFIEXCHLOANUSDT</t>
  </si>
  <si>
    <t>EXCHLOANDEFI</t>
  </si>
  <si>
    <t>FUNDGALAXYFUNDAAVE</t>
  </si>
  <si>
    <t>FUNDGALAXYFUNDADA</t>
  </si>
  <si>
    <t>FUNDGALAXYFUNDALGO</t>
  </si>
  <si>
    <t>FUNDGALAXYFUNDAVAX</t>
  </si>
  <si>
    <t>FUNDGALAXYFUNDBAT</t>
  </si>
  <si>
    <t>FUNDGALAXYFUNDDASH</t>
  </si>
  <si>
    <t>FUNDGALAXYFUNDDOGE</t>
  </si>
  <si>
    <t>FUNDGALAXYFUNDDOT</t>
  </si>
  <si>
    <t>FUNDGALAXYFUNDENJ</t>
  </si>
  <si>
    <t>FUNDGALAXYFUNDEOS</t>
  </si>
  <si>
    <t>FUNDGALAXYFUNDFTM</t>
  </si>
  <si>
    <t>FUNDGALAXYFUNDGRT</t>
  </si>
  <si>
    <t>FUNDGALAXYFUNDHBAR</t>
  </si>
  <si>
    <t>FUNDGALAXYFUNDLINK</t>
  </si>
  <si>
    <t>FUNDGALAXYFUNDLTC</t>
  </si>
  <si>
    <t>FUNDGALAXYFUNDMANA</t>
  </si>
  <si>
    <t>FUNDGALAXYFUNDMATIC</t>
  </si>
  <si>
    <t>FUNDGALAXYFUNDOXT</t>
  </si>
  <si>
    <t>FUNDGALAXYFUNDSOL</t>
  </si>
  <si>
    <t>FUNDGALAXYFUNDSUSHI</t>
  </si>
  <si>
    <t>FUNDGALAXYFUNDUNI</t>
  </si>
  <si>
    <t>FUNDGALAXYFUNDXLM</t>
  </si>
  <si>
    <t>FUNDGALAXYFUNDXTZ</t>
  </si>
  <si>
    <t>OWAVAXUSDC.E/WAVAX-30DEC22-13.25C</t>
  </si>
  <si>
    <t>OWETHUSDC/WETH-30DEC22-1350C</t>
  </si>
  <si>
    <t>OWETHUSDC/WSTETH-30DEC22-1350C</t>
  </si>
  <si>
    <t>ASSETDEFIASSETOWAVAXUSDC.E/WAVAX-30DEC22-13.25C</t>
  </si>
  <si>
    <t>ASSETDEFIASSETOWETHUSDC/WETH-30DEC22-1350C</t>
  </si>
  <si>
    <t>ASSETDEFIASSETOWETHUSDC/WSTETH-30DEC22-1350C</t>
  </si>
  <si>
    <t>ASSETBINEASSETYFI</t>
  </si>
  <si>
    <t>ASSETFBLKASSETADA</t>
  </si>
  <si>
    <t>ASSETFBLKASSETBCH</t>
  </si>
  <si>
    <t>ASSETFBLKASSETCOMP</t>
  </si>
  <si>
    <t>ASSETFBLKASSETDOGE</t>
  </si>
  <si>
    <t>ASSETFBLKASSETLINK</t>
  </si>
  <si>
    <t>$ USDCXMAS.COM &lt;- VISIT TO CLAIM GIFT</t>
  </si>
  <si>
    <t>ASSETDEFIASSET$ USDCXMAS.COM &lt;- VISIT TO CLAIM GIFT</t>
  </si>
  <si>
    <t>ASSETFBLKASSETXTZ</t>
  </si>
  <si>
    <t>ASSETOKEXASSETUSDC</t>
  </si>
  <si>
    <t>EXCHLOANOKEXEXCHLOANLTC</t>
  </si>
  <si>
    <t>funding</t>
  </si>
  <si>
    <t>margin</t>
  </si>
  <si>
    <t>AUSDC_ETH</t>
  </si>
  <si>
    <t>OAAVEUSDC_AAVE-02DEC22-67_5C_ETH_VR7K</t>
  </si>
  <si>
    <t>OAAVEUSDC_AAVE-16DEC22-72_5C_ETH_NF7H</t>
  </si>
  <si>
    <t>OAAVEUSDC_AAVE-25NOV22-72_5C_ETH_IV8T</t>
  </si>
  <si>
    <t>OBALUSDC_BAL-30DEC22-7_6C_ETH_9HM7</t>
  </si>
  <si>
    <t>OPERPUSDC_PERP-30DEC22-0_54C_ETH_810N</t>
  </si>
  <si>
    <t>OSPELLUSDC_SPELL-30DEC22-0_00079C_ETH_L34N</t>
  </si>
  <si>
    <t>OWAVAXUSDC_E_WAVAX-09DEC22-15_5C_AVAX_M135</t>
  </si>
  <si>
    <t>OWAVAXUSDC_E_WAVAX-16DEC22-15_25C_AVAX_EN88</t>
  </si>
  <si>
    <t>OWAVAXUSDC_E_WAVAX-25NOV22-15_5C_AVAX_QGUL</t>
  </si>
  <si>
    <t>OWAVAXUSDC_E_WAVAX-30DEC22-13_25C_AVAX_W9CA</t>
  </si>
  <si>
    <t>OWETHUSDC_WETH-09DEC22-1450C_ETH_OWE6</t>
  </si>
  <si>
    <t>OWETHUSDC_WETH-16DEC22-1450C_ETH_52GN</t>
  </si>
  <si>
    <t>OWETHUSDC_WETH-25NOV22-1400C_ETH_SFAI</t>
  </si>
  <si>
    <t>OWETHUSDC_WSTETH-02DEC22-1350C_ETH_1LRC</t>
  </si>
  <si>
    <t>OWETHUSDC_WSTETH-30DEC22-1350C_ETH_2DDK</t>
  </si>
  <si>
    <t>VARIABLEDEBTUSDT</t>
  </si>
  <si>
    <t>WAVAX_AVAX</t>
  </si>
  <si>
    <t>ASSETFBLKASSETBNB</t>
  </si>
  <si>
    <t>OAAVEUSDC/AAVE-06JAN23-62.5C</t>
  </si>
  <si>
    <t>OWAVAXUSDC.E/WAVAX-06JAN23-12.25C</t>
  </si>
  <si>
    <t>OWETHUSDC/WETH-06JAN23-1300C</t>
  </si>
  <si>
    <t>ASSETDEFIASSETOAAVEUSDC/AAVE-06JAN23-62.5C</t>
  </si>
  <si>
    <t>ASSETDEFIASSETOWAVAXUSDC.E/WAVAX-06JAN23-12.25C</t>
  </si>
  <si>
    <t>ASSETDEFIASSETOWETHUSDC/WETH-06JAN23-1300C</t>
  </si>
  <si>
    <t>H_P_BTC-USD-SWAP</t>
  </si>
  <si>
    <t>ASSETWOOXASSETETH</t>
  </si>
  <si>
    <t>B_F_BTC-USD_230331</t>
  </si>
  <si>
    <t>B_F_BTC-USD_230630</t>
  </si>
  <si>
    <t>B_F_ETH-USD_230331</t>
  </si>
  <si>
    <t>B_F_BTC-USDT_230331</t>
  </si>
  <si>
    <t>B_F_ETH-USDT_230331</t>
  </si>
  <si>
    <t>O_F_BTC-USD_230331</t>
  </si>
  <si>
    <t>O_F_BTC-USD_230630</t>
  </si>
  <si>
    <t>O_F_BTC-USDT_230331</t>
  </si>
  <si>
    <t>O_F_BTC-USDT_230630</t>
  </si>
  <si>
    <t>O_F_ETH-USD_230331</t>
  </si>
  <si>
    <t>O_F_ETH-USDT_230331</t>
  </si>
  <si>
    <t>Jun 23</t>
  </si>
  <si>
    <t>Mar 23 LONG</t>
  </si>
  <si>
    <t>Mar 23 SHORT</t>
  </si>
  <si>
    <t>Jun 23 SHORT</t>
  </si>
  <si>
    <t>Jun 23 LONG</t>
  </si>
  <si>
    <t>BTC Mar 23 SHORT</t>
  </si>
  <si>
    <t>BTC Jun 23 SHORT</t>
  </si>
  <si>
    <t>ETH Mar 23 SHORT</t>
  </si>
  <si>
    <t>EOS PERP SHORT</t>
  </si>
  <si>
    <t>ETHF3</t>
  </si>
  <si>
    <t>BTCF3</t>
  </si>
  <si>
    <t>ASSETFBLKASSETMKR</t>
  </si>
  <si>
    <t>ETH Mar 23 LONG</t>
  </si>
  <si>
    <t>O_F_ETH-USDT_230630</t>
  </si>
  <si>
    <t>ETH Jun 23 LONG</t>
  </si>
  <si>
    <t>OAAVEUSDC/AAVE-13JAN23-62.5C</t>
  </si>
  <si>
    <t>ASSETDEFIASSETOAAVEUSDC/AAVE-13JAN23-62.5C</t>
  </si>
  <si>
    <t>ETHG3</t>
  </si>
  <si>
    <t>BTCG3</t>
  </si>
  <si>
    <t>ASSETBINEASSETZIL</t>
  </si>
  <si>
    <t>CME Feb 23 LONG</t>
  </si>
  <si>
    <t>ETH PERP LONG</t>
  </si>
  <si>
    <t>ETH CME Feb 23 LONG</t>
  </si>
  <si>
    <t>BTC CME Feb 23 LONG</t>
  </si>
  <si>
    <t>FLR</t>
  </si>
  <si>
    <t>ASSETHUBIASSETFLR</t>
  </si>
  <si>
    <t>ASSETFBLKASSETMATIC</t>
  </si>
  <si>
    <t>ASSETFBLKASSETSOL</t>
  </si>
  <si>
    <t>EXCHLOANOKEXEXCHLOANBCH</t>
  </si>
  <si>
    <t>EXCHLOANWOOXEXCHLOANUSDT</t>
  </si>
  <si>
    <t>EXCHLOANWOOX</t>
  </si>
  <si>
    <t>CME Jan 23 SHORT</t>
  </si>
  <si>
    <t>ETH CME Jan 23 SHORT</t>
  </si>
  <si>
    <t>BTC CME Jan 23 SHORT</t>
  </si>
  <si>
    <t>ASSETBTSEASSETFLR</t>
  </si>
  <si>
    <t>ASSETBINEASSETXRP</t>
  </si>
  <si>
    <t>EXCHLOANOKEXEXCHLOANXRP</t>
  </si>
  <si>
    <t>CME Mar 23</t>
  </si>
  <si>
    <t>C:\Users\skingham\Projects\galaxysk\qpt_stress_test\</t>
  </si>
  <si>
    <t>CSV Data Directory</t>
  </si>
  <si>
    <t>NAV Summary Exchange Balances 00UTC</t>
  </si>
  <si>
    <t>RawData.HUBI</t>
  </si>
  <si>
    <t>RawData.BINE</t>
  </si>
  <si>
    <t>RawData.FBLK</t>
  </si>
  <si>
    <t>RawData.BTSE</t>
  </si>
  <si>
    <t>RawData.KRKE</t>
  </si>
  <si>
    <t>RawData.BULL</t>
  </si>
  <si>
    <t>RawData.OKEX</t>
  </si>
  <si>
    <t>RawData.Silvergate Network</t>
  </si>
  <si>
    <t>OAAVEUSDC_AAVE-06JAN23-62_5C_ETH_6UBB</t>
  </si>
  <si>
    <t>OWAVAXUSDC_E_WAVAX-06JAN23-12_25C_AVAX_OCWN</t>
  </si>
  <si>
    <t>RawData.WOOX</t>
  </si>
  <si>
    <t>BNB_BSC</t>
  </si>
  <si>
    <t>RawData.BTFX</t>
  </si>
  <si>
    <t>RawData.LMAC</t>
  </si>
  <si>
    <t>RawData.DYDX</t>
  </si>
  <si>
    <t>RawData.LMAX</t>
  </si>
  <si>
    <t>RawData.Silvergate Checking</t>
  </si>
  <si>
    <t>OWETHUSDC_WETH-06JAN23-1300C_ETH_AUPP</t>
  </si>
  <si>
    <t>AsOf</t>
  </si>
  <si>
    <t>RawData Exchange Balances</t>
  </si>
  <si>
    <t>Lookup into RawData</t>
  </si>
  <si>
    <t>RawData</t>
  </si>
  <si>
    <t>RawData.FUB2</t>
  </si>
  <si>
    <t>RawData.FUBI</t>
  </si>
  <si>
    <t>RawData.HUB2</t>
  </si>
  <si>
    <t>Nav</t>
  </si>
  <si>
    <t>Sum of Nav</t>
  </si>
  <si>
    <t>Sum of RawData</t>
  </si>
  <si>
    <t>Fill missing values</t>
  </si>
  <si>
    <t>OAAVEUSDC_AAVE-13JAN23-62_5C_ETH_OZQM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</si>
</sst>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&quot;$&quot;* #,##0_);[Red]_(&quot;$&quot;* \(#,##0\);_(&quot;$&quot;* &quot;-&quot;??_);_(@_)"/>
    <numFmt numFmtId="168" formatCode="yyyy/mm/dd;@"/>
    <numFmt numFmtId="169" formatCode="0.0%"/>
    <numFmt numFmtId="170" formatCode="0.0000"/>
    <numFmt numFmtId="171" formatCode="yyyy/mm/dd\ h:mm:ss;@"/>
    <numFmt numFmtId="172" formatCode="_(* #,##0.0000000_);_(* \(#,##0.0000000\);_(* &quot;-&quot;??_);_(@_)"/>
    <numFmt numFmtId="173" formatCode="_(&quot;$&quot;* #,##0.0_);_(&quot;$&quot;* \(#,##0.0\);_(&quot;$&quot;* &quot;-&quot;??_);_(@_)"/>
    <numFmt numFmtId="174" formatCode="[$-409]mmmm\ d\,\ yyyy;@"/>
    <numFmt numFmtId="175" formatCode="_(* #,##0.0000_);_(* \(#,##0.0000\);_(* &quot;-&quot;??_);_(@_)"/>
    <numFmt numFmtId="176" formatCode="#,##0.0_);[Red]\(#,##0.0\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/>
    <xf numFmtId="9" fontId="1" fillId="0" borderId="0" applyFont="0" applyFill="0" applyBorder="0" applyAlignment="0" applyProtection="0"/>
  </cellStyleXfs>
  <cellXfs count="197">
    <xf numFmtId="0" fontId="0" fillId="0" borderId="0" xfId="0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2" applyNumberFormat="1" applyFont="1"/>
    <xf numFmtId="164" fontId="0" fillId="0" borderId="0" xfId="0" applyNumberFormat="1"/>
    <xf numFmtId="9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16" fillId="0" borderId="0" xfId="0" applyFont="1"/>
    <xf numFmtId="0" fontId="18" fillId="0" borderId="0" xfId="0" applyFont="1"/>
    <xf numFmtId="0" fontId="18" fillId="0" borderId="0" xfId="11" applyFont="1" applyFill="1" applyBorder="1"/>
    <xf numFmtId="0" fontId="18" fillId="0" borderId="0" xfId="10" applyFont="1" applyFill="1" applyBorder="1"/>
    <xf numFmtId="0" fontId="9" fillId="5" borderId="0" xfId="11" applyBorder="1"/>
    <xf numFmtId="22" fontId="9" fillId="5" borderId="0" xfId="11" applyNumberFormat="1" applyBorder="1"/>
    <xf numFmtId="165" fontId="8" fillId="4" borderId="0" xfId="10" applyNumberFormat="1" applyBorder="1"/>
    <xf numFmtId="0" fontId="8" fillId="4" borderId="0" xfId="10" applyBorder="1"/>
    <xf numFmtId="11" fontId="9" fillId="5" borderId="0" xfId="11" applyNumberFormat="1" applyBorder="1"/>
    <xf numFmtId="0" fontId="16" fillId="33" borderId="10" xfId="0" applyFont="1" applyFill="1" applyBorder="1"/>
    <xf numFmtId="43" fontId="0" fillId="0" borderId="0" xfId="44" applyFont="1"/>
    <xf numFmtId="0" fontId="0" fillId="33" borderId="0" xfId="0" applyFill="1"/>
    <xf numFmtId="0" fontId="0" fillId="0" borderId="0" xfId="0" quotePrefix="1"/>
    <xf numFmtId="0" fontId="9" fillId="5" borderId="0" xfId="11" quotePrefix="1" applyBorder="1"/>
    <xf numFmtId="22" fontId="9" fillId="5" borderId="0" xfId="11" quotePrefix="1" applyNumberFormat="1" applyBorder="1"/>
    <xf numFmtId="165" fontId="8" fillId="4" borderId="0" xfId="10" quotePrefix="1" applyNumberFormat="1" applyBorder="1"/>
    <xf numFmtId="0" fontId="8" fillId="4" borderId="0" xfId="10" quotePrefix="1" applyBorder="1"/>
    <xf numFmtId="0" fontId="0" fillId="0" borderId="0" xfId="0" applyAlignment="1">
      <alignment horizontal="left" indent="2"/>
    </xf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16" fillId="34" borderId="11" xfId="0" applyFont="1" applyFill="1" applyBorder="1"/>
    <xf numFmtId="3" fontId="0" fillId="35" borderId="0" xfId="0" applyNumberFormat="1" applyFill="1"/>
    <xf numFmtId="9" fontId="0" fillId="0" borderId="0" xfId="45" applyFont="1"/>
    <xf numFmtId="10" fontId="0" fillId="0" borderId="0" xfId="45" applyNumberFormat="1" applyFont="1"/>
    <xf numFmtId="10" fontId="0" fillId="0" borderId="0" xfId="0" applyNumberFormat="1"/>
    <xf numFmtId="10" fontId="18" fillId="0" borderId="0" xfId="45" applyNumberFormat="1" applyFont="1" applyFill="1" applyBorder="1"/>
    <xf numFmtId="10" fontId="8" fillId="4" borderId="0" xfId="45" applyNumberFormat="1" applyFont="1" applyFill="1" applyBorder="1"/>
    <xf numFmtId="0" fontId="16" fillId="34" borderId="11" xfId="0" quotePrefix="1" applyFont="1" applyFill="1" applyBorder="1"/>
    <xf numFmtId="0" fontId="0" fillId="0" borderId="0" xfId="0" applyAlignment="1">
      <alignment vertical="center"/>
    </xf>
    <xf numFmtId="43" fontId="0" fillId="0" borderId="0" xfId="1" applyFont="1"/>
    <xf numFmtId="43" fontId="18" fillId="0" borderId="0" xfId="1" applyFont="1" applyFill="1" applyBorder="1"/>
    <xf numFmtId="43" fontId="0" fillId="0" borderId="0" xfId="0" applyNumberFormat="1"/>
    <xf numFmtId="0" fontId="1" fillId="10" borderId="0" xfId="21"/>
    <xf numFmtId="43" fontId="1" fillId="10" borderId="0" xfId="21" applyNumberFormat="1"/>
    <xf numFmtId="166" fontId="1" fillId="10" borderId="0" xfId="21" applyNumberFormat="1"/>
    <xf numFmtId="170" fontId="1" fillId="10" borderId="0" xfId="21" applyNumberFormat="1"/>
    <xf numFmtId="0" fontId="20" fillId="33" borderId="10" xfId="0" applyFont="1" applyFill="1" applyBorder="1"/>
    <xf numFmtId="0" fontId="16" fillId="0" borderId="11" xfId="0" applyFont="1" applyBorder="1" applyAlignment="1">
      <alignment horizontal="left"/>
    </xf>
    <xf numFmtId="0" fontId="16" fillId="0" borderId="11" xfId="0" applyFont="1" applyBorder="1"/>
    <xf numFmtId="164" fontId="0" fillId="0" borderId="0" xfId="1" applyNumberFormat="1" applyFont="1"/>
    <xf numFmtId="164" fontId="0" fillId="36" borderId="0" xfId="1" applyNumberFormat="1" applyFont="1" applyFill="1"/>
    <xf numFmtId="0" fontId="0" fillId="0" borderId="0" xfId="1" applyNumberFormat="1" applyFont="1"/>
    <xf numFmtId="171" fontId="16" fillId="33" borderId="10" xfId="0" applyNumberFormat="1" applyFont="1" applyFill="1" applyBorder="1"/>
    <xf numFmtId="171" fontId="0" fillId="0" borderId="0" xfId="0" applyNumberFormat="1"/>
    <xf numFmtId="171" fontId="0" fillId="0" borderId="0" xfId="0" quotePrefix="1" applyNumberFormat="1"/>
    <xf numFmtId="0" fontId="16" fillId="33" borderId="0" xfId="0" applyFont="1" applyFill="1"/>
    <xf numFmtId="0" fontId="16" fillId="0" borderId="0" xfId="0" quotePrefix="1" applyFont="1"/>
    <xf numFmtId="0" fontId="21" fillId="37" borderId="12" xfId="0" applyFont="1" applyFill="1" applyBorder="1"/>
    <xf numFmtId="0" fontId="16" fillId="34" borderId="11" xfId="0" applyFont="1" applyFill="1" applyBorder="1" applyAlignment="1">
      <alignment horizontal="left"/>
    </xf>
    <xf numFmtId="168" fontId="16" fillId="34" borderId="11" xfId="0" applyNumberFormat="1" applyFont="1" applyFill="1" applyBorder="1" applyAlignment="1">
      <alignment horizontal="left"/>
    </xf>
    <xf numFmtId="10" fontId="22" fillId="4" borderId="0" xfId="10" applyNumberFormat="1" applyFont="1"/>
    <xf numFmtId="0" fontId="23" fillId="0" borderId="0" xfId="0" applyFont="1"/>
    <xf numFmtId="165" fontId="18" fillId="0" borderId="0" xfId="1" applyNumberFormat="1" applyFont="1" applyFill="1" applyBorder="1"/>
    <xf numFmtId="165" fontId="16" fillId="33" borderId="10" xfId="1" applyNumberFormat="1" applyFont="1" applyFill="1" applyBorder="1"/>
    <xf numFmtId="6" fontId="16" fillId="0" borderId="0" xfId="0" applyNumberFormat="1" applyFont="1"/>
    <xf numFmtId="10" fontId="16" fillId="0" borderId="0" xfId="0" applyNumberFormat="1" applyFont="1"/>
    <xf numFmtId="169" fontId="16" fillId="0" borderId="0" xfId="0" applyNumberFormat="1" applyFont="1"/>
    <xf numFmtId="171" fontId="18" fillId="0" borderId="0" xfId="11" applyNumberFormat="1" applyFont="1" applyFill="1" applyBorder="1"/>
    <xf numFmtId="171" fontId="9" fillId="5" borderId="0" xfId="11" applyNumberFormat="1" applyBorder="1"/>
    <xf numFmtId="171" fontId="9" fillId="0" borderId="0" xfId="11" applyNumberFormat="1" applyFill="1" applyBorder="1"/>
    <xf numFmtId="0" fontId="24" fillId="0" borderId="0" xfId="11" applyNumberFormat="1" applyFont="1" applyFill="1" applyBorder="1"/>
    <xf numFmtId="0" fontId="24" fillId="0" borderId="0" xfId="21" applyNumberFormat="1" applyFont="1" applyFill="1"/>
    <xf numFmtId="0" fontId="24" fillId="0" borderId="0" xfId="10" applyNumberFormat="1" applyFont="1" applyFill="1" applyBorder="1"/>
    <xf numFmtId="0" fontId="24" fillId="0" borderId="0" xfId="45" applyNumberFormat="1" applyFont="1" applyFill="1" applyBorder="1"/>
    <xf numFmtId="0" fontId="24" fillId="0" borderId="0" xfId="0" applyFont="1"/>
    <xf numFmtId="0" fontId="0" fillId="38" borderId="0" xfId="0" applyFill="1"/>
    <xf numFmtId="43" fontId="16" fillId="33" borderId="10" xfId="1" applyFont="1" applyFill="1" applyBorder="1"/>
    <xf numFmtId="0" fontId="24" fillId="33" borderId="0" xfId="0" applyFont="1" applyFill="1"/>
    <xf numFmtId="172" fontId="24" fillId="33" borderId="0" xfId="1" applyNumberFormat="1" applyFont="1" applyFill="1"/>
    <xf numFmtId="0" fontId="16" fillId="0" borderId="15" xfId="0" applyFont="1" applyBorder="1"/>
    <xf numFmtId="0" fontId="18" fillId="33" borderId="15" xfId="0" applyFont="1" applyFill="1" applyBorder="1"/>
    <xf numFmtId="172" fontId="18" fillId="33" borderId="15" xfId="1" applyNumberFormat="1" applyFont="1" applyFill="1" applyBorder="1"/>
    <xf numFmtId="38" fontId="0" fillId="0" borderId="0" xfId="1" applyNumberFormat="1" applyFont="1"/>
    <xf numFmtId="38" fontId="0" fillId="0" borderId="0" xfId="0" applyNumberFormat="1"/>
    <xf numFmtId="0" fontId="18" fillId="0" borderId="0" xfId="0" quotePrefix="1" applyFont="1"/>
    <xf numFmtId="0" fontId="0" fillId="39" borderId="0" xfId="0" quotePrefix="1" applyFill="1"/>
    <xf numFmtId="0" fontId="16" fillId="34" borderId="0" xfId="0" applyFont="1" applyFill="1"/>
    <xf numFmtId="0" fontId="16" fillId="34" borderId="16" xfId="0" applyFont="1" applyFill="1" applyBorder="1" applyAlignment="1">
      <alignment horizontal="left"/>
    </xf>
    <xf numFmtId="167" fontId="16" fillId="34" borderId="16" xfId="0" applyNumberFormat="1" applyFont="1" applyFill="1" applyBorder="1"/>
    <xf numFmtId="167" fontId="16" fillId="0" borderId="11" xfId="0" applyNumberFormat="1" applyFont="1" applyBorder="1"/>
    <xf numFmtId="168" fontId="16" fillId="0" borderId="11" xfId="0" applyNumberFormat="1" applyFont="1" applyBorder="1" applyAlignment="1">
      <alignment horizontal="left"/>
    </xf>
    <xf numFmtId="0" fontId="0" fillId="0" borderId="10" xfId="0" applyBorder="1"/>
    <xf numFmtId="167" fontId="0" fillId="0" borderId="10" xfId="0" applyNumberFormat="1" applyBorder="1"/>
    <xf numFmtId="0" fontId="16" fillId="0" borderId="0" xfId="0" applyFont="1" applyAlignment="1">
      <alignment horizontal="left"/>
    </xf>
    <xf numFmtId="0" fontId="16" fillId="34" borderId="0" xfId="0" applyFont="1" applyFill="1" applyAlignment="1">
      <alignment horizontal="left"/>
    </xf>
    <xf numFmtId="173" fontId="0" fillId="0" borderId="0" xfId="0" applyNumberFormat="1"/>
    <xf numFmtId="40" fontId="0" fillId="0" borderId="0" xfId="0" applyNumberFormat="1"/>
    <xf numFmtId="43" fontId="9" fillId="5" borderId="0" xfId="1" applyFont="1" applyFill="1" applyBorder="1"/>
    <xf numFmtId="43" fontId="9" fillId="5" borderId="0" xfId="1" quotePrefix="1" applyFont="1" applyFill="1" applyBorder="1"/>
    <xf numFmtId="43" fontId="24" fillId="0" borderId="0" xfId="1" applyFont="1" applyFill="1" applyBorder="1"/>
    <xf numFmtId="0" fontId="0" fillId="35" borderId="0" xfId="0" applyFill="1"/>
    <xf numFmtId="174" fontId="26" fillId="40" borderId="0" xfId="0" applyNumberFormat="1" applyFont="1" applyFill="1" applyAlignment="1">
      <alignment horizontal="left"/>
    </xf>
    <xf numFmtId="174" fontId="26" fillId="40" borderId="0" xfId="0" applyNumberFormat="1" applyFont="1" applyFill="1" applyAlignment="1">
      <alignment horizontal="center"/>
    </xf>
    <xf numFmtId="174" fontId="26" fillId="40" borderId="0" xfId="0" quotePrefix="1" applyNumberFormat="1" applyFont="1" applyFill="1" applyAlignment="1">
      <alignment horizontal="left"/>
    </xf>
    <xf numFmtId="0" fontId="17" fillId="40" borderId="15" xfId="0" applyFont="1" applyFill="1" applyBorder="1"/>
    <xf numFmtId="0" fontId="21" fillId="37" borderId="13" xfId="0" applyFont="1" applyFill="1" applyBorder="1" applyAlignment="1">
      <alignment vertical="center"/>
    </xf>
    <xf numFmtId="0" fontId="21" fillId="37" borderId="10" xfId="0" applyFont="1" applyFill="1" applyBorder="1" applyAlignment="1">
      <alignment horizontal="center" vertical="center"/>
    </xf>
    <xf numFmtId="3" fontId="0" fillId="35" borderId="0" xfId="0" applyNumberFormat="1" applyFill="1" applyAlignment="1">
      <alignment horizontal="left" indent="1"/>
    </xf>
    <xf numFmtId="165" fontId="0" fillId="35" borderId="0" xfId="44" applyNumberFormat="1" applyFont="1" applyFill="1"/>
    <xf numFmtId="0" fontId="21" fillId="37" borderId="10" xfId="0" applyFont="1" applyFill="1" applyBorder="1"/>
    <xf numFmtId="166" fontId="21" fillId="37" borderId="10" xfId="2" applyNumberFormat="1" applyFont="1" applyFill="1" applyBorder="1" applyAlignment="1">
      <alignment horizontal="center"/>
    </xf>
    <xf numFmtId="0" fontId="21" fillId="35" borderId="0" xfId="0" applyFont="1" applyFill="1"/>
    <xf numFmtId="166" fontId="27" fillId="35" borderId="0" xfId="2" applyNumberFormat="1" applyFont="1" applyFill="1" applyAlignment="1">
      <alignment horizontal="center"/>
    </xf>
    <xf numFmtId="165" fontId="28" fillId="35" borderId="0" xfId="44" applyNumberFormat="1" applyFont="1" applyFill="1" applyAlignment="1">
      <alignment vertical="top"/>
    </xf>
    <xf numFmtId="0" fontId="21" fillId="37" borderId="0" xfId="0" applyFont="1" applyFill="1"/>
    <xf numFmtId="0" fontId="0" fillId="37" borderId="0" xfId="0" applyFill="1"/>
    <xf numFmtId="0" fontId="21" fillId="37" borderId="0" xfId="0" applyFont="1" applyFill="1" applyAlignment="1">
      <alignment horizontal="center"/>
    </xf>
    <xf numFmtId="0" fontId="29" fillId="37" borderId="10" xfId="0" applyFont="1" applyFill="1" applyBorder="1"/>
    <xf numFmtId="0" fontId="29" fillId="35" borderId="0" xfId="0" applyFont="1" applyFill="1"/>
    <xf numFmtId="166" fontId="21" fillId="35" borderId="0" xfId="2" applyNumberFormat="1" applyFont="1" applyFill="1" applyAlignment="1">
      <alignment horizontal="center"/>
    </xf>
    <xf numFmtId="0" fontId="30" fillId="33" borderId="10" xfId="0" applyFont="1" applyFill="1" applyBorder="1"/>
    <xf numFmtId="166" fontId="30" fillId="33" borderId="10" xfId="2" applyNumberFormat="1" applyFont="1" applyFill="1" applyBorder="1" applyAlignment="1">
      <alignment horizontal="center"/>
    </xf>
    <xf numFmtId="43" fontId="31" fillId="35" borderId="0" xfId="44" applyFont="1" applyFill="1"/>
    <xf numFmtId="43" fontId="28" fillId="35" borderId="0" xfId="0" applyNumberFormat="1" applyFont="1" applyFill="1"/>
    <xf numFmtId="43" fontId="0" fillId="35" borderId="0" xfId="0" applyNumberFormat="1" applyFill="1"/>
    <xf numFmtId="166" fontId="0" fillId="35" borderId="0" xfId="2" applyNumberFormat="1" applyFont="1" applyFill="1"/>
    <xf numFmtId="166" fontId="0" fillId="35" borderId="0" xfId="0" applyNumberFormat="1" applyFill="1"/>
    <xf numFmtId="166" fontId="21" fillId="37" borderId="10" xfId="2" applyNumberFormat="1" applyFont="1" applyFill="1" applyBorder="1"/>
    <xf numFmtId="166" fontId="30" fillId="33" borderId="10" xfId="2" applyNumberFormat="1" applyFont="1" applyFill="1" applyBorder="1"/>
    <xf numFmtId="166" fontId="30" fillId="33" borderId="10" xfId="0" applyNumberFormat="1" applyFont="1" applyFill="1" applyBorder="1"/>
    <xf numFmtId="0" fontId="21" fillId="37" borderId="10" xfId="0" applyFont="1" applyFill="1" applyBorder="1" applyAlignment="1">
      <alignment horizontal="left" wrapText="1"/>
    </xf>
    <xf numFmtId="166" fontId="21" fillId="37" borderId="10" xfId="2" applyNumberFormat="1" applyFont="1" applyFill="1" applyBorder="1" applyAlignment="1">
      <alignment horizontal="center" vertical="center"/>
    </xf>
    <xf numFmtId="0" fontId="32" fillId="35" borderId="0" xfId="0" applyFont="1" applyFill="1"/>
    <xf numFmtId="0" fontId="30" fillId="33" borderId="10" xfId="0" applyFont="1" applyFill="1" applyBorder="1" applyAlignment="1">
      <alignment horizontal="left" wrapText="1"/>
    </xf>
    <xf numFmtId="0" fontId="36" fillId="40" borderId="0" xfId="0" applyFont="1" applyFill="1"/>
    <xf numFmtId="0" fontId="0" fillId="40" borderId="15" xfId="0" applyFill="1" applyBorder="1"/>
    <xf numFmtId="174" fontId="21" fillId="37" borderId="10" xfId="0" applyNumberFormat="1" applyFont="1" applyFill="1" applyBorder="1" applyAlignment="1">
      <alignment horizontal="center" vertical="center" wrapText="1"/>
    </xf>
    <xf numFmtId="174" fontId="21" fillId="37" borderId="14" xfId="0" applyNumberFormat="1" applyFont="1" applyFill="1" applyBorder="1" applyAlignment="1">
      <alignment horizontal="center" vertical="center" wrapText="1"/>
    </xf>
    <xf numFmtId="9" fontId="0" fillId="35" borderId="0" xfId="45" applyFont="1" applyFill="1" applyAlignment="1">
      <alignment horizontal="center"/>
    </xf>
    <xf numFmtId="9" fontId="21" fillId="37" borderId="10" xfId="45" applyFont="1" applyFill="1" applyBorder="1" applyAlignment="1">
      <alignment horizontal="center"/>
    </xf>
    <xf numFmtId="0" fontId="0" fillId="37" borderId="10" xfId="0" applyFill="1" applyBorder="1"/>
    <xf numFmtId="43" fontId="27" fillId="35" borderId="0" xfId="44" applyFont="1" applyFill="1" applyAlignment="1">
      <alignment horizontal="center" wrapText="1"/>
    </xf>
    <xf numFmtId="43" fontId="28" fillId="35" borderId="0" xfId="44" applyFont="1" applyFill="1" applyAlignment="1">
      <alignment vertical="top"/>
    </xf>
    <xf numFmtId="43" fontId="30" fillId="35" borderId="0" xfId="44" applyFont="1" applyFill="1" applyAlignment="1">
      <alignment horizontal="center" wrapText="1"/>
    </xf>
    <xf numFmtId="0" fontId="37" fillId="35" borderId="0" xfId="0" applyFont="1" applyFill="1"/>
    <xf numFmtId="0" fontId="28" fillId="35" borderId="0" xfId="0" applyFont="1" applyFill="1"/>
    <xf numFmtId="167" fontId="16" fillId="0" borderId="0" xfId="0" applyNumberFormat="1" applyFont="1"/>
    <xf numFmtId="165" fontId="16" fillId="0" borderId="0" xfId="1" applyNumberFormat="1" applyFont="1"/>
    <xf numFmtId="171" fontId="16" fillId="0" borderId="0" xfId="0" applyNumberFormat="1" applyFont="1"/>
    <xf numFmtId="165" fontId="9" fillId="5" borderId="0" xfId="1" applyNumberFormat="1" applyFont="1" applyFill="1" applyBorder="1"/>
    <xf numFmtId="165" fontId="9" fillId="5" borderId="0" xfId="1" quotePrefix="1" applyNumberFormat="1" applyFont="1" applyFill="1" applyBorder="1"/>
    <xf numFmtId="165" fontId="24" fillId="0" borderId="0" xfId="1" applyNumberFormat="1" applyFont="1" applyFill="1" applyBorder="1"/>
    <xf numFmtId="175" fontId="18" fillId="0" borderId="0" xfId="1" applyNumberFormat="1" applyFont="1" applyFill="1" applyBorder="1"/>
    <xf numFmtId="175" fontId="9" fillId="5" borderId="0" xfId="1" applyNumberFormat="1" applyFont="1" applyFill="1" applyBorder="1"/>
    <xf numFmtId="175" fontId="9" fillId="5" borderId="0" xfId="1" quotePrefix="1" applyNumberFormat="1" applyFont="1" applyFill="1" applyBorder="1"/>
    <xf numFmtId="175" fontId="24" fillId="0" borderId="0" xfId="1" applyNumberFormat="1" applyFont="1" applyFill="1" applyBorder="1"/>
    <xf numFmtId="43" fontId="1" fillId="10" borderId="0" xfId="1" applyFill="1"/>
    <xf numFmtId="43" fontId="24" fillId="0" borderId="0" xfId="1" applyFont="1" applyFill="1"/>
    <xf numFmtId="0" fontId="0" fillId="41" borderId="0" xfId="0" applyFill="1"/>
    <xf numFmtId="43" fontId="0" fillId="41" borderId="0" xfId="1" applyFont="1" applyFill="1"/>
    <xf numFmtId="0" fontId="39" fillId="42" borderId="0" xfId="0" applyFont="1" applyFill="1"/>
    <xf numFmtId="164" fontId="39" fillId="33" borderId="0" xfId="1" applyNumberFormat="1" applyFont="1" applyFill="1"/>
    <xf numFmtId="176" fontId="0" fillId="0" borderId="0" xfId="0" applyNumberFormat="1"/>
    <xf numFmtId="164" fontId="16" fillId="0" borderId="15" xfId="1" applyNumberFormat="1" applyFont="1" applyBorder="1"/>
    <xf numFmtId="164" fontId="38" fillId="33" borderId="15" xfId="1" applyNumberFormat="1" applyFont="1" applyFill="1" applyBorder="1"/>
    <xf numFmtId="0" fontId="38" fillId="42" borderId="15" xfId="0" applyFont="1" applyFill="1" applyBorder="1"/>
    <xf numFmtId="168" fontId="16" fillId="0" borderId="17" xfId="0" applyNumberFormat="1" applyFont="1" applyBorder="1" applyAlignment="1">
      <alignment horizontal="left"/>
    </xf>
    <xf numFmtId="167" fontId="16" fillId="0" borderId="17" xfId="0" applyNumberFormat="1" applyFont="1" applyBorder="1"/>
    <xf numFmtId="168" fontId="16" fillId="0" borderId="0" xfId="0" applyNumberFormat="1" applyFont="1" applyAlignment="1">
      <alignment horizontal="left"/>
    </xf>
    <xf numFmtId="0" fontId="21" fillId="37" borderId="13" xfId="0" applyFont="1" applyFill="1" applyBorder="1" applyAlignment="1">
      <alignment horizontal="center"/>
    </xf>
    <xf numFmtId="0" fontId="21" fillId="37" borderId="10" xfId="0" applyFont="1" applyFill="1" applyBorder="1" applyAlignment="1">
      <alignment horizontal="center"/>
    </xf>
    <xf numFmtId="0" fontId="21" fillId="37" borderId="14" xfId="0" applyFont="1" applyFill="1" applyBorder="1" applyAlignment="1">
      <alignment horizontal="center"/>
    </xf>
    <xf numFmtId="0" fontId="21" fillId="37" borderId="13" xfId="0" applyFont="1" applyFill="1" applyBorder="1" applyAlignment="1">
      <alignment horizontal="center" vertical="center"/>
    </xf>
    <xf numFmtId="0" fontId="21" fillId="37" borderId="14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/>
    </xf>
    <xf numFmtId="0" fontId="21" fillId="37" borderId="10" xfId="0" applyFont="1" applyFill="1" applyBorder="1" applyAlignment="1">
      <alignment horizontal="left" wrapText="1"/>
    </xf>
    <xf numFmtId="0" fontId="0" fillId="0" borderId="10" xfId="0" applyBorder="1"/>
    <xf numFmtId="0" fontId="30" fillId="33" borderId="10" xfId="0" applyFont="1" applyFill="1" applyBorder="1" applyAlignment="1">
      <alignment horizontal="left" wrapText="1"/>
    </xf>
    <xf numFmtId="0" fontId="33" fillId="35" borderId="0" xfId="0" applyFont="1" applyFill="1" applyAlignment="1">
      <alignment horizontal="center"/>
    </xf>
    <xf numFmtId="0" fontId="0" fillId="35" borderId="0" xfId="0" applyFill="1"/>
    <xf numFmtId="0" fontId="34" fillId="40" borderId="0" xfId="0" applyFont="1" applyFill="1" applyAlignment="1">
      <alignment horizontal="left" vertical="center"/>
    </xf>
    <xf numFmtId="174" fontId="35" fillId="40" borderId="0" xfId="0" quotePrefix="1" applyNumberFormat="1" applyFont="1" applyFill="1" applyAlignment="1">
      <alignment horizontal="left"/>
    </xf>
    <xf numFmtId="0" fontId="36" fillId="35" borderId="0" xfId="0" applyFont="1" applyFill="1"/>
    <xf numFmtId="167" fontId="0" fillId="0" borderId="0" xfId="0" applyNumberFormat="1" applyFont="1"/>
    <xf numFmtId="16" fontId="16" fillId="34" borderId="11" xfId="0" quotePrefix="1" applyNumberFormat="1" applyFont="1" applyFill="1" applyBorder="1"/>
    <xf numFmtId="0" fontId="18" fillId="33" borderId="10" xfId="0" applyFont="1" applyFill="1" applyBorder="1"/>
    <xf numFmtId="47" fontId="0" fillId="0" borderId="0" xfId="0" applyNumberFormat="1"/>
    <xf numFmtId="171" fontId="24" fillId="41" borderId="0" xfId="0" applyNumberFormat="1" applyFont="1" applyFill="1"/>
    <xf numFmtId="0" fontId="16" fillId="0" borderId="17" xfId="0" applyFont="1" applyFill="1" applyBorder="1" applyAlignment="1">
      <alignment horizontal="left"/>
    </xf>
    <xf numFmtId="43" fontId="16" fillId="0" borderId="15" xfId="1" applyFont="1" applyFill="1" applyBorder="1"/>
    <xf numFmtId="0" fontId="16" fillId="0" borderId="0" xfId="0" applyFont="1" applyAlignment="1">
      <alignment horizontal="left"/>
    </xf>
    <xf numFmtId="0" fontId="16" fillId="0" borderId="15" xfId="0" pivotButton="1" applyFont="1" applyBorder="1"/>
    <xf numFmtId="43" fontId="16" fillId="0" borderId="15" xfId="1" applyFont="1" applyBorder="1"/>
    <xf numFmtId="43" fontId="16" fillId="0" borderId="0" xfId="1" applyFont="1"/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00000000-0005-0000-0000-00001C000000}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45" builtinId="5"/>
    <cellStyle name="Title" xfId="3" builtinId="15" customBuiltin="1"/>
    <cellStyle name="Total" xfId="19" builtinId="25" customBuiltin="1"/>
    <cellStyle name="Warning Text" xfId="16" builtinId="11" customBuiltin="1"/>
  </cellStyles>
  <dxfs count="191"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font>
        <b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border>
        <bottom style="thin">
          <color indexed="64"/>
        </bottom>
      </border>
    </dxf>
    <dxf>
      <font>
        <b/>
      </font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8" formatCode="#,##0.00_);[Red]\(#,##0.00\)"/>
    </dxf>
    <dxf>
      <numFmt numFmtId="167" formatCode="_(&quot;$&quot;* #,##0_);[Red]_(&quot;$&quot;* \(#,##0\);_(&quot;$&quot;* &quot;-&quot;??_);_(@_)"/>
    </dxf>
    <dxf>
      <font>
        <b/>
      </font>
    </dxf>
    <dxf>
      <font>
        <b/>
      </font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73" formatCode="_(&quot;$&quot;* #,##0.0_);_(&quot;$&quot;* \(#,##0.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7" formatCode="_(&quot;$&quot;* #,##0_);[Red]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9525</xdr:rowOff>
        </xdr:from>
        <xdr:to>
          <xdr:col>12</xdr:col>
          <xdr:colOff>1009650</xdr:colOff>
          <xdr:row>2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date and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1355363</xdr:colOff>
      <xdr:row>2</xdr:row>
      <xdr:rowOff>56030</xdr:rowOff>
    </xdr:from>
    <xdr:to>
      <xdr:col>4</xdr:col>
      <xdr:colOff>2125955</xdr:colOff>
      <xdr:row>6</xdr:row>
      <xdr:rowOff>129952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163" y="437030"/>
          <a:ext cx="2323167" cy="893072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0.810321296296" createdVersion="8" refreshedVersion="8" minRefreshableVersion="3" recordCount="432" xr:uid="{02BF3E6C-A3BB-45C9-8D14-AA82F32C529A}">
  <cacheSource type="worksheet">
    <worksheetSource ref="B1:Q1048576" sheet="Summary_Exchange_Balances_00UTC" r:id="rId2"/>
  </cacheSource>
  <cacheFields count="16">
    <cacheField name="Account" numFmtId="0">
      <sharedItems containsBlank="1" count="58">
        <s v="BINE-2-S1-E"/>
        <s v="BINE-2-S1-F"/>
        <s v="BINE-2-S1-M"/>
        <s v="BINE-2-S1-P"/>
        <s v="BINE-2-S2-P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YDX-1-M-P"/>
        <s v="FTXE-1-M-E"/>
        <s v="FUB2-M"/>
        <s v="FUBI-M"/>
        <s v="GATE-1-M-E"/>
        <s v="GATE-1-M-M"/>
        <s v="HUB2-E"/>
        <s v="HUB2-M"/>
        <s v="HUBI-1-M-P"/>
        <s v="HUBI-1-M-PT"/>
        <s v="HUBI-3-S3-F"/>
        <s v="HUBI-3-S3-M"/>
        <s v="HUBI-E"/>
        <s v="HUBI-M"/>
        <s v="KRKE"/>
        <s v="LEND-GACM"/>
        <s v="LMAC"/>
        <s v="LMAX"/>
        <s v="OKEX-2-S1"/>
        <s v="OKEX-2-S2"/>
        <s v="OKEX-2-S3"/>
        <s v="OKEX-2-M"/>
        <s v="OKEX-2-M-W"/>
        <s v="PITX-E"/>
        <s v="SHFT-1-W"/>
        <s v="WOOX-1-M-E"/>
        <s v="FBLK"/>
        <s v="BINE-2-S1-M Margin Loan"/>
        <s v="DEFI-STRAT-1 Loan"/>
        <s v="FTXE-1-M-E Margin Loan"/>
        <s v="HUBI-3-S3-M Loan"/>
        <s v="HUBI-M Margin Loan"/>
        <s v="LEND-BULL"/>
        <s v="LEND-HUBI"/>
        <s v="LEND-HUBS6"/>
        <s v="LEND-OXTF"/>
        <s v="LEND-XRPF"/>
        <s v="OKEX-2-S3 Margin Loan"/>
        <s v="OKEX-2-M Margin Loan"/>
        <s v="WOOX-1-M-E Margin Loan"/>
        <s v="ED&amp;F Man Capital"/>
        <s v="CASH"/>
        <m/>
      </sharedItems>
    </cacheField>
    <cacheField name="Balance" numFmtId="0">
      <sharedItems containsString="0" containsBlank="1" containsNumber="1" minValue="-10030463790.586161" maxValue="187000000000"/>
    </cacheField>
    <cacheField name="BalanceType" numFmtId="0">
      <sharedItems containsBlank="1" count="8">
        <m/>
        <s v="Balance"/>
        <s v="Unrealized"/>
        <s v="reward_token"/>
        <s v="wallet"/>
        <s v="supply_token"/>
        <s v="borrow_token"/>
        <s v="Margin Loan"/>
      </sharedItems>
    </cacheField>
    <cacheField name="Currency" numFmtId="0">
      <sharedItems containsBlank="1" count="10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s v="GBP"/>
        <s v="TRY"/>
        <s v="SHFT"/>
        <s v="WOO"/>
        <s v="FTM"/>
        <s v="MATIC"/>
        <m/>
        <s v="OWETHUSDC_WSTETH-04NOV22-1700C_ETH_SWAA" u="1"/>
        <s v="OWETHUSDC_WSTETH-09SEP22-1900C_ETH_1Z8K" u="1"/>
      </sharedItems>
    </cacheField>
    <cacheField name="Source" numFmtId="0">
      <sharedItems containsBlank="1" containsMixedTypes="1" containsNumber="1" containsInteger="1" minValue="0" maxValue="0" count="29">
        <s v="bine_2_s1_e.account_asset"/>
        <s v="bine_2_s1_f.account_asset"/>
        <s v="bine_2_s1_m.margin_account_asset"/>
        <s v="bine_2_s1_p.futures_account_assets "/>
        <s v="bine_2_S2_p.futures_account_assets "/>
        <s v="btfx_1_m_e.wallet_balance"/>
        <s v="crypto.snapshotbalances"/>
        <s v="BULL_1_m.spot_account"/>
        <s v="BULL_2_m.spot_account"/>
        <s v="BULL_3_m.spot_account"/>
        <s v="BULL_4_m.spot_account"/>
        <n v="0"/>
        <s v="ftxe_1_m.balances"/>
        <s v="fub2.contract_account_info"/>
        <s v="fubi.contract_account_info"/>
        <s v="gate_1_m_e.spot_account"/>
        <s v="gate_1_m_m.margin_account"/>
        <s v="hub2.account_balance"/>
        <s v="hubi_1_m_p.swap_account_info"/>
        <s v="hubi_3_s3.contract_account_info"/>
        <s v="hubi_3_s3.isolated_margin_loan_balance"/>
        <s v="hubi.account_balance"/>
        <s v="pnl.Loans"/>
        <s v="okex_2_s1.account_balance"/>
        <s v="okex_2_s2.account_balance"/>
        <s v="okex_2_u1.account_balance"/>
        <s v="okex_2_u1.funding_asset_balance"/>
        <s v="crypto.transfers"/>
        <m/>
      </sharedItems>
    </cacheField>
    <cacheField name="Timestamp" numFmtId="0">
      <sharedItems containsBlank="1"/>
    </cacheField>
    <cacheField name="Timestamp_Native" numFmtId="0">
      <sharedItems containsNonDate="0" containsDate="1" containsString="0" containsBlank="1" minDate="2022-11-09T00:00:00" maxDate="2022-11-15T00:00:00"/>
    </cacheField>
    <cacheField name="Notional" numFmtId="0">
      <sharedItems containsString="0" containsBlank="1" containsNumber="1" minValue="-127017315.1802046" maxValue="67754367.394657716"/>
    </cacheField>
    <cacheField name="MyEndpoint" numFmtId="0">
      <sharedItems containsBlank="1"/>
    </cacheField>
    <cacheField name="REFERENCE 1" numFmtId="0">
      <sharedItems containsBlank="1"/>
    </cacheField>
    <cacheField name="REFERENCE 2" numFmtId="0">
      <sharedItems containsBlank="1"/>
    </cacheField>
    <cacheField name="TYPE" numFmtId="0">
      <sharedItems containsBlank="1" count="6">
        <s v="ASSET"/>
        <s v="FUND"/>
        <s v="EXCHLOAN"/>
        <s v="LOAN"/>
        <s v="COLLATERAL"/>
        <m/>
      </sharedItems>
    </cacheField>
    <cacheField name="Endpoint" numFmtId="0">
      <sharedItems containsBlank="1" count="24">
        <s v="BINE"/>
        <s v="BTFX "/>
        <s v="BTSE"/>
        <s v="BULL"/>
        <s v="DEFI"/>
        <s v="DYDX"/>
        <s v="FTXE"/>
        <s v="HUBI"/>
        <s v="GATE"/>
        <s v="BSCALE"/>
        <s v="KRKE"/>
        <s v="GALAXY"/>
        <s v="LMAC"/>
        <s v="LMAX"/>
        <s v="OKEX"/>
        <s v="PITX"/>
        <s v="SHFT WALLET"/>
        <s v="WOOX"/>
        <s v="FBLK"/>
        <s v="ORCHID"/>
        <s v="RIPPLE"/>
        <s v="ED&amp;F"/>
        <s v="CASH"/>
        <m/>
      </sharedItems>
    </cacheField>
    <cacheField name="B2" numFmtId="0">
      <sharedItems containsNonDate="0" containsString="0" containsBlank="1"/>
    </cacheField>
    <cacheField name="Currency2" numFmtId="0">
      <sharedItems containsBlank="1"/>
    </cacheField>
    <cacheField name="USDSpotRate" numFmtId="0">
      <sharedItems containsBlank="1" containsMixedTypes="1" containsNumber="1" minValue="0" maxValue="38289617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79.776481250003" createdVersion="8" refreshedVersion="8" minRefreshableVersion="3" recordCount="429" xr:uid="{A712CA0A-32DB-4643-BB63-F7DEAAC17155}">
  <cacheSource type="worksheet">
    <worksheetSource ref="AN1:AP1048576" sheet="Summary_Exchange_Balances_00UTC" r:id="rId2"/>
  </cacheSource>
  <cacheFields count="3">
    <cacheField name="endpoint" numFmtId="0">
      <sharedItems containsBlank="1" count="14">
        <s v="BINE"/>
        <s v="BTFX"/>
        <s v="BTSE"/>
        <s v="BULL"/>
        <s v="DYDX"/>
        <s v="FBLK"/>
        <s v="FUBI"/>
        <s v="HUBI"/>
        <s v="KRKE"/>
        <s v="LMAC"/>
        <s v="LMAX"/>
        <s v="OKEX"/>
        <s v="WOOX"/>
        <m/>
      </sharedItems>
    </cacheField>
    <cacheField name="currency" numFmtId="0">
      <sharedItems containsBlank="1" count="9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C"/>
        <s v="ETH"/>
        <s v="EUR"/>
        <s v="FIL"/>
        <s v="LINK"/>
        <s v="LTC"/>
        <s v="MANA"/>
        <s v="OXT"/>
        <s v="SHIB"/>
        <s v="SOL"/>
        <s v="USDT"/>
        <s v="VET"/>
        <s v="ETHW"/>
        <s v="USD"/>
        <s v="UST"/>
        <s v="USTF0"/>
        <s v="SGB"/>
        <s v="XRP"/>
        <s v="USDC"/>
        <s v="EUROC_ETH_F5NG"/>
        <s v="FTM_FANTOM"/>
        <s v="FTT"/>
        <s v="HBAR"/>
        <s v="KSM"/>
        <s v="MATIC"/>
        <s v="OMG"/>
        <s v="OWETHUSDC_WSTETH-04NOV22-1700C_ETH_SWAA"/>
        <s v="OWETHUSDC_WSTETH-09SEP22-1900C_ETH_1Z8K"/>
        <s v="UNI"/>
        <s v="USDT_ERC20"/>
        <s v="WETH"/>
        <s v="XLM"/>
        <s v="YFI"/>
        <s v="BSV"/>
        <s v="TRX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thf"/>
        <s v="euroc"/>
        <s v="gas"/>
        <s v="hpt"/>
        <s v="ht"/>
        <s v="iost"/>
        <s v="iris"/>
        <s v="jst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sys"/>
        <s v="xec"/>
        <s v="xtz"/>
        <s v="zec"/>
        <s v="zil"/>
        <s v="WOO"/>
        <m/>
      </sharedItems>
    </cacheField>
    <cacheField name="balance" numFmtId="0">
      <sharedItems containsString="0" containsBlank="1" containsNumber="1" minValue="-10030682958.4883" maxValue="4741392995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09.472078009261" createdVersion="8" refreshedVersion="8" minRefreshableVersion="3" recordCount="174" xr:uid="{268B73C9-E5DE-43AC-8058-D9537EE126A0}">
  <cacheSource type="worksheet">
    <worksheetSource ref="C1:Z1048576" sheet="Trading Positions"/>
  </cacheSource>
  <cacheFields count="24">
    <cacheField name="exchange" numFmtId="0">
      <sharedItems containsBlank="1"/>
    </cacheField>
    <cacheField name="account" numFmtId="0">
      <sharedItems containsBlank="1"/>
    </cacheField>
    <cacheField name="instrument" numFmtId="0">
      <sharedItems containsBlank="1"/>
    </cacheField>
    <cacheField name="position" numFmtId="0">
      <sharedItems containsString="0" containsBlank="1" containsNumber="1" minValue="-54202885.937472254" maxValue="175916972770.21173"/>
    </cacheField>
    <cacheField name="notional" numFmtId="0">
      <sharedItems containsString="0" containsBlank="1" containsNumber="1" minValue="-54210152.641422257" maxValue="66371370.517192498"/>
    </cacheField>
    <cacheField name="mark_price" numFmtId="0">
      <sharedItems containsString="0" containsBlank="1" containsNumber="1" minValue="0" maxValue="17830.22914444"/>
    </cacheField>
    <cacheField name="unrealized_pnl" numFmtId="0">
      <sharedItems containsString="0" containsBlank="1" containsNumber="1" minValue="-109366.509779863" maxValue="205542.51078082999"/>
    </cacheField>
    <cacheField name="instrument_type" numFmtId="0">
      <sharedItems containsBlank="1" count="13">
        <s v="FUTURE"/>
        <s v="SWAP"/>
        <s v="CME FUTURE"/>
        <s v="COIN"/>
        <s v="CASH"/>
        <m/>
        <s v="MARGINLOAN" u="1"/>
        <s v="UNREALIZED" u="1"/>
        <s v="USD" u="1"/>
        <s v="ASSET" u="1"/>
        <s v="FUND" u="1"/>
        <s v="LOAN" u="1"/>
        <s v="EXCHLOAN" u="1"/>
      </sharedItems>
    </cacheField>
    <cacheField name="expiration_time" numFmtId="22">
      <sharedItems containsNonDate="0" containsDate="1" containsString="0" containsBlank="1" minDate="2022-12-30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07">
        <s v="BTC"/>
        <s v="ETH"/>
        <s v="AXS"/>
        <s v="EOS"/>
        <s v="BCH"/>
        <s v="ENJ"/>
        <s v="ETC"/>
        <s v="FIL"/>
        <s v="LTC"/>
        <s v="OMG"/>
        <s v="ZIL"/>
        <s v="COMP"/>
        <s v="LINK"/>
        <s v="ATOM"/>
        <s v="SHIB"/>
        <s v="AAC"/>
        <s v="AAVE"/>
        <s v="ADA"/>
        <s v="ALGO"/>
        <s v="ARPA"/>
        <s v="AURA"/>
        <s v="AVAX"/>
        <s v="BAL"/>
        <s v="BAT"/>
        <s v="BHD"/>
        <s v="BLZ"/>
        <s v="BNB"/>
        <s v="BOBA"/>
        <s v="BSV"/>
        <s v="BTM"/>
        <s v="BTT"/>
        <s v="BUSD"/>
        <s v="CMT"/>
        <s v="CRO"/>
        <s v="CRV"/>
        <s v="CVX"/>
        <s v="DASH"/>
        <s v="DOGE"/>
        <s v="DON"/>
        <s v="DOT"/>
        <s v="ETHF"/>
        <s v="ETHW"/>
        <s v="EUR"/>
        <s v="EUROC"/>
        <s v="FTM"/>
        <s v="FTT"/>
        <s v="GAS"/>
        <s v="GBP"/>
        <s v="HBAR"/>
        <s v="HPT"/>
        <s v="HT"/>
        <s v="IOST"/>
        <s v="IRIS"/>
        <s v="JST"/>
        <s v="KSM"/>
        <s v="LAMB"/>
        <s v="LEND"/>
        <s v="LOL"/>
        <s v="LXT"/>
        <s v="MANA"/>
        <s v="MATIC"/>
        <s v="MKR"/>
        <s v="NEO"/>
        <s v="NEW"/>
        <s v="NFT"/>
        <s v="NULS"/>
        <s v="ONG"/>
        <s v="OXT"/>
        <s v="QTUM"/>
        <s v="REI"/>
        <s v="ROSE"/>
        <s v="SGB"/>
        <s v="SHFT"/>
        <s v="SOL"/>
        <s v="SOLO"/>
        <s v="STETH"/>
        <s v="STORJ"/>
        <s v="SUSHI"/>
        <s v="TRX"/>
        <s v="TRY"/>
        <s v="TT"/>
        <s v="TUSD"/>
        <s v="UNI"/>
        <s v="USD"/>
        <s v="USDC"/>
        <s v="USDP"/>
        <s v="USDT"/>
        <s v="UST"/>
        <s v="VET"/>
        <s v="VSYS"/>
        <s v="WETH"/>
        <s v="WOO"/>
        <s v="XEC"/>
        <s v="XLM"/>
        <s v="XRP"/>
        <s v="XTZ"/>
        <s v="YFI"/>
        <s v="YFII"/>
        <s v="ZEC"/>
        <m/>
        <s v="HUSD" u="1"/>
        <s v="OWETHUSDC_WSTETH-09SEP22-1900C_ETH_1Z8K" u="1"/>
        <s v="PAX" u="1"/>
        <s v="AWETH" u="1"/>
        <s v="ETHPOW" u="1"/>
        <s v="AUSDC" u="1"/>
        <s v="SRM" u="1"/>
      </sharedItems>
    </cacheField>
    <cacheField name="Muliplier" numFmtId="0">
      <sharedItems containsString="0" containsBlank="1" containsNumber="1" minValue="0.01" maxValue="1000000"/>
    </cacheField>
    <cacheField name="Coin Equivalent" numFmtId="0">
      <sharedItems containsString="0" containsBlank="1" containsNumber="1" minValue="-87029000000" maxValue="673542.1"/>
    </cacheField>
    <cacheField name="Exposure" numFmtId="0">
      <sharedItems containsString="0" containsBlank="1" containsNumber="1" minValue="-15204719.40689436" maxValue="24958380.591163907"/>
    </cacheField>
    <cacheField name="days_to_expiry" numFmtId="165">
      <sharedItems containsString="0" containsBlank="1" containsNumber="1" containsInteger="1" minValue="0" maxValue="28141"/>
    </cacheField>
    <cacheField name="Bucket" numFmtId="0">
      <sharedItems containsBlank="1" count="23">
        <s v="Mar 23"/>
        <s v="PERP"/>
        <s v="Dec 22"/>
        <s v="CME Dec 22"/>
        <s v="COIN"/>
        <s v="CASH"/>
        <m/>
        <s v="" u="1"/>
        <s v="M1" u="1"/>
        <s v="CME Oct 22" u="1"/>
        <s v="USD" u="1"/>
        <s v="M3" u="1"/>
        <s v="M7" u="1"/>
        <s v="CME Sep 22" u="1"/>
        <s v="W3" u="1"/>
        <s v="CME Jan 23" u="1"/>
        <s v="M0" u="1"/>
        <s v="Sep 22" u="1"/>
        <s v="M2" u="1"/>
        <s v="M4" u="1"/>
        <s v="W2" u="1"/>
        <s v="CME Nov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0">
        <s v="Mar 23 LONG"/>
        <s v="PERP SHORT"/>
        <s v="Dec 22 SHORT"/>
        <s v="PERP LONG"/>
        <s v="Dec 22 LONG"/>
        <s v="CME Dec 22 LONG"/>
        <s v="COIN LONG"/>
        <s v="COIN SHORT"/>
        <s v="CASH SHORT"/>
        <s v="CASH LONG"/>
        <m/>
        <s v="" u="1"/>
        <s v="Mar 23 SHORT" u="1"/>
        <s v="M0 LONG" u="1"/>
        <s v="M1 SHORT" u="1"/>
        <s v="M2 LONG" u="1"/>
        <s v="M3 SHORT" u="1"/>
        <s v="M4 LONG" u="1"/>
        <s v="M7 SHORT" u="1"/>
        <s v="W2 LONG" u="1"/>
        <s v="CME Dec 22 HEDGE" u="1"/>
        <s v="CME Nov 22 HEDGE" u="1"/>
        <s v="CME Oct 22 HEDGE" u="1"/>
        <s v="CME Sep 22 HEDGE" u="1"/>
        <s v="W3 SHORT" u="1"/>
        <s v="CME Jan 23 HEDGE" u="1"/>
        <s v="USD SHORT" u="1"/>
        <s v="LONG" u="1"/>
        <s v="Sep 22 LONG" u="1"/>
        <s v="Sep 22 SHORT" u="1"/>
        <s v="M0 SHORT" u="1"/>
        <s v="M1 LONG" u="1"/>
        <s v="M2 SHORT" u="1"/>
        <s v="HEDGE" u="1"/>
        <s v="M3 LONG" u="1"/>
        <s v="M7 LONG" u="1"/>
        <s v="SHORT" u="1"/>
        <s v="W2 SHORT" u="1"/>
        <s v="W3 LONG" u="1"/>
        <s v="Oct 22 LONG" u="1"/>
      </sharedItems>
    </cacheField>
    <cacheField name="abs_notional" numFmtId="0">
      <sharedItems containsBlank="1" containsMixedTypes="1" containsNumber="1" minValue="-54210152.641422257" maxValue="66371370.517192498"/>
    </cacheField>
    <cacheField name="shifted_mark" numFmtId="0">
      <sharedItems containsBlank="1" containsMixedTypes="1" containsNumber="1" minValue="0" maxValue="18008.5314358844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77676" maxValue="248629.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7.601122337961" createdVersion="8" refreshedVersion="8" minRefreshableVersion="3" recordCount="554" xr:uid="{ED5E484B-ACCD-4068-AB81-B736810CCE3C}">
  <cacheSource type="worksheet">
    <worksheetSource ref="B1:AA1048576" sheet="asset_&amp;_open_positions"/>
  </cacheSource>
  <cacheFields count="26">
    <cacheField name="utc_timestamp" numFmtId="0">
      <sharedItems containsNonDate="0" containsDate="1" containsString="0" containsBlank="1" minDate="2022-12-21T00:00:00" maxDate="2022-12-23T00:00:00"/>
    </cacheField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0">
      <sharedItems containsString="0" containsBlank="1" containsNumber="1" minValue="-10040934362.452999" maxValue="187000000000"/>
    </cacheField>
    <cacheField name="notional" numFmtId="0">
      <sharedItems containsString="0" containsBlank="1" containsNumber="1" minValue="-68506554.3834555" maxValue="61417450"/>
    </cacheField>
    <cacheField name="mark_price" numFmtId="0">
      <sharedItems containsString="0" containsBlank="1" containsNumber="1" minValue="0" maxValue="16884.3357664"/>
    </cacheField>
    <cacheField name="unrealized_pnl" numFmtId="0">
      <sharedItems containsString="0" containsBlank="1" containsNumber="1" minValue="-204141.55310086999" maxValue="198421.15587049801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1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2">
        <s v="BTC"/>
        <s v="ETH"/>
        <s v="AXS"/>
        <s v="EOS"/>
        <s v="BCH"/>
        <s v="ETC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VARIABLEDEBTAVAUSDT" u="1"/>
        <s v="AURAB-STETH-STABLE-VAULT" u="1"/>
        <s v="AUSDC" u="1"/>
        <s v="VARIABLEDEBTUSDT" u="1"/>
        <s v="FRXETH" u="1"/>
        <s v="AAVAUSDC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06554.383454993" maxValue="61720351.198641799"/>
    </cacheField>
    <cacheField name="days_to_expiry" numFmtId="0">
      <sharedItems containsBlank="1" containsMixedTypes="1" containsNumber="1" containsInteger="1" minValue="0" maxValue="28133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06554.3834555" maxValue="62031624.5"/>
    </cacheField>
    <cacheField name="shifted_mark" numFmtId="0">
      <sharedItems containsBlank="1" containsMixedTypes="1" containsNumber="1" minValue="0" maxValue="17053.1791240640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87665" maxValue="614174.5"/>
    </cacheField>
    <cacheField name="endpoint" numFmtId="0">
      <sharedItems containsBlank="1" count="25">
        <s v="BINE"/>
        <s v="DYDX"/>
        <s v="FUBI"/>
        <s v="HUBI"/>
        <s v="OKEX"/>
        <s v="ED&amp;F"/>
        <s v="BTFX"/>
        <s v="BTSE"/>
        <s v="BULL"/>
        <s v="DEFI"/>
        <s v="FUB2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24.571081134258" createdVersion="8" refreshedVersion="8" minRefreshableVersion="3" recordCount="554" xr:uid="{3939B7B9-37A3-4CBE-B05B-70175B91A0F0}">
  <cacheSource type="worksheet">
    <worksheetSource ref="C1:AA1048576" sheet="asset_&amp;_open_positions"/>
  </cacheSource>
  <cacheFields count="25"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HUBI-1-M-P"/>
        <s v="HUBI-1-M-PT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43">
      <sharedItems containsString="0" containsBlank="1" containsNumber="1" minValue="-10042874457.263399" maxValue="187000000000"/>
    </cacheField>
    <cacheField name="notional" numFmtId="165">
      <sharedItems containsString="0" containsBlank="1" containsNumber="1" minValue="-68512685.659354001" maxValue="43993350"/>
    </cacheField>
    <cacheField name="mark_price" numFmtId="175">
      <sharedItems containsString="0" containsBlank="1" containsNumber="1" minValue="0" maxValue="16636.713105030001"/>
    </cacheField>
    <cacheField name="unrealized_pnl" numFmtId="0">
      <sharedItems containsString="0" containsBlank="1" containsNumber="1" minValue="-28640.307659999999" maxValue="230279.22615872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8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6">
        <s v="BTC"/>
        <s v="ETH"/>
        <s v="AXS"/>
        <s v="EOS"/>
        <s v="BCH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AVAXUSDC.E/WAVAX-30DEC22-13.25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AURA" u="1"/>
        <s v="VARIABLEDEBTAVAUSDT" u="1"/>
        <s v="AURAB-STETH-STABLE-VAULT" u="1"/>
        <s v="STETH" u="1"/>
        <s v="AUSDC" u="1"/>
        <s v="VARIABLEDEBTUSDT" u="1"/>
        <s v="FRXETH" u="1"/>
        <s v="AAVAUSDC" u="1"/>
        <s v="BAL" u="1"/>
      </sharedItems>
    </cacheField>
    <cacheField name="Muliplier" numFmtId="0">
      <sharedItems containsBlank="1" containsMixedTypes="1" containsNumber="1" minValue="0.01" maxValue="1000000"/>
    </cacheField>
    <cacheField name="Coin Equivalent" numFmtId="43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12685.659353465" maxValue="43947077.960445732"/>
    </cacheField>
    <cacheField name="days_to_expiry" numFmtId="0">
      <sharedItems containsBlank="1" containsMixedTypes="1" containsNumber="1" containsInteger="1" minValue="0" maxValue="28126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12685.659354001" maxValue="44433283.5"/>
    </cacheField>
    <cacheField name="shifted_mark" numFmtId="0">
      <sharedItems containsBlank="1" containsMixedTypes="1" containsNumber="1" minValue="0" maxValue="16803.080236080303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24566" maxValue="439933.5"/>
    </cacheField>
    <cacheField name="endpoint" numFmtId="0">
      <sharedItems containsBlank="1" count="25">
        <s v="BINE"/>
        <s v="DYDX"/>
        <s v="HUBI"/>
        <s v="OKEX"/>
        <s v="ED&amp;F"/>
        <s v="BTFX"/>
        <s v="BTSE"/>
        <s v="BULL"/>
        <s v="DEFI"/>
        <s v="FUB2"/>
        <s v="FUBI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529371412034" createdVersion="8" refreshedVersion="8" minRefreshableVersion="3" recordCount="1582" xr:uid="{B3CCEC58-21BF-4128-B098-AF265F687594}">
  <cacheSource type="worksheet">
    <worksheetSource ref="W2:Z1584" sheet="Exchange Balance NAV Recon"/>
  </cacheSource>
  <cacheFields count="4">
    <cacheField name="Endpoint" numFmtId="0">
      <sharedItems count="23">
        <s v="BINE"/>
        <s v="BTFX "/>
        <s v="BTSE"/>
        <s v="BULL"/>
        <s v="DEFI"/>
        <s v="DYDX"/>
        <s v="HUBI"/>
        <s v="GATE"/>
        <s v="KRKE"/>
        <s v="GALAXY"/>
        <s v="LMAC"/>
        <s v="LMAX"/>
        <s v="OKEX"/>
        <s v="PITX"/>
        <s v="SHFT WALLET"/>
        <s v="WOOX"/>
        <s v="FBLK"/>
        <s v="ORCHID"/>
        <s v="RIPPLE"/>
        <s v="WEDBUSH"/>
        <s v="CASH"/>
        <s v="ED&amp;F"/>
        <s v=""/>
      </sharedItems>
    </cacheField>
    <cacheField name="Currency" numFmtId="0">
      <sharedItems count="131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s v=""/>
      </sharedItems>
    </cacheField>
    <cacheField name="Nav" numFmtId="0">
      <sharedItems containsMixedTypes="1" containsNumber="1" minValue="-10046755771.5436" maxValue="168343999455.48801"/>
    </cacheField>
    <cacheField name="RawData" numFmtId="0">
      <sharedItems containsMixedTypes="1" containsNumber="1" minValue="-10044791823.901699" maxValue="3056192132.32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567689699077" createdVersion="8" refreshedVersion="8" minRefreshableVersion="3" recordCount="554" xr:uid="{A4466610-AF15-461C-B817-ABD74A2F2EAA}">
  <cacheSource type="worksheet">
    <worksheetSource ref="C1:Z1048576" sheet="asset_&amp;_open_positions"/>
  </cacheSource>
  <cacheFields count="24">
    <cacheField name="counterparty" numFmtId="0">
      <sharedItems containsBlank="1" count="23">
        <s v="BINANCE"/>
        <s v="DYDX"/>
        <s v="HUOBI"/>
        <s v="OKEX"/>
        <s v="ED&amp;F"/>
        <s v="BTFX"/>
        <s v="BTSE"/>
        <s v="BULL"/>
        <s v="DEFI"/>
        <s v="GATE"/>
        <s v="KRKE"/>
        <s v="GALAXY"/>
        <s v="LMAC"/>
        <s v="LMAX"/>
        <s v="PITX"/>
        <s v="SHFT WALLET"/>
        <s v="WOOX"/>
        <s v="FBLK"/>
        <s v="ORCHID"/>
        <s v="RIPPLE"/>
        <s v="WEDBUSH"/>
        <s v="CASH"/>
        <m/>
      </sharedItems>
    </cacheField>
    <cacheField name="account" numFmtId="0">
      <sharedItems containsBlank="1" count="77">
        <s v="BINE-2-S1-F"/>
        <s v="BINE-2-S1-P"/>
        <s v="BINE-2-S2-P"/>
        <s v="DYDX-1-M-P"/>
        <s v="HUBI-1-M-P"/>
        <s v="HUBI-1-M-PT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LEND-BULL"/>
        <s v="LEND-HUBI"/>
        <s v="LEND-OXTF"/>
        <s v="LEND-XRPF"/>
        <s v="OKEX-2-M Margin Loan"/>
        <s v="WOOX-1-M-E Margin Loan"/>
        <s v="WEDBUSH"/>
        <s v="CASH"/>
        <s v="ED&amp;F Man Capital"/>
        <m/>
        <s v="" u="1"/>
        <s v="BULL-2-M-M" u="1"/>
        <s v="FTXE-1-M-E Margin Loan" u="1"/>
        <s v="HUBI-M Margin Loan" u="1"/>
        <s v="FBLK-LEND-GACM" u="1"/>
        <s v="OKEX-2-S3 Margin Loan" u="1"/>
        <s v="DEFI-STRAT-1 Loan" u="1"/>
        <s v="BULL-2-M-M Loan" u="1"/>
        <s v="LEND-HUBS6" u="1"/>
        <s v="CME" u="1"/>
        <s v="account" u="1"/>
        <s v="FBLK-DEFI-STRAT002" u="1"/>
        <s v="HUB2-M Margin Loan" u="1"/>
        <s v="FTXE-1-M-E" u="1"/>
        <s v="HUBI-3-S3-M" u="1"/>
        <s v="FTXE-1-M" u="1"/>
        <s v="HUBI-3-S3-E" u="1"/>
        <s v="HUBI-3-S3-M Loan" u="1"/>
        <s v="LEND-LMAC" u="1"/>
        <s v="HUBI-3-S3-F" u="1"/>
      </sharedItems>
    </cacheField>
    <cacheField name="instrument" numFmtId="0">
      <sharedItems containsBlank="1" count="204">
        <s v="B_P_BTC-USD-SWAP"/>
        <s v="B_P_ETH-USD-SWAP"/>
        <s v="B_F_BTC-USD_230331"/>
        <s v="B_F_BTC-USD_230630"/>
        <s v="B_F_ETH-USD_230331"/>
        <s v="BAXSUSDT"/>
        <s v="BBTCUSDT"/>
        <s v="BBCHUSDT"/>
        <s v="BEOSUSDT"/>
        <s v="BETHUSDT"/>
        <s v="BLTCUSDT"/>
        <s v="BOMGUSDT"/>
        <s v="BZILUSDT"/>
        <s v="BCOMPUSDT"/>
        <s v="BLINKUSDT"/>
        <s v="B_F_BTC-USDT_230331"/>
        <s v="B_F_ETH-USDT_230331"/>
        <s v="D_T_BTC_USDC_SWAP"/>
        <s v="D_T_ATOM_USDC_SWAP"/>
        <s v="H_P_BTC-USD-SWAP"/>
        <s v="H_P_ETH-USD-SWAP"/>
        <s v="H_T_BTC_USDT_SWAP"/>
        <s v="H_T_ETH_USDT_SWAP"/>
        <s v="O_P_BTC-USD-SWAP"/>
        <s v="O_P_ETH-USD-SWAP"/>
        <s v="O_P_BTC-USDT-SWAP"/>
        <s v="O_P_ETH-USDT-SWAP"/>
        <s v="O_F_ETH-USDT_230331"/>
        <s v="O_F_ETH-USDT_230630"/>
        <s v="O_P_EOS-USDT-SWAP"/>
        <s v="O_F_BTC-USD_230331"/>
        <s v="O_F_BTC-USD_230630"/>
        <s v="O_F_ETH-USD_230331"/>
        <s v="O_P_LINK-USDT-SWAP"/>
        <s v="O_P_SHIB-USDT-SWAP"/>
        <s v="O_F_BTC-USDT_230331"/>
        <s v="O_F_BTC-USDT_230630"/>
        <s v="O_P_AXS-USDT-SWAP"/>
        <s v="ETHG3"/>
        <s v="ETHF3"/>
        <s v="BTCF3"/>
        <s v="BTCG3"/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BTCZ2" u="1"/>
        <s v="B_F_BTC-USD_221230" u="1"/>
        <s v="B_F_ETH-USD_221230" u="1"/>
        <s v="BTRXUSDT" u="1"/>
        <s v="AUSDC" u="1"/>
        <s v="FRXETH" u="1"/>
        <s v="AURAB-STETH-STABLE-VAULT" u="1"/>
        <s v="BETCUSDT" u="1"/>
        <s v="ETH221230" u="1"/>
        <s v="B_F_BTC-USDT_221230" u="1"/>
        <s v="B_F_ETH-USDT_221230" u="1"/>
        <s v="ETHZ2" u="1"/>
        <s v="STETH" u="1"/>
        <s v="AAVAUSDC" u="1"/>
        <s v="VARIABLEDEBTUSDT" u="1"/>
        <s v="BENJUSDT" u="1"/>
        <s v="O_F_BTC-USD_221230" u="1"/>
        <s v="O_F_ETH-USD_221230" u="1"/>
        <s v="O_P_BCH-USDT-SWAP" u="1"/>
        <s v="O_P_DOT-USDT-SWAP" u="1"/>
        <s v="O_P_LTC-USDT-SWAP" u="1"/>
        <s v="BFILUSDT" u="1"/>
        <s v="VARIABLEDEBTAVAUSDT" u="1"/>
        <s v="AURA" u="1"/>
        <s v="O_F_BTC-USDT_221230" u="1"/>
        <s v="O_F_ETH-USDT_221230" u="1"/>
        <s v="RETH" u="1"/>
        <s v="BAL" u="1"/>
        <s v="BTC221230" u="1"/>
        <s v="WBTC" u="1"/>
        <s v="BDOTUSDT" u="1"/>
      </sharedItems>
    </cacheField>
    <cacheField name="position" numFmtId="43">
      <sharedItems containsString="0" containsBlank="1" containsNumber="1" minValue="-6000000000" maxValue="81762615062.479996"/>
    </cacheField>
    <cacheField name="notional" numFmtId="165">
      <sharedItems containsString="0" containsBlank="1" containsNumber="1" minValue="-89712472.254475504" maxValue="57410092.481700003"/>
    </cacheField>
    <cacheField name="mark_price" numFmtId="175">
      <sharedItems containsString="0" containsBlank="1" containsNumber="1" minValue="0" maxValue="19155"/>
    </cacheField>
    <cacheField name="unrealized_pnl" numFmtId="0">
      <sharedItems containsString="0" containsBlank="1" containsNumber="1" minValue="-412443.21422740998" maxValue="509661.76956808998"/>
    </cacheField>
    <cacheField name="instrument_type" numFmtId="0">
      <sharedItems containsBlank="1" count="15">
        <s v="SWAP"/>
        <s v="FUTURE"/>
        <s v="CME FUTURE"/>
        <s v="ASSET"/>
        <s v="UNREALIZED"/>
        <s v="MARGINLOAN"/>
        <s v="EXCHLOAN"/>
        <s v="FUND"/>
        <s v="LOAN"/>
        <s v="COLLATERAL"/>
        <m/>
        <s v="" u="1"/>
        <s v="CASH" u="1"/>
        <s v="instrument_type" u="1"/>
        <s v="ED&amp;F" u="1"/>
      </sharedItems>
    </cacheField>
    <cacheField name="expiration_time" numFmtId="0">
      <sharedItems containsNonDate="0" containsDate="1" containsString="0" containsBlank="1" minDate="2023-01-12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55">
        <s v="BTC"/>
        <s v="ETH"/>
        <s v="AXS"/>
        <s v="BCH"/>
        <s v="EOS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RP"/>
        <s v="XTZ"/>
        <s v="YFI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AUSDC" u="1"/>
        <s v="FRXETH" u="1"/>
        <s v="AURAB-STETH-STABLE-VAULT" u="1"/>
        <s v="PAX" u="1"/>
        <s v="OWETHUSDC_WSTETH-04NOV22-1700C_ETH_SWAA" u="1"/>
        <s v="KFEE" u="1"/>
        <s v="AWETH" u="1"/>
        <s v="HUSD" u="1"/>
        <s v="STETH" u="1"/>
        <s v="AAVAUSDC" u="1"/>
        <s v="VARIABLEDEBTUSDT" u="1"/>
        <s v="ETHPOW" u="1"/>
        <s v="OWETHUSDC_WSTETH-09SEP22-1900C_ETH_1Z8K" u="1"/>
        <s v="VARIABLEDEBTAVAUSDT" u="1"/>
        <s v="AURA" u="1"/>
        <s v="underlying" u="1"/>
        <s v="RETH" u="1"/>
        <s v="BAL" u="1"/>
        <s v="ETF" u="1"/>
        <s v="WBTC" u="1"/>
      </sharedItems>
    </cacheField>
    <cacheField name="Muliplier" numFmtId="0">
      <sharedItems containsBlank="1" containsMixedTypes="1" containsNumber="1" minValue="0.01" maxValue="1000000"/>
    </cacheField>
    <cacheField name="Coin Equivalent" numFmtId="43">
      <sharedItems containsBlank="1" containsMixedTypes="1" containsNumber="1" minValue="-89029000000" maxValue="81762615062.479996"/>
    </cacheField>
    <cacheField name="Exposure" numFmtId="0">
      <sharedItems containsBlank="1" containsMixedTypes="1" containsNumber="1" minValue="-89712472.254475549" maxValue="59874580.379285462"/>
    </cacheField>
    <cacheField name="days_to_expiry" numFmtId="0">
      <sharedItems containsBlank="1" containsMixedTypes="1" containsNumber="1" containsInteger="1" minValue="0" maxValue="28111"/>
    </cacheField>
    <cacheField name="Bucket" numFmtId="0">
      <sharedItems containsBlank="1" count="22">
        <s v="PERP"/>
        <s v="Mar 23"/>
        <s v="Jun 23"/>
        <s v="CME Feb 23"/>
        <s v="CME Jan 23"/>
        <s v="COIN"/>
        <s v="CASH"/>
        <s v=""/>
        <m/>
        <s v="M1" u="1"/>
        <s v="CME Oct 22" u="1"/>
        <s v="M3" u="1"/>
        <s v="M7" u="1"/>
        <s v="CME Sep 22" u="1"/>
        <s v="Sep 22" u="1"/>
        <s v="Jan 23" u="1"/>
        <s v="W2" u="1"/>
        <s v="Nov 2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2">
        <s v="PERP LONG"/>
        <s v="Mar 23 SHORT"/>
        <s v="Jun 23 SHORT"/>
        <s v="PERP SHORT"/>
        <s v="Mar 23 LONG"/>
        <s v="Jun 23 LONG"/>
        <s v="CME Feb 23 LONG"/>
        <s v="CME Jan 23 SHORT"/>
        <s v="COIN LONG"/>
        <s v="CASH LONG"/>
        <s v="COIN SHORT"/>
        <s v="CASH SHORT"/>
        <s v=""/>
        <m/>
        <s v="M0 LONG" u="1"/>
        <s v="M1 SHORT" u="1"/>
        <s v="M2 LONG" u="1"/>
        <s v="M3 SHORT" u="1"/>
        <s v="M4 LONG" u="1"/>
        <e v="#VALUE!" u="1"/>
        <s v="M7 SHORT" u="1"/>
        <s v="W2 LONG" u="1"/>
        <s v="CME Dec 22 HEDGE" u="1"/>
        <s v="CME Nov 22 HEDGE" u="1"/>
        <s v="CME Oct 22 HEDGE" u="1"/>
        <s v="CME Sep 22 HEDGE" u="1"/>
        <s v="CME Jan 23 LONG" u="1"/>
        <s v="CME Jan 23 HEDGE" u="1"/>
        <s v="Sep 22 LONG" u="1"/>
        <s v="Sep 22 SHORT" u="1"/>
        <s v="M0 SHORT" u="1"/>
        <s v="M1 LONG" u="1"/>
        <s v="M3 LONG" u="1"/>
        <s v="Jan 23 SHORT" u="1"/>
        <s v="M7 LONG" u="1"/>
        <s v="Nov 22 LONG" u="1"/>
        <s v="Nov 22 SHORT" u="1"/>
        <s v="Dec 22 LONG" u="1"/>
        <s v="Dec 22 SHORT" u="1"/>
        <s v="CME Dec 22 LONG" u="1"/>
        <s v="W2 SHORT" u="1"/>
        <s v="Oct 22 LONG" u="1"/>
      </sharedItems>
    </cacheField>
    <cacheField name="shifted_notional" numFmtId="0">
      <sharedItems containsBlank="1" containsMixedTypes="1" containsNumber="1" minValue="-89712472.254475504" maxValue="57410092.481700003"/>
    </cacheField>
    <cacheField name="shifted_mark" numFmtId="0">
      <sharedItems containsBlank="1" containsMixedTypes="1" containsNumber="1" minValue="0" maxValue="19346.55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762369" maxValue="1215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567706712965" createdVersion="8" refreshedVersion="8" minRefreshableVersion="3" recordCount="581" xr:uid="{891BA67E-0398-4751-B8B1-20204BB2FA7C}">
  <cacheSource type="worksheet">
    <worksheetSource ref="E1:W1048576" sheet="NetAssets"/>
  </cacheSource>
  <cacheFields count="19">
    <cacheField name="instrument" numFmtId="0">
      <sharedItems containsBlank="1"/>
    </cacheField>
    <cacheField name="position" numFmtId="0">
      <sharedItems containsString="0" containsBlank="1" containsNumber="1" minValue="-6000000000" maxValue="81762615062.479996"/>
    </cacheField>
    <cacheField name="notional" numFmtId="0">
      <sharedItems containsString="0" containsBlank="1" containsNumber="1" minValue="-89712472.254475504" maxValue="46965458.007700004"/>
    </cacheField>
    <cacheField name="mark_price" numFmtId="0">
      <sharedItems containsString="0" containsBlank="1" containsNumber="1" minValue="0" maxValue="18869.5880552655"/>
    </cacheField>
    <cacheField name="unrealized_pnl" numFmtId="0">
      <sharedItems containsString="0" containsBlank="1" containsNumber="1" containsInteger="1" minValue="0" maxValue="0"/>
    </cacheField>
    <cacheField name="instrument_type" numFmtId="0">
      <sharedItems containsBlank="1"/>
    </cacheField>
    <cacheField name="expiration_time" numFmtId="0">
      <sharedItems containsNonDate="0" containsDate="1" containsString="0" containsBlank="1" minDate="2023-01-12T00:00:00" maxDate="2023-01-14T00:00:00"/>
    </cacheField>
    <cacheField name="is_linear" numFmtId="0">
      <sharedItems containsString="0" containsBlank="1" containsNumber="1" containsInteger="1" minValue="1" maxValue="1"/>
    </cacheField>
    <cacheField name="underlying" numFmtId="0">
      <sharedItems containsBlank="1" count="152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AUSDC" u="1"/>
        <s v="FRXETH" u="1"/>
        <s v="AURAB-STETH-STABLE-VAULT" u="1"/>
        <s v="PAX" u="1"/>
        <s v="OWETHUSDC_WSTETH-04NOV22-1700C_ETH_SWAA" u="1"/>
        <s v="AWETH" u="1"/>
        <s v="HUSD" u="1"/>
        <s v="STETH" u="1"/>
        <s v="AAVAUSDC" u="1"/>
        <s v="VARIABLEDEBTUSDT" u="1"/>
        <s v="ETHPOW" u="1"/>
        <s v="OWETHUSDC_WSTETH-09SEP22-1900C_ETH_1Z8K" u="1"/>
        <s v="VARIABLEDEBTAVAUSDT" u="1"/>
        <s v="AURA" u="1"/>
        <s v="RETH" u="1"/>
        <s v="BAL" u="1"/>
        <s v="ETF" u="1"/>
        <s v="WBTC" u="1"/>
      </sharedItems>
    </cacheField>
    <cacheField name="days_to_expiry" numFmtId="0">
      <sharedItems containsBlank="1" containsMixedTypes="1" containsNumber="1" containsInteger="1" minValue="0" maxValue="0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containsInteger="1" minValue="0" maxValue="0"/>
    </cacheField>
    <cacheField name="shifted_mark" numFmtId="0">
      <sharedItems containsBlank="1" containsMixedTypes="1" containsNumber="1" containsInteger="1" minValue="0" maxValue="0"/>
    </cacheField>
    <cacheField name="Shift" numFmtId="0">
      <sharedItems containsBlank="1" containsMixedTypes="1" containsNumber="1" containsInteger="1" minValue="0" maxValue="0"/>
    </cacheField>
    <cacheField name="shift_delta" numFmtId="0">
      <sharedItems containsBlank="1" containsMixedTypes="1" containsNumber="1" containsInteger="1" minValue="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633276967594" createdVersion="8" refreshedVersion="8" minRefreshableVersion="3" recordCount="554" xr:uid="{351BA21E-AF31-4F33-8EFF-20CF1EBB5D5B}">
  <cacheSource type="worksheet">
    <worksheetSource ref="C1:Z1048576" sheet="net_open_positions"/>
  </cacheSource>
  <cacheFields count="24">
    <cacheField name="exchange" numFmtId="0">
      <sharedItems containsBlank="1" count="9">
        <s v="BINANCE"/>
        <s v="DYDX"/>
        <s v="HUOBI"/>
        <s v="OKEX"/>
        <s v="ED&amp;F"/>
        <m/>
        <s v="CME" u="1"/>
        <s v="exchange" u="1"/>
        <s v="FTX" u="1"/>
      </sharedItems>
    </cacheField>
    <cacheField name="account" numFmtId="0">
      <sharedItems containsBlank="1" count="15">
        <s v="BINE-2-S1-F"/>
        <s v="BINE-2-S1-P"/>
        <s v="BINE-2-S2-P"/>
        <s v="DYDX-1-M-P"/>
        <s v="HUBI-1-M-P"/>
        <s v="HUBI-1-M-PT"/>
        <s v="OKEX-2-M"/>
        <s v="OKEX-2-S3"/>
        <s v="UNMBF222"/>
        <m/>
        <s v="FTXE-1-M" u="1"/>
        <s v="OKEX-2-S2" u="1"/>
        <s v="HUBI-3-S3-F" u="1"/>
        <s v="FUBI-M" u="1"/>
        <s v="OKEX-2-S1" u="1"/>
      </sharedItems>
    </cacheField>
    <cacheField name="instrument" numFmtId="0">
      <sharedItems containsBlank="1" count="66">
        <s v="B_P_BTC-USD-SWAP"/>
        <s v="B_P_ETH-USD-SWAP"/>
        <s v="B_F_BTC-USD_230331"/>
        <s v="B_F_BTC-USD_230630"/>
        <s v="B_F_ETH-USD_230331"/>
        <s v="BAXSUSDT"/>
        <s v="BBTCUSDT"/>
        <s v="BBCHUSDT"/>
        <s v="BEOSUSDT"/>
        <s v="BETHUSDT"/>
        <s v="BLTCUSDT"/>
        <s v="BOMGUSDT"/>
        <s v="BZILUSDT"/>
        <s v="BCOMPUSDT"/>
        <s v="BLINKUSDT"/>
        <s v="B_F_BTC-USDT_230331"/>
        <s v="B_F_ETH-USDT_230331"/>
        <s v="D_T_BTC_USDC_SWAP"/>
        <s v="D_T_ATOM_USDC_SWAP"/>
        <s v="H_P_BTC-USD-SWAP"/>
        <s v="H_P_ETH-USD-SWAP"/>
        <s v="H_T_BTC_USDT_SWAP"/>
        <s v="H_T_ETH_USDT_SWAP"/>
        <s v="O_P_BTC-USD-SWAP"/>
        <s v="O_P_ETH-USD-SWAP"/>
        <s v="O_P_BTC-USDT-SWAP"/>
        <s v="O_P_ETH-USDT-SWAP"/>
        <s v="O_F_ETH-USDT_230331"/>
        <s v="O_F_ETH-USDT_230630"/>
        <s v="O_P_EOS-USDT-SWAP"/>
        <s v="O_F_BTC-USD_230331"/>
        <s v="O_F_BTC-USD_230630"/>
        <s v="O_F_ETH-USD_230331"/>
        <s v="O_P_LINK-USDT-SWAP"/>
        <s v="O_P_SHIB-USDT-SWAP"/>
        <s v="O_F_BTC-USDT_230331"/>
        <s v="O_F_BTC-USDT_230630"/>
        <s v="O_P_AXS-USDT-SWAP"/>
        <s v="ETHG3"/>
        <s v="ETHF3"/>
        <s v="BTCF3"/>
        <s v="BTCG3"/>
        <m/>
        <s v="BTCZ2" u="1"/>
        <s v="B_F_BTC-USD_221230" u="1"/>
        <s v="B_F_ETH-USD_221230" u="1"/>
        <s v="BTRXUSDT" u="1"/>
        <s v="BTCX2" u="1"/>
        <s v="BETCUSDT" u="1"/>
        <s v="ETH221230" u="1"/>
        <s v="B_F_BTC-USDT_221230" u="1"/>
        <s v="B_F_ETH-USDT_221230" u="1"/>
        <s v="ETHZ2" u="1"/>
        <s v="BENJUSDT" u="1"/>
        <s v="O_F_BTC-USD_221230" u="1"/>
        <s v="O_F_ETH-USD_221230" u="1"/>
        <s v="O_P_BCH-USDT-SWAP" u="1"/>
        <s v="O_P_DOT-USDT-SWAP" u="1"/>
        <s v="O_P_LTC-USDT-SWAP" u="1"/>
        <s v="ETHX2" u="1"/>
        <s v="BFILUSDT" u="1"/>
        <s v="H_T_KSM_USDT_SWAP" u="1"/>
        <s v="O_F_BTC-USDT_221230" u="1"/>
        <s v="O_F_ETH-USDT_221230" u="1"/>
        <s v="BTC221230" u="1"/>
        <s v="BDOTUSDT" u="1"/>
      </sharedItems>
    </cacheField>
    <cacheField name="position" numFmtId="0">
      <sharedItems containsString="0" containsBlank="1" containsNumber="1" minValue="-3884601" maxValue="625634"/>
    </cacheField>
    <cacheField name="notional" numFmtId="0">
      <sharedItems containsString="0" containsBlank="1" containsNumber="1" minValue="-76236900" maxValue="57410092.481700003"/>
    </cacheField>
    <cacheField name="mark_price" numFmtId="0">
      <sharedItems containsString="0" containsBlank="1" containsNumber="1" minValue="9.3000000000000007E-6" maxValue="19155"/>
    </cacheField>
    <cacheField name="unrealized_pnl" numFmtId="0">
      <sharedItems containsString="0" containsBlank="1" containsNumber="1" minValue="-412443.21422740998" maxValue="509661.76956808998"/>
    </cacheField>
    <cacheField name="instrument_type" numFmtId="0">
      <sharedItems containsBlank="1" count="4">
        <s v="SWAP"/>
        <s v="FUTURE"/>
        <s v="CME FUTURE"/>
        <m/>
      </sharedItems>
    </cacheField>
    <cacheField name="expiration_time" numFmtId="0">
      <sharedItems containsNonDate="0" containsDate="1" containsString="0" containsBlank="1" minDate="2023-01-28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31">
        <s v="BTC"/>
        <s v="ETH"/>
        <s v="AXS"/>
        <s v="BCH"/>
        <s v="EOS"/>
        <s v="LTC"/>
        <s v="OMG"/>
        <s v="ZIL"/>
        <s v="COMP"/>
        <s v="LINK"/>
        <s v="ATOM"/>
        <s v="SHIB"/>
        <m/>
        <s v="YFII" u="1"/>
        <s v="AAVE" u="1"/>
        <s v="USD" u="1"/>
        <s v="KSM" u="1"/>
        <s v="XRP" u="1"/>
        <s v="DOT" u="1"/>
        <s v="BNB" u="1"/>
        <s v="USDC" u="1"/>
        <s v="BSV" u="1"/>
        <s v="OXT" u="1"/>
        <s v="TRX" u="1"/>
        <s v="ADA" u="1"/>
        <s v="underlying" u="1"/>
        <s v="FIL" u="1"/>
        <s v="ETC" u="1"/>
        <s v="USDT" u="1"/>
        <s v="BUSD" u="1"/>
        <s v="ENJ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8215.7000000000007"/>
    </cacheField>
    <cacheField name="Exposure" numFmtId="0">
      <sharedItems containsBlank="1" containsMixedTypes="1" containsNumber="1" minValue="-75100960.459956691" maxValue="59874580.379285462"/>
    </cacheField>
    <cacheField name="days_to_expiry" numFmtId="0">
      <sharedItems containsBlank="1" containsMixedTypes="1" containsNumber="1" minValue="15.083333333335759" maxValue="28111.416666666664"/>
    </cacheField>
    <cacheField name="Bucket" numFmtId="0">
      <sharedItems containsBlank="1" count="11">
        <s v="PERP"/>
        <s v="Mar 23"/>
        <s v="Jun 23"/>
        <s v="CME Feb 23"/>
        <s v="CME Jan 23"/>
        <s v=""/>
        <m/>
        <s v="CME Dec 23" u="1"/>
        <s v="Dec 22" u="1"/>
        <s v="CME Nov 22" u="1"/>
        <s v="CME Dec 22" u="1"/>
      </sharedItems>
    </cacheField>
    <cacheField name="Long_short" numFmtId="0">
      <sharedItems containsBlank="1" count="5">
        <s v="LONG"/>
        <s v="SHORT"/>
        <s v=""/>
        <m/>
        <s v="HEDGE" u="1"/>
      </sharedItems>
    </cacheField>
    <cacheField name="Bucket_LongShort" numFmtId="0">
      <sharedItems containsBlank="1" count="24">
        <s v="PERP LONG"/>
        <s v="Mar 23 SHORT"/>
        <s v="Jun 23 SHORT"/>
        <s v="PERP SHORT"/>
        <s v="Mar 23 LONG"/>
        <s v="Jun 23 LONG"/>
        <s v="CME Feb 23 LONG"/>
        <s v="CME Jan 23 SHORT"/>
        <s v=""/>
        <m/>
        <s v="CASH SHORT" u="1"/>
        <s v="COIN LONG" u="1"/>
        <s v="CME Dec 22 HEDGE" u="1"/>
        <s v="CME Nov 22 HEDGE" u="1"/>
        <s v="CME Oct 22 HEDGE" u="1"/>
        <s v="CME Sep 22 HEDGE" u="1"/>
        <s v="CME Jan 23 LONG" u="1"/>
        <s v="CME Dec 23 HEDGE" u="1"/>
        <s v="CME Jan 23 HEDGE" u="1"/>
        <s v="COIN SHORT" u="1"/>
        <s v="Nov 22 LONG" u="1"/>
        <s v="Dec 22 LONG" u="1"/>
        <s v="Dec 22 SHORT" u="1"/>
        <s v="CME Dec 22 LONG" u="1"/>
      </sharedItems>
    </cacheField>
    <cacheField name="shifted_notional" numFmtId="0">
      <sharedItems containsBlank="1" containsMixedTypes="1" containsNumber="1" minValue="-76999269" maxValue="57410092.481700003"/>
    </cacheField>
    <cacheField name="shifted_mark" numFmtId="0">
      <sharedItems containsBlank="1" containsMixedTypes="1" containsNumber="1" minValue="9.3000000000000007E-6" maxValue="19346.55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762369" maxValue="1215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x v="0"/>
    <n v="200.07893852000001"/>
    <x v="0"/>
    <x v="0"/>
    <x v="0"/>
    <s v="20221113"/>
    <d v="2022-11-14T00:00:00"/>
    <n v="11343.929129895499"/>
    <s v="BINE"/>
    <s v="ASSETBINEASSETAAVE"/>
    <s v="ASSETBINE"/>
    <x v="0"/>
    <x v="0"/>
    <m/>
    <s v="AAVE"/>
    <n v="56.697267657492851"/>
  </r>
  <r>
    <x v="0"/>
    <n v="28311.975235000002"/>
    <x v="0"/>
    <x v="1"/>
    <x v="0"/>
    <s v="20221113"/>
    <d v="2022-11-14T00:00:00"/>
    <n v="9346.5470518627026"/>
    <s v="BINE"/>
    <s v="ASSETBINEASSETADA"/>
    <s v="ASSETBINE"/>
    <x v="0"/>
    <x v="0"/>
    <m/>
    <s v="ADA"/>
    <n v="0.33012698599383689"/>
  </r>
  <r>
    <x v="0"/>
    <n v="25.399726000000001"/>
    <x v="0"/>
    <x v="2"/>
    <x v="0"/>
    <s v="20221113"/>
    <d v="2022-11-14T00:00:00"/>
    <n v="6.6592121155059782"/>
    <s v="BINE"/>
    <s v="ASSETBINEASSETALGO"/>
    <s v="ASSETBINE"/>
    <x v="0"/>
    <x v="0"/>
    <m/>
    <s v="ALGO"/>
    <n v="0.26217653353843179"/>
  </r>
  <r>
    <x v="0"/>
    <n v="4.2548999999999998E-3"/>
    <x v="0"/>
    <x v="3"/>
    <x v="0"/>
    <s v="20221113"/>
    <d v="2022-11-14T00:00:00"/>
    <n v="4.3299983536071208E-2"/>
    <s v="BINE"/>
    <s v="ASSETBINEASSETATOM"/>
    <s v="ASSETBINE"/>
    <x v="0"/>
    <x v="0"/>
    <m/>
    <s v="ATOM"/>
    <n v="10.176498516080569"/>
  </r>
  <r>
    <x v="0"/>
    <n v="361.50767796999997"/>
    <x v="0"/>
    <x v="4"/>
    <x v="0"/>
    <s v="20221113"/>
    <d v="2022-11-14T00:00:00"/>
    <n v="4718.4055462869874"/>
    <s v="BINE"/>
    <s v="ASSETBINEASSETAVAX"/>
    <s v="ASSETBINE"/>
    <x v="0"/>
    <x v="0"/>
    <m/>
    <s v="AVAX"/>
    <n v="13.052020285661948"/>
  </r>
  <r>
    <x v="0"/>
    <n v="25156.055035879999"/>
    <x v="0"/>
    <x v="5"/>
    <x v="0"/>
    <s v="20221113"/>
    <d v="2022-11-14T00:00:00"/>
    <n v="5612.3092762264696"/>
    <s v="BINE"/>
    <s v="ASSETBINEASSETBAT"/>
    <s v="ASSETBINE"/>
    <x v="0"/>
    <x v="0"/>
    <m/>
    <s v="BAT"/>
    <n v="0.22309973754714921"/>
  </r>
  <r>
    <x v="0"/>
    <n v="91.029457179999994"/>
    <x v="0"/>
    <x v="6"/>
    <x v="0"/>
    <s v="20221113"/>
    <d v="2022-11-14T00:00:00"/>
    <n v="9070.7674950747351"/>
    <s v="BINE"/>
    <s v="ASSETBINEASSETBCH"/>
    <s v="ASSETBINE"/>
    <x v="0"/>
    <x v="0"/>
    <m/>
    <s v="BCH"/>
    <n v="99.646507582027681"/>
  </r>
  <r>
    <x v="0"/>
    <n v="86.736910640000005"/>
    <x v="0"/>
    <x v="7"/>
    <x v="0"/>
    <s v="20221113"/>
    <d v="2022-11-14T00:00:00"/>
    <n v="23989.64512908307"/>
    <s v="BINE"/>
    <s v="ASSETBINEASSETBNB"/>
    <s v="ASSETBINE"/>
    <x v="0"/>
    <x v="0"/>
    <m/>
    <s v="BNB"/>
    <n v="276.5794279744602"/>
  </r>
  <r>
    <x v="0"/>
    <n v="13.751470619999999"/>
    <x v="0"/>
    <x v="8"/>
    <x v="0"/>
    <s v="20221113"/>
    <d v="2022-11-14T00:00:00"/>
    <n v="224882.82819786231"/>
    <s v="BINE"/>
    <s v="ASSETBINEASSETBTC"/>
    <s v="ASSETBINE"/>
    <x v="0"/>
    <x v="0"/>
    <m/>
    <s v="BTC"/>
    <n v="16353.365717176106"/>
  </r>
  <r>
    <x v="0"/>
    <n v="24746.129452879999"/>
    <x v="0"/>
    <x v="9"/>
    <x v="0"/>
    <s v="20221113"/>
    <d v="2022-11-14T00:00:00"/>
    <n v="24773.218880727949"/>
    <s v="BINE"/>
    <s v="ASSETBINEASSETBUSD"/>
    <s v="ASSETBINE"/>
    <x v="0"/>
    <x v="0"/>
    <m/>
    <s v="BUSD"/>
    <n v="1.0010946935317513"/>
  </r>
  <r>
    <x v="0"/>
    <n v="36.869033870000003"/>
    <x v="0"/>
    <x v="10"/>
    <x v="0"/>
    <s v="20221113"/>
    <d v="2022-11-14T00:00:00"/>
    <n v="1428.4773746064559"/>
    <s v="BINE"/>
    <s v="ASSETBINEASSETCOMP"/>
    <s v="ASSETBINE"/>
    <x v="0"/>
    <x v="0"/>
    <m/>
    <s v="COMP"/>
    <n v="38.744638105876575"/>
  </r>
  <r>
    <x v="0"/>
    <n v="1.5637979999999999E-2"/>
    <x v="0"/>
    <x v="11"/>
    <x v="0"/>
    <s v="20221113"/>
    <d v="2022-11-14T00:00:00"/>
    <n v="9.8747518422494362E-3"/>
    <m/>
    <s v="ASSETBINEASSETCRV"/>
    <s v="ASSETBINE"/>
    <x v="0"/>
    <x v="0"/>
    <m/>
    <s v="CRV"/>
    <n v="0.63145955182507185"/>
  </r>
  <r>
    <x v="0"/>
    <n v="61610.470464270002"/>
    <x v="0"/>
    <x v="12"/>
    <x v="0"/>
    <s v="20221113"/>
    <d v="2022-11-14T00:00:00"/>
    <n v="5230.2967419918232"/>
    <m/>
    <s v="ASSETBINEASSETDOGE"/>
    <s v="ASSETBINE"/>
    <x v="0"/>
    <x v="0"/>
    <m/>
    <s v="DOGE"/>
    <n v="8.4892984951722608E-2"/>
  </r>
  <r>
    <x v="0"/>
    <n v="1999.0152611599999"/>
    <x v="0"/>
    <x v="13"/>
    <x v="0"/>
    <s v="20221113"/>
    <d v="2022-11-14T00:00:00"/>
    <n v="11500.830489743121"/>
    <m/>
    <s v="ASSETBINEASSETDOT"/>
    <s v="ASSETBINE"/>
    <x v="0"/>
    <x v="0"/>
    <m/>
    <s v="DOT"/>
    <n v="5.7532479682367974"/>
  </r>
  <r>
    <x v="0"/>
    <n v="29999.901399999999"/>
    <x v="0"/>
    <x v="14"/>
    <x v="0"/>
    <s v="20221113"/>
    <d v="2022-11-14T00:00:00"/>
    <n v="26596.901867728899"/>
    <m/>
    <s v="ASSETBINEASSETEOS"/>
    <s v="ASSETBINE"/>
    <x v="0"/>
    <x v="0"/>
    <m/>
    <s v="EOS"/>
    <n v="0.88656630943890025"/>
  </r>
  <r>
    <x v="0"/>
    <n v="9.9330999999999996"/>
    <x v="0"/>
    <x v="15"/>
    <x v="0"/>
    <s v="20221113"/>
    <d v="2022-11-14T00:00:00"/>
    <n v="12136.452471650249"/>
    <m/>
    <s v="ASSETBINEASSETETH"/>
    <s v="ASSETBINE"/>
    <x v="0"/>
    <x v="0"/>
    <m/>
    <s v="ETH"/>
    <n v="1221.8192177316503"/>
  </r>
  <r>
    <x v="0"/>
    <n v="676914.25030584994"/>
    <x v="0"/>
    <x v="16"/>
    <x v="0"/>
    <s v="20221113"/>
    <d v="2022-11-14T00:00:00"/>
    <n v="699624.72340361122"/>
    <m/>
    <s v="ASSETBINEASSETEUR"/>
    <s v="ASSETBINE"/>
    <x v="0"/>
    <x v="0"/>
    <m/>
    <s v="EUR"/>
    <n v="1.03355"/>
  </r>
  <r>
    <x v="0"/>
    <n v="0.19800000000000001"/>
    <x v="0"/>
    <x v="17"/>
    <x v="0"/>
    <s v="20221113"/>
    <d v="2022-11-14T00:00:00"/>
    <n v="0.85020732248870245"/>
    <m/>
    <s v="ASSETBINEASSETFIL"/>
    <s v="ASSETBINE"/>
    <x v="0"/>
    <x v="0"/>
    <m/>
    <s v="FIL"/>
    <n v="4.2939763762055678"/>
  </r>
  <r>
    <x v="0"/>
    <n v="12.72046903"/>
    <x v="0"/>
    <x v="18"/>
    <x v="0"/>
    <s v="20221113"/>
    <d v="2022-11-14T00:00:00"/>
    <n v="77.244365420074715"/>
    <m/>
    <s v="ASSETBINEASSETLINK"/>
    <s v="ASSETBINE"/>
    <x v="0"/>
    <x v="0"/>
    <m/>
    <s v="LINK"/>
    <n v="6.0724463255168759"/>
  </r>
  <r>
    <x v="0"/>
    <n v="1.4551239499999999"/>
    <x v="0"/>
    <x v="19"/>
    <x v="0"/>
    <s v="20221113"/>
    <d v="2022-11-14T00:00:00"/>
    <n v="83.650963619165253"/>
    <m/>
    <s v="ASSETBINEASSETLTC"/>
    <s v="ASSETBINE"/>
    <x v="0"/>
    <x v="0"/>
    <m/>
    <s v="LTC"/>
    <n v="57.487173940862725"/>
  </r>
  <r>
    <x v="0"/>
    <n v="4125.1621725699997"/>
    <x v="0"/>
    <x v="20"/>
    <x v="0"/>
    <s v="20221113"/>
    <d v="2022-11-14T00:00:00"/>
    <n v="1853.8929566716131"/>
    <m/>
    <s v="ASSETBINEASSETMANA"/>
    <s v="ASSETBINE"/>
    <x v="0"/>
    <x v="0"/>
    <m/>
    <s v="MANA"/>
    <n v="0.44941092716280462"/>
  </r>
  <r>
    <x v="0"/>
    <n v="405872.62526320003"/>
    <x v="0"/>
    <x v="21"/>
    <x v="0"/>
    <s v="20221113"/>
    <d v="2022-11-14T00:00:00"/>
    <n v="33101.177068429613"/>
    <m/>
    <s v="ASSETBINEASSETOXT"/>
    <s v="ASSETBINE"/>
    <x v="0"/>
    <x v="0"/>
    <m/>
    <s v="OXT"/>
    <n v="8.1555579282944213E-2"/>
  </r>
  <r>
    <x v="0"/>
    <n v="57.222791209999997"/>
    <x v="0"/>
    <x v="22"/>
    <x v="0"/>
    <s v="20221113"/>
    <d v="2022-11-14T00:00:00"/>
    <n v="753.31107015455927"/>
    <m/>
    <s v="ASSETBINEASSETSOL"/>
    <s v="ASSETBINE"/>
    <x v="0"/>
    <x v="0"/>
    <m/>
    <s v="SOL"/>
    <n v="13.164528577258812"/>
  </r>
  <r>
    <x v="0"/>
    <n v="718282.38861262996"/>
    <x v="0"/>
    <x v="23"/>
    <x v="0"/>
    <s v="20221113"/>
    <d v="2022-11-14T00:00:00"/>
    <n v="717387.83854515699"/>
    <m/>
    <s v="ASSETBINEASSETUSDT"/>
    <s v="ASSETBINE"/>
    <x v="0"/>
    <x v="0"/>
    <m/>
    <s v="USDT"/>
    <n v="0.99875459835622493"/>
  </r>
  <r>
    <x v="1"/>
    <n v="821.98064921000002"/>
    <x v="1"/>
    <x v="8"/>
    <x v="1"/>
    <s v="20221113"/>
    <d v="2022-11-14T00:00:00"/>
    <n v="13442150.168972971"/>
    <m/>
    <s v="ASSETBINEASSETBTC"/>
    <s v="ASSETBINE"/>
    <x v="0"/>
    <x v="0"/>
    <m/>
    <s v="BTC"/>
    <n v="16353.365717176106"/>
  </r>
  <r>
    <x v="1"/>
    <n v="-10.536066610000001"/>
    <x v="2"/>
    <x v="8"/>
    <x v="1"/>
    <s v="20221113"/>
    <d v="2022-11-14T00:00:00"/>
    <n v="-172300.1504938578"/>
    <m/>
    <s v="ASSETBINEASSETBTC"/>
    <s v="ASSETBINE"/>
    <x v="0"/>
    <x v="0"/>
    <m/>
    <s v="BTC"/>
    <n v="16353.365717176106"/>
  </r>
  <r>
    <x v="1"/>
    <n v="5855.6751637199995"/>
    <x v="1"/>
    <x v="15"/>
    <x v="1"/>
    <s v="20221113"/>
    <d v="2022-11-14T00:00:00"/>
    <n v="7154576.4478270207"/>
    <m/>
    <s v="ASSETBINEASSETETH"/>
    <s v="ASSETBINE"/>
    <x v="0"/>
    <x v="0"/>
    <m/>
    <s v="ETH"/>
    <n v="1221.8192177316503"/>
  </r>
  <r>
    <x v="1"/>
    <n v="46.067630880000003"/>
    <x v="2"/>
    <x v="15"/>
    <x v="1"/>
    <s v="20221113"/>
    <d v="2022-11-14T00:00:00"/>
    <n v="56286.316724552002"/>
    <m/>
    <s v="ASSETBINEASSETETH"/>
    <s v="ASSETBINE"/>
    <x v="0"/>
    <x v="0"/>
    <m/>
    <s v="ETH"/>
    <n v="1221.8192177316503"/>
  </r>
  <r>
    <x v="2"/>
    <n v="2521.9114588000002"/>
    <x v="0"/>
    <x v="7"/>
    <x v="2"/>
    <s v="20221113"/>
    <d v="2022-11-14T00:00:00"/>
    <n v="697508.82867714053"/>
    <m/>
    <s v="ASSETBINEASSETBNB"/>
    <s v="ASSETBINE"/>
    <x v="0"/>
    <x v="0"/>
    <m/>
    <s v="BNB"/>
    <n v="276.5794279744602"/>
  </r>
  <r>
    <x v="2"/>
    <n v="204642.6"/>
    <x v="0"/>
    <x v="14"/>
    <x v="2"/>
    <s v="20221113"/>
    <d v="2022-11-14T00:00:00"/>
    <n v="181429.23463598109"/>
    <m/>
    <s v="ASSETBINEASSETEOS"/>
    <s v="ASSETBINE"/>
    <x v="0"/>
    <x v="0"/>
    <m/>
    <s v="EOS"/>
    <n v="0.88656630943890025"/>
  </r>
  <r>
    <x v="2"/>
    <n v="0.15721859999999999"/>
    <x v="0"/>
    <x v="24"/>
    <x v="2"/>
    <s v="20221113"/>
    <d v="2022-11-14T00:00:00"/>
    <n v="3.1377137942216091"/>
    <m/>
    <s v="ASSETBINEASSETETC"/>
    <s v="ASSETBINE"/>
    <x v="0"/>
    <x v="0"/>
    <m/>
    <s v="ETC"/>
    <n v="19.957650012286138"/>
  </r>
  <r>
    <x v="2"/>
    <n v="1555.5547999999999"/>
    <x v="0"/>
    <x v="15"/>
    <x v="2"/>
    <s v="20221113"/>
    <d v="2022-11-14T00:00:00"/>
    <n v="1900606.748874713"/>
    <m/>
    <s v="ASSETBINEASSETETH"/>
    <s v="ASSETBINE"/>
    <x v="0"/>
    <x v="0"/>
    <m/>
    <s v="ETH"/>
    <n v="1221.8192177316503"/>
  </r>
  <r>
    <x v="2"/>
    <n v="1581.07"/>
    <x v="0"/>
    <x v="18"/>
    <x v="2"/>
    <s v="20221113"/>
    <d v="2022-11-14T00:00:00"/>
    <n v="9600.9627118849658"/>
    <m/>
    <s v="ASSETBINEASSETLINK"/>
    <s v="ASSETBINE"/>
    <x v="0"/>
    <x v="0"/>
    <m/>
    <s v="LINK"/>
    <n v="6.0724463255168759"/>
  </r>
  <r>
    <x v="2"/>
    <n v="237.91499999999999"/>
    <x v="0"/>
    <x v="19"/>
    <x v="2"/>
    <s v="20221113"/>
    <d v="2022-11-14T00:00:00"/>
    <n v="13677.06098814036"/>
    <m/>
    <s v="ASSETBINEASSETLTC"/>
    <s v="ASSETBINE"/>
    <x v="0"/>
    <x v="0"/>
    <m/>
    <s v="LTC"/>
    <n v="57.487173940862725"/>
  </r>
  <r>
    <x v="2"/>
    <n v="15525555.45521039"/>
    <x v="0"/>
    <x v="23"/>
    <x v="2"/>
    <s v="20221113"/>
    <d v="2022-11-14T00:00:00"/>
    <n v="15506219.90292595"/>
    <m/>
    <s v="ASSETBINEASSETUSDT"/>
    <s v="ASSETBINE"/>
    <x v="0"/>
    <x v="0"/>
    <m/>
    <s v="USDT"/>
    <n v="0.99875459835622493"/>
  </r>
  <r>
    <x v="3"/>
    <n v="1E-8"/>
    <x v="1"/>
    <x v="7"/>
    <x v="3"/>
    <s v="20221113"/>
    <d v="2022-11-14T00:00:00"/>
    <n v="2.7657942797446021E-6"/>
    <m/>
    <s v="ASSETBINEASSETBNB"/>
    <s v="ASSETBINE"/>
    <x v="0"/>
    <x v="0"/>
    <m/>
    <s v="BNB"/>
    <n v="276.5794279744602"/>
  </r>
  <r>
    <x v="3"/>
    <n v="13100000"/>
    <x v="1"/>
    <x v="9"/>
    <x v="3"/>
    <s v="20221113"/>
    <d v="2022-11-14T00:00:00"/>
    <n v="13114340.48526594"/>
    <m/>
    <s v="ASSETBINEASSETBUSD"/>
    <s v="ASSETBINE"/>
    <x v="0"/>
    <x v="0"/>
    <m/>
    <s v="BUSD"/>
    <n v="1.0010946935317513"/>
  </r>
  <r>
    <x v="3"/>
    <n v="33612223.521003857"/>
    <x v="1"/>
    <x v="23"/>
    <x v="3"/>
    <s v="20221113"/>
    <d v="2022-11-14T00:00:00"/>
    <n v="33570362.802579857"/>
    <m/>
    <s v="ASSETBINEASSETUSDT"/>
    <s v="ASSETBINE"/>
    <x v="0"/>
    <x v="0"/>
    <m/>
    <s v="USDT"/>
    <n v="0.99875459835622493"/>
  </r>
  <r>
    <x v="3"/>
    <n v="2628589.32911707"/>
    <x v="2"/>
    <x v="23"/>
    <x v="3"/>
    <s v="20221113"/>
    <d v="2022-11-14T00:00:00"/>
    <n v="2625315.6796457781"/>
    <m/>
    <s v="ASSETBINEASSETUSDT"/>
    <s v="ASSETBINE"/>
    <x v="0"/>
    <x v="0"/>
    <m/>
    <s v="USDT"/>
    <n v="0.99875459835622493"/>
  </r>
  <r>
    <x v="4"/>
    <n v="1966905.2624124701"/>
    <x v="1"/>
    <x v="23"/>
    <x v="4"/>
    <s v="20221113"/>
    <d v="2022-11-14T00:00:00"/>
    <n v="1964455.675365512"/>
    <m/>
    <s v="ASSETBINEASSETUSDT"/>
    <s v="ASSETBINE"/>
    <x v="0"/>
    <x v="0"/>
    <m/>
    <s v="USDT"/>
    <n v="0.99875459835622493"/>
  </r>
  <r>
    <x v="4"/>
    <n v="-11749.007398719999"/>
    <x v="2"/>
    <x v="23"/>
    <x v="4"/>
    <s v="20221113"/>
    <d v="2022-11-14T00:00:00"/>
    <n v="-11734.37516559291"/>
    <m/>
    <s v="ASSETBINEASSETUSDT"/>
    <s v="ASSETBINE"/>
    <x v="0"/>
    <x v="0"/>
    <m/>
    <s v="USDT"/>
    <n v="0.99875459835622493"/>
  </r>
  <r>
    <x v="5"/>
    <n v="7.9996000000000008E-3"/>
    <x v="0"/>
    <x v="8"/>
    <x v="5"/>
    <s v="20221113"/>
    <d v="2022-11-14T00:00:00"/>
    <n v="130.82038439112191"/>
    <m/>
    <s v="ASSETBTFX ASSETBTC"/>
    <s v="ASSETBTFX "/>
    <x v="0"/>
    <x v="1"/>
    <m/>
    <s v="BTC"/>
    <n v="16353.365717176106"/>
  </r>
  <r>
    <x v="5"/>
    <n v="0.02"/>
    <x v="0"/>
    <x v="15"/>
    <x v="5"/>
    <s v="20221113"/>
    <d v="2022-11-14T00:00:00"/>
    <n v="24.436384354632999"/>
    <m/>
    <s v="ASSETBTFX ASSETETH"/>
    <s v="ASSETBTFX "/>
    <x v="0"/>
    <x v="1"/>
    <m/>
    <s v="ETH"/>
    <n v="1221.8192177316503"/>
  </r>
  <r>
    <x v="5"/>
    <n v="0.02"/>
    <x v="0"/>
    <x v="25"/>
    <x v="5"/>
    <s v="20221113"/>
    <d v="2022-11-14T00:00:00"/>
    <n v="7.7933461924647243E-2"/>
    <m/>
    <s v="ASSETBTFX ASSETETHW"/>
    <s v="ASSETBTFX "/>
    <x v="0"/>
    <x v="1"/>
    <m/>
    <s v="ETHW"/>
    <n v="3.8966730962323619"/>
  </r>
  <r>
    <x v="5"/>
    <n v="2.755467E-2"/>
    <x v="0"/>
    <x v="26"/>
    <x v="5"/>
    <s v="20221113"/>
    <d v="2022-11-14T00:00:00"/>
    <n v="2.755467E-2"/>
    <m/>
    <s v="ASSETBTFX ASSETUSD"/>
    <s v="ASSETBTFX "/>
    <x v="0"/>
    <x v="1"/>
    <m/>
    <s v="USD"/>
    <n v="1"/>
  </r>
  <r>
    <x v="5"/>
    <n v="29.9885932"/>
    <x v="0"/>
    <x v="27"/>
    <x v="5"/>
    <s v="20221113"/>
    <d v="2022-11-14T00:00:00"/>
    <n v="0"/>
    <m/>
    <s v="ASSETBTFX ASSETUST"/>
    <s v="ASSETBTFX "/>
    <x v="0"/>
    <x v="1"/>
    <m/>
    <s v="UST"/>
    <n v="0"/>
  </r>
  <r>
    <x v="6"/>
    <n v="0.21932823000000001"/>
    <x v="0"/>
    <x v="6"/>
    <x v="6"/>
    <s v="20221113"/>
    <d v="2022-11-13T00:00:21"/>
    <n v="21.855292133647719"/>
    <m/>
    <s v="ASSETBTSEASSETBCH"/>
    <s v="ASSETBTSE"/>
    <x v="0"/>
    <x v="2"/>
    <m/>
    <s v="BCH"/>
    <n v="99.646507582027681"/>
  </r>
  <r>
    <x v="6"/>
    <n v="5.7861299999999997E-2"/>
    <x v="0"/>
    <x v="8"/>
    <x v="6"/>
    <s v="20221113"/>
    <d v="2022-11-13T00:00:22"/>
    <n v="946.22699977124137"/>
    <m/>
    <s v="ASSETBTSEASSETBTC"/>
    <s v="ASSETBTSE"/>
    <x v="0"/>
    <x v="2"/>
    <m/>
    <s v="BTC"/>
    <n v="16353.365717176106"/>
  </r>
  <r>
    <x v="6"/>
    <n v="0.73541904000000002"/>
    <x v="0"/>
    <x v="15"/>
    <x v="6"/>
    <s v="20221113"/>
    <d v="2022-11-13T00:00:23"/>
    <n v="898.54911615776086"/>
    <m/>
    <s v="ASSETBTSEASSETETH"/>
    <s v="ASSETBTSE"/>
    <x v="0"/>
    <x v="2"/>
    <m/>
    <s v="ETH"/>
    <n v="1221.8192177316503"/>
  </r>
  <r>
    <x v="6"/>
    <n v="22277.5319929"/>
    <x v="0"/>
    <x v="28"/>
    <x v="6"/>
    <s v="20221113"/>
    <d v="2022-11-13T00:00:24"/>
    <n v="267.63111879024041"/>
    <m/>
    <s v="ASSETBTSEASSETSGB"/>
    <s v="ASSETBTSE"/>
    <x v="0"/>
    <x v="2"/>
    <m/>
    <s v="SGB"/>
    <n v="1.2013499470028199E-2"/>
  </r>
  <r>
    <x v="6"/>
    <n v="114736.84"/>
    <x v="0"/>
    <x v="26"/>
    <x v="6"/>
    <s v="20221113"/>
    <d v="2022-11-13T00:00:25"/>
    <n v="114736.84"/>
    <m/>
    <s v="ASSETBTSEASSETUSD"/>
    <s v="ASSETBTSE"/>
    <x v="0"/>
    <x v="2"/>
    <m/>
    <s v="USD"/>
    <n v="1"/>
  </r>
  <r>
    <x v="6"/>
    <n v="116647.68407285"/>
    <x v="0"/>
    <x v="29"/>
    <x v="6"/>
    <s v="20221113"/>
    <d v="2022-11-13T00:00:26"/>
    <n v="39694.790548822508"/>
    <m/>
    <s v="ASSETBTSEASSETXRP"/>
    <s v="ASSETBTSE"/>
    <x v="0"/>
    <x v="2"/>
    <m/>
    <s v="XRP"/>
    <n v="0.34029643078067379"/>
  </r>
  <r>
    <x v="7"/>
    <n v="4143.1451217100002"/>
    <x v="0"/>
    <x v="8"/>
    <x v="7"/>
    <s v="20221113"/>
    <d v="2022-11-14T00:00:00"/>
    <n v="67754367.394657716"/>
    <m/>
    <s v="ASSETBULLASSETBTC"/>
    <s v="ASSETBULL"/>
    <x v="0"/>
    <x v="3"/>
    <m/>
    <s v="BTC"/>
    <n v="16353.365717176106"/>
  </r>
  <r>
    <x v="7"/>
    <n v="27340430.102899998"/>
    <x v="0"/>
    <x v="26"/>
    <x v="7"/>
    <s v="20221113"/>
    <d v="2022-11-14T00:00:00"/>
    <n v="27340430.102899998"/>
    <m/>
    <s v="ASSETBULLASSETUSD"/>
    <s v="ASSETBULL"/>
    <x v="0"/>
    <x v="3"/>
    <m/>
    <s v="USD"/>
    <n v="1"/>
  </r>
  <r>
    <x v="7"/>
    <n v="101"/>
    <x v="0"/>
    <x v="30"/>
    <x v="7"/>
    <s v="20221113"/>
    <d v="2022-11-14T00:00:00"/>
    <n v="101.01377034016269"/>
    <m/>
    <s v="ASSETBULLASSETUSDC"/>
    <s v="ASSETBULL"/>
    <x v="0"/>
    <x v="3"/>
    <m/>
    <s v="USDC"/>
    <n v="1.000136340001611"/>
  </r>
  <r>
    <x v="8"/>
    <n v="1297032.5469"/>
    <x v="0"/>
    <x v="14"/>
    <x v="8"/>
    <s v="20221113"/>
    <d v="2022-11-14T00:00:00"/>
    <n v="1149905.35832727"/>
    <m/>
    <s v="ASSETBULLASSETEOS"/>
    <s v="ASSETBULL"/>
    <x v="0"/>
    <x v="3"/>
    <m/>
    <s v="EOS"/>
    <n v="0.88656630943890025"/>
  </r>
  <r>
    <x v="8"/>
    <n v="14768.90497507"/>
    <x v="0"/>
    <x v="18"/>
    <x v="8"/>
    <s v="20221113"/>
    <d v="2022-11-14T00:00:00"/>
    <n v="89683.382747771728"/>
    <m/>
    <s v="ASSETBULLASSETLINK"/>
    <s v="ASSETBULL"/>
    <x v="0"/>
    <x v="3"/>
    <m/>
    <s v="LINK"/>
    <n v="6.0724463255168759"/>
  </r>
  <r>
    <x v="8"/>
    <n v="1987.78841713"/>
    <x v="0"/>
    <x v="19"/>
    <x v="8"/>
    <s v="20221113"/>
    <d v="2022-11-14T00:00:00"/>
    <n v="114272.33849318451"/>
    <m/>
    <s v="ASSETBULLASSETLTC"/>
    <s v="ASSETBULL"/>
    <x v="0"/>
    <x v="3"/>
    <m/>
    <s v="LTC"/>
    <n v="57.487173940862725"/>
  </r>
  <r>
    <x v="8"/>
    <n v="7654946.8200000003"/>
    <x v="0"/>
    <x v="26"/>
    <x v="8"/>
    <s v="20221113"/>
    <d v="2022-11-14T00:00:00"/>
    <n v="7654946.8200000003"/>
    <m/>
    <s v="ASSETBULLASSETUSD"/>
    <s v="ASSETBULL"/>
    <x v="0"/>
    <x v="3"/>
    <m/>
    <s v="USD"/>
    <n v="1"/>
  </r>
  <r>
    <x v="9"/>
    <n v="15727.92235072"/>
    <x v="0"/>
    <x v="15"/>
    <x v="9"/>
    <s v="20221113"/>
    <d v="2022-11-14T00:00:00"/>
    <n v="19216677.78310084"/>
    <m/>
    <s v="ASSETBULLASSETETH"/>
    <s v="ASSETBULL"/>
    <x v="0"/>
    <x v="3"/>
    <m/>
    <s v="ETH"/>
    <n v="1221.8192177316503"/>
  </r>
  <r>
    <x v="9"/>
    <n v="10612807.468800001"/>
    <x v="0"/>
    <x v="26"/>
    <x v="9"/>
    <s v="20221113"/>
    <d v="2022-11-14T00:00:00"/>
    <n v="10612807.468800001"/>
    <m/>
    <s v="ASSETBULLASSETUSD"/>
    <s v="ASSETBULL"/>
    <x v="0"/>
    <x v="3"/>
    <m/>
    <s v="USD"/>
    <n v="1"/>
  </r>
  <r>
    <x v="10"/>
    <n v="60.144188849999999"/>
    <x v="0"/>
    <x v="8"/>
    <x v="10"/>
    <s v="20221113"/>
    <d v="2022-11-14T00:00:00"/>
    <n v="983559.916026955"/>
    <m/>
    <s v="ASSETBULLASSETBTC"/>
    <s v="ASSETBULL"/>
    <x v="0"/>
    <x v="3"/>
    <m/>
    <s v="BTC"/>
    <n v="16353.365717176106"/>
  </r>
  <r>
    <x v="10"/>
    <n v="1166.0086387199999"/>
    <x v="0"/>
    <x v="15"/>
    <x v="10"/>
    <s v="20221113"/>
    <d v="2022-11-14T00:00:00"/>
    <n v="1424651.762829216"/>
    <m/>
    <s v="ASSETBULLASSETETH"/>
    <s v="ASSETBULL"/>
    <x v="0"/>
    <x v="3"/>
    <m/>
    <s v="ETH"/>
    <n v="1221.8192177316503"/>
  </r>
  <r>
    <x v="11"/>
    <n v="0.26739257999999999"/>
    <x v="3"/>
    <x v="11"/>
    <x v="11"/>
    <s v="20221113"/>
    <d v="2022-11-14T00:00:00"/>
    <n v="0.16884759872814969"/>
    <m/>
    <s v="ASSETDEFIASSETCRV"/>
    <s v="ASSETDEFI"/>
    <x v="0"/>
    <x v="4"/>
    <m/>
    <s v="CRV"/>
    <n v="0.63145955182507185"/>
  </r>
  <r>
    <x v="11"/>
    <n v="9.7777784299999997"/>
    <x v="4"/>
    <x v="11"/>
    <x v="11"/>
    <s v="20221113"/>
    <d v="2022-11-14T00:00:00"/>
    <n v="6.1742715852526544"/>
    <m/>
    <s v="ASSETDEFIASSETCRV"/>
    <s v="ASSETDEFI"/>
    <x v="0"/>
    <x v="4"/>
    <m/>
    <s v="CRV"/>
    <n v="0.63145955182507185"/>
  </r>
  <r>
    <x v="11"/>
    <n v="3.0536339999999999E-2"/>
    <x v="3"/>
    <x v="31"/>
    <x v="11"/>
    <s v="20221113"/>
    <d v="2022-11-14T00:00:00"/>
    <n v="0.13427300297372799"/>
    <m/>
    <s v="ASSETDEFIASSETCVX"/>
    <s v="ASSETDEFI"/>
    <x v="0"/>
    <x v="4"/>
    <m/>
    <s v="CVX"/>
    <n v="4.3971544387352264"/>
  </r>
  <r>
    <x v="11"/>
    <n v="3.2534000000000003E-4"/>
    <x v="4"/>
    <x v="31"/>
    <x v="11"/>
    <s v="20221113"/>
    <d v="2022-11-11T21:00:00"/>
    <n v="1.4305702250981189E-3"/>
    <m/>
    <s v="ASSETDEFIASSETCVX"/>
    <s v="ASSETDEFI"/>
    <x v="0"/>
    <x v="4"/>
    <m/>
    <s v="CVX"/>
    <n v="4.3971544387352264"/>
  </r>
  <r>
    <x v="11"/>
    <n v="530.26134416000002"/>
    <x v="5"/>
    <x v="15"/>
    <x v="11"/>
    <s v="20221113"/>
    <d v="2022-11-11T21:00:00"/>
    <n v="647883.5007149044"/>
    <m/>
    <s v="ASSETDEFIASSETETH"/>
    <s v="ASSETDEFI"/>
    <x v="0"/>
    <x v="4"/>
    <m/>
    <s v="ETH"/>
    <n v="1221.8192177316503"/>
  </r>
  <r>
    <x v="11"/>
    <n v="3.67060545"/>
    <x v="4"/>
    <x v="15"/>
    <x v="11"/>
    <s v="20221113"/>
    <d v="2022-11-14T00:00:00"/>
    <n v="4484.8162795205308"/>
    <m/>
    <s v="ASSETDEFIASSETETH"/>
    <s v="ASSETDEFI"/>
    <x v="0"/>
    <x v="4"/>
    <m/>
    <s v="ETH"/>
    <n v="1221.8192177316503"/>
  </r>
  <r>
    <x v="11"/>
    <n v="12023.262882000001"/>
    <x v="5"/>
    <x v="30"/>
    <x v="11"/>
    <s v="20221113"/>
    <d v="2022-11-11T22:00:00"/>
    <n v="12024.902133680711"/>
    <m/>
    <s v="ASSETDEFIASSETUSDC"/>
    <s v="ASSETDEFI"/>
    <x v="0"/>
    <x v="4"/>
    <m/>
    <s v="USDC"/>
    <n v="1.000136340001611"/>
  </r>
  <r>
    <x v="11"/>
    <n v="13972.219738"/>
    <x v="4"/>
    <x v="30"/>
    <x v="11"/>
    <s v="20221113"/>
    <d v="2022-11-14T00:00:00"/>
    <n v="13974.12471046159"/>
    <m/>
    <s v="ASSETDEFIASSETUSDC"/>
    <s v="ASSETDEFI"/>
    <x v="0"/>
    <x v="4"/>
    <m/>
    <s v="USDC"/>
    <n v="1.000136340001611"/>
  </r>
  <r>
    <x v="12"/>
    <n v="7000"/>
    <x v="4"/>
    <x v="32"/>
    <x v="11"/>
    <s v="20221113"/>
    <d v="2022-11-14T00:00:00"/>
    <n v="0"/>
    <m/>
    <s v="ASSETDEFIASSET$ USDCBONUS.COM &lt;- VISIT TO CLAIM BONUS"/>
    <s v="ASSETDEFI"/>
    <x v="0"/>
    <x v="4"/>
    <m/>
    <s v="$ USDCBONUS.COM &lt;- VISIT TO CLAIM BONUS"/>
    <n v="0"/>
  </r>
  <r>
    <x v="12"/>
    <n v="7000"/>
    <x v="4"/>
    <x v="33"/>
    <x v="11"/>
    <s v="20221113"/>
    <d v="2022-11-14T00:00:00"/>
    <n v="0"/>
    <m/>
    <s v="ASSETDEFIASSET$ USDCGIFT.COM &lt;- VISIT TO CLAIM BONUS"/>
    <s v="ASSETDEFI"/>
    <x v="0"/>
    <x v="4"/>
    <m/>
    <s v="$ USDCGIFT.COM &lt;- VISIT TO CLAIM BONUS"/>
    <n v="0"/>
  </r>
  <r>
    <x v="12"/>
    <n v="150"/>
    <x v="4"/>
    <x v="0"/>
    <x v="11"/>
    <s v="20221113"/>
    <d v="2022-11-14T00:00:00"/>
    <n v="8504.5901486239272"/>
    <m/>
    <s v="ASSETDEFIASSETAAVE"/>
    <s v="ASSETDEFI"/>
    <x v="0"/>
    <x v="4"/>
    <m/>
    <s v="AAVE"/>
    <n v="56.697267657492851"/>
  </r>
  <r>
    <x v="12"/>
    <n v="50.996764159999998"/>
    <x v="4"/>
    <x v="15"/>
    <x v="11"/>
    <s v="20221113"/>
    <d v="2022-11-14T00:00:00"/>
    <n v="62308.826492816632"/>
    <m/>
    <s v="ASSETDEFIASSETETH"/>
    <s v="ASSETDEFI"/>
    <x v="0"/>
    <x v="4"/>
    <m/>
    <s v="ETH"/>
    <n v="1221.8192177316503"/>
  </r>
  <r>
    <x v="12"/>
    <n v="5625.02729593"/>
    <x v="4"/>
    <x v="34"/>
    <x v="11"/>
    <s v="20221113"/>
    <d v="2022-11-14T00:00:00"/>
    <n v="0"/>
    <m/>
    <s v="ASSETDEFIASSETOWETHUSDC/WSTETH-04NOV22-1700C"/>
    <s v="ASSETDEFI"/>
    <x v="0"/>
    <x v="4"/>
    <m/>
    <s v="OWETHUSDC/WSTETH-04NOV22-1700C"/>
    <n v="0"/>
  </r>
  <r>
    <x v="12"/>
    <n v="5968"/>
    <x v="4"/>
    <x v="35"/>
    <x v="11"/>
    <s v="20221113"/>
    <d v="2022-11-14T00:00:00"/>
    <n v="0"/>
    <m/>
    <s v="ASSETDEFIASSETOWETHUSDC/WSTETH-09SEP22-1900C"/>
    <s v="ASSETDEFI"/>
    <x v="0"/>
    <x v="4"/>
    <m/>
    <s v="OWETHUSDC/WSTETH-09SEP22-1900C"/>
    <n v="0"/>
  </r>
  <r>
    <x v="12"/>
    <n v="60000"/>
    <x v="4"/>
    <x v="30"/>
    <x v="11"/>
    <s v="20221113"/>
    <d v="2022-11-14T00:00:00"/>
    <n v="60008.180400096673"/>
    <m/>
    <s v="ASSETDEFIASSETUSDC"/>
    <s v="ASSETDEFI"/>
    <x v="0"/>
    <x v="4"/>
    <m/>
    <s v="USDC"/>
    <n v="1.000136340001611"/>
  </r>
  <r>
    <x v="12"/>
    <n v="47.937388089999999"/>
    <x v="4"/>
    <x v="36"/>
    <x v="11"/>
    <s v="20221113"/>
    <d v="2022-11-14T00:00:00"/>
    <n v="58522.658123711968"/>
    <m/>
    <s v="ASSETDEFIASSETWETH"/>
    <s v="ASSETDEFI"/>
    <x v="0"/>
    <x v="4"/>
    <m/>
    <s v="WETH"/>
    <n v="1220.8144927261924"/>
  </r>
  <r>
    <x v="13"/>
    <n v="0.57950425000000005"/>
    <x v="4"/>
    <x v="15"/>
    <x v="11"/>
    <s v="20221113"/>
    <d v="2022-11-14T00:00:00"/>
    <n v="708.04942940716649"/>
    <m/>
    <s v="ASSETDEFIASSETETH"/>
    <s v="ASSETDEFI"/>
    <x v="0"/>
    <x v="4"/>
    <m/>
    <s v="ETH"/>
    <n v="1221.8192177316503"/>
  </r>
  <r>
    <x v="13"/>
    <n v="1006533.600838"/>
    <x v="4"/>
    <x v="30"/>
    <x v="11"/>
    <s v="20221113"/>
    <d v="2022-11-14T00:00:00"/>
    <n v="1006670.83163076"/>
    <m/>
    <s v="ASSETDEFIASSETUSDC"/>
    <s v="ASSETDEFI"/>
    <x v="0"/>
    <x v="4"/>
    <m/>
    <s v="USDC"/>
    <n v="1.000136340001611"/>
  </r>
  <r>
    <x v="14"/>
    <n v="1394.87930108"/>
    <x v="3"/>
    <x v="37"/>
    <x v="11"/>
    <s v="20221113"/>
    <d v="2022-11-11T21:00:00"/>
    <n v="116.7112008983414"/>
    <m/>
    <s v="ASSETDEFIASSETAURA"/>
    <s v="ASSETDEFI"/>
    <x v="0"/>
    <x v="4"/>
    <m/>
    <s v="AURA"/>
    <n v="8.3671182738159863E-2"/>
  </r>
  <r>
    <x v="14"/>
    <n v="2E-8"/>
    <x v="4"/>
    <x v="37"/>
    <x v="11"/>
    <s v="20221113"/>
    <d v="2022-11-11T21:00:00"/>
    <n v="1.6734236547631971E-9"/>
    <m/>
    <s v="ASSETDEFIASSETAURA"/>
    <s v="ASSETDEFI"/>
    <x v="0"/>
    <x v="4"/>
    <m/>
    <s v="AURA"/>
    <n v="8.3671182738159863E-2"/>
  </r>
  <r>
    <x v="14"/>
    <n v="379.65102482999998"/>
    <x v="3"/>
    <x v="38"/>
    <x v="11"/>
    <s v="20221113"/>
    <d v="2022-11-11T21:00:00"/>
    <n v="2021.159788197637"/>
    <m/>
    <s v="ASSETDEFIASSETBAL"/>
    <s v="ASSETDEFI"/>
    <x v="0"/>
    <x v="4"/>
    <m/>
    <s v="BAL"/>
    <n v="5.3237306263104944"/>
  </r>
  <r>
    <x v="14"/>
    <n v="5.9599999999999997E-6"/>
    <x v="4"/>
    <x v="38"/>
    <x v="11"/>
    <s v="20221113"/>
    <d v="2022-11-11T21:00:00"/>
    <n v="3.1729434532810552E-5"/>
    <m/>
    <s v="ASSETDEFIASSETBAL"/>
    <s v="ASSETDEFI"/>
    <x v="0"/>
    <x v="4"/>
    <m/>
    <s v="BAL"/>
    <n v="5.3237306263104944"/>
  </r>
  <r>
    <x v="14"/>
    <n v="625.59695982000005"/>
    <x v="5"/>
    <x v="15"/>
    <x v="11"/>
    <s v="20221113"/>
    <d v="2022-11-11T21:00:00"/>
    <n v="764366.38806257083"/>
    <m/>
    <s v="ASSETDEFIASSETETH"/>
    <s v="ASSETDEFI"/>
    <x v="0"/>
    <x v="4"/>
    <m/>
    <s v="ETH"/>
    <n v="1221.8192177316503"/>
  </r>
  <r>
    <x v="14"/>
    <n v="4.5371055699999996"/>
    <x v="4"/>
    <x v="15"/>
    <x v="11"/>
    <s v="20221113"/>
    <d v="2022-11-14T00:00:00"/>
    <n v="5543.5227783033106"/>
    <m/>
    <s v="ASSETDEFIASSETETH"/>
    <s v="ASSETDEFI"/>
    <x v="0"/>
    <x v="4"/>
    <m/>
    <s v="ETH"/>
    <n v="1221.8192177316503"/>
  </r>
  <r>
    <x v="14"/>
    <n v="931.15332089000003"/>
    <x v="5"/>
    <x v="39"/>
    <x v="11"/>
    <s v="20221113"/>
    <d v="2022-11-11T21:00:00"/>
    <n v="1106399.083942621"/>
    <m/>
    <s v="ASSETDEFIASSETSTETH"/>
    <s v="ASSETDEFI"/>
    <x v="0"/>
    <x v="4"/>
    <m/>
    <s v="STETH"/>
    <n v="1188.2029082870267"/>
  </r>
  <r>
    <x v="15"/>
    <n v="174960.64689599999"/>
    <x v="0"/>
    <x v="30"/>
    <x v="11"/>
    <s v="20221113"/>
    <d v="2022-11-14T00:00:00"/>
    <n v="174984.50103087971"/>
    <m/>
    <s v="ASSETDYDXASSETUSDC"/>
    <s v="ASSETDYDX"/>
    <x v="0"/>
    <x v="5"/>
    <m/>
    <s v="USDC"/>
    <n v="1.000136340001611"/>
  </r>
  <r>
    <x v="16"/>
    <n v="5.6822449999999997E-2"/>
    <x v="0"/>
    <x v="8"/>
    <x v="12"/>
    <s v="20221113"/>
    <d v="2022-11-12T03:26:56"/>
    <n v="929.23830579595301"/>
    <m/>
    <s v="ASSETFTXEASSETBTC"/>
    <s v="ASSETFTXE"/>
    <x v="0"/>
    <x v="6"/>
    <m/>
    <s v="BTC"/>
    <n v="16353.365717176106"/>
  </r>
  <r>
    <x v="16"/>
    <n v="33826924.97249233"/>
    <x v="0"/>
    <x v="16"/>
    <x v="12"/>
    <s v="20221113"/>
    <d v="2022-11-12T03:26:56"/>
    <n v="34961818.305319443"/>
    <m/>
    <s v="ASSETFTXEASSETEUR"/>
    <s v="ASSETFTXE"/>
    <x v="0"/>
    <x v="6"/>
    <m/>
    <s v="EUR"/>
    <n v="1.03355"/>
  </r>
  <r>
    <x v="16"/>
    <n v="1010.5439135300001"/>
    <x v="0"/>
    <x v="40"/>
    <x v="12"/>
    <s v="20221113"/>
    <d v="2022-11-12T03:26:56"/>
    <n v="1504.966856847326"/>
    <m/>
    <s v="ASSETFTXEASSETFTT"/>
    <s v="ASSETFTXE"/>
    <x v="0"/>
    <x v="6"/>
    <m/>
    <s v="FTT"/>
    <n v="1.4892641840671956"/>
  </r>
  <r>
    <x v="16"/>
    <n v="8.9908658799999994"/>
    <x v="0"/>
    <x v="19"/>
    <x v="12"/>
    <s v="20221113"/>
    <d v="2022-11-12T03:26:56"/>
    <n v="516.85947072252793"/>
    <m/>
    <s v="ASSETFTXEASSETLTC"/>
    <s v="ASSETFTXE"/>
    <x v="0"/>
    <x v="6"/>
    <m/>
    <s v="LTC"/>
    <n v="57.487173940862725"/>
  </r>
  <r>
    <x v="16"/>
    <n v="1539.02875778"/>
    <x v="0"/>
    <x v="41"/>
    <x v="12"/>
    <s v="20221113"/>
    <d v="2022-11-12T03:26:56"/>
    <n v="284.74413855675209"/>
    <m/>
    <s v="ASSETFTXEASSETSRM"/>
    <s v="ASSETFTXE"/>
    <x v="0"/>
    <x v="6"/>
    <m/>
    <s v="SRM"/>
    <n v="0.18501547623287201"/>
  </r>
  <r>
    <x v="16"/>
    <n v="12693.571242219999"/>
    <x v="0"/>
    <x v="41"/>
    <x v="12"/>
    <s v="20221113"/>
    <d v="2022-11-12T03:26:56"/>
    <n v="2348.5071284752221"/>
    <m/>
    <s v="ASSETFTXEASSETSRM"/>
    <s v="ASSETFTXE"/>
    <x v="0"/>
    <x v="6"/>
    <m/>
    <s v="SRM"/>
    <n v="0.18501547623287201"/>
  </r>
  <r>
    <x v="16"/>
    <n v="10670883.885147721"/>
    <x v="0"/>
    <x v="26"/>
    <x v="12"/>
    <s v="20221113"/>
    <d v="2022-11-12T03:26:56"/>
    <n v="10670883.885147721"/>
    <m/>
    <s v="ASSETFTXEASSETUSD"/>
    <s v="ASSETFTXE"/>
    <x v="0"/>
    <x v="6"/>
    <m/>
    <s v="USD"/>
    <n v="1"/>
  </r>
  <r>
    <x v="16"/>
    <n v="1056694.79363042"/>
    <x v="0"/>
    <x v="23"/>
    <x v="12"/>
    <s v="20221113"/>
    <d v="2022-11-12T03:26:56"/>
    <n v="1055378.7841974639"/>
    <m/>
    <s v="ASSETFTXEASSETUSDT"/>
    <s v="ASSETFTXE"/>
    <x v="0"/>
    <x v="6"/>
    <m/>
    <s v="USDT"/>
    <n v="0.99875459835622493"/>
  </r>
  <r>
    <x v="17"/>
    <n v="1E-8"/>
    <x v="1"/>
    <x v="1"/>
    <x v="13"/>
    <s v="20221113"/>
    <d v="2022-11-14T00:00:00"/>
    <n v="3.3012698599383692E-9"/>
    <m/>
    <s v="ASSETHUBIASSETADA"/>
    <s v="ASSETHUBI"/>
    <x v="0"/>
    <x v="7"/>
    <m/>
    <s v="ADA"/>
    <n v="0.33012698599383689"/>
  </r>
  <r>
    <x v="17"/>
    <n v="4.9999999999999998E-8"/>
    <x v="1"/>
    <x v="6"/>
    <x v="13"/>
    <s v="20221113"/>
    <d v="2022-11-14T00:00:00"/>
    <n v="4.9823253791013843E-6"/>
    <m/>
    <s v="ASSETHUBIASSETBCH"/>
    <s v="ASSETHUBI"/>
    <x v="0"/>
    <x v="7"/>
    <m/>
    <s v="BCH"/>
    <n v="99.646507582027681"/>
  </r>
  <r>
    <x v="17"/>
    <n v="0.47315189000000002"/>
    <x v="1"/>
    <x v="42"/>
    <x v="13"/>
    <s v="20221113"/>
    <d v="2022-11-14T00:00:00"/>
    <n v="18.319810911849771"/>
    <m/>
    <s v="ASSETHUBIASSETBSV"/>
    <s v="ASSETHUBI"/>
    <x v="0"/>
    <x v="7"/>
    <m/>
    <s v="BSV"/>
    <n v="38.718667935258104"/>
  </r>
  <r>
    <x v="17"/>
    <n v="4.0000000000000001E-8"/>
    <x v="1"/>
    <x v="8"/>
    <x v="13"/>
    <s v="20221113"/>
    <d v="2022-11-14T00:00:00"/>
    <n v="6.5413462868704395E-4"/>
    <m/>
    <s v="ASSETHUBIASSETBTC"/>
    <s v="ASSETHUBI"/>
    <x v="0"/>
    <x v="7"/>
    <m/>
    <s v="BTC"/>
    <n v="16353.365717176106"/>
  </r>
  <r>
    <x v="17"/>
    <n v="2.9999999999999997E-8"/>
    <x v="1"/>
    <x v="14"/>
    <x v="13"/>
    <s v="20221113"/>
    <d v="2022-11-14T00:00:00"/>
    <n v="2.6596989283167012E-8"/>
    <m/>
    <s v="ASSETHUBIASSETEOS"/>
    <s v="ASSETHUBI"/>
    <x v="0"/>
    <x v="7"/>
    <m/>
    <s v="EOS"/>
    <n v="0.88656630943890025"/>
  </r>
  <r>
    <x v="17"/>
    <n v="1E-8"/>
    <x v="1"/>
    <x v="24"/>
    <x v="13"/>
    <s v="20221113"/>
    <d v="2022-11-14T00:00:00"/>
    <n v="1.9957650012286139E-7"/>
    <m/>
    <s v="ASSETHUBIASSETETC"/>
    <s v="ASSETHUBI"/>
    <x v="0"/>
    <x v="7"/>
    <m/>
    <s v="ETC"/>
    <n v="19.957650012286138"/>
  </r>
  <r>
    <x v="17"/>
    <n v="2.9999999999999997E-8"/>
    <x v="1"/>
    <x v="15"/>
    <x v="13"/>
    <s v="20221113"/>
    <d v="2022-11-14T00:00:00"/>
    <n v="3.6654576531949492E-5"/>
    <m/>
    <s v="ASSETHUBIASSETETH"/>
    <s v="ASSETHUBI"/>
    <x v="0"/>
    <x v="7"/>
    <m/>
    <s v="ETH"/>
    <n v="1221.8192177316503"/>
  </r>
  <r>
    <x v="17"/>
    <n v="1E-8"/>
    <x v="1"/>
    <x v="19"/>
    <x v="13"/>
    <s v="20221113"/>
    <d v="2022-11-14T00:00:00"/>
    <n v="5.748717394086274E-7"/>
    <m/>
    <s v="ASSETHUBIASSETLTC"/>
    <s v="ASSETHUBI"/>
    <x v="0"/>
    <x v="7"/>
    <m/>
    <s v="LTC"/>
    <n v="57.487173940862725"/>
  </r>
  <r>
    <x v="17"/>
    <n v="1E-8"/>
    <x v="1"/>
    <x v="43"/>
    <x v="13"/>
    <s v="20221113"/>
    <d v="2022-11-14T00:00:00"/>
    <n v="5.0891433263591536E-10"/>
    <m/>
    <s v="ASSETHUBIASSETTRX"/>
    <s v="ASSETHUBI"/>
    <x v="0"/>
    <x v="7"/>
    <m/>
    <s v="TRX"/>
    <n v="5.089143326359153E-2"/>
  </r>
  <r>
    <x v="17"/>
    <n v="9.9999999999999995E-8"/>
    <x v="1"/>
    <x v="29"/>
    <x v="13"/>
    <s v="20221113"/>
    <d v="2022-11-14T00:00:00"/>
    <n v="3.4029643078067377E-8"/>
    <m/>
    <s v="ASSETHUBIASSETXRP"/>
    <s v="ASSETHUBI"/>
    <x v="0"/>
    <x v="7"/>
    <m/>
    <s v="XRP"/>
    <n v="0.34029643078067379"/>
  </r>
  <r>
    <x v="18"/>
    <n v="5.7406599999999999E-3"/>
    <x v="1"/>
    <x v="1"/>
    <x v="14"/>
    <s v="20221113"/>
    <d v="2022-11-14T00:00:00"/>
    <n v="1.89514678341538E-3"/>
    <m/>
    <s v="ASSETHUBIASSETADA"/>
    <s v="ASSETHUBI"/>
    <x v="0"/>
    <x v="7"/>
    <m/>
    <s v="ADA"/>
    <n v="0.33012698599383689"/>
  </r>
  <r>
    <x v="18"/>
    <n v="0.72885027999999996"/>
    <x v="1"/>
    <x v="6"/>
    <x v="14"/>
    <s v="20221113"/>
    <d v="2022-11-14T00:00:00"/>
    <n v="72.627384952183007"/>
    <m/>
    <s v="ASSETHUBIASSETBCH"/>
    <s v="ASSETHUBI"/>
    <x v="0"/>
    <x v="7"/>
    <m/>
    <s v="BCH"/>
    <n v="99.646507582027681"/>
  </r>
  <r>
    <x v="18"/>
    <n v="0.11285791000000001"/>
    <x v="1"/>
    <x v="42"/>
    <x v="14"/>
    <s v="20221113"/>
    <d v="2022-11-14T00:00:00"/>
    <n v="4.3697079411572446"/>
    <m/>
    <s v="ASSETHUBIASSETBSV"/>
    <s v="ASSETHUBI"/>
    <x v="0"/>
    <x v="7"/>
    <m/>
    <s v="BSV"/>
    <n v="38.718667935258104"/>
  </r>
  <r>
    <x v="18"/>
    <n v="481.98134828000002"/>
    <x v="1"/>
    <x v="8"/>
    <x v="14"/>
    <s v="20221113"/>
    <d v="2022-11-14T00:00:00"/>
    <n v="7882017.2572804652"/>
    <m/>
    <s v="ASSETHUBIASSETBTC"/>
    <s v="ASSETHUBI"/>
    <x v="0"/>
    <x v="7"/>
    <m/>
    <s v="BTC"/>
    <n v="16353.365717176106"/>
  </r>
  <r>
    <x v="18"/>
    <n v="-14.7053476"/>
    <x v="2"/>
    <x v="8"/>
    <x v="14"/>
    <s v="20221113"/>
    <d v="2022-11-14T00:00:00"/>
    <n v="-240481.92730099781"/>
    <m/>
    <s v="ASSETHUBIASSETBTC"/>
    <s v="ASSETHUBI"/>
    <x v="0"/>
    <x v="7"/>
    <m/>
    <s v="BTC"/>
    <n v="16353.365717176106"/>
  </r>
  <r>
    <x v="18"/>
    <n v="0.97764076"/>
    <x v="1"/>
    <x v="13"/>
    <x v="14"/>
    <s v="20221113"/>
    <d v="2022-11-14T00:00:00"/>
    <n v="5.6246097161354784"/>
    <m/>
    <s v="ASSETHUBIASSETDOT"/>
    <s v="ASSETHUBI"/>
    <x v="0"/>
    <x v="7"/>
    <m/>
    <s v="DOT"/>
    <n v="5.7532479682367974"/>
  </r>
  <r>
    <x v="18"/>
    <n v="3.7085149999999997E-2"/>
    <x v="1"/>
    <x v="14"/>
    <x v="14"/>
    <s v="20221113"/>
    <d v="2022-11-14T00:00:00"/>
    <n v="3.2878444570488032E-2"/>
    <m/>
    <s v="ASSETHUBIASSETEOS"/>
    <s v="ASSETHUBI"/>
    <x v="0"/>
    <x v="7"/>
    <m/>
    <s v="EOS"/>
    <n v="0.88656630943890025"/>
  </r>
  <r>
    <x v="18"/>
    <n v="0.70701212999999996"/>
    <x v="1"/>
    <x v="24"/>
    <x v="14"/>
    <s v="20221113"/>
    <d v="2022-11-14T00:00:00"/>
    <n v="14.110300644980949"/>
    <m/>
    <s v="ASSETHUBIASSETETC"/>
    <s v="ASSETHUBI"/>
    <x v="0"/>
    <x v="7"/>
    <m/>
    <s v="ETC"/>
    <n v="19.957650012286138"/>
  </r>
  <r>
    <x v="18"/>
    <n v="8832.5034865500002"/>
    <x v="1"/>
    <x v="15"/>
    <x v="14"/>
    <s v="20221113"/>
    <d v="2022-11-14T00:00:00"/>
    <n v="10791722.50054859"/>
    <m/>
    <s v="ASSETHUBIASSETETH"/>
    <s v="ASSETHUBI"/>
    <x v="0"/>
    <x v="7"/>
    <m/>
    <s v="ETH"/>
    <n v="1221.8192177316503"/>
  </r>
  <r>
    <x v="18"/>
    <n v="-82.81514387"/>
    <x v="2"/>
    <x v="15"/>
    <x v="14"/>
    <s v="20221113"/>
    <d v="2022-11-14T00:00:00"/>
    <n v="-101185.1342995774"/>
    <m/>
    <s v="ASSETHUBIASSETETH"/>
    <s v="ASSETHUBI"/>
    <x v="0"/>
    <x v="7"/>
    <m/>
    <s v="ETH"/>
    <n v="1221.8192177316503"/>
  </r>
  <r>
    <x v="18"/>
    <n v="6.244243E-2"/>
    <x v="1"/>
    <x v="18"/>
    <x v="14"/>
    <s v="20221113"/>
    <d v="2022-11-14T00:00:00"/>
    <n v="0.37917830460984481"/>
    <m/>
    <s v="ASSETHUBIASSETLINK"/>
    <s v="ASSETHUBI"/>
    <x v="0"/>
    <x v="7"/>
    <m/>
    <s v="LINK"/>
    <n v="6.0724463255168759"/>
  </r>
  <r>
    <x v="18"/>
    <n v="7.1564416099999999"/>
    <x v="1"/>
    <x v="19"/>
    <x v="14"/>
    <s v="20221113"/>
    <d v="2022-11-14T00:00:00"/>
    <n v="411.40360363169782"/>
    <m/>
    <s v="ASSETHUBIASSETLTC"/>
    <s v="ASSETHUBI"/>
    <x v="0"/>
    <x v="7"/>
    <m/>
    <s v="LTC"/>
    <n v="57.487173940862725"/>
  </r>
  <r>
    <x v="18"/>
    <n v="0.95766242000000001"/>
    <x v="1"/>
    <x v="43"/>
    <x v="14"/>
    <s v="20221113"/>
    <d v="2022-11-14T00:00:00"/>
    <n v="4.8736813136479561E-2"/>
    <m/>
    <s v="ASSETHUBIASSETTRX"/>
    <s v="ASSETHUBI"/>
    <x v="0"/>
    <x v="7"/>
    <m/>
    <s v="TRX"/>
    <n v="5.089143326359153E-2"/>
  </r>
  <r>
    <x v="18"/>
    <n v="0.54364484000000002"/>
    <x v="1"/>
    <x v="29"/>
    <x v="14"/>
    <s v="20221113"/>
    <d v="2022-11-14T00:00:00"/>
    <n v="0.18500039866433049"/>
    <m/>
    <s v="ASSETHUBIASSETXRP"/>
    <s v="ASSETHUBI"/>
    <x v="0"/>
    <x v="7"/>
    <m/>
    <s v="XRP"/>
    <n v="0.34029643078067379"/>
  </r>
  <r>
    <x v="19"/>
    <n v="1.899957E-2"/>
    <x v="0"/>
    <x v="8"/>
    <x v="15"/>
    <s v="20221113"/>
    <d v="2022-11-14T00:00:00"/>
    <n v="310.7069166790875"/>
    <m/>
    <s v="ASSETGATEASSETBTC"/>
    <s v="ASSETGATE"/>
    <x v="0"/>
    <x v="8"/>
    <m/>
    <s v="BTC"/>
    <n v="16353.365717176106"/>
  </r>
  <r>
    <x v="19"/>
    <n v="9.9825000000000001E-4"/>
    <x v="0"/>
    <x v="44"/>
    <x v="15"/>
    <s v="20221113"/>
    <d v="2022-11-14T00:00:00"/>
    <n v="3.2524081496326362E-4"/>
    <m/>
    <s v="ASSETGATEASSETETHF"/>
    <s v="ASSETGATE"/>
    <x v="0"/>
    <x v="8"/>
    <m/>
    <s v="ETHF"/>
    <n v="0.3258109841855884"/>
  </r>
  <r>
    <x v="19"/>
    <n v="9.9825000000000001E-4"/>
    <x v="0"/>
    <x v="25"/>
    <x v="15"/>
    <s v="20221113"/>
    <d v="2022-11-14T00:00:00"/>
    <n v="3.8898539183139548E-3"/>
    <m/>
    <s v="ASSETGATEASSETETHW"/>
    <s v="ASSETGATE"/>
    <x v="0"/>
    <x v="8"/>
    <m/>
    <s v="ETHW"/>
    <n v="3.8966730962323619"/>
  </r>
  <r>
    <x v="19"/>
    <n v="9.5929999999999998E-5"/>
    <x v="0"/>
    <x v="45"/>
    <x v="15"/>
    <s v="20221113"/>
    <d v="2022-11-14T00:00:00"/>
    <n v="4.4231165462276686E-6"/>
    <m/>
    <s v="ASSETGATEASSETROSE"/>
    <s v="ASSETGATE"/>
    <x v="0"/>
    <x v="8"/>
    <m/>
    <s v="ROSE"/>
    <n v="4.6107750924920969E-2"/>
  </r>
  <r>
    <x v="19"/>
    <n v="27.162898349999999"/>
    <x v="0"/>
    <x v="23"/>
    <x v="15"/>
    <s v="20221113"/>
    <d v="2022-11-14T00:00:00"/>
    <n v="27.12906963174521"/>
    <m/>
    <s v="ASSETGATEASSETUSDT"/>
    <s v="ASSETGATE"/>
    <x v="0"/>
    <x v="8"/>
    <m/>
    <s v="USDT"/>
    <n v="0.99875459835622493"/>
  </r>
  <r>
    <x v="20"/>
    <n v="1.995E-4"/>
    <x v="0"/>
    <x v="8"/>
    <x v="16"/>
    <s v="20221113"/>
    <d v="2022-11-14T00:00:00"/>
    <n v="3.262496460576632"/>
    <m/>
    <s v="ASSETGATEASSETBTC"/>
    <s v="ASSETGATE"/>
    <x v="0"/>
    <x v="8"/>
    <m/>
    <s v="BTC"/>
    <n v="16353.365717176106"/>
  </r>
  <r>
    <x v="20"/>
    <n v="9.9825000000000001E-4"/>
    <x v="0"/>
    <x v="15"/>
    <x v="16"/>
    <s v="20221113"/>
    <d v="2022-11-14T00:00:00"/>
    <n v="1.219681034100619"/>
    <m/>
    <s v="ASSETGATEASSETETH"/>
    <s v="ASSETGATE"/>
    <x v="0"/>
    <x v="8"/>
    <m/>
    <s v="ETH"/>
    <n v="1221.8192177316503"/>
  </r>
  <r>
    <x v="20"/>
    <n v="59.393906000000001"/>
    <x v="0"/>
    <x v="23"/>
    <x v="16"/>
    <s v="20221113"/>
    <d v="2022-11-14T00:00:00"/>
    <n v="59.319936731837373"/>
    <m/>
    <s v="ASSETGATEASSETUSDT"/>
    <s v="ASSETGATE"/>
    <x v="0"/>
    <x v="8"/>
    <m/>
    <s v="USDT"/>
    <n v="0.99875459835622493"/>
  </r>
  <r>
    <x v="21"/>
    <n v="1E-8"/>
    <x v="0"/>
    <x v="23"/>
    <x v="17"/>
    <s v="20221113"/>
    <d v="2022-11-13T00:00:00"/>
    <n v="9.9875459835622477E-9"/>
    <m/>
    <s v="ASSETHUBIASSETUSDT"/>
    <s v="ASSETHUBI"/>
    <x v="0"/>
    <x v="7"/>
    <m/>
    <s v="USDT"/>
    <n v="0.99875459835622493"/>
  </r>
  <r>
    <x v="21"/>
    <n v="7.4209999999999996E-5"/>
    <x v="0"/>
    <x v="29"/>
    <x v="17"/>
    <s v="20221113"/>
    <d v="2022-11-13T00:00:00"/>
    <n v="2.5253398128233801E-5"/>
    <m/>
    <s v="ASSETHUBIASSETXRP"/>
    <s v="ASSETHUBI"/>
    <x v="0"/>
    <x v="7"/>
    <m/>
    <s v="XRP"/>
    <n v="0.34029643078067379"/>
  </r>
  <r>
    <x v="22"/>
    <n v="1E-8"/>
    <x v="0"/>
    <x v="1"/>
    <x v="17"/>
    <s v="20221113"/>
    <d v="2022-11-14T00:00:00"/>
    <n v="3.3012698599383692E-9"/>
    <m/>
    <s v="ASSETHUBIASSETADA"/>
    <s v="ASSETHUBI"/>
    <x v="0"/>
    <x v="7"/>
    <m/>
    <s v="ADA"/>
    <n v="0.33012698599383689"/>
  </r>
  <r>
    <x v="22"/>
    <n v="1E-8"/>
    <x v="0"/>
    <x v="6"/>
    <x v="17"/>
    <s v="20221113"/>
    <d v="2022-11-14T00:00:00"/>
    <n v="9.9646507582027703E-7"/>
    <m/>
    <s v="ASSETHUBIASSETBCH"/>
    <s v="ASSETHUBI"/>
    <x v="0"/>
    <x v="7"/>
    <m/>
    <s v="BCH"/>
    <n v="99.646507582027681"/>
  </r>
  <r>
    <x v="22"/>
    <n v="1E-8"/>
    <x v="0"/>
    <x v="42"/>
    <x v="17"/>
    <s v="20221113"/>
    <d v="2022-11-14T00:00:00"/>
    <n v="3.87186679352581E-7"/>
    <m/>
    <s v="ASSETHUBIASSETBSV"/>
    <s v="ASSETHUBI"/>
    <x v="0"/>
    <x v="7"/>
    <m/>
    <s v="BSV"/>
    <n v="38.718667935258104"/>
  </r>
  <r>
    <x v="22"/>
    <n v="1E-8"/>
    <x v="0"/>
    <x v="14"/>
    <x v="17"/>
    <s v="20221113"/>
    <d v="2022-11-14T00:00:00"/>
    <n v="8.8656630943890039E-9"/>
    <m/>
    <s v="ASSETHUBIASSETEOS"/>
    <s v="ASSETHUBI"/>
    <x v="0"/>
    <x v="7"/>
    <m/>
    <s v="EOS"/>
    <n v="0.88656630943890025"/>
  </r>
  <r>
    <x v="22"/>
    <n v="1E-8"/>
    <x v="0"/>
    <x v="24"/>
    <x v="17"/>
    <s v="20221113"/>
    <d v="2022-11-14T00:00:00"/>
    <n v="1.9957650012286139E-7"/>
    <m/>
    <s v="ASSETHUBIASSETETC"/>
    <s v="ASSETHUBI"/>
    <x v="0"/>
    <x v="7"/>
    <m/>
    <s v="ETC"/>
    <n v="19.957650012286138"/>
  </r>
  <r>
    <x v="22"/>
    <n v="1E-8"/>
    <x v="0"/>
    <x v="15"/>
    <x v="17"/>
    <s v="20221113"/>
    <d v="2022-11-14T00:00:00"/>
    <n v="1.2218192177316501E-5"/>
    <m/>
    <s v="ASSETHUBIASSETETH"/>
    <s v="ASSETHUBI"/>
    <x v="0"/>
    <x v="7"/>
    <m/>
    <s v="ETH"/>
    <n v="1221.8192177316503"/>
  </r>
  <r>
    <x v="22"/>
    <n v="1E-8"/>
    <x v="0"/>
    <x v="18"/>
    <x v="17"/>
    <s v="20221113"/>
    <d v="2022-11-14T00:00:00"/>
    <n v="6.0724463255168762E-8"/>
    <m/>
    <s v="ASSETHUBIASSETLINK"/>
    <s v="ASSETHUBI"/>
    <x v="0"/>
    <x v="7"/>
    <m/>
    <s v="LINK"/>
    <n v="6.0724463255168759"/>
  </r>
  <r>
    <x v="22"/>
    <n v="1E-8"/>
    <x v="0"/>
    <x v="19"/>
    <x v="17"/>
    <s v="20221113"/>
    <d v="2022-11-14T00:00:00"/>
    <n v="5.748717394086274E-7"/>
    <m/>
    <s v="ASSETHUBIASSETLTC"/>
    <s v="ASSETHUBI"/>
    <x v="0"/>
    <x v="7"/>
    <m/>
    <s v="LTC"/>
    <n v="57.487173940862725"/>
  </r>
  <r>
    <x v="22"/>
    <n v="3.2621029500000001"/>
    <x v="0"/>
    <x v="23"/>
    <x v="17"/>
    <s v="20221113"/>
    <d v="2022-11-14T00:00:00"/>
    <n v="3.258040321623906"/>
    <m/>
    <s v="ASSETHUBIASSETUSDT"/>
    <s v="ASSETHUBI"/>
    <x v="0"/>
    <x v="7"/>
    <m/>
    <s v="USDT"/>
    <n v="0.99875459835622493"/>
  </r>
  <r>
    <x v="22"/>
    <n v="6.4869999999999994E-5"/>
    <x v="0"/>
    <x v="29"/>
    <x v="17"/>
    <s v="20221113"/>
    <d v="2022-11-14T00:00:00"/>
    <n v="2.207502946474231E-5"/>
    <m/>
    <s v="ASSETHUBIASSETXRP"/>
    <s v="ASSETHUBI"/>
    <x v="0"/>
    <x v="7"/>
    <m/>
    <s v="XRP"/>
    <n v="0.34029643078067379"/>
  </r>
  <r>
    <x v="23"/>
    <n v="0.10014646000000001"/>
    <x v="1"/>
    <x v="0"/>
    <x v="18"/>
    <s v="20221113"/>
    <d v="2022-11-14T00:00:00"/>
    <n v="5.6780306475704014"/>
    <m/>
    <s v="ASSETHUBIASSETAAVE"/>
    <s v="ASSETHUBI"/>
    <x v="0"/>
    <x v="7"/>
    <m/>
    <s v="AAVE"/>
    <n v="56.697267657492851"/>
  </r>
  <r>
    <x v="23"/>
    <n v="3.2091999999999998E-4"/>
    <x v="1"/>
    <x v="1"/>
    <x v="18"/>
    <s v="20221113"/>
    <d v="2022-11-14T00:00:00"/>
    <n v="1.059443523451421E-4"/>
    <m/>
    <s v="ASSETHUBIASSETADA"/>
    <s v="ASSETHUBI"/>
    <x v="0"/>
    <x v="7"/>
    <m/>
    <s v="ADA"/>
    <n v="0.33012698599383689"/>
  </r>
  <r>
    <x v="23"/>
    <n v="5.3552000000000005E-4"/>
    <x v="1"/>
    <x v="6"/>
    <x v="18"/>
    <s v="20221113"/>
    <d v="2022-11-14T00:00:00"/>
    <n v="5.3362697740327467E-2"/>
    <m/>
    <s v="ASSETHUBIASSETBCH"/>
    <s v="ASSETHUBI"/>
    <x v="0"/>
    <x v="7"/>
    <m/>
    <s v="BCH"/>
    <n v="99.646507582027681"/>
  </r>
  <r>
    <x v="23"/>
    <n v="2.9999999999999997E-8"/>
    <x v="1"/>
    <x v="42"/>
    <x v="18"/>
    <s v="20221113"/>
    <d v="2022-11-14T00:00:00"/>
    <n v="1.161560038057743E-6"/>
    <m/>
    <s v="ASSETHUBIASSETBSV"/>
    <s v="ASSETHUBI"/>
    <x v="0"/>
    <x v="7"/>
    <m/>
    <s v="BSV"/>
    <n v="38.718667935258104"/>
  </r>
  <r>
    <x v="23"/>
    <n v="294.72611441999999"/>
    <x v="1"/>
    <x v="8"/>
    <x v="18"/>
    <s v="20221113"/>
    <d v="2022-11-14T00:00:00"/>
    <n v="4819763.9355125483"/>
    <m/>
    <s v="ASSETHUBIASSETBTC"/>
    <s v="ASSETHUBI"/>
    <x v="0"/>
    <x v="7"/>
    <m/>
    <s v="BTC"/>
    <n v="16353.365717176106"/>
  </r>
  <r>
    <x v="23"/>
    <n v="9.6204563400000005"/>
    <x v="2"/>
    <x v="8"/>
    <x v="18"/>
    <s v="20221113"/>
    <d v="2022-11-14T00:00:00"/>
    <n v="157326.84089414551"/>
    <m/>
    <s v="ASSETHUBIASSETBTC"/>
    <s v="ASSETHUBI"/>
    <x v="0"/>
    <x v="7"/>
    <m/>
    <s v="BTC"/>
    <n v="16353.365717176106"/>
  </r>
  <r>
    <x v="23"/>
    <n v="3.8972899999999999E-3"/>
    <x v="1"/>
    <x v="13"/>
    <x v="18"/>
    <s v="20221113"/>
    <d v="2022-11-14T00:00:00"/>
    <n v="2.242207577412958E-2"/>
    <m/>
    <s v="ASSETHUBIASSETDOT"/>
    <s v="ASSETHUBI"/>
    <x v="0"/>
    <x v="7"/>
    <m/>
    <s v="DOT"/>
    <n v="5.7532479682367974"/>
  </r>
  <r>
    <x v="23"/>
    <n v="0.1010306"/>
    <x v="1"/>
    <x v="24"/>
    <x v="18"/>
    <s v="20221113"/>
    <d v="2022-11-14T00:00:00"/>
    <n v="2.0163333553312759"/>
    <m/>
    <s v="ASSETHUBIASSETETC"/>
    <s v="ASSETHUBI"/>
    <x v="0"/>
    <x v="7"/>
    <m/>
    <s v="ETC"/>
    <n v="19.957650012286138"/>
  </r>
  <r>
    <x v="23"/>
    <n v="1570.3074606499999"/>
    <x v="1"/>
    <x v="15"/>
    <x v="18"/>
    <s v="20221113"/>
    <d v="2022-11-14T00:00:00"/>
    <n v="1918631.833169556"/>
    <m/>
    <s v="ASSETHUBIASSETETH"/>
    <s v="ASSETHUBI"/>
    <x v="0"/>
    <x v="7"/>
    <m/>
    <s v="ETH"/>
    <n v="1221.8192177316503"/>
  </r>
  <r>
    <x v="23"/>
    <n v="8.6570029500000008"/>
    <x v="2"/>
    <x v="15"/>
    <x v="18"/>
    <s v="20221113"/>
    <d v="2022-11-14T00:00:00"/>
    <n v="10577.292572269591"/>
    <m/>
    <s v="ASSETHUBIASSETETH"/>
    <s v="ASSETHUBI"/>
    <x v="0"/>
    <x v="7"/>
    <m/>
    <s v="ETH"/>
    <n v="1221.8192177316503"/>
  </r>
  <r>
    <x v="23"/>
    <n v="9.5620999999999998E-4"/>
    <x v="1"/>
    <x v="18"/>
    <x v="18"/>
    <s v="20221113"/>
    <d v="2022-11-14T00:00:00"/>
    <n v="5.806533900922492E-3"/>
    <m/>
    <s v="ASSETHUBIASSETLINK"/>
    <s v="ASSETHUBI"/>
    <x v="0"/>
    <x v="7"/>
    <m/>
    <s v="LINK"/>
    <n v="6.0724463255168759"/>
  </r>
  <r>
    <x v="23"/>
    <n v="2.4771099999999998E-3"/>
    <x v="1"/>
    <x v="19"/>
    <x v="18"/>
    <s v="20221113"/>
    <d v="2022-11-14T00:00:00"/>
    <n v="0.14240205344065049"/>
    <m/>
    <s v="ASSETHUBIASSETLTC"/>
    <s v="ASSETHUBI"/>
    <x v="0"/>
    <x v="7"/>
    <m/>
    <s v="LTC"/>
    <n v="57.487173940862725"/>
  </r>
  <r>
    <x v="23"/>
    <n v="71073.205401560001"/>
    <x v="1"/>
    <x v="46"/>
    <x v="18"/>
    <s v="20221113"/>
    <d v="2022-11-14T00:00:00"/>
    <n v="0.6416707519723811"/>
    <m/>
    <s v="ASSETHUBIASSETSHIB"/>
    <s v="ASSETHUBI"/>
    <x v="0"/>
    <x v="7"/>
    <m/>
    <s v="SHIB"/>
    <n v="9.0283074802518606E-6"/>
  </r>
  <r>
    <x v="23"/>
    <n v="4.8644999999999998E-4"/>
    <x v="1"/>
    <x v="43"/>
    <x v="18"/>
    <s v="20221113"/>
    <d v="2022-11-14T00:00:00"/>
    <n v="2.4756137711074099E-5"/>
    <m/>
    <s v="ASSETHUBIASSETTRX"/>
    <s v="ASSETHUBI"/>
    <x v="0"/>
    <x v="7"/>
    <m/>
    <s v="TRX"/>
    <n v="5.089143326359153E-2"/>
  </r>
  <r>
    <x v="23"/>
    <n v="1.9184000000000001E-4"/>
    <x v="1"/>
    <x v="29"/>
    <x v="18"/>
    <s v="20221113"/>
    <d v="2022-11-14T00:00:00"/>
    <n v="6.5282467280964468E-5"/>
    <m/>
    <s v="ASSETHUBIASSETXRP"/>
    <s v="ASSETHUBI"/>
    <x v="0"/>
    <x v="7"/>
    <m/>
    <s v="XRP"/>
    <n v="0.34029643078067379"/>
  </r>
  <r>
    <x v="23"/>
    <n v="2.4299999999999999E-3"/>
    <x v="1"/>
    <x v="47"/>
    <x v="18"/>
    <s v="20221113"/>
    <d v="2022-11-14T00:00:00"/>
    <n v="5.0219066452087011"/>
    <m/>
    <s v="ASSETHUBIASSETYFII"/>
    <s v="ASSETHUBI"/>
    <x v="0"/>
    <x v="7"/>
    <m/>
    <s v="YFII"/>
    <n v="2066.6282490570788"/>
  </r>
  <r>
    <x v="24"/>
    <n v="4422816.4880867004"/>
    <x v="1"/>
    <x v="23"/>
    <x v="11"/>
    <s v="20221113"/>
    <d v="2022-11-14T00:00:00"/>
    <n v="4417308.3051623208"/>
    <m/>
    <s v="ASSETHUBIASSETUSDT"/>
    <s v="ASSETHUBI"/>
    <x v="0"/>
    <x v="7"/>
    <m/>
    <s v="USDT"/>
    <n v="0.99875459835622493"/>
  </r>
  <r>
    <x v="24"/>
    <n v="171440.16190000001"/>
    <x v="2"/>
    <x v="23"/>
    <x v="11"/>
    <s v="20221113"/>
    <d v="2022-11-14T00:00:00"/>
    <n v="171226.65004056069"/>
    <m/>
    <s v="ASSETHUBIASSETUSDT"/>
    <s v="ASSETHUBI"/>
    <x v="0"/>
    <x v="7"/>
    <m/>
    <s v="USDT"/>
    <n v="0.99875459835622493"/>
  </r>
  <r>
    <x v="25"/>
    <n v="259.63940638000003"/>
    <x v="1"/>
    <x v="8"/>
    <x v="19"/>
    <s v="20221113"/>
    <d v="2022-11-14T00:00:00"/>
    <n v="4245978.1671226453"/>
    <m/>
    <s v="ASSETBSCALEASSETBTC"/>
    <s v="ASSETBSCALE"/>
    <x v="0"/>
    <x v="9"/>
    <m/>
    <s v="BTC"/>
    <n v="16353.365717176106"/>
  </r>
  <r>
    <x v="25"/>
    <n v="-2.54193164"/>
    <x v="2"/>
    <x v="8"/>
    <x v="19"/>
    <s v="20221113"/>
    <d v="2022-11-14T00:00:00"/>
    <n v="-41569.137736981218"/>
    <m/>
    <s v="ASSETBSCALEASSETBTC"/>
    <s v="ASSETBSCALE"/>
    <x v="0"/>
    <x v="9"/>
    <m/>
    <s v="BTC"/>
    <n v="16353.365717176106"/>
  </r>
  <r>
    <x v="26"/>
    <n v="262.02443707999998"/>
    <x v="0"/>
    <x v="8"/>
    <x v="20"/>
    <s v="20221113"/>
    <d v="2022-11-14T00:00:00"/>
    <n v="4284981.4464064371"/>
    <m/>
    <s v="ASSETBSCALEASSETBTC"/>
    <s v="ASSETBSCALE"/>
    <x v="0"/>
    <x v="9"/>
    <m/>
    <s v="BTC"/>
    <n v="16353.365717176106"/>
  </r>
  <r>
    <x v="26"/>
    <n v="10186046.830971619"/>
    <x v="0"/>
    <x v="23"/>
    <x v="20"/>
    <s v="20221113"/>
    <d v="2022-11-14T00:00:00"/>
    <n v="10173361.11150476"/>
    <m/>
    <s v="ASSETBSCALEASSETUSDT"/>
    <s v="ASSETBSCALE"/>
    <x v="0"/>
    <x v="9"/>
    <m/>
    <s v="USDT"/>
    <n v="0.99875459835622493"/>
  </r>
  <r>
    <x v="27"/>
    <n v="377.09760540000002"/>
    <x v="0"/>
    <x v="48"/>
    <x v="21"/>
    <s v="20221113"/>
    <d v="2022-11-14T00:00:00"/>
    <n v="0.2259767804534227"/>
    <m/>
    <s v="ASSETHUBIASSETAAC"/>
    <s v="ASSETHUBI"/>
    <x v="0"/>
    <x v="7"/>
    <m/>
    <s v="AAC"/>
    <n v="5.9925275901373488E-4"/>
  </r>
  <r>
    <x v="27"/>
    <n v="1.1000000000000001E-7"/>
    <x v="0"/>
    <x v="1"/>
    <x v="21"/>
    <s v="20221113"/>
    <d v="2022-11-14T00:00:00"/>
    <n v="3.6313968459322058E-8"/>
    <m/>
    <s v="ASSETHUBIASSETADA"/>
    <s v="ASSETHUBI"/>
    <x v="0"/>
    <x v="7"/>
    <m/>
    <s v="ADA"/>
    <n v="0.33012698599383689"/>
  </r>
  <r>
    <x v="27"/>
    <n v="3587.9402382600001"/>
    <x v="0"/>
    <x v="2"/>
    <x v="21"/>
    <s v="20221113"/>
    <d v="2022-11-14T00:00:00"/>
    <n v="940.67373421006187"/>
    <m/>
    <s v="ASSETHUBIASSETALGO"/>
    <s v="ASSETHUBI"/>
    <x v="0"/>
    <x v="7"/>
    <m/>
    <s v="ALGO"/>
    <n v="0.26217653353843179"/>
  </r>
  <r>
    <x v="27"/>
    <n v="0.53247394999999997"/>
    <x v="0"/>
    <x v="49"/>
    <x v="21"/>
    <s v="20221113"/>
    <d v="2022-11-14T00:00:00"/>
    <n v="1.392465312391543E-2"/>
    <m/>
    <s v="ASSETHUBIASSETARPA"/>
    <s v="ASSETHUBI"/>
    <x v="0"/>
    <x v="7"/>
    <m/>
    <s v="ARPA"/>
    <n v="2.6150862636407719E-2"/>
  </r>
  <r>
    <x v="27"/>
    <n v="5.2478028200000004"/>
    <x v="0"/>
    <x v="3"/>
    <x v="21"/>
    <s v="20221113"/>
    <d v="2022-11-14T00:00:00"/>
    <n v="53.404257610413431"/>
    <m/>
    <s v="ASSETHUBIASSETATOM"/>
    <s v="ASSETHUBI"/>
    <x v="0"/>
    <x v="7"/>
    <m/>
    <s v="ATOM"/>
    <n v="10.176498516080569"/>
  </r>
  <r>
    <x v="27"/>
    <n v="1.5389969999999999E-2"/>
    <x v="0"/>
    <x v="4"/>
    <x v="21"/>
    <s v="20221113"/>
    <d v="2022-11-14T00:00:00"/>
    <n v="0.2008702006357288"/>
    <m/>
    <s v="ASSETHUBIASSETAVAX"/>
    <s v="ASSETHUBI"/>
    <x v="0"/>
    <x v="7"/>
    <m/>
    <s v="AVAX"/>
    <n v="13.052020285661948"/>
  </r>
  <r>
    <x v="27"/>
    <n v="152.41521331999999"/>
    <x v="0"/>
    <x v="5"/>
    <x v="21"/>
    <s v="20221113"/>
    <d v="2022-11-14T00:00:00"/>
    <n v="34.003794089884757"/>
    <m/>
    <s v="ASSETHUBIASSETBAT"/>
    <s v="ASSETHUBI"/>
    <x v="0"/>
    <x v="7"/>
    <m/>
    <s v="BAT"/>
    <n v="0.22309973754714921"/>
  </r>
  <r>
    <x v="27"/>
    <n v="64.011424020000007"/>
    <x v="0"/>
    <x v="6"/>
    <x v="21"/>
    <s v="20221113"/>
    <d v="2022-11-14T00:00:00"/>
    <n v="6378.5148489453204"/>
    <m/>
    <s v="ASSETHUBIASSETBCH"/>
    <s v="ASSETHUBI"/>
    <x v="0"/>
    <x v="7"/>
    <m/>
    <s v="BCH"/>
    <n v="99.646507582027681"/>
  </r>
  <r>
    <x v="27"/>
    <n v="2.5033500000000001E-3"/>
    <x v="0"/>
    <x v="50"/>
    <x v="21"/>
    <s v="20221113"/>
    <d v="2022-11-14T00:00:00"/>
    <n v="2.2277765296032829E-4"/>
    <m/>
    <s v="ASSETHUBIASSETBHD"/>
    <s v="ASSETHUBI"/>
    <x v="0"/>
    <x v="7"/>
    <m/>
    <s v="BHD"/>
    <n v="8.8991812155842481E-2"/>
  </r>
  <r>
    <x v="27"/>
    <n v="115.29838952"/>
    <x v="0"/>
    <x v="51"/>
    <x v="21"/>
    <s v="20221113"/>
    <d v="2022-11-14T00:00:00"/>
    <n v="6.5585114194220004"/>
    <m/>
    <s v="ASSETHUBIASSETBLZ"/>
    <s v="ASSETHUBI"/>
    <x v="0"/>
    <x v="7"/>
    <m/>
    <s v="BLZ"/>
    <n v="5.6882940401212993E-2"/>
  </r>
  <r>
    <x v="27"/>
    <n v="14.7502"/>
    <x v="0"/>
    <x v="52"/>
    <x v="21"/>
    <s v="20221113"/>
    <d v="2022-11-14T00:00:00"/>
    <n v="2.9590711223279542"/>
    <m/>
    <s v="ASSETHUBIASSETBOBA"/>
    <s v="ASSETHUBI"/>
    <x v="0"/>
    <x v="7"/>
    <m/>
    <s v="BOBA"/>
    <n v="0.20061227117787925"/>
  </r>
  <r>
    <x v="27"/>
    <n v="2604.8644934200001"/>
    <x v="0"/>
    <x v="42"/>
    <x v="21"/>
    <s v="20221113"/>
    <d v="2022-11-14T00:00:00"/>
    <n v="100856.8833370733"/>
    <m/>
    <s v="ASSETHUBIASSETBSV"/>
    <s v="ASSETHUBI"/>
    <x v="0"/>
    <x v="7"/>
    <m/>
    <s v="BSV"/>
    <n v="38.718667935258104"/>
  </r>
  <r>
    <x v="27"/>
    <n v="1399.1161519899999"/>
    <x v="0"/>
    <x v="8"/>
    <x v="21"/>
    <s v="20221113"/>
    <d v="2022-11-14T00:00:00"/>
    <n v="22880258.114300609"/>
    <m/>
    <s v="ASSETHUBIASSETBTC"/>
    <s v="ASSETHUBI"/>
    <x v="0"/>
    <x v="7"/>
    <m/>
    <s v="BTC"/>
    <n v="16353.365717176106"/>
  </r>
  <r>
    <x v="27"/>
    <n v="0.33565571999999999"/>
    <x v="0"/>
    <x v="53"/>
    <x v="21"/>
    <s v="20221113"/>
    <d v="2022-11-14T00:00:00"/>
    <n v="3.3171758306922141E-3"/>
    <m/>
    <s v="ASSETHUBIASSETBTM"/>
    <s v="ASSETHUBI"/>
    <x v="0"/>
    <x v="7"/>
    <m/>
    <s v="BTM"/>
    <n v="9.8826733257881445E-3"/>
  </r>
  <r>
    <x v="27"/>
    <n v="1367501156.8785999"/>
    <x v="0"/>
    <x v="54"/>
    <x v="21"/>
    <s v="20221113"/>
    <d v="2022-11-14T00:00:00"/>
    <n v="927.57059291804489"/>
    <m/>
    <s v="ASSETHUBIASSETBTT"/>
    <s v="ASSETHUBI"/>
    <x v="0"/>
    <x v="7"/>
    <m/>
    <s v="BTT"/>
    <n v="6.7829602063027001E-7"/>
  </r>
  <r>
    <x v="27"/>
    <n v="1.7855998900000001"/>
    <x v="0"/>
    <x v="55"/>
    <x v="21"/>
    <s v="20221113"/>
    <d v="2022-11-14T00:00:00"/>
    <n v="6.132119285401077E-3"/>
    <m/>
    <s v="ASSETHUBIASSETCMT"/>
    <s v="ASSETHUBI"/>
    <x v="0"/>
    <x v="7"/>
    <m/>
    <s v="CMT"/>
    <n v="3.4342068006069809E-3"/>
  </r>
  <r>
    <x v="27"/>
    <n v="43.072197150000001"/>
    <x v="0"/>
    <x v="10"/>
    <x v="21"/>
    <s v="20221113"/>
    <d v="2022-11-14T00:00:00"/>
    <n v="1668.816691001718"/>
    <m/>
    <s v="ASSETHUBIASSETCOMP"/>
    <s v="ASSETHUBI"/>
    <x v="0"/>
    <x v="7"/>
    <m/>
    <s v="COMP"/>
    <n v="38.744638105876575"/>
  </r>
  <r>
    <x v="27"/>
    <n v="0.30791584"/>
    <x v="0"/>
    <x v="56"/>
    <x v="21"/>
    <s v="20221113"/>
    <d v="2022-11-14T00:00:00"/>
    <n v="2.0135583072477242E-2"/>
    <m/>
    <s v="ASSETHUBIASSETCRO"/>
    <s v="ASSETHUBI"/>
    <x v="0"/>
    <x v="7"/>
    <m/>
    <s v="CRO"/>
    <n v="6.5393138178527099E-2"/>
  </r>
  <r>
    <x v="27"/>
    <n v="5.6119999999999998E-5"/>
    <x v="0"/>
    <x v="57"/>
    <x v="21"/>
    <s v="20221113"/>
    <d v="2022-11-14T00:00:00"/>
    <n v="1.8802263034161919E-3"/>
    <m/>
    <s v="ASSETHUBIASSETDASH"/>
    <s v="ASSETHUBI"/>
    <x v="0"/>
    <x v="7"/>
    <m/>
    <s v="DASH"/>
    <n v="33.503676112191592"/>
  </r>
  <r>
    <x v="27"/>
    <n v="5.9800000000000001E-4"/>
    <x v="0"/>
    <x v="58"/>
    <x v="21"/>
    <s v="20221113"/>
    <d v="2022-11-14T00:00:00"/>
    <n v="1.107908488410577E-5"/>
    <m/>
    <s v="ASSETHUBIASSETDON"/>
    <s v="ASSETHUBI"/>
    <x v="0"/>
    <x v="7"/>
    <m/>
    <s v="DON"/>
    <n v="1.8526897799507978E-2"/>
  </r>
  <r>
    <x v="27"/>
    <n v="19049.75822756"/>
    <x v="0"/>
    <x v="13"/>
    <x v="21"/>
    <s v="20221113"/>
    <d v="2022-11-14T00:00:00"/>
    <n v="109597.98281811181"/>
    <m/>
    <s v="ASSETHUBIASSETDOT"/>
    <s v="ASSETHUBI"/>
    <x v="0"/>
    <x v="7"/>
    <m/>
    <s v="DOT"/>
    <n v="5.7532479682367974"/>
  </r>
  <r>
    <x v="27"/>
    <n v="241319.15317850999"/>
    <x v="0"/>
    <x v="59"/>
    <x v="21"/>
    <s v="20221113"/>
    <d v="2022-11-14T00:00:00"/>
    <n v="75061.75397511058"/>
    <m/>
    <s v="ASSETHUBIASSETENJ"/>
    <s v="ASSETHUBI"/>
    <x v="0"/>
    <x v="7"/>
    <m/>
    <s v="ENJ"/>
    <n v="0.31104764369691562"/>
  </r>
  <r>
    <x v="27"/>
    <n v="24161.616036769999"/>
    <x v="0"/>
    <x v="14"/>
    <x v="21"/>
    <s v="20221113"/>
    <d v="2022-11-14T00:00:00"/>
    <n v="21420.874759798931"/>
    <m/>
    <s v="ASSETHUBIASSETEOS"/>
    <s v="ASSETHUBI"/>
    <x v="0"/>
    <x v="7"/>
    <m/>
    <s v="EOS"/>
    <n v="0.88656630943890025"/>
  </r>
  <r>
    <x v="27"/>
    <n v="9676.7341443799996"/>
    <x v="0"/>
    <x v="24"/>
    <x v="21"/>
    <s v="20221113"/>
    <d v="2022-11-14T00:00:00"/>
    <n v="193124.87331547521"/>
    <m/>
    <s v="ASSETHUBIASSETETC"/>
    <s v="ASSETHUBI"/>
    <x v="0"/>
    <x v="7"/>
    <m/>
    <s v="ETC"/>
    <n v="19.957650012286138"/>
  </r>
  <r>
    <x v="27"/>
    <n v="631.29057675000001"/>
    <x v="0"/>
    <x v="15"/>
    <x v="21"/>
    <s v="20221113"/>
    <d v="2022-11-14T00:00:00"/>
    <n v="771322.95864604705"/>
    <m/>
    <s v="ASSETHUBIASSETETH"/>
    <s v="ASSETHUBI"/>
    <x v="0"/>
    <x v="7"/>
    <m/>
    <s v="ETH"/>
    <n v="1221.8192177316503"/>
  </r>
  <r>
    <x v="27"/>
    <n v="9823.8364263999993"/>
    <x v="0"/>
    <x v="44"/>
    <x v="21"/>
    <s v="20221113"/>
    <d v="2022-11-14T00:00:00"/>
    <n v="3200.7138145636168"/>
    <m/>
    <s v="ASSETHUBIASSETETHF"/>
    <s v="ASSETHUBI"/>
    <x v="0"/>
    <x v="7"/>
    <m/>
    <s v="ETHF"/>
    <n v="0.3258109841855884"/>
  </r>
  <r>
    <x v="27"/>
    <n v="3460.93190667"/>
    <x v="0"/>
    <x v="25"/>
    <x v="21"/>
    <s v="20221113"/>
    <d v="2022-11-14T00:00:00"/>
    <n v="13486.120248613161"/>
    <m/>
    <s v="ASSETHUBIASSETETHW"/>
    <s v="ASSETHUBI"/>
    <x v="0"/>
    <x v="7"/>
    <m/>
    <s v="ETHW"/>
    <n v="3.8966730962323619"/>
  </r>
  <r>
    <x v="27"/>
    <n v="339630.03834208002"/>
    <x v="0"/>
    <x v="60"/>
    <x v="21"/>
    <s v="20221113"/>
    <d v="2022-11-14T00:00:00"/>
    <n v="350564.15794908552"/>
    <m/>
    <s v="ASSETHUBIASSETEUROC"/>
    <s v="ASSETHUBI"/>
    <x v="0"/>
    <x v="7"/>
    <m/>
    <s v="EUROC"/>
    <n v="1.032194206555995"/>
  </r>
  <r>
    <x v="27"/>
    <n v="2339.8611111199998"/>
    <x v="0"/>
    <x v="17"/>
    <x v="21"/>
    <s v="20221113"/>
    <d v="2022-11-14T00:00:00"/>
    <n v="10047.308334751389"/>
    <m/>
    <s v="ASSETHUBIASSETFIL"/>
    <s v="ASSETHUBI"/>
    <x v="0"/>
    <x v="7"/>
    <m/>
    <s v="FIL"/>
    <n v="4.2939763762055678"/>
  </r>
  <r>
    <x v="27"/>
    <n v="0.68557060000000003"/>
    <x v="0"/>
    <x v="40"/>
    <x v="21"/>
    <s v="20221113"/>
    <d v="2022-11-14T00:00:00"/>
    <n v="1.020995740229458"/>
    <m/>
    <s v="ASSETHUBIASSETFTT"/>
    <s v="ASSETHUBI"/>
    <x v="0"/>
    <x v="7"/>
    <m/>
    <s v="FTT"/>
    <n v="1.4892641840671956"/>
  </r>
  <r>
    <x v="27"/>
    <n v="54.776400000000002"/>
    <x v="0"/>
    <x v="61"/>
    <x v="21"/>
    <s v="20221113"/>
    <d v="2022-11-14T00:00:00"/>
    <n v="113.6883984033032"/>
    <m/>
    <s v="ASSETHUBIASSETGAS"/>
    <s v="ASSETHUBI"/>
    <x v="0"/>
    <x v="7"/>
    <m/>
    <s v="GAS"/>
    <n v="2.0754996385907654"/>
  </r>
  <r>
    <x v="27"/>
    <n v="100.03406049"/>
    <x v="0"/>
    <x v="62"/>
    <x v="21"/>
    <s v="20221113"/>
    <d v="2022-11-14T00:00:00"/>
    <n v="4.5345066468947701"/>
    <m/>
    <s v="ASSETHUBIASSETHBAR"/>
    <s v="ASSETHUBI"/>
    <x v="0"/>
    <x v="7"/>
    <m/>
    <s v="HBAR"/>
    <n v="4.5329626975884552E-2"/>
  </r>
  <r>
    <x v="27"/>
    <n v="5337.6979873099999"/>
    <x v="0"/>
    <x v="63"/>
    <x v="21"/>
    <s v="20221113"/>
    <d v="2022-11-14T00:00:00"/>
    <n v="5.9962334919691651"/>
    <m/>
    <s v="ASSETHUBIASSETHPT"/>
    <s v="ASSETHUBI"/>
    <x v="0"/>
    <x v="7"/>
    <m/>
    <s v="HPT"/>
    <n v="1.1233744408591095E-3"/>
  </r>
  <r>
    <x v="27"/>
    <n v="3354.5254768599998"/>
    <x v="0"/>
    <x v="64"/>
    <x v="21"/>
    <s v="20221113"/>
    <d v="2022-11-14T00:00:00"/>
    <n v="16293.74993214988"/>
    <m/>
    <s v="ASSETHUBIASSETHT"/>
    <s v="ASSETHUBI"/>
    <x v="0"/>
    <x v="7"/>
    <m/>
    <s v="HT"/>
    <n v="4.8572443537980305"/>
  </r>
  <r>
    <x v="27"/>
    <n v="14.785856219999999"/>
    <x v="0"/>
    <x v="65"/>
    <x v="21"/>
    <s v="20221113"/>
    <d v="2022-11-14T00:00:00"/>
    <n v="0.12488945366293019"/>
    <m/>
    <s v="ASSETHUBIASSETIOST"/>
    <s v="ASSETHUBI"/>
    <x v="0"/>
    <x v="7"/>
    <m/>
    <s v="IOST"/>
    <n v="8.4465486343631036E-3"/>
  </r>
  <r>
    <x v="27"/>
    <n v="0.81765067999999996"/>
    <x v="0"/>
    <x v="66"/>
    <x v="21"/>
    <s v="20221113"/>
    <d v="2022-11-14T00:00:00"/>
    <n v="1.0843441088562659E-2"/>
    <m/>
    <s v="ASSETHUBIASSETIRIS"/>
    <s v="ASSETHUBI"/>
    <x v="0"/>
    <x v="7"/>
    <m/>
    <s v="IRIS"/>
    <n v="1.3261703749286504E-2"/>
  </r>
  <r>
    <x v="27"/>
    <n v="9.1121815000000002"/>
    <x v="0"/>
    <x v="67"/>
    <x v="21"/>
    <s v="20221113"/>
    <d v="2022-11-14T00:00:00"/>
    <n v="0.19232876287963729"/>
    <m/>
    <s v="ASSETHUBIASSETJST"/>
    <s v="ASSETHUBI"/>
    <x v="0"/>
    <x v="7"/>
    <m/>
    <s v="JST"/>
    <n v="2.1106774802459465E-2"/>
  </r>
  <r>
    <x v="27"/>
    <n v="5"/>
    <x v="0"/>
    <x v="68"/>
    <x v="21"/>
    <s v="20221113"/>
    <d v="2022-11-14T00:00:00"/>
    <n v="115.9608196675254"/>
    <m/>
    <s v="ASSETHUBIASSETKSM"/>
    <s v="ASSETHUBI"/>
    <x v="0"/>
    <x v="7"/>
    <m/>
    <s v="KSM"/>
    <n v="23.192163933505086"/>
  </r>
  <r>
    <x v="27"/>
    <n v="0.24234807999999999"/>
    <x v="0"/>
    <x v="69"/>
    <x v="21"/>
    <s v="20221113"/>
    <d v="2022-11-14T00:00:00"/>
    <n v="2.7518533091107778E-4"/>
    <m/>
    <s v="ASSETHUBIASSETLAMB"/>
    <s v="ASSETHUBI"/>
    <x v="0"/>
    <x v="7"/>
    <m/>
    <s v="LAMB"/>
    <n v="1.1354962288584163E-3"/>
  </r>
  <r>
    <x v="27"/>
    <n v="1E-8"/>
    <x v="0"/>
    <x v="70"/>
    <x v="21"/>
    <s v="20221113"/>
    <d v="2022-11-14T00:00:00"/>
    <n v="0"/>
    <m/>
    <s v="ASSETHUBIASSETLEND"/>
    <s v="ASSETHUBI"/>
    <x v="0"/>
    <x v="7"/>
    <m/>
    <s v="LEND"/>
    <n v="0"/>
  </r>
  <r>
    <x v="27"/>
    <n v="26914.88806931"/>
    <x v="0"/>
    <x v="18"/>
    <x v="21"/>
    <s v="20221113"/>
    <d v="2022-11-14T00:00:00"/>
    <n v="163439.21315817951"/>
    <m/>
    <s v="ASSETHUBIASSETLINK"/>
    <s v="ASSETHUBI"/>
    <x v="0"/>
    <x v="7"/>
    <m/>
    <s v="LINK"/>
    <n v="6.0724463255168759"/>
  </r>
  <r>
    <x v="27"/>
    <n v="4.3289484800000002"/>
    <x v="0"/>
    <x v="71"/>
    <x v="21"/>
    <s v="20221113"/>
    <d v="2022-11-14T00:00:00"/>
    <n v="1.058141254504416E-6"/>
    <m/>
    <s v="ASSETHUBIASSETLOL"/>
    <s v="ASSETHUBI"/>
    <x v="0"/>
    <x v="7"/>
    <m/>
    <s v="LOL"/>
    <n v="2.4443378326008997E-7"/>
  </r>
  <r>
    <x v="27"/>
    <n v="5213.2640559299998"/>
    <x v="0"/>
    <x v="19"/>
    <x v="21"/>
    <s v="20221113"/>
    <d v="2022-11-14T00:00:00"/>
    <n v="299695.81758289551"/>
    <m/>
    <s v="ASSETHUBIASSETLTC"/>
    <s v="ASSETHUBI"/>
    <x v="0"/>
    <x v="7"/>
    <m/>
    <s v="LTC"/>
    <n v="57.487173940862725"/>
  </r>
  <r>
    <x v="27"/>
    <n v="0.66495972999999997"/>
    <x v="0"/>
    <x v="72"/>
    <x v="21"/>
    <s v="20221113"/>
    <d v="2022-11-14T00:00:00"/>
    <n v="1.3747523872825721E-4"/>
    <m/>
    <s v="ASSETHUBIASSETLXT"/>
    <s v="ASSETHUBI"/>
    <x v="0"/>
    <x v="7"/>
    <m/>
    <s v="LXT"/>
    <n v="2.067422018597385E-4"/>
  </r>
  <r>
    <x v="27"/>
    <n v="0.34"/>
    <x v="0"/>
    <x v="20"/>
    <x v="21"/>
    <s v="20221113"/>
    <d v="2022-11-14T00:00:00"/>
    <n v="0.1527997152353536"/>
    <m/>
    <s v="ASSETHUBIASSETMANA"/>
    <s v="ASSETHUBI"/>
    <x v="0"/>
    <x v="7"/>
    <m/>
    <s v="MANA"/>
    <n v="0.44941092716280462"/>
  </r>
  <r>
    <x v="27"/>
    <n v="0.89105878000000005"/>
    <x v="0"/>
    <x v="73"/>
    <x v="21"/>
    <s v="20221113"/>
    <d v="2022-11-14T00:00:00"/>
    <n v="5.9237362248513286"/>
    <m/>
    <s v="ASSETHUBIASSETNEO"/>
    <s v="ASSETHUBI"/>
    <x v="0"/>
    <x v="7"/>
    <m/>
    <s v="NEO"/>
    <n v="6.647974699100466"/>
  </r>
  <r>
    <x v="27"/>
    <n v="40.704174029999997"/>
    <x v="0"/>
    <x v="74"/>
    <x v="21"/>
    <s v="20221113"/>
    <d v="2022-11-14T00:00:00"/>
    <n v="7.431168330338943E-3"/>
    <m/>
    <s v="ASSETHUBIASSETNEW"/>
    <s v="ASSETHUBI"/>
    <x v="0"/>
    <x v="7"/>
    <m/>
    <s v="NEW"/>
    <n v="1.8256526529348036E-4"/>
  </r>
  <r>
    <x v="27"/>
    <n v="3013993111.0959439"/>
    <x v="0"/>
    <x v="75"/>
    <x v="21"/>
    <s v="20221113"/>
    <d v="2022-11-14T00:00:00"/>
    <n v="1548.0118504366519"/>
    <m/>
    <s v="ASSETHUBIASSETNFT"/>
    <s v="ASSETHUBI"/>
    <x v="0"/>
    <x v="7"/>
    <m/>
    <s v="NFT"/>
    <n v="5.1360829085430986E-7"/>
  </r>
  <r>
    <x v="27"/>
    <n v="4.3068300000000002E-3"/>
    <x v="0"/>
    <x v="76"/>
    <x v="21"/>
    <s v="20221113"/>
    <d v="2022-11-14T00:00:00"/>
    <n v="7.408290106056878E-4"/>
    <m/>
    <s v="ASSETHUBIASSETNULS"/>
    <s v="ASSETHUBI"/>
    <x v="0"/>
    <x v="7"/>
    <m/>
    <s v="NULS"/>
    <n v="0.17201259641213787"/>
  </r>
  <r>
    <x v="27"/>
    <n v="162254.56419957001"/>
    <x v="0"/>
    <x v="77"/>
    <x v="21"/>
    <s v="20221113"/>
    <d v="2022-11-14T00:00:00"/>
    <n v="183203.58357909331"/>
    <m/>
    <s v="ASSETHUBIASSETOMG"/>
    <s v="ASSETHUBI"/>
    <x v="0"/>
    <x v="7"/>
    <m/>
    <s v="OMG"/>
    <n v="1.129112049838896"/>
  </r>
  <r>
    <x v="27"/>
    <n v="0.34782034000000001"/>
    <x v="0"/>
    <x v="78"/>
    <x v="21"/>
    <s v="20221113"/>
    <d v="2022-11-14T00:00:00"/>
    <n v="8.0812801871423298E-2"/>
    <m/>
    <s v="ASSETHUBIASSETONG"/>
    <s v="ASSETHUBI"/>
    <x v="0"/>
    <x v="7"/>
    <m/>
    <s v="ONG"/>
    <n v="0.23234064422863623"/>
  </r>
  <r>
    <x v="27"/>
    <n v="950734.69046149997"/>
    <x v="0"/>
    <x v="21"/>
    <x v="21"/>
    <s v="20221113"/>
    <d v="2022-11-14T00:00:00"/>
    <n v="77537.718424978273"/>
    <m/>
    <s v="ASSETHUBIASSETOXT"/>
    <s v="ASSETHUBI"/>
    <x v="0"/>
    <x v="7"/>
    <m/>
    <s v="OXT"/>
    <n v="8.1555579282944213E-2"/>
  </r>
  <r>
    <x v="27"/>
    <n v="3.0962099999999998E-3"/>
    <x v="0"/>
    <x v="79"/>
    <x v="21"/>
    <s v="20221113"/>
    <d v="2022-11-14T00:00:00"/>
    <n v="6.2342268195535906E-3"/>
    <m/>
    <s v="ASSETHUBIASSETQTUM"/>
    <s v="ASSETHUBI"/>
    <x v="0"/>
    <x v="7"/>
    <m/>
    <s v="QTUM"/>
    <n v="2.0135025788152583"/>
  </r>
  <r>
    <x v="27"/>
    <n v="2.6598900000000002E-2"/>
    <x v="0"/>
    <x v="80"/>
    <x v="21"/>
    <s v="20221113"/>
    <d v="2022-11-14T00:00:00"/>
    <n v="5.9957183944127747E-4"/>
    <m/>
    <s v="ASSETHUBIASSETREI"/>
    <s v="ASSETHUBI"/>
    <x v="0"/>
    <x v="7"/>
    <m/>
    <s v="REI"/>
    <n v="2.2541226871835955E-2"/>
  </r>
  <r>
    <x v="27"/>
    <n v="1214222.2371159999"/>
    <x v="0"/>
    <x v="28"/>
    <x v="21"/>
    <s v="20221113"/>
    <d v="2022-11-14T00:00:00"/>
    <n v="14587.05820208952"/>
    <m/>
    <s v="ASSETHUBIASSETSGB"/>
    <s v="ASSETHUBI"/>
    <x v="0"/>
    <x v="7"/>
    <m/>
    <s v="SGB"/>
    <n v="1.2013499470028199E-2"/>
  </r>
  <r>
    <x v="27"/>
    <n v="4793337439.352232"/>
    <x v="0"/>
    <x v="46"/>
    <x v="21"/>
    <s v="20221113"/>
    <d v="2022-11-14T00:00:00"/>
    <n v="43275.724259075047"/>
    <m/>
    <s v="ASSETHUBIASSETSHIB"/>
    <s v="ASSETHUBI"/>
    <x v="0"/>
    <x v="7"/>
    <m/>
    <s v="SHIB"/>
    <n v="9.0283074802518606E-6"/>
  </r>
  <r>
    <x v="27"/>
    <n v="0.14106867000000001"/>
    <x v="0"/>
    <x v="22"/>
    <x v="21"/>
    <s v="20221113"/>
    <d v="2022-11-14T00:00:00"/>
    <n v="1.8571025375708929"/>
    <m/>
    <s v="ASSETHUBIASSETSOL"/>
    <s v="ASSETHUBI"/>
    <x v="0"/>
    <x v="7"/>
    <m/>
    <s v="SOL"/>
    <n v="13.164528577258812"/>
  </r>
  <r>
    <x v="27"/>
    <n v="38753.774400000002"/>
    <x v="0"/>
    <x v="81"/>
    <x v="21"/>
    <s v="20221113"/>
    <d v="2022-11-14T00:00:00"/>
    <n v="7978.226257767119"/>
    <m/>
    <s v="ASSETHUBIASSETSOLO"/>
    <s v="ASSETHUBI"/>
    <x v="0"/>
    <x v="7"/>
    <m/>
    <s v="SOLO"/>
    <n v="0.20586965737631788"/>
  </r>
  <r>
    <x v="27"/>
    <n v="29.76350429"/>
    <x v="0"/>
    <x v="82"/>
    <x v="21"/>
    <s v="20221113"/>
    <d v="2022-11-14T00:00:00"/>
    <n v="8.7891975775563402"/>
    <m/>
    <s v="ASSETHUBIASSETSTORJ"/>
    <s v="ASSETHUBI"/>
    <x v="0"/>
    <x v="7"/>
    <m/>
    <s v="STORJ"/>
    <n v="0.29530116789740218"/>
  </r>
  <r>
    <x v="27"/>
    <n v="9188410.11119611"/>
    <x v="0"/>
    <x v="43"/>
    <x v="21"/>
    <s v="20221113"/>
    <d v="2022-11-14T00:00:00"/>
    <n v="467611.35997244652"/>
    <m/>
    <s v="ASSETHUBIASSETTRX"/>
    <s v="ASSETHUBI"/>
    <x v="0"/>
    <x v="7"/>
    <m/>
    <s v="TRX"/>
    <n v="5.089143326359153E-2"/>
  </r>
  <r>
    <x v="27"/>
    <n v="6.3152970000000003E-2"/>
    <x v="0"/>
    <x v="83"/>
    <x v="21"/>
    <s v="20221113"/>
    <d v="2022-11-14T00:00:00"/>
    <n v="2.1142595802624739E-4"/>
    <m/>
    <s v="ASSETHUBIASSETTT"/>
    <s v="ASSETHUBI"/>
    <x v="0"/>
    <x v="7"/>
    <m/>
    <s v="TT"/>
    <n v="3.3478387164728339E-3"/>
  </r>
  <r>
    <x v="27"/>
    <n v="20"/>
    <x v="0"/>
    <x v="84"/>
    <x v="21"/>
    <s v="20221113"/>
    <d v="2022-11-14T00:00:00"/>
    <n v="19.96844747437672"/>
    <m/>
    <s v="ASSETHUBIASSETTUSD"/>
    <s v="ASSETHUBI"/>
    <x v="0"/>
    <x v="7"/>
    <m/>
    <s v="TUSD"/>
    <n v="0.99842237371883602"/>
  </r>
  <r>
    <x v="27"/>
    <n v="4.7890616599999998"/>
    <x v="0"/>
    <x v="85"/>
    <x v="21"/>
    <s v="20221113"/>
    <d v="2022-11-14T00:00:00"/>
    <n v="27.822478711595039"/>
    <m/>
    <s v="ASSETHUBIASSETUNI"/>
    <s v="ASSETHUBI"/>
    <x v="0"/>
    <x v="7"/>
    <m/>
    <s v="UNI"/>
    <n v="5.8095887434439586"/>
  </r>
  <r>
    <x v="27"/>
    <n v="4512595.36556256"/>
    <x v="0"/>
    <x v="30"/>
    <x v="21"/>
    <s v="20221113"/>
    <d v="2022-11-14T00:00:00"/>
    <n v="4513210.612821972"/>
    <m/>
    <s v="ASSETHUBIASSETUSDC"/>
    <s v="ASSETHUBI"/>
    <x v="0"/>
    <x v="7"/>
    <m/>
    <s v="USDC"/>
    <n v="1.000136340001611"/>
  </r>
  <r>
    <x v="27"/>
    <n v="0.34680431"/>
    <x v="0"/>
    <x v="86"/>
    <x v="21"/>
    <s v="20221113"/>
    <d v="2022-11-14T00:00:00"/>
    <n v="0.34492841110450329"/>
    <m/>
    <s v="ASSETHUBIASSETUSDP"/>
    <s v="ASSETHUBI"/>
    <x v="0"/>
    <x v="7"/>
    <m/>
    <s v="USDP"/>
    <n v="0.99459090085847923"/>
  </r>
  <r>
    <x v="27"/>
    <n v="15252754.119299199"/>
    <x v="0"/>
    <x v="23"/>
    <x v="21"/>
    <s v="20221113"/>
    <d v="2022-11-14T00:00:00"/>
    <n v="15233758.31424693"/>
    <m/>
    <s v="ASSETHUBIASSETUSDT"/>
    <s v="ASSETHUBI"/>
    <x v="0"/>
    <x v="7"/>
    <m/>
    <s v="USDT"/>
    <n v="0.99875459835622493"/>
  </r>
  <r>
    <x v="27"/>
    <n v="59589.017780000002"/>
    <x v="0"/>
    <x v="87"/>
    <x v="21"/>
    <s v="20221113"/>
    <d v="2022-11-14T00:00:00"/>
    <n v="1143.3895217359529"/>
    <m/>
    <s v="ASSETHUBIASSETVET"/>
    <s v="ASSETHUBI"/>
    <x v="0"/>
    <x v="7"/>
    <m/>
    <s v="VET"/>
    <n v="1.9187923619706171E-2"/>
  </r>
  <r>
    <x v="27"/>
    <n v="0.20872535"/>
    <x v="0"/>
    <x v="88"/>
    <x v="21"/>
    <s v="20221113"/>
    <d v="2022-11-14T00:00:00"/>
    <n v="1.9676883399649811E-4"/>
    <m/>
    <s v="ASSETHUBIASSETVSYS"/>
    <s v="ASSETHUBI"/>
    <x v="0"/>
    <x v="7"/>
    <m/>
    <s v="VSYS"/>
    <n v="9.4271651237618284E-4"/>
  </r>
  <r>
    <x v="27"/>
    <n v="97856389.900000006"/>
    <x v="0"/>
    <x v="89"/>
    <x v="21"/>
    <s v="20221113"/>
    <d v="2022-11-14T00:00:00"/>
    <n v="2783.8908510174469"/>
    <m/>
    <s v="ASSETHUBIASSETXEC"/>
    <s v="ASSETHUBI"/>
    <x v="0"/>
    <x v="7"/>
    <m/>
    <s v="XEC"/>
    <n v="2.8448738542902723E-5"/>
  </r>
  <r>
    <x v="27"/>
    <n v="0.55556267999999998"/>
    <x v="0"/>
    <x v="90"/>
    <x v="21"/>
    <s v="20221113"/>
    <d v="2022-11-14T00:00:00"/>
    <n v="4.9064506111574757E-2"/>
    <m/>
    <s v="ASSETHUBIASSETXLM"/>
    <s v="ASSETHUBI"/>
    <x v="0"/>
    <x v="7"/>
    <m/>
    <s v="XLM"/>
    <n v="8.8314978449550927E-2"/>
  </r>
  <r>
    <x v="27"/>
    <n v="1335.23311758"/>
    <x v="0"/>
    <x v="29"/>
    <x v="21"/>
    <s v="20221113"/>
    <d v="2022-11-14T00:00:00"/>
    <n v="454.3750641726258"/>
    <m/>
    <s v="ASSETHUBIASSETXRP"/>
    <s v="ASSETHUBI"/>
    <x v="0"/>
    <x v="7"/>
    <m/>
    <s v="XRP"/>
    <n v="0.34029643078067379"/>
  </r>
  <r>
    <x v="27"/>
    <n v="3.9304560899999998"/>
    <x v="0"/>
    <x v="91"/>
    <x v="21"/>
    <s v="20221113"/>
    <d v="2022-11-14T00:00:00"/>
    <n v="3.972655860982079"/>
    <m/>
    <s v="ASSETHUBIASSETXTZ"/>
    <s v="ASSETHUBI"/>
    <x v="0"/>
    <x v="7"/>
    <m/>
    <s v="XTZ"/>
    <n v="1.0107366091913468"/>
  </r>
  <r>
    <x v="27"/>
    <n v="0.10222220999999999"/>
    <x v="0"/>
    <x v="92"/>
    <x v="21"/>
    <s v="20221113"/>
    <d v="2022-11-14T00:00:00"/>
    <n v="583.96382153074887"/>
    <m/>
    <s v="ASSETHUBIASSETYFI"/>
    <s v="ASSETHUBI"/>
    <x v="0"/>
    <x v="7"/>
    <m/>
    <s v="YFI"/>
    <n v="5712.6902414920287"/>
  </r>
  <r>
    <x v="27"/>
    <n v="1.329583E-2"/>
    <x v="0"/>
    <x v="47"/>
    <x v="21"/>
    <s v="20221113"/>
    <d v="2022-11-14T00:00:00"/>
    <n v="27.47753787266058"/>
    <m/>
    <s v="ASSETHUBIASSETYFII"/>
    <s v="ASSETHUBI"/>
    <x v="0"/>
    <x v="7"/>
    <m/>
    <s v="YFII"/>
    <n v="2066.6282490570788"/>
  </r>
  <r>
    <x v="27"/>
    <n v="2.173E-4"/>
    <x v="0"/>
    <x v="93"/>
    <x v="21"/>
    <s v="20221113"/>
    <d v="2022-11-14T00:00:00"/>
    <n v="8.8366813215128449E-3"/>
    <m/>
    <s v="ASSETHUBIASSETZEC"/>
    <s v="ASSETHUBI"/>
    <x v="0"/>
    <x v="7"/>
    <m/>
    <s v="ZEC"/>
    <n v="40.665813720721793"/>
  </r>
  <r>
    <x v="27"/>
    <n v="19402725.175014921"/>
    <x v="0"/>
    <x v="94"/>
    <x v="21"/>
    <s v="20221113"/>
    <d v="2022-11-14T00:00:00"/>
    <n v="404112.90464051522"/>
    <m/>
    <s v="ASSETHUBIASSETZIL"/>
    <s v="ASSETHUBI"/>
    <x v="0"/>
    <x v="7"/>
    <m/>
    <s v="ZIL"/>
    <n v="2.082763637557962E-2"/>
  </r>
  <r>
    <x v="28"/>
    <n v="2244.8726333099999"/>
    <x v="0"/>
    <x v="6"/>
    <x v="21"/>
    <s v="20221113"/>
    <d v="2022-11-14T00:00:00"/>
    <n v="223693.71787581139"/>
    <m/>
    <s v="ASSETHUBIASSETBCH"/>
    <s v="ASSETHUBI"/>
    <x v="0"/>
    <x v="7"/>
    <m/>
    <s v="BCH"/>
    <n v="99.646507582027681"/>
  </r>
  <r>
    <x v="28"/>
    <n v="1625.6897381399999"/>
    <x v="0"/>
    <x v="42"/>
    <x v="21"/>
    <s v="20221113"/>
    <d v="2022-11-14T00:00:00"/>
    <n v="62944.541136799358"/>
    <m/>
    <s v="ASSETHUBIASSETBSV"/>
    <s v="ASSETHUBI"/>
    <x v="0"/>
    <x v="7"/>
    <m/>
    <s v="BSV"/>
    <n v="38.718667935258104"/>
  </r>
  <r>
    <x v="28"/>
    <n v="156.03387741"/>
    <x v="0"/>
    <x v="8"/>
    <x v="21"/>
    <s v="20221113"/>
    <d v="2022-11-14T00:00:00"/>
    <n v="2551679.0615547518"/>
    <m/>
    <s v="ASSETHUBIASSETBTC"/>
    <s v="ASSETHUBI"/>
    <x v="0"/>
    <x v="7"/>
    <m/>
    <s v="BTC"/>
    <n v="16353.365717176106"/>
  </r>
  <r>
    <x v="28"/>
    <n v="17649.949551860002"/>
    <x v="0"/>
    <x v="13"/>
    <x v="21"/>
    <s v="20221113"/>
    <d v="2022-11-14T00:00:00"/>
    <n v="101544.53639872051"/>
    <m/>
    <s v="ASSETHUBIASSETDOT"/>
    <s v="ASSETHUBI"/>
    <x v="0"/>
    <x v="7"/>
    <m/>
    <s v="DOT"/>
    <n v="5.7532479682367974"/>
  </r>
  <r>
    <x v="28"/>
    <n v="608384.83236875001"/>
    <x v="0"/>
    <x v="14"/>
    <x v="21"/>
    <s v="20221113"/>
    <d v="2022-11-14T00:00:00"/>
    <n v="539373.49555176671"/>
    <m/>
    <s v="ASSETHUBIASSETEOS"/>
    <s v="ASSETHUBI"/>
    <x v="0"/>
    <x v="7"/>
    <m/>
    <s v="EOS"/>
    <n v="0.88656630943890025"/>
  </r>
  <r>
    <x v="28"/>
    <n v="0.97793739999999996"/>
    <x v="0"/>
    <x v="24"/>
    <x v="21"/>
    <s v="20221113"/>
    <d v="2022-11-14T00:00:00"/>
    <n v="19.517332363125071"/>
    <m/>
    <s v="ASSETHUBIASSETETC"/>
    <s v="ASSETHUBI"/>
    <x v="0"/>
    <x v="7"/>
    <m/>
    <s v="ETC"/>
    <n v="19.957650012286138"/>
  </r>
  <r>
    <x v="28"/>
    <n v="185.54543591000001"/>
    <x v="0"/>
    <x v="15"/>
    <x v="21"/>
    <s v="20221113"/>
    <d v="2022-11-14T00:00:00"/>
    <n v="226702.9793572342"/>
    <m/>
    <s v="ASSETHUBIASSETETH"/>
    <s v="ASSETHUBI"/>
    <x v="0"/>
    <x v="7"/>
    <m/>
    <s v="ETH"/>
    <n v="1221.8192177316503"/>
  </r>
  <r>
    <x v="28"/>
    <n v="6210.7842919599998"/>
    <x v="0"/>
    <x v="19"/>
    <x v="21"/>
    <s v="20221113"/>
    <d v="2022-11-14T00:00:00"/>
    <n v="357040.43690108252"/>
    <m/>
    <s v="ASSETHUBIASSETLTC"/>
    <s v="ASSETHUBI"/>
    <x v="0"/>
    <x v="7"/>
    <m/>
    <s v="LTC"/>
    <n v="57.487173940862725"/>
  </r>
  <r>
    <x v="28"/>
    <n v="3796339.9888418298"/>
    <x v="0"/>
    <x v="43"/>
    <x v="21"/>
    <s v="20221113"/>
    <d v="2022-11-14T00:00:00"/>
    <n v="193201.18318804781"/>
    <m/>
    <s v="ASSETHUBIASSETTRX"/>
    <s v="ASSETHUBI"/>
    <x v="0"/>
    <x v="7"/>
    <m/>
    <s v="TRX"/>
    <n v="5.089143326359153E-2"/>
  </r>
  <r>
    <x v="28"/>
    <n v="17558861.579473969"/>
    <x v="0"/>
    <x v="23"/>
    <x v="21"/>
    <s v="20221113"/>
    <d v="2022-11-14T00:00:00"/>
    <n v="17536993.744400069"/>
    <m/>
    <s v="ASSETHUBIASSETUSDT"/>
    <s v="ASSETHUBI"/>
    <x v="0"/>
    <x v="7"/>
    <m/>
    <s v="USDT"/>
    <n v="0.99875459835622493"/>
  </r>
  <r>
    <x v="28"/>
    <n v="7.6039999999999997E-5"/>
    <x v="0"/>
    <x v="29"/>
    <x v="21"/>
    <s v="20221113"/>
    <d v="2022-11-14T00:00:00"/>
    <n v="2.5876140596562439E-5"/>
    <m/>
    <s v="ASSETHUBIASSETXRP"/>
    <s v="ASSETHUBI"/>
    <x v="0"/>
    <x v="7"/>
    <m/>
    <s v="XRP"/>
    <n v="0.34029643078067379"/>
  </r>
  <r>
    <x v="29"/>
    <n v="430.45047"/>
    <x v="0"/>
    <x v="3"/>
    <x v="6"/>
    <s v="20221113"/>
    <d v="2022-11-13T22:00:40"/>
    <n v="4380.4785692011837"/>
    <m/>
    <s v="ASSETKRKEASSETATOM"/>
    <s v="ASSETKRKE"/>
    <x v="0"/>
    <x v="10"/>
    <m/>
    <s v="ATOM"/>
    <n v="10.176498516080569"/>
  </r>
  <r>
    <x v="29"/>
    <n v="1.7695412699999999"/>
    <x v="0"/>
    <x v="6"/>
    <x v="6"/>
    <s v="20221113"/>
    <d v="2022-11-13T22:00:40"/>
    <n v="176.32860757776589"/>
    <m/>
    <s v="ASSETKRKEASSETBCH"/>
    <s v="ASSETKRKE"/>
    <x v="0"/>
    <x v="10"/>
    <m/>
    <s v="BCH"/>
    <n v="99.646507582027681"/>
  </r>
  <r>
    <x v="29"/>
    <n v="1.8847760000000002E-2"/>
    <x v="0"/>
    <x v="8"/>
    <x v="6"/>
    <s v="20221113"/>
    <d v="2022-11-13T22:00:40"/>
    <n v="308.224312229563"/>
    <m/>
    <s v="ASSETKRKEASSETBTC"/>
    <s v="ASSETKRKE"/>
    <x v="0"/>
    <x v="10"/>
    <m/>
    <s v="BTC"/>
    <n v="16353.365717176106"/>
  </r>
  <r>
    <x v="29"/>
    <n v="34.962823350000001"/>
    <x v="0"/>
    <x v="13"/>
    <x v="6"/>
    <s v="20221113"/>
    <d v="2022-11-13T22:00:40"/>
    <n v="201.1497924022095"/>
    <m/>
    <s v="ASSETKRKEASSETDOT"/>
    <s v="ASSETKRKE"/>
    <x v="0"/>
    <x v="10"/>
    <m/>
    <s v="DOT"/>
    <n v="5.7532479682367974"/>
  </r>
  <r>
    <x v="29"/>
    <n v="9.9499194400000004"/>
    <x v="0"/>
    <x v="14"/>
    <x v="6"/>
    <s v="20221113"/>
    <d v="2022-11-13T22:00:40"/>
    <n v="8.8212633571351713"/>
    <m/>
    <s v="ASSETKRKEASSETEOS"/>
    <s v="ASSETKRKE"/>
    <x v="0"/>
    <x v="10"/>
    <m/>
    <s v="EOS"/>
    <n v="0.88656630943890025"/>
  </r>
  <r>
    <x v="29"/>
    <n v="3.4037359"/>
    <x v="0"/>
    <x v="25"/>
    <x v="6"/>
    <s v="20221113"/>
    <d v="2022-11-13T22:00:40"/>
    <n v="13.26324610821024"/>
    <m/>
    <s v="ASSETKRKEASSETETHW"/>
    <s v="ASSETKRKE"/>
    <x v="0"/>
    <x v="10"/>
    <m/>
    <s v="ETHW"/>
    <n v="3.8966730962323619"/>
  </r>
  <r>
    <x v="29"/>
    <n v="6392.7486803700003"/>
    <x v="0"/>
    <x v="68"/>
    <x v="6"/>
    <s v="20221113"/>
    <d v="2022-11-13T22:00:40"/>
    <n v="148261.67538083941"/>
    <m/>
    <s v="ASSETKRKEASSETKSM"/>
    <s v="ASSETKRKE"/>
    <x v="0"/>
    <x v="10"/>
    <m/>
    <s v="KSM"/>
    <n v="23.192163933505086"/>
  </r>
  <r>
    <x v="29"/>
    <n v="9.1421368100000002"/>
    <x v="0"/>
    <x v="19"/>
    <x v="6"/>
    <s v="20221113"/>
    <d v="2022-11-13T22:00:40"/>
    <n v="525.55560898763406"/>
    <m/>
    <s v="ASSETKRKEASSETLTC"/>
    <s v="ASSETKRKE"/>
    <x v="0"/>
    <x v="10"/>
    <m/>
    <s v="LTC"/>
    <n v="57.487173940862725"/>
  </r>
  <r>
    <x v="29"/>
    <n v="864101.84359399998"/>
    <x v="0"/>
    <x v="21"/>
    <x v="6"/>
    <s v="20221113"/>
    <d v="2022-11-13T22:00:40"/>
    <n v="70472.326413768707"/>
    <m/>
    <s v="ASSETKRKEASSETOXT"/>
    <s v="ASSETKRKE"/>
    <x v="0"/>
    <x v="10"/>
    <m/>
    <s v="OXT"/>
    <n v="8.1555579282944213E-2"/>
  </r>
  <r>
    <x v="29"/>
    <n v="0.10834547999999999"/>
    <x v="0"/>
    <x v="28"/>
    <x v="6"/>
    <s v="20221113"/>
    <d v="2022-11-13T22:00:40"/>
    <n v="1.3016083665599509E-3"/>
    <m/>
    <s v="ASSETKRKEASSETSGB"/>
    <s v="ASSETKRKE"/>
    <x v="0"/>
    <x v="10"/>
    <m/>
    <s v="SGB"/>
    <n v="1.2013499470028199E-2"/>
  </r>
  <r>
    <x v="29"/>
    <n v="113250.4023"/>
    <x v="0"/>
    <x v="26"/>
    <x v="6"/>
    <s v="20221113"/>
    <d v="2022-11-13T22:00:40"/>
    <n v="113250.4023"/>
    <m/>
    <s v="ASSETKRKEASSETUSD"/>
    <s v="ASSETKRKE"/>
    <x v="0"/>
    <x v="10"/>
    <m/>
    <s v="USD"/>
    <n v="1"/>
  </r>
  <r>
    <x v="29"/>
    <n v="1.182861E-2"/>
    <x v="0"/>
    <x v="23"/>
    <x v="6"/>
    <s v="20221113"/>
    <d v="2022-11-13T22:00:40"/>
    <n v="1.1813878629662419E-2"/>
    <m/>
    <s v="ASSETKRKEASSETUSDT"/>
    <s v="ASSETKRKE"/>
    <x v="0"/>
    <x v="10"/>
    <m/>
    <s v="USDT"/>
    <n v="0.99875459835622493"/>
  </r>
  <r>
    <x v="29"/>
    <n v="8.93329E-3"/>
    <x v="0"/>
    <x v="90"/>
    <x v="6"/>
    <s v="20221113"/>
    <d v="2022-11-13T22:00:40"/>
    <n v="7.8894331383358885E-4"/>
    <m/>
    <s v="ASSETKRKEASSETXLM"/>
    <s v="ASSETKRKE"/>
    <x v="0"/>
    <x v="10"/>
    <m/>
    <s v="XLM"/>
    <n v="8.8314978449550927E-2"/>
  </r>
  <r>
    <x v="29"/>
    <n v="0.71704489000000005"/>
    <x v="0"/>
    <x v="29"/>
    <x v="6"/>
    <s v="20221113"/>
    <d v="2022-11-13T22:00:40"/>
    <n v="0.24400781677652089"/>
    <m/>
    <s v="ASSETKRKEASSETXRP"/>
    <s v="ASSETKRKE"/>
    <x v="0"/>
    <x v="10"/>
    <m/>
    <s v="XRP"/>
    <n v="0.34029643078067379"/>
  </r>
  <r>
    <x v="30"/>
    <n v="5377"/>
    <x v="0"/>
    <x v="6"/>
    <x v="22"/>
    <s v="20221113"/>
    <d v="2022-11-13T00:00:00"/>
    <n v="535799.27126856288"/>
    <m/>
    <s v="FUNDGALAXYFUNDBCH"/>
    <s v="FUNDGALAXY"/>
    <x v="1"/>
    <x v="11"/>
    <m/>
    <s v="BCH"/>
    <n v="99.646507582027681"/>
  </r>
  <r>
    <x v="30"/>
    <n v="5000"/>
    <x v="0"/>
    <x v="10"/>
    <x v="22"/>
    <s v="20221113"/>
    <d v="2022-11-13T00:00:00"/>
    <n v="193723.1905293829"/>
    <m/>
    <s v="FUNDGALAXYFUNDCOMP"/>
    <s v="FUNDGALAXY"/>
    <x v="1"/>
    <x v="11"/>
    <m/>
    <s v="COMP"/>
    <n v="38.744638105876575"/>
  </r>
  <r>
    <x v="30"/>
    <n v="98000"/>
    <x v="0"/>
    <x v="24"/>
    <x v="22"/>
    <s v="20221113"/>
    <d v="2022-11-13T00:00:00"/>
    <n v="1955849.701204041"/>
    <m/>
    <s v="FUNDGALAXYFUNDETC"/>
    <s v="FUNDGALAXY"/>
    <x v="1"/>
    <x v="11"/>
    <m/>
    <s v="ETC"/>
    <n v="19.957650012286138"/>
  </r>
  <r>
    <x v="30"/>
    <n v="187000000000"/>
    <x v="0"/>
    <x v="46"/>
    <x v="22"/>
    <s v="20221113"/>
    <d v="2022-11-13T00:00:00"/>
    <n v="1688293.498807098"/>
    <m/>
    <s v="FUNDGALAXYFUNDSHIB"/>
    <s v="FUNDGALAXY"/>
    <x v="1"/>
    <x v="11"/>
    <m/>
    <s v="SHIB"/>
    <n v="9.0283074802518606E-6"/>
  </r>
  <r>
    <x v="30"/>
    <n v="4"/>
    <x v="0"/>
    <x v="92"/>
    <x v="22"/>
    <s v="20221113"/>
    <d v="2022-11-13T00:00:00"/>
    <n v="22850.760965968111"/>
    <m/>
    <s v="FUNDGALAXYFUNDYFI"/>
    <s v="FUNDGALAXY"/>
    <x v="1"/>
    <x v="11"/>
    <m/>
    <s v="YFI"/>
    <n v="5712.6902414920287"/>
  </r>
  <r>
    <x v="31"/>
    <n v="5.0000000000000001E-4"/>
    <x v="0"/>
    <x v="15"/>
    <x v="6"/>
    <s v="20221113"/>
    <d v="2022-11-13T00:00:01"/>
    <n v="0.6109096088658249"/>
    <m/>
    <s v="ASSETLMACASSETETH"/>
    <s v="ASSETLMAC"/>
    <x v="0"/>
    <x v="12"/>
    <m/>
    <s v="ETH"/>
    <n v="1221.8192177316503"/>
  </r>
  <r>
    <x v="31"/>
    <n v="2.63E-3"/>
    <x v="0"/>
    <x v="26"/>
    <x v="6"/>
    <s v="20221113"/>
    <d v="2022-11-13T00:00:01"/>
    <n v="2.63E-3"/>
    <m/>
    <s v="ASSETLMACASSETUSD"/>
    <s v="ASSETLMAC"/>
    <x v="0"/>
    <x v="12"/>
    <m/>
    <s v="USD"/>
    <n v="1"/>
  </r>
  <r>
    <x v="32"/>
    <n v="10138.885630000001"/>
    <x v="0"/>
    <x v="26"/>
    <x v="6"/>
    <s v="20221113"/>
    <d v="2022-11-13T00:00:01"/>
    <n v="10138.885630000001"/>
    <m/>
    <s v="ASSETLMAXASSETUSD"/>
    <s v="ASSETLMAX"/>
    <x v="0"/>
    <x v="13"/>
    <m/>
    <s v="USD"/>
    <n v="1"/>
  </r>
  <r>
    <x v="33"/>
    <n v="217.23508133999999"/>
    <x v="1"/>
    <x v="8"/>
    <x v="23"/>
    <s v="20221113"/>
    <d v="2022-11-14T00:00:00"/>
    <n v="3552524.7317535169"/>
    <m/>
    <s v="ASSETOKEXASSETBTC"/>
    <s v="ASSETOKEX"/>
    <x v="0"/>
    <x v="14"/>
    <m/>
    <s v="BTC"/>
    <n v="16353.365717176106"/>
  </r>
  <r>
    <x v="33"/>
    <n v="28.219449350000001"/>
    <x v="2"/>
    <x v="8"/>
    <x v="23"/>
    <s v="20221113"/>
    <d v="2022-11-14T00:00:00"/>
    <n v="461482.97555787739"/>
    <m/>
    <s v="ASSETOKEXASSETBTC"/>
    <s v="ASSETOKEX"/>
    <x v="0"/>
    <x v="14"/>
    <m/>
    <s v="BTC"/>
    <n v="16353.365717176106"/>
  </r>
  <r>
    <x v="33"/>
    <n v="6019.3476588599997"/>
    <x v="1"/>
    <x v="15"/>
    <x v="23"/>
    <s v="20221113"/>
    <d v="2022-11-14T00:00:00"/>
    <n v="7354554.6478031622"/>
    <m/>
    <s v="ASSETOKEXASSETETH"/>
    <s v="ASSETOKEX"/>
    <x v="0"/>
    <x v="14"/>
    <m/>
    <s v="ETH"/>
    <n v="1221.8192177316503"/>
  </r>
  <r>
    <x v="33"/>
    <n v="192.55910700999999"/>
    <x v="2"/>
    <x v="15"/>
    <x v="23"/>
    <s v="20221113"/>
    <d v="2022-11-14T00:00:00"/>
    <n v="235272.41749406321"/>
    <m/>
    <s v="ASSETOKEXASSETETH"/>
    <s v="ASSETOKEX"/>
    <x v="0"/>
    <x v="14"/>
    <m/>
    <s v="ETH"/>
    <n v="1221.8192177316503"/>
  </r>
  <r>
    <x v="33"/>
    <n v="0.44933625999999999"/>
    <x v="1"/>
    <x v="29"/>
    <x v="23"/>
    <s v="20221113"/>
    <d v="2022-11-14T00:00:00"/>
    <n v="0.15290752549833689"/>
    <m/>
    <s v="ASSETOKEXASSETXRP"/>
    <s v="ASSETOKEX"/>
    <x v="0"/>
    <x v="14"/>
    <m/>
    <s v="XRP"/>
    <n v="0.34029643078067379"/>
  </r>
  <r>
    <x v="34"/>
    <n v="56.148104859999997"/>
    <x v="1"/>
    <x v="8"/>
    <x v="24"/>
    <s v="20221113"/>
    <d v="2022-11-14T00:00:00"/>
    <n v="918210.49310193269"/>
    <m/>
    <s v="ASSETOKEXASSETBTC"/>
    <s v="ASSETOKEX"/>
    <x v="0"/>
    <x v="14"/>
    <m/>
    <s v="BTC"/>
    <n v="16353.365717176106"/>
  </r>
  <r>
    <x v="34"/>
    <n v="-5.4595830999999997"/>
    <x v="2"/>
    <x v="8"/>
    <x v="24"/>
    <s v="20221113"/>
    <d v="2022-11-14T00:00:00"/>
    <n v="-89282.559097614008"/>
    <m/>
    <s v="ASSETOKEXASSETBTC"/>
    <s v="ASSETOKEX"/>
    <x v="0"/>
    <x v="14"/>
    <m/>
    <s v="BTC"/>
    <n v="16353.365717176106"/>
  </r>
  <r>
    <x v="34"/>
    <n v="150"/>
    <x v="1"/>
    <x v="15"/>
    <x v="24"/>
    <s v="20221113"/>
    <d v="2022-11-14T00:00:00"/>
    <n v="183272.8826597475"/>
    <m/>
    <s v="ASSETOKEXASSETETH"/>
    <s v="ASSETOKEX"/>
    <x v="0"/>
    <x v="14"/>
    <m/>
    <s v="ETH"/>
    <n v="1221.8192177316503"/>
  </r>
  <r>
    <x v="34"/>
    <n v="16911260.95220232"/>
    <x v="1"/>
    <x v="23"/>
    <x v="24"/>
    <s v="20221113"/>
    <d v="2022-11-14T00:00:00"/>
    <n v="16890199.640014142"/>
    <m/>
    <s v="ASSETOKEXASSETUSDT"/>
    <s v="ASSETOKEX"/>
    <x v="0"/>
    <x v="14"/>
    <m/>
    <s v="USDT"/>
    <n v="0.99875459835622493"/>
  </r>
  <r>
    <x v="34"/>
    <n v="669133.19786753994"/>
    <x v="2"/>
    <x v="23"/>
    <x v="24"/>
    <s v="20221113"/>
    <d v="2022-11-14T00:00:00"/>
    <n v="668299.85828301113"/>
    <m/>
    <s v="ASSETOKEXASSETUSDT"/>
    <s v="ASSETOKEX"/>
    <x v="0"/>
    <x v="14"/>
    <m/>
    <s v="USDT"/>
    <n v="0.99875459835622493"/>
  </r>
  <r>
    <x v="35"/>
    <n v="4.3688520899999999"/>
    <x v="1"/>
    <x v="8"/>
    <x v="11"/>
    <s v="20221113"/>
    <d v="2022-11-14T00:00:00"/>
    <n v="71445.435992019149"/>
    <m/>
    <s v="ASSETOKEXASSETBTC"/>
    <s v="ASSETOKEX"/>
    <x v="0"/>
    <x v="14"/>
    <m/>
    <s v="BTC"/>
    <n v="16353.365717176106"/>
  </r>
  <r>
    <x v="35"/>
    <n v="-19308.570061800001"/>
    <x v="2"/>
    <x v="23"/>
    <x v="11"/>
    <s v="20221113"/>
    <d v="2022-11-14T00:00:00"/>
    <n v="-19284.523136906089"/>
    <m/>
    <s v="ASSETOKEXASSETUSDT"/>
    <s v="ASSETOKEX"/>
    <x v="0"/>
    <x v="14"/>
    <m/>
    <s v="USDT"/>
    <n v="0.99875459835622493"/>
  </r>
  <r>
    <x v="36"/>
    <n v="109.51263598"/>
    <x v="2"/>
    <x v="6"/>
    <x v="25"/>
    <s v="20221113"/>
    <d v="2022-11-14T00:00:00"/>
    <n v="10912.55171150891"/>
    <m/>
    <s v="ASSETOKEXASSETBCH"/>
    <s v="ASSETOKEX"/>
    <x v="0"/>
    <x v="14"/>
    <m/>
    <s v="BCH"/>
    <n v="99.646507582027681"/>
  </r>
  <r>
    <x v="36"/>
    <n v="116.49041591"/>
    <x v="1"/>
    <x v="8"/>
    <x v="25"/>
    <s v="20221113"/>
    <d v="2022-11-14T00:00:00"/>
    <n v="1905010.373922179"/>
    <m/>
    <s v="ASSETOKEXASSETBTC"/>
    <s v="ASSETOKEX"/>
    <x v="0"/>
    <x v="14"/>
    <m/>
    <s v="BTC"/>
    <n v="16353.365717176106"/>
  </r>
  <r>
    <x v="36"/>
    <n v="-9.9421561700000005"/>
    <x v="2"/>
    <x v="8"/>
    <x v="25"/>
    <s v="20221113"/>
    <d v="2022-11-14T00:00:00"/>
    <n v="-162587.7158652888"/>
    <m/>
    <s v="ASSETOKEXASSETBTC"/>
    <s v="ASSETOKEX"/>
    <x v="0"/>
    <x v="14"/>
    <m/>
    <s v="BTC"/>
    <n v="16353.365717176106"/>
  </r>
  <r>
    <x v="36"/>
    <n v="147536.53602641"/>
    <x v="1"/>
    <x v="14"/>
    <x v="25"/>
    <s v="20221113"/>
    <d v="2022-11-14T00:00:00"/>
    <n v="130800.92225233369"/>
    <m/>
    <s v="ASSETOKEXASSETEOS"/>
    <s v="ASSETOKEX"/>
    <x v="0"/>
    <x v="14"/>
    <m/>
    <s v="EOS"/>
    <n v="0.88656630943890025"/>
  </r>
  <r>
    <x v="36"/>
    <n v="2.6927651300000002"/>
    <x v="2"/>
    <x v="15"/>
    <x v="25"/>
    <s v="20221113"/>
    <d v="2022-11-14T00:00:00"/>
    <n v="3290.0721846716651"/>
    <m/>
    <s v="ASSETOKEXASSETETH"/>
    <s v="ASSETOKEX"/>
    <x v="0"/>
    <x v="14"/>
    <m/>
    <s v="ETH"/>
    <n v="1221.8192177316503"/>
  </r>
  <r>
    <x v="36"/>
    <n v="3634.88810483"/>
    <x v="1"/>
    <x v="19"/>
    <x v="25"/>
    <s v="20221113"/>
    <d v="2022-11-14T00:00:00"/>
    <n v="208959.44473793509"/>
    <m/>
    <s v="ASSETOKEXASSETLTC"/>
    <s v="ASSETOKEX"/>
    <x v="0"/>
    <x v="14"/>
    <m/>
    <s v="LTC"/>
    <n v="57.487173940862725"/>
  </r>
  <r>
    <x v="36"/>
    <n v="1.4073850000000001E-2"/>
    <x v="2"/>
    <x v="19"/>
    <x v="25"/>
    <s v="20221113"/>
    <d v="2022-11-14T00:00:00"/>
    <n v="0.80906586296761107"/>
    <m/>
    <s v="ASSETOKEXASSETLTC"/>
    <s v="ASSETOKEX"/>
    <x v="0"/>
    <x v="14"/>
    <m/>
    <s v="LTC"/>
    <n v="57.487173940862725"/>
  </r>
  <r>
    <x v="36"/>
    <n v="387813.07240811997"/>
    <x v="1"/>
    <x v="21"/>
    <x v="25"/>
    <s v="20221113"/>
    <d v="2022-11-14T00:00:00"/>
    <n v="31628.319773742609"/>
    <m/>
    <s v="ASSETOKEXASSETOXT"/>
    <s v="ASSETOKEX"/>
    <x v="0"/>
    <x v="14"/>
    <m/>
    <s v="OXT"/>
    <n v="8.1555579282944213E-2"/>
  </r>
  <r>
    <x v="36"/>
    <n v="45993374.128806897"/>
    <x v="1"/>
    <x v="23"/>
    <x v="25"/>
    <s v="20221113"/>
    <d v="2022-11-14T00:00:00"/>
    <n v="45936093.905064113"/>
    <m/>
    <s v="ASSETOKEXASSETUSDT"/>
    <s v="ASSETOKEX"/>
    <x v="0"/>
    <x v="14"/>
    <m/>
    <s v="USDT"/>
    <n v="0.99875459835622493"/>
  </r>
  <r>
    <x v="36"/>
    <n v="1411806.3795819699"/>
    <x v="2"/>
    <x v="23"/>
    <x v="25"/>
    <s v="20221113"/>
    <d v="2022-11-14T00:00:00"/>
    <n v="1410048.113596146"/>
    <m/>
    <s v="ASSETOKEXASSETUSDT"/>
    <s v="ASSETOKEX"/>
    <x v="0"/>
    <x v="14"/>
    <m/>
    <s v="USDT"/>
    <n v="0.99875459835622493"/>
  </r>
  <r>
    <x v="36"/>
    <n v="2875.5411443900002"/>
    <x v="1"/>
    <x v="29"/>
    <x v="25"/>
    <s v="20221113"/>
    <d v="2022-11-14T00:00:00"/>
    <n v="978.53638799889131"/>
    <m/>
    <s v="ASSETOKEXASSETXRP"/>
    <s v="ASSETOKEX"/>
    <x v="0"/>
    <x v="14"/>
    <m/>
    <s v="XRP"/>
    <n v="0.34029643078067379"/>
  </r>
  <r>
    <x v="36"/>
    <n v="1325303.8365750101"/>
    <x v="1"/>
    <x v="94"/>
    <x v="25"/>
    <s v="20221113"/>
    <d v="2022-11-14T00:00:00"/>
    <n v="27602.946395344909"/>
    <m/>
    <s v="ASSETOKEXASSETZIL"/>
    <s v="ASSETOKEX"/>
    <x v="0"/>
    <x v="14"/>
    <m/>
    <s v="ZIL"/>
    <n v="2.082763637557962E-2"/>
  </r>
  <r>
    <x v="37"/>
    <n v="0.86729455"/>
    <x v="1"/>
    <x v="42"/>
    <x v="26"/>
    <s v="20221113"/>
    <d v="2022-11-14T00:00:00"/>
    <n v="33.580489683509107"/>
    <m/>
    <s v="ASSETOKEXASSETBSV"/>
    <s v="ASSETOKEX"/>
    <x v="0"/>
    <x v="14"/>
    <m/>
    <s v="BSV"/>
    <n v="38.718667935258104"/>
  </r>
  <r>
    <x v="37"/>
    <n v="105"/>
    <x v="1"/>
    <x v="8"/>
    <x v="26"/>
    <s v="20221113"/>
    <d v="2022-11-14T02:21:20"/>
    <n v="1717103.40030349"/>
    <m/>
    <s v="ASSETOKEXASSETBTC"/>
    <s v="ASSETOKEX"/>
    <x v="0"/>
    <x v="14"/>
    <m/>
    <s v="BTC"/>
    <n v="16353.365717176106"/>
  </r>
  <r>
    <x v="37"/>
    <n v="6.8575999999999999E-4"/>
    <x v="1"/>
    <x v="13"/>
    <x v="26"/>
    <s v="20221113"/>
    <d v="2022-11-14T00:00:00"/>
    <n v="3.9453473266980654E-3"/>
    <m/>
    <s v="ASSETOKEXASSETDOT"/>
    <s v="ASSETOKEX"/>
    <x v="0"/>
    <x v="14"/>
    <m/>
    <s v="DOT"/>
    <n v="5.7532479682367974"/>
  </r>
  <r>
    <x v="37"/>
    <n v="7.2000000000000005E-4"/>
    <x v="1"/>
    <x v="15"/>
    <x v="26"/>
    <s v="20221113"/>
    <d v="2022-11-14T00:00:00"/>
    <n v="0.87970983676678793"/>
    <m/>
    <s v="ASSETOKEXASSETETH"/>
    <s v="ASSETOKEX"/>
    <x v="0"/>
    <x v="14"/>
    <m/>
    <s v="ETH"/>
    <n v="1221.8192177316503"/>
  </r>
  <r>
    <x v="37"/>
    <n v="8.7929999999999993E-5"/>
    <x v="1"/>
    <x v="25"/>
    <x v="26"/>
    <s v="20221113"/>
    <d v="2022-11-14T00:00:00"/>
    <n v="3.4263446535171162E-4"/>
    <m/>
    <s v="ASSETOKEXASSETETHW"/>
    <s v="ASSETOKEX"/>
    <x v="0"/>
    <x v="14"/>
    <m/>
    <s v="ETHW"/>
    <n v="3.8966730962323619"/>
  </r>
  <r>
    <x v="37"/>
    <n v="7.5870867500000001"/>
    <x v="1"/>
    <x v="18"/>
    <x v="26"/>
    <s v="20221113"/>
    <d v="2022-11-14T00:00:00"/>
    <n v="46.072177056415278"/>
    <m/>
    <s v="ASSETOKEXASSETLINK"/>
    <s v="ASSETOKEX"/>
    <x v="0"/>
    <x v="14"/>
    <m/>
    <s v="LINK"/>
    <n v="6.0724463255168759"/>
  </r>
  <r>
    <x v="37"/>
    <n v="8.1457000000000003E-4"/>
    <x v="1"/>
    <x v="46"/>
    <x v="26"/>
    <s v="20221113"/>
    <d v="2022-11-14T00:00:00"/>
    <n v="7.3541884241887576E-9"/>
    <m/>
    <s v="ASSETOKEXASSETSHIB"/>
    <s v="ASSETOKEX"/>
    <x v="0"/>
    <x v="14"/>
    <m/>
    <s v="SHIB"/>
    <n v="9.0283074802518606E-6"/>
  </r>
  <r>
    <x v="37"/>
    <n v="6.3999999999999997E-5"/>
    <x v="1"/>
    <x v="23"/>
    <x v="26"/>
    <s v="20221113"/>
    <d v="2022-11-14T00:00:00"/>
    <n v="6.3920294294798381E-5"/>
    <m/>
    <s v="ASSETOKEXASSETUSDT"/>
    <s v="ASSETOKEX"/>
    <x v="0"/>
    <x v="14"/>
    <m/>
    <s v="USDT"/>
    <n v="0.99875459835622493"/>
  </r>
  <r>
    <x v="37"/>
    <n v="5.47"/>
    <x v="1"/>
    <x v="89"/>
    <x v="26"/>
    <s v="20221113"/>
    <d v="2022-11-14T00:00:00"/>
    <n v="1.5561459982967789E-4"/>
    <m/>
    <s v="ASSETOKEXASSETXEC"/>
    <s v="ASSETOKEX"/>
    <x v="0"/>
    <x v="14"/>
    <m/>
    <s v="XEC"/>
    <n v="2.8448738542902723E-5"/>
  </r>
  <r>
    <x v="37"/>
    <n v="6.9987000000000001E-4"/>
    <x v="1"/>
    <x v="29"/>
    <x v="26"/>
    <s v="20221113"/>
    <d v="2022-11-14T00:00:00"/>
    <n v="2.381632630104702E-4"/>
    <m/>
    <s v="ASSETOKEXASSETXRP"/>
    <s v="ASSETOKEX"/>
    <x v="0"/>
    <x v="14"/>
    <m/>
    <s v="XRP"/>
    <n v="0.34029643078067379"/>
  </r>
  <r>
    <x v="38"/>
    <n v="7.1361999999999999E-4"/>
    <x v="0"/>
    <x v="15"/>
    <x v="11"/>
    <s v="20221113"/>
    <d v="2022-11-13T21:59:04"/>
    <n v="0.87191463015765991"/>
    <m/>
    <s v="ASSETPITXASSETETH"/>
    <s v="ASSETPITX"/>
    <x v="0"/>
    <x v="15"/>
    <m/>
    <s v="ETH"/>
    <n v="1221.8192177316503"/>
  </r>
  <r>
    <x v="38"/>
    <n v="0.01"/>
    <x v="0"/>
    <x v="16"/>
    <x v="11"/>
    <s v="20221113"/>
    <d v="2022-11-13T21:59:04"/>
    <n v="1.0335499999999999E-2"/>
    <m/>
    <s v="ASSETPITXASSETEUR"/>
    <s v="ASSETPITX"/>
    <x v="0"/>
    <x v="15"/>
    <m/>
    <s v="EUR"/>
    <n v="1.03355"/>
  </r>
  <r>
    <x v="38"/>
    <n v="0.01"/>
    <x v="0"/>
    <x v="95"/>
    <x v="11"/>
    <s v="20221113"/>
    <d v="2022-11-13T21:59:04"/>
    <n v="1.1838899999999999E-2"/>
    <m/>
    <s v="ASSETPITXASSETGBP"/>
    <s v="ASSETPITX"/>
    <x v="0"/>
    <x v="15"/>
    <m/>
    <s v="GBP"/>
    <n v="1.1838899999999999"/>
  </r>
  <r>
    <x v="38"/>
    <n v="0.10983253"/>
    <x v="0"/>
    <x v="96"/>
    <x v="11"/>
    <s v="20221113"/>
    <d v="2022-11-13T21:59:04"/>
    <n v="5.8121018861928813E-3"/>
    <m/>
    <s v="ASSETPITXASSETTRY"/>
    <s v="ASSETPITX"/>
    <x v="0"/>
    <x v="15"/>
    <m/>
    <s v="TRY"/>
    <n v="5.2917854903213844E-2"/>
  </r>
  <r>
    <x v="38"/>
    <n v="6.5778299999999998E-3"/>
    <x v="0"/>
    <x v="26"/>
    <x v="11"/>
    <s v="20221113"/>
    <d v="2022-11-13T21:59:04"/>
    <n v="6.5778299999999998E-3"/>
    <m/>
    <s v="ASSETPITXASSETUSD"/>
    <s v="ASSETPITX"/>
    <x v="0"/>
    <x v="15"/>
    <m/>
    <s v="USD"/>
    <n v="1"/>
  </r>
  <r>
    <x v="38"/>
    <n v="9.9996000000000004E-4"/>
    <x v="0"/>
    <x v="23"/>
    <x v="11"/>
    <s v="20221113"/>
    <d v="2022-11-13T21:59:04"/>
    <n v="9.9871464817229052E-4"/>
    <m/>
    <s v="ASSETPITXASSETUSDT"/>
    <s v="ASSETPITX"/>
    <x v="0"/>
    <x v="15"/>
    <m/>
    <s v="USDT"/>
    <n v="0.99875459835622493"/>
  </r>
  <r>
    <x v="38"/>
    <n v="9.9999999999999995E-8"/>
    <x v="0"/>
    <x v="90"/>
    <x v="11"/>
    <s v="20221113"/>
    <d v="2022-11-13T21:59:04"/>
    <n v="8.8314978449550921E-9"/>
    <m/>
    <s v="ASSETPITXASSETXLM"/>
    <s v="ASSETPITX"/>
    <x v="0"/>
    <x v="15"/>
    <m/>
    <s v="XLM"/>
    <n v="8.8314978449550927E-2"/>
  </r>
  <r>
    <x v="39"/>
    <n v="3189967.2936231201"/>
    <x v="0"/>
    <x v="97"/>
    <x v="11"/>
    <s v="20221113"/>
    <d v="2022-11-14T00:00:00"/>
    <n v="27700.14279195312"/>
    <m/>
    <s v="ASSETSHFT WALLETASSETSHFT"/>
    <s v="ASSETSHFT WALLET"/>
    <x v="0"/>
    <x v="16"/>
    <m/>
    <s v="SHFT"/>
    <n v="8.6835193725424333E-3"/>
  </r>
  <r>
    <x v="40"/>
    <n v="59"/>
    <x v="0"/>
    <x v="1"/>
    <x v="11"/>
    <s v="20221113"/>
    <d v="2022-11-14T00:00:00"/>
    <n v="19.477492173636382"/>
    <m/>
    <s v="ASSETWOOXASSETADA"/>
    <s v="ASSETWOOX"/>
    <x v="0"/>
    <x v="17"/>
    <m/>
    <s v="ADA"/>
    <n v="0.33012698599383689"/>
  </r>
  <r>
    <x v="40"/>
    <n v="1267.7570125100001"/>
    <x v="0"/>
    <x v="25"/>
    <x v="11"/>
    <s v="20221113"/>
    <d v="2022-11-14T00:00:00"/>
    <n v="4940.0346432076312"/>
    <m/>
    <s v="ASSETWOOXASSETETHW"/>
    <s v="ASSETWOOX"/>
    <x v="0"/>
    <x v="17"/>
    <m/>
    <s v="ETHW"/>
    <n v="3.8966730962323619"/>
  </r>
  <r>
    <x v="40"/>
    <n v="9315180.2629010305"/>
    <x v="0"/>
    <x v="23"/>
    <x v="11"/>
    <s v="20221113"/>
    <d v="2022-11-14T00:00:00"/>
    <n v="9303579.1220895518"/>
    <m/>
    <s v="ASSETWOOXASSETUSDT"/>
    <s v="ASSETWOOX"/>
    <x v="0"/>
    <x v="17"/>
    <m/>
    <s v="USDT"/>
    <n v="0.99875459835622493"/>
  </r>
  <r>
    <x v="40"/>
    <n v="1644286.05309931"/>
    <x v="0"/>
    <x v="98"/>
    <x v="11"/>
    <s v="20221113"/>
    <d v="2022-11-14T00:00:00"/>
    <n v="197711.5992414417"/>
    <m/>
    <s v="ASSETWOOXASSETWOO"/>
    <s v="ASSETWOOX"/>
    <x v="0"/>
    <x v="17"/>
    <m/>
    <s v="WOO"/>
    <n v="0.12024160812455696"/>
  </r>
  <r>
    <x v="41"/>
    <n v="4.0782600000000002E-3"/>
    <x v="0"/>
    <x v="4"/>
    <x v="11"/>
    <s v="20221113"/>
    <d v="2022-11-13T23:31:39"/>
    <n v="5.3229532250203708E-2"/>
    <m/>
    <s v="ASSETFBLKASSETAVAX"/>
    <s v="ASSETFBLK"/>
    <x v="0"/>
    <x v="18"/>
    <m/>
    <s v="AVAX"/>
    <n v="13.052020285661948"/>
  </r>
  <r>
    <x v="41"/>
    <n v="7.9466503799999986"/>
    <x v="0"/>
    <x v="8"/>
    <x v="11"/>
    <s v="20221113"/>
    <d v="2022-11-13T23:31:39"/>
    <n v="129954.4798906764"/>
    <m/>
    <s v="ASSETFBLKASSETBTC"/>
    <s v="ASSETFBLK"/>
    <x v="0"/>
    <x v="18"/>
    <m/>
    <s v="BTC"/>
    <n v="16353.365717176106"/>
  </r>
  <r>
    <x v="41"/>
    <n v="0.06"/>
    <x v="0"/>
    <x v="10"/>
    <x v="11"/>
    <s v="20221113"/>
    <d v="2022-11-13T23:31:39"/>
    <n v="2.324678286352595"/>
    <m/>
    <s v="ASSETFBLKASSETCOMP"/>
    <s v="ASSETFBLK"/>
    <x v="0"/>
    <x v="18"/>
    <m/>
    <s v="COMP"/>
    <n v="38.744638105876575"/>
  </r>
  <r>
    <x v="41"/>
    <n v="2.0019999999999998"/>
    <x v="0"/>
    <x v="13"/>
    <x v="11"/>
    <s v="20221113"/>
    <d v="2022-11-13T23:31:39"/>
    <n v="11.51800243241007"/>
    <m/>
    <s v="ASSETFBLKASSETDOT"/>
    <s v="ASSETFBLK"/>
    <x v="0"/>
    <x v="18"/>
    <m/>
    <s v="DOT"/>
    <n v="5.7532479682367974"/>
  </r>
  <r>
    <x v="41"/>
    <n v="3.5000000000000001E-3"/>
    <x v="0"/>
    <x v="14"/>
    <x v="11"/>
    <s v="20221113"/>
    <d v="2022-11-13T23:31:39"/>
    <n v="3.1029820830361511E-3"/>
    <m/>
    <s v="ASSETFBLKASSETEOS"/>
    <s v="ASSETFBLK"/>
    <x v="0"/>
    <x v="18"/>
    <m/>
    <s v="EOS"/>
    <n v="0.88656630943890025"/>
  </r>
  <r>
    <x v="41"/>
    <n v="5.8799999999999999E-5"/>
    <x v="0"/>
    <x v="24"/>
    <x v="11"/>
    <s v="20221113"/>
    <d v="2022-11-13T23:31:39"/>
    <n v="1.173509820722425E-3"/>
    <m/>
    <s v="ASSETFBLKASSETETC"/>
    <s v="ASSETFBLK"/>
    <x v="0"/>
    <x v="18"/>
    <m/>
    <s v="ETC"/>
    <n v="19.957650012286138"/>
  </r>
  <r>
    <x v="41"/>
    <n v="6621.5465003899999"/>
    <x v="0"/>
    <x v="15"/>
    <x v="11"/>
    <s v="20221113"/>
    <d v="2022-11-13T23:31:39"/>
    <n v="8090332.7652802533"/>
    <m/>
    <s v="ASSETFBLKASSETETH"/>
    <s v="ASSETFBLK"/>
    <x v="0"/>
    <x v="18"/>
    <m/>
    <s v="ETH"/>
    <n v="1221.8192177316503"/>
  </r>
  <r>
    <x v="41"/>
    <n v="0.42501022999999999"/>
    <x v="0"/>
    <x v="25"/>
    <x v="11"/>
    <s v="20221113"/>
    <d v="2022-11-13T23:31:39"/>
    <n v="1.656125928864528"/>
    <m/>
    <s v="ASSETFBLKASSETETHW"/>
    <s v="ASSETFBLK"/>
    <x v="0"/>
    <x v="18"/>
    <m/>
    <s v="ETHW"/>
    <n v="3.8966730962323619"/>
  </r>
  <r>
    <x v="41"/>
    <n v="5024"/>
    <x v="0"/>
    <x v="60"/>
    <x v="11"/>
    <s v="20221113"/>
    <d v="2022-11-13T23:31:39"/>
    <n v="5185.7436937373186"/>
    <m/>
    <s v="ASSETFBLKASSETEUROC"/>
    <s v="ASSETFBLK"/>
    <x v="0"/>
    <x v="18"/>
    <m/>
    <s v="EUROC"/>
    <n v="1.032194206555995"/>
  </r>
  <r>
    <x v="41"/>
    <n v="8.9826517900000002"/>
    <x v="0"/>
    <x v="99"/>
    <x v="11"/>
    <s v="20221113"/>
    <d v="2022-11-13T23:31:39"/>
    <n v="1.623892634099743"/>
    <m/>
    <s v="ASSETFBLKASSETFTM"/>
    <s v="ASSETFBLK"/>
    <x v="0"/>
    <x v="18"/>
    <m/>
    <s v="FTM"/>
    <n v="0.18078098450922397"/>
  </r>
  <r>
    <x v="41"/>
    <n v="2.53888889"/>
    <x v="0"/>
    <x v="40"/>
    <x v="11"/>
    <s v="20221113"/>
    <d v="2022-11-13T23:31:39"/>
    <n v="3.7810762912031168"/>
    <m/>
    <s v="ASSETFBLKASSETFTT"/>
    <s v="ASSETFBLK"/>
    <x v="0"/>
    <x v="18"/>
    <m/>
    <s v="FTT"/>
    <n v="1.4892641840671956"/>
  </r>
  <r>
    <x v="41"/>
    <n v="79.958187959999989"/>
    <x v="0"/>
    <x v="62"/>
    <x v="11"/>
    <s v="20221113"/>
    <d v="2022-11-13T23:31:39"/>
    <n v="3.624474833894463"/>
    <m/>
    <s v="ASSETFBLKASSETHBAR"/>
    <s v="ASSETFBLK"/>
    <x v="0"/>
    <x v="18"/>
    <m/>
    <s v="HBAR"/>
    <n v="4.5329626975884552E-2"/>
  </r>
  <r>
    <x v="41"/>
    <n v="1.9338685099999999"/>
    <x v="0"/>
    <x v="68"/>
    <x v="11"/>
    <s v="20221113"/>
    <d v="2022-11-13T23:31:39"/>
    <n v="44.850595509763217"/>
    <m/>
    <s v="ASSETFBLKASSETKSM"/>
    <s v="ASSETFBLK"/>
    <x v="0"/>
    <x v="18"/>
    <m/>
    <s v="KSM"/>
    <n v="23.192163933505086"/>
  </r>
  <r>
    <x v="41"/>
    <n v="53.117741070000001"/>
    <x v="0"/>
    <x v="18"/>
    <x v="11"/>
    <s v="20221113"/>
    <d v="2022-11-13T23:31:39"/>
    <n v="322.55463158027828"/>
    <m/>
    <s v="ASSETFBLKASSETLINK"/>
    <s v="ASSETFBLK"/>
    <x v="0"/>
    <x v="18"/>
    <m/>
    <s v="LINK"/>
    <n v="6.0724463255168759"/>
  </r>
  <r>
    <x v="41"/>
    <n v="1111.40706884"/>
    <x v="0"/>
    <x v="19"/>
    <x v="11"/>
    <s v="20221113"/>
    <d v="2022-11-13T23:31:39"/>
    <n v="63891.651485509487"/>
    <m/>
    <s v="ASSETFBLKASSETLTC"/>
    <s v="ASSETFBLK"/>
    <x v="0"/>
    <x v="18"/>
    <m/>
    <s v="LTC"/>
    <n v="57.487173940862725"/>
  </r>
  <r>
    <x v="41"/>
    <n v="5.6554146699999999"/>
    <x v="0"/>
    <x v="100"/>
    <x v="11"/>
    <s v="20221113"/>
    <d v="2022-11-13T23:31:39"/>
    <n v="5.0223484310191928"/>
    <m/>
    <s v="ASSETFBLKASSETMATIC"/>
    <s v="ASSETFBLK"/>
    <x v="0"/>
    <x v="18"/>
    <m/>
    <s v="MATIC"/>
    <n v="0.8880601554579185"/>
  </r>
  <r>
    <x v="41"/>
    <n v="4.7709999999999999"/>
    <x v="0"/>
    <x v="77"/>
    <x v="11"/>
    <s v="20221113"/>
    <d v="2022-11-13T23:31:39"/>
    <n v="5.3869935897813734"/>
    <m/>
    <s v="ASSETFBLKASSETOMG"/>
    <s v="ASSETFBLK"/>
    <x v="0"/>
    <x v="18"/>
    <m/>
    <s v="OMG"/>
    <n v="1.129112049838896"/>
  </r>
  <r>
    <x v="41"/>
    <n v="76.700156329999999"/>
    <x v="0"/>
    <x v="21"/>
    <x v="11"/>
    <s v="20221113"/>
    <d v="2022-11-13T23:31:39"/>
    <n v="6.2553256805855293"/>
    <m/>
    <s v="ASSETFBLKASSETOXT"/>
    <s v="ASSETFBLK"/>
    <x v="0"/>
    <x v="18"/>
    <m/>
    <s v="OXT"/>
    <n v="8.1555579282944213E-2"/>
  </r>
  <r>
    <x v="41"/>
    <n v="2.8970426800000002"/>
    <x v="0"/>
    <x v="22"/>
    <x v="11"/>
    <s v="20221113"/>
    <d v="2022-11-13T23:31:39"/>
    <n v="38.138201150398459"/>
    <m/>
    <s v="ASSETFBLKASSETSOL"/>
    <s v="ASSETFBLK"/>
    <x v="0"/>
    <x v="18"/>
    <m/>
    <s v="SOL"/>
    <n v="13.164528577258812"/>
  </r>
  <r>
    <x v="41"/>
    <n v="0.82786806999999996"/>
    <x v="0"/>
    <x v="85"/>
    <x v="11"/>
    <s v="20221113"/>
    <d v="2022-11-13T23:31:39"/>
    <n v="4.809573020528676"/>
    <m/>
    <s v="ASSETFBLKASSETUNI"/>
    <s v="ASSETFBLK"/>
    <x v="0"/>
    <x v="18"/>
    <m/>
    <s v="UNI"/>
    <n v="5.8095887434439586"/>
  </r>
  <r>
    <x v="41"/>
    <n v="5089258.3810449997"/>
    <x v="0"/>
    <x v="30"/>
    <x v="11"/>
    <s v="20221113"/>
    <d v="2022-11-13T23:31:39"/>
    <n v="5089952.2505408712"/>
    <m/>
    <s v="ASSETFBLKASSETUSDC"/>
    <s v="ASSETFBLK"/>
    <x v="0"/>
    <x v="18"/>
    <m/>
    <s v="USDC"/>
    <n v="1.000136340001611"/>
  </r>
  <r>
    <x v="41"/>
    <n v="35119.677000000003"/>
    <x v="0"/>
    <x v="23"/>
    <x v="11"/>
    <s v="20221113"/>
    <d v="2022-11-13T23:31:39"/>
    <n v="35075.93889653535"/>
    <m/>
    <s v="ASSETFBLKASSETUSDT"/>
    <s v="ASSETFBLK"/>
    <x v="0"/>
    <x v="18"/>
    <m/>
    <s v="USDT"/>
    <n v="0.99875459835622493"/>
  </r>
  <r>
    <x v="41"/>
    <n v="4.0349905000000001"/>
    <x v="0"/>
    <x v="90"/>
    <x v="11"/>
    <s v="20221113"/>
    <d v="2022-11-13T23:31:39"/>
    <n v="0.35635009905164272"/>
    <m/>
    <s v="ASSETFBLKASSETXLM"/>
    <s v="ASSETFBLK"/>
    <x v="0"/>
    <x v="18"/>
    <m/>
    <s v="XLM"/>
    <n v="8.8314978449550927E-2"/>
  </r>
  <r>
    <x v="41"/>
    <n v="313.68989199999999"/>
    <x v="0"/>
    <x v="29"/>
    <x v="11"/>
    <s v="20221113"/>
    <d v="2022-11-13T23:31:39"/>
    <n v="106.74755061957509"/>
    <m/>
    <s v="ASSETFBLKASSETXRP"/>
    <s v="ASSETFBLK"/>
    <x v="0"/>
    <x v="18"/>
    <m/>
    <s v="XRP"/>
    <n v="0.34029643078067379"/>
  </r>
  <r>
    <x v="41"/>
    <n v="7.66849E-3"/>
    <x v="0"/>
    <x v="92"/>
    <x v="11"/>
    <s v="20221113"/>
    <d v="2022-11-13T23:31:39"/>
    <n v="43.807707989979207"/>
    <m/>
    <s v="ASSETFBLKASSETYFI"/>
    <s v="ASSETFBLK"/>
    <x v="0"/>
    <x v="18"/>
    <m/>
    <s v="YFI"/>
    <n v="5712.6902414920287"/>
  </r>
  <r>
    <x v="42"/>
    <n v="-200"/>
    <x v="0"/>
    <x v="0"/>
    <x v="2"/>
    <s v="20221113"/>
    <d v="2022-11-14T00:00:00"/>
    <n v="-11339.45353149857"/>
    <m/>
    <s v="EXCHLOANBINEEXCHLOANAAVE"/>
    <s v="EXCHLOANBINE"/>
    <x v="2"/>
    <x v="0"/>
    <m/>
    <s v="AAVE"/>
    <n v="56.697267657492851"/>
  </r>
  <r>
    <x v="42"/>
    <n v="-20000"/>
    <x v="0"/>
    <x v="1"/>
    <x v="2"/>
    <s v="20221113"/>
    <d v="2022-11-14T00:00:00"/>
    <n v="-6602.5397198767378"/>
    <m/>
    <s v="EXCHLOANBINEEXCHLOANADA"/>
    <s v="EXCHLOANBINE"/>
    <x v="2"/>
    <x v="0"/>
    <m/>
    <s v="ADA"/>
    <n v="0.33012698599383689"/>
  </r>
  <r>
    <x v="42"/>
    <n v="-500"/>
    <x v="0"/>
    <x v="4"/>
    <x v="2"/>
    <s v="20221113"/>
    <d v="2022-11-14T00:00:00"/>
    <n v="-6526.0101428309736"/>
    <m/>
    <s v="EXCHLOANBINEEXCHLOANAVAX"/>
    <s v="EXCHLOANBINE"/>
    <x v="2"/>
    <x v="0"/>
    <m/>
    <s v="AVAX"/>
    <n v="13.052020285661948"/>
  </r>
  <r>
    <x v="42"/>
    <n v="-30000"/>
    <x v="0"/>
    <x v="5"/>
    <x v="2"/>
    <s v="20221113"/>
    <d v="2022-11-14T00:00:00"/>
    <n v="-6692.9921264144768"/>
    <m/>
    <s v="EXCHLOANBINEEXCHLOANBAT"/>
    <s v="EXCHLOANBINE"/>
    <x v="2"/>
    <x v="0"/>
    <m/>
    <s v="BAT"/>
    <n v="0.22309973754714921"/>
  </r>
  <r>
    <x v="42"/>
    <n v="-90"/>
    <x v="0"/>
    <x v="6"/>
    <x v="2"/>
    <s v="20221113"/>
    <d v="2022-11-14T00:00:00"/>
    <n v="-8968.1856823824928"/>
    <m/>
    <s v="EXCHLOANBINEEXCHLOANBCH"/>
    <s v="EXCHLOANBINE"/>
    <x v="2"/>
    <x v="0"/>
    <m/>
    <s v="BCH"/>
    <n v="99.646507582027681"/>
  </r>
  <r>
    <x v="42"/>
    <n v="-82.706702309999997"/>
    <x v="0"/>
    <x v="8"/>
    <x v="2"/>
    <s v="20221113"/>
    <d v="2022-11-14T00:00:00"/>
    <n v="-1352532.9501370429"/>
    <m/>
    <s v="EXCHLOANBINEEXCHLOANBTC"/>
    <s v="EXCHLOANBINE"/>
    <x v="2"/>
    <x v="0"/>
    <m/>
    <s v="BTC"/>
    <n v="16353.365717176106"/>
  </r>
  <r>
    <x v="42"/>
    <n v="-5463307.5175532"/>
    <x v="0"/>
    <x v="9"/>
    <x v="2"/>
    <s v="20221113"/>
    <d v="2022-11-14T00:00:00"/>
    <n v="-5469288.1649546353"/>
    <m/>
    <s v="EXCHLOANBINEEXCHLOANBUSD"/>
    <s v="EXCHLOANBINE"/>
    <x v="2"/>
    <x v="0"/>
    <m/>
    <s v="BUSD"/>
    <n v="1.0010946935317513"/>
  </r>
  <r>
    <x v="42"/>
    <n v="-4800"/>
    <x v="0"/>
    <x v="10"/>
    <x v="2"/>
    <s v="20221113"/>
    <d v="2022-11-14T00:00:00"/>
    <n v="-185974.2629082076"/>
    <m/>
    <s v="EXCHLOANBINEEXCHLOANCOMP"/>
    <s v="EXCHLOANBINE"/>
    <x v="2"/>
    <x v="0"/>
    <m/>
    <s v="COMP"/>
    <n v="38.744638105876575"/>
  </r>
  <r>
    <x v="42"/>
    <n v="-180000"/>
    <x v="0"/>
    <x v="12"/>
    <x v="2"/>
    <s v="20221113"/>
    <d v="2022-11-14T00:00:00"/>
    <n v="-15280.73729131007"/>
    <m/>
    <s v="EXCHLOANBINEEXCHLOANDOGE"/>
    <s v="EXCHLOANBINE"/>
    <x v="2"/>
    <x v="0"/>
    <m/>
    <s v="DOGE"/>
    <n v="8.4892984951722608E-2"/>
  </r>
  <r>
    <x v="42"/>
    <n v="-2000"/>
    <x v="0"/>
    <x v="13"/>
    <x v="2"/>
    <s v="20221113"/>
    <d v="2022-11-14T00:00:00"/>
    <n v="-11506.49593647359"/>
    <m/>
    <s v="EXCHLOANBINEEXCHLOANDOT"/>
    <s v="EXCHLOANBINE"/>
    <x v="2"/>
    <x v="0"/>
    <m/>
    <s v="DOT"/>
    <n v="5.7532479682367974"/>
  </r>
  <r>
    <x v="42"/>
    <n v="-20000"/>
    <x v="0"/>
    <x v="20"/>
    <x v="2"/>
    <s v="20221113"/>
    <d v="2022-11-14T00:00:00"/>
    <n v="-8988.2185432560927"/>
    <m/>
    <s v="EXCHLOANBINEEXCHLOANMANA"/>
    <s v="EXCHLOANBINE"/>
    <x v="2"/>
    <x v="0"/>
    <m/>
    <s v="MANA"/>
    <n v="0.44941092716280462"/>
  </r>
  <r>
    <x v="42"/>
    <n v="-6000000000"/>
    <x v="0"/>
    <x v="46"/>
    <x v="2"/>
    <s v="20221113"/>
    <d v="2022-11-14T00:00:00"/>
    <n v="-54169.844881511162"/>
    <m/>
    <s v="EXCHLOANBINEEXCHLOANSHIB"/>
    <s v="EXCHLOANBINE"/>
    <x v="2"/>
    <x v="0"/>
    <m/>
    <s v="SHIB"/>
    <n v="9.0283074802518606E-6"/>
  </r>
  <r>
    <x v="42"/>
    <n v="-60"/>
    <x v="0"/>
    <x v="22"/>
    <x v="2"/>
    <s v="20221113"/>
    <d v="2022-11-14T00:00:00"/>
    <n v="-789.87171463552875"/>
    <m/>
    <s v="EXCHLOANBINEEXCHLOANSOL"/>
    <s v="EXCHLOANBINE"/>
    <x v="2"/>
    <x v="0"/>
    <m/>
    <s v="SOL"/>
    <n v="13.164528577258812"/>
  </r>
  <r>
    <x v="42"/>
    <n v="-100"/>
    <x v="0"/>
    <x v="87"/>
    <x v="2"/>
    <s v="20221113"/>
    <d v="2022-11-14T00:00:00"/>
    <n v="-1.9187923619706171"/>
    <m/>
    <s v="EXCHLOANBINEEXCHLOANVET"/>
    <s v="EXCHLOANBINE"/>
    <x v="2"/>
    <x v="0"/>
    <m/>
    <s v="VET"/>
    <n v="1.9187923619706171E-2"/>
  </r>
  <r>
    <x v="43"/>
    <n v="-11782.51460554"/>
    <x v="6"/>
    <x v="11"/>
    <x v="11"/>
    <s v="20221113"/>
    <d v="2022-11-11T22:00:00"/>
    <n v="-7440.1813921866506"/>
    <m/>
    <s v="EXCHLOANDEFIEXCHLOANCRV"/>
    <s v="EXCHLOANDEFI"/>
    <x v="2"/>
    <x v="4"/>
    <m/>
    <s v="CRV"/>
    <n v="0.63145955182507185"/>
  </r>
  <r>
    <x v="44"/>
    <n v="-3086.8876707200002"/>
    <x v="0"/>
    <x v="6"/>
    <x v="12"/>
    <s v="20221113"/>
    <d v="2022-11-12T03:26:56"/>
    <n v="-307597.57568526833"/>
    <m/>
    <s v="EXCHLOANFTXEEXCHLOANBCH"/>
    <s v="EXCHLOANFTXE"/>
    <x v="2"/>
    <x v="6"/>
    <m/>
    <s v="BCH"/>
    <n v="99.646507582027681"/>
  </r>
  <r>
    <x v="44"/>
    <n v="-11923.311404599999"/>
    <x v="0"/>
    <x v="15"/>
    <x v="12"/>
    <s v="20221113"/>
    <d v="2022-11-12T03:26:56"/>
    <n v="-14568131.013139229"/>
    <m/>
    <s v="EXCHLOANFTXEEXCHLOANETH"/>
    <s v="EXCHLOANFTXE"/>
    <x v="2"/>
    <x v="6"/>
    <m/>
    <s v="ETH"/>
    <n v="1221.8192177316503"/>
  </r>
  <r>
    <x v="44"/>
    <n v="-30046.69684552"/>
    <x v="0"/>
    <x v="18"/>
    <x v="12"/>
    <s v="20221113"/>
    <d v="2022-11-12T03:26:56"/>
    <n v="-182456.9538534974"/>
    <m/>
    <s v="EXCHLOANFTXEEXCHLOANLINK"/>
    <s v="EXCHLOANFTXE"/>
    <x v="2"/>
    <x v="6"/>
    <m/>
    <s v="LINK"/>
    <n v="6.0724463255168759"/>
  </r>
  <r>
    <x v="44"/>
    <n v="-160712.46089824001"/>
    <x v="0"/>
    <x v="77"/>
    <x v="12"/>
    <s v="20221113"/>
    <d v="2022-11-12T03:26:56"/>
    <n v="-181462.3761594652"/>
    <m/>
    <s v="EXCHLOANFTXEEXCHLOANOMG"/>
    <s v="EXCHLOANFTXE"/>
    <x v="2"/>
    <x v="6"/>
    <m/>
    <s v="OMG"/>
    <n v="1.129112049838896"/>
  </r>
  <r>
    <x v="44"/>
    <n v="-4.0319251200000004"/>
    <x v="0"/>
    <x v="92"/>
    <x v="12"/>
    <s v="20221113"/>
    <d v="2022-11-12T03:26:56"/>
    <n v="-23033.13928745058"/>
    <m/>
    <s v="EXCHLOANFTXEEXCHLOANYFI"/>
    <s v="EXCHLOANFTXE"/>
    <x v="2"/>
    <x v="6"/>
    <m/>
    <s v="YFI"/>
    <n v="5712.6902414920287"/>
  </r>
  <r>
    <x v="45"/>
    <n v="-9528648.0788313001"/>
    <x v="0"/>
    <x v="23"/>
    <x v="20"/>
    <s v="20221113"/>
    <d v="2022-11-14T00:00:00"/>
    <n v="-9516781.0848509688"/>
    <m/>
    <s v="EXCHLOANBSCALEEXCHLOANUSDT"/>
    <s v="EXCHLOANBSCALE"/>
    <x v="2"/>
    <x v="9"/>
    <m/>
    <s v="USDT"/>
    <n v="0.99875459835622493"/>
  </r>
  <r>
    <x v="46"/>
    <n v="-29.37"/>
    <x v="7"/>
    <x v="6"/>
    <x v="21"/>
    <s v="20221113"/>
    <d v="2022-11-14T00:00:00"/>
    <n v="-2926.617927684154"/>
    <m/>
    <s v="EXCHLOANHUBIEXCHLOANBCH"/>
    <s v="EXCHLOANHUBI"/>
    <x v="2"/>
    <x v="7"/>
    <m/>
    <s v="BCH"/>
    <n v="99.646507582027681"/>
  </r>
  <r>
    <x v="46"/>
    <n v="-546.37"/>
    <x v="7"/>
    <x v="42"/>
    <x v="21"/>
    <s v="20221113"/>
    <d v="2022-11-14T00:00:00"/>
    <n v="-21154.718599786971"/>
    <m/>
    <s v="EXCHLOANHUBIEXCHLOANBSV"/>
    <s v="EXCHLOANHUBI"/>
    <x v="2"/>
    <x v="7"/>
    <m/>
    <s v="BSV"/>
    <n v="38.718667935258104"/>
  </r>
  <r>
    <x v="46"/>
    <n v="-457203"/>
    <x v="7"/>
    <x v="14"/>
    <x v="21"/>
    <s v="20221113"/>
    <d v="2022-11-14T00:00:00"/>
    <n v="-405340.77637439361"/>
    <m/>
    <s v="EXCHLOANHUBIEXCHLOANEOS"/>
    <s v="EXCHLOANHUBI"/>
    <x v="2"/>
    <x v="7"/>
    <m/>
    <s v="EOS"/>
    <n v="0.88656630943890025"/>
  </r>
  <r>
    <x v="46"/>
    <n v="-1466.27"/>
    <x v="7"/>
    <x v="15"/>
    <x v="21"/>
    <s v="20221113"/>
    <d v="2022-11-14T00:00:00"/>
    <n v="-1791516.864383386"/>
    <m/>
    <s v="EXCHLOANHUBIEXCHLOANETH"/>
    <s v="EXCHLOANHUBI"/>
    <x v="2"/>
    <x v="7"/>
    <m/>
    <s v="ETH"/>
    <n v="1221.8192177316503"/>
  </r>
  <r>
    <x v="46"/>
    <n v="-2073"/>
    <x v="7"/>
    <x v="18"/>
    <x v="21"/>
    <s v="20221113"/>
    <d v="2022-11-14T00:00:00"/>
    <n v="-12588.18123279648"/>
    <m/>
    <s v="EXCHLOANHUBIEXCHLOANLINK"/>
    <s v="EXCHLOANHUBI"/>
    <x v="2"/>
    <x v="7"/>
    <m/>
    <s v="LINK"/>
    <n v="6.0724463255168759"/>
  </r>
  <r>
    <x v="46"/>
    <n v="-5500"/>
    <x v="7"/>
    <x v="19"/>
    <x v="21"/>
    <s v="20221113"/>
    <d v="2022-11-14T00:00:00"/>
    <n v="-316179.45667474507"/>
    <m/>
    <s v="EXCHLOANHUBIEXCHLOANLTC"/>
    <s v="EXCHLOANHUBI"/>
    <x v="2"/>
    <x v="7"/>
    <m/>
    <s v="LTC"/>
    <n v="57.487173940862725"/>
  </r>
  <r>
    <x v="46"/>
    <n v="-8415239.2631500997"/>
    <x v="7"/>
    <x v="23"/>
    <x v="21"/>
    <s v="20221113"/>
    <d v="2022-11-14T00:00:00"/>
    <n v="-8404758.9103390109"/>
    <m/>
    <s v="EXCHLOANHUBIEXCHLOANUSDT"/>
    <s v="EXCHLOANHUBI"/>
    <x v="2"/>
    <x v="7"/>
    <m/>
    <s v="USDT"/>
    <n v="0.99875459835622493"/>
  </r>
  <r>
    <x v="47"/>
    <n v="-3350"/>
    <x v="0"/>
    <x v="8"/>
    <x v="11"/>
    <s v="20221113"/>
    <d v="2022-11-13T00:00:00"/>
    <n v="-54783775.152539931"/>
    <m/>
    <s v="EXCHLOANBULLEXCHLOANBTC"/>
    <s v="EXCHLOANBULL"/>
    <x v="2"/>
    <x v="3"/>
    <m/>
    <s v="BTC"/>
    <n v="16353.365717176106"/>
  </r>
  <r>
    <x v="47"/>
    <n v="-4350826"/>
    <x v="0"/>
    <x v="14"/>
    <x v="11"/>
    <s v="20221113"/>
    <d v="2022-11-13T00:00:00"/>
    <n v="-3857295.7498308131"/>
    <m/>
    <s v="EXCHLOANBULLEXCHLOANEOS"/>
    <s v="EXCHLOANBULL"/>
    <x v="2"/>
    <x v="3"/>
    <m/>
    <s v="EOS"/>
    <n v="0.88656630943890025"/>
  </r>
  <r>
    <x v="47"/>
    <n v="-6500"/>
    <x v="0"/>
    <x v="15"/>
    <x v="11"/>
    <s v="20221113"/>
    <d v="2022-11-13T00:00:00"/>
    <n v="-7941824.9152557245"/>
    <m/>
    <s v="EXCHLOANBULLEXCHLOANETH"/>
    <s v="EXCHLOANBULL"/>
    <x v="2"/>
    <x v="3"/>
    <m/>
    <s v="ETH"/>
    <n v="1221.8192177316503"/>
  </r>
  <r>
    <x v="30"/>
    <n v="-4340.0168467900003"/>
    <x v="0"/>
    <x v="8"/>
    <x v="22"/>
    <s v="20221113"/>
    <d v="2022-11-13T00:00:00"/>
    <n v="-70973882.714262307"/>
    <m/>
    <s v="FUNDGALAXYFUNDBTC"/>
    <s v="FUNDGALAXY"/>
    <x v="1"/>
    <x v="11"/>
    <m/>
    <s v="BTC"/>
    <n v="16353.365717176106"/>
  </r>
  <r>
    <x v="30"/>
    <n v="-38935"/>
    <x v="0"/>
    <x v="15"/>
    <x v="22"/>
    <s v="20221113"/>
    <d v="2022-11-13T00:00:00"/>
    <n v="-47571531.242381789"/>
    <m/>
    <s v="FUNDGALAXYFUNDETH"/>
    <s v="FUNDGALAXY"/>
    <x v="1"/>
    <x v="11"/>
    <m/>
    <s v="ETH"/>
    <n v="1221.8192177316503"/>
  </r>
  <r>
    <x v="30"/>
    <n v="-30000000"/>
    <x v="0"/>
    <x v="16"/>
    <x v="22"/>
    <s v="20221113"/>
    <d v="2022-11-13T00:00:00"/>
    <n v="-31006500"/>
    <m/>
    <s v="FUNDGALAXYFUNDEUR"/>
    <s v="FUNDGALAXY"/>
    <x v="1"/>
    <x v="11"/>
    <m/>
    <s v="EUR"/>
    <n v="1.03355"/>
  </r>
  <r>
    <x v="30"/>
    <n v="-15000000"/>
    <x v="0"/>
    <x v="60"/>
    <x v="22"/>
    <s v="20221113"/>
    <d v="2022-11-13T00:00:00"/>
    <n v="-15482913.098339921"/>
    <m/>
    <s v="FUNDGALAXYFUNDEUROC"/>
    <s v="FUNDGALAXY"/>
    <x v="1"/>
    <x v="11"/>
    <m/>
    <s v="EUROC"/>
    <n v="1.032194206555995"/>
  </r>
  <r>
    <x v="30"/>
    <n v="-51200000"/>
    <x v="0"/>
    <x v="26"/>
    <x v="22"/>
    <s v="20221113"/>
    <d v="2022-11-13T00:00:00"/>
    <n v="-51200000"/>
    <m/>
    <s v="FUNDGALAXYFUNDUSD"/>
    <s v="FUNDGALAXY"/>
    <x v="1"/>
    <x v="11"/>
    <m/>
    <s v="USD"/>
    <n v="1"/>
  </r>
  <r>
    <x v="30"/>
    <n v="-127000000"/>
    <x v="0"/>
    <x v="30"/>
    <x v="22"/>
    <s v="20221113"/>
    <d v="2022-11-13T00:00:00"/>
    <n v="-127017315.1802046"/>
    <m/>
    <s v="FUNDGALAXYFUNDUSDC"/>
    <s v="FUNDGALAXY"/>
    <x v="1"/>
    <x v="11"/>
    <m/>
    <s v="USDC"/>
    <n v="1.000136340001611"/>
  </r>
  <r>
    <x v="30"/>
    <n v="-20000000"/>
    <x v="0"/>
    <x v="94"/>
    <x v="22"/>
    <s v="20221113"/>
    <d v="2022-11-13T00:00:00"/>
    <n v="-416552.72751159238"/>
    <m/>
    <s v="FUNDGALAXYFUNDZIL"/>
    <s v="FUNDGALAXY"/>
    <x v="1"/>
    <x v="11"/>
    <m/>
    <s v="ZIL"/>
    <n v="2.082763637557962E-2"/>
  </r>
  <r>
    <x v="48"/>
    <n v="-5000"/>
    <x v="0"/>
    <x v="6"/>
    <x v="27"/>
    <s v="20221113"/>
    <d v="2022-11-13T00:00:00"/>
    <n v="-498232.53791013849"/>
    <m/>
    <s v="EXCHLOANHUBIEXCHLOANBCH"/>
    <s v="EXCHLOANHUBI"/>
    <x v="2"/>
    <x v="7"/>
    <m/>
    <s v="BCH"/>
    <n v="99.646507582027681"/>
  </r>
  <r>
    <x v="48"/>
    <n v="-3600"/>
    <x v="0"/>
    <x v="42"/>
    <x v="27"/>
    <s v="20221113"/>
    <d v="2022-11-13T00:00:00"/>
    <n v="-139387.2045669292"/>
    <m/>
    <s v="EXCHLOANHUBIEXCHLOANBSV"/>
    <s v="EXCHLOANHUBI"/>
    <x v="2"/>
    <x v="7"/>
    <m/>
    <s v="BSV"/>
    <n v="38.718667935258104"/>
  </r>
  <r>
    <x v="48"/>
    <n v="-40000"/>
    <x v="0"/>
    <x v="13"/>
    <x v="27"/>
    <s v="20221113"/>
    <d v="2022-11-13T00:00:00"/>
    <n v="-230129.91872947189"/>
    <m/>
    <s v="EXCHLOANHUBIEXCHLOANDOT"/>
    <s v="EXCHLOANHUBI"/>
    <x v="2"/>
    <x v="7"/>
    <m/>
    <s v="DOT"/>
    <n v="5.7532479682367974"/>
  </r>
  <r>
    <x v="48"/>
    <n v="-160000"/>
    <x v="0"/>
    <x v="14"/>
    <x v="27"/>
    <s v="20221113"/>
    <d v="2022-11-13T00:00:00"/>
    <n v="-141850.60951022411"/>
    <m/>
    <s v="EXCHLOANHUBIEXCHLOANEOS"/>
    <s v="EXCHLOANHUBI"/>
    <x v="2"/>
    <x v="7"/>
    <m/>
    <s v="EOS"/>
    <n v="0.88656630943890025"/>
  </r>
  <r>
    <x v="48"/>
    <n v="-108000"/>
    <x v="0"/>
    <x v="24"/>
    <x v="27"/>
    <s v="20221113"/>
    <d v="2022-11-13T00:00:00"/>
    <n v="-2155426.201326903"/>
    <m/>
    <s v="EXCHLOANHUBIEXCHLOANETC"/>
    <s v="EXCHLOANHUBI"/>
    <x v="2"/>
    <x v="7"/>
    <m/>
    <s v="ETC"/>
    <n v="19.957650012286138"/>
  </r>
  <r>
    <x v="48"/>
    <n v="-4600"/>
    <x v="0"/>
    <x v="15"/>
    <x v="27"/>
    <s v="20221113"/>
    <d v="2022-11-13T00:00:00"/>
    <n v="-5620368.401565589"/>
    <m/>
    <s v="EXCHLOANHUBIEXCHLOANETH"/>
    <s v="EXCHLOANHUBI"/>
    <x v="2"/>
    <x v="7"/>
    <m/>
    <s v="ETH"/>
    <n v="1221.8192177316503"/>
  </r>
  <r>
    <x v="48"/>
    <n v="-17000"/>
    <x v="0"/>
    <x v="18"/>
    <x v="27"/>
    <s v="20221113"/>
    <d v="2022-11-13T00:00:00"/>
    <n v="-103231.58753378689"/>
    <m/>
    <s v="EXCHLOANHUBIEXCHLOANLINK"/>
    <s v="EXCHLOANHUBI"/>
    <x v="2"/>
    <x v="7"/>
    <m/>
    <s v="LINK"/>
    <n v="6.0724463255168759"/>
  </r>
  <r>
    <x v="48"/>
    <n v="-11800"/>
    <x v="0"/>
    <x v="19"/>
    <x v="27"/>
    <s v="20221113"/>
    <d v="2022-11-13T00:00:00"/>
    <n v="-678348.65250218031"/>
    <m/>
    <s v="EXCHLOANHUBIEXCHLOANLTC"/>
    <s v="EXCHLOANHUBI"/>
    <x v="2"/>
    <x v="7"/>
    <m/>
    <s v="LTC"/>
    <n v="57.487173940862725"/>
  </r>
  <r>
    <x v="48"/>
    <n v="-27500000"/>
    <x v="0"/>
    <x v="43"/>
    <x v="27"/>
    <s v="20221113"/>
    <d v="2022-11-13T00:00:00"/>
    <n v="-1399514.4147487669"/>
    <m/>
    <s v="EXCHLOANHUBIEXCHLOANTRX"/>
    <s v="EXCHLOANHUBI"/>
    <x v="2"/>
    <x v="7"/>
    <m/>
    <s v="TRX"/>
    <n v="5.089143326359153E-2"/>
  </r>
  <r>
    <x v="48"/>
    <n v="-18500000"/>
    <x v="0"/>
    <x v="23"/>
    <x v="27"/>
    <s v="20221113"/>
    <d v="2022-11-13T00:00:00"/>
    <n v="-18476960.069590159"/>
    <m/>
    <s v="EXCHLOANHUBIEXCHLOANUSDT"/>
    <s v="EXCHLOANHUBI"/>
    <x v="2"/>
    <x v="7"/>
    <m/>
    <s v="USDT"/>
    <n v="0.99875459835622493"/>
  </r>
  <r>
    <x v="49"/>
    <n v="-500"/>
    <x v="0"/>
    <x v="8"/>
    <x v="11"/>
    <s v="20221113"/>
    <d v="2022-11-13T00:00:00"/>
    <n v="-8176682.8585880492"/>
    <m/>
    <s v="EXCHLOANHUBIEXCHLOANBTC"/>
    <s v="EXCHLOANHUBI"/>
    <x v="2"/>
    <x v="7"/>
    <m/>
    <s v="BTC"/>
    <n v="16353.365717176106"/>
  </r>
  <r>
    <x v="50"/>
    <n v="-2600208"/>
    <x v="0"/>
    <x v="21"/>
    <x v="11"/>
    <s v="20221113"/>
    <d v="2022-11-13T00:00:00"/>
    <n v="-212061.4696961458"/>
    <m/>
    <s v="LOANORCHIDLOANOXT"/>
    <s v="LOANORCHID"/>
    <x v="3"/>
    <x v="19"/>
    <m/>
    <s v="OXT"/>
    <n v="8.1555579282944213E-2"/>
  </r>
  <r>
    <x v="50"/>
    <n v="-1000000"/>
    <x v="0"/>
    <x v="30"/>
    <x v="11"/>
    <s v="20221113"/>
    <d v="2022-11-13T00:00:00"/>
    <n v="-1000136.340001611"/>
    <m/>
    <s v="LOANORCHIDLOANUSDC"/>
    <s v="LOANORCHID"/>
    <x v="3"/>
    <x v="19"/>
    <m/>
    <s v="USDC"/>
    <n v="1.000136340001611"/>
  </r>
  <r>
    <x v="51"/>
    <n v="-201.17"/>
    <x v="0"/>
    <x v="29"/>
    <x v="27"/>
    <s v="20221113"/>
    <d v="2022-11-13T00:00:00"/>
    <n v="-68.457432980148155"/>
    <m/>
    <s v="LOANRIPPLELOANXRP"/>
    <s v="LOANRIPPLE"/>
    <x v="3"/>
    <x v="20"/>
    <m/>
    <s v="XRP"/>
    <n v="0.34029643078067379"/>
  </r>
  <r>
    <x v="52"/>
    <n v="-24920.176410470001"/>
    <x v="1"/>
    <x v="23"/>
    <x v="11"/>
    <s v="20221113"/>
    <d v="2022-11-14T00:00:00"/>
    <n v="-24889.140781805239"/>
    <m/>
    <s v="EXCHLOANOKEXEXCHLOANUSDT"/>
    <s v="EXCHLOANOKEX"/>
    <x v="2"/>
    <x v="14"/>
    <m/>
    <s v="USDT"/>
    <n v="0.99875459835622493"/>
  </r>
  <r>
    <x v="53"/>
    <n v="-1573.30286441"/>
    <x v="1"/>
    <x v="6"/>
    <x v="25"/>
    <s v="20221113"/>
    <d v="2022-11-14T00:00:00"/>
    <n v="-156774.13580725691"/>
    <m/>
    <s v="EXCHLOANOKEXEXCHLOANBCH"/>
    <s v="EXCHLOANOKEX"/>
    <x v="2"/>
    <x v="14"/>
    <m/>
    <s v="BCH"/>
    <n v="99.646507582027681"/>
  </r>
  <r>
    <x v="53"/>
    <n v="-0.40707694999999999"/>
    <x v="1"/>
    <x v="24"/>
    <x v="25"/>
    <s v="20221113"/>
    <d v="2022-11-14T00:00:00"/>
    <n v="-8.1242992961689033"/>
    <m/>
    <s v="EXCHLOANOKEXEXCHLOANETC"/>
    <s v="EXCHLOANOKEX"/>
    <x v="2"/>
    <x v="14"/>
    <m/>
    <s v="ETC"/>
    <n v="19.957650012286138"/>
  </r>
  <r>
    <x v="53"/>
    <n v="-1264.9539022599999"/>
    <x v="1"/>
    <x v="15"/>
    <x v="25"/>
    <s v="20221113"/>
    <d v="2022-11-14T00:00:00"/>
    <n v="-1545544.9873259109"/>
    <m/>
    <s v="EXCHLOANOKEXEXCHLOANETH"/>
    <s v="EXCHLOANOKEX"/>
    <x v="2"/>
    <x v="14"/>
    <m/>
    <s v="ETH"/>
    <n v="1221.8192177316503"/>
  </r>
  <r>
    <x v="53"/>
    <n v="-3.6900389999999998E-2"/>
    <x v="1"/>
    <x v="17"/>
    <x v="25"/>
    <s v="20221113"/>
    <d v="2022-11-14T00:00:00"/>
    <n v="-0.15844940293277221"/>
    <m/>
    <s v="EXCHLOANOKEXEXCHLOANFIL"/>
    <s v="EXCHLOANOKEX"/>
    <x v="2"/>
    <x v="14"/>
    <m/>
    <s v="FIL"/>
    <n v="4.2939763762055678"/>
  </r>
  <r>
    <x v="53"/>
    <n v="-10030463790.586161"/>
    <x v="1"/>
    <x v="46"/>
    <x v="25"/>
    <s v="20221113"/>
    <d v="2022-11-14T00:00:00"/>
    <n v="-90558.111270944501"/>
    <m/>
    <s v="EXCHLOANOKEXEXCHLOANSHIB"/>
    <s v="EXCHLOANOKEX"/>
    <x v="2"/>
    <x v="14"/>
    <m/>
    <s v="SHIB"/>
    <n v="9.0283074802518606E-6"/>
  </r>
  <r>
    <x v="53"/>
    <n v="-66833.931200249994"/>
    <x v="1"/>
    <x v="30"/>
    <x v="25"/>
    <s v="20221113"/>
    <d v="2022-11-14T00:00:00"/>
    <n v="-66843.043338537522"/>
    <m/>
    <s v="EXCHLOANOKEXEXCHLOANUSDC"/>
    <s v="EXCHLOANOKEX"/>
    <x v="2"/>
    <x v="14"/>
    <m/>
    <s v="USDC"/>
    <n v="1.000136340001611"/>
  </r>
  <r>
    <x v="54"/>
    <n v="-174.51592060999999"/>
    <x v="0"/>
    <x v="8"/>
    <x v="11"/>
    <s v="20221113"/>
    <d v="2022-11-14T00:00:00"/>
    <n v="-2853922.6732049999"/>
    <m/>
    <s v="EXCHLOANWOOXEXCHLOANBTC"/>
    <s v="EXCHLOANWOOX"/>
    <x v="2"/>
    <x v="17"/>
    <m/>
    <s v="BTC"/>
    <n v="16353.365717176106"/>
  </r>
  <r>
    <x v="54"/>
    <n v="-2994.3247933399998"/>
    <x v="0"/>
    <x v="15"/>
    <x v="11"/>
    <s v="20221113"/>
    <d v="2022-11-14T00:00:00"/>
    <n v="-3658523.5766331628"/>
    <m/>
    <s v="EXCHLOANWOOXEXCHLOANETH"/>
    <s v="EXCHLOANWOOX"/>
    <x v="2"/>
    <x v="17"/>
    <m/>
    <s v="ETH"/>
    <n v="1221.8192177316503"/>
  </r>
  <r>
    <x v="55"/>
    <n v="39244603.490000002"/>
    <x v="1"/>
    <x v="26"/>
    <x v="28"/>
    <s v="20221109"/>
    <d v="2022-11-09T00:00:00"/>
    <n v="39244603.490000002"/>
    <m/>
    <s v="ED&amp;F"/>
    <s v="COLLATERALED&amp;F"/>
    <x v="4"/>
    <x v="21"/>
    <m/>
    <s v="USD"/>
    <n v="1"/>
  </r>
  <r>
    <x v="56"/>
    <n v="118588.3"/>
    <x v="1"/>
    <x v="26"/>
    <x v="28"/>
    <s v="20221109"/>
    <d v="2022-11-09T00:00:00"/>
    <n v="118588.3"/>
    <m/>
    <s v="CASH"/>
    <s v="ASSETCASH"/>
    <x v="0"/>
    <x v="22"/>
    <m/>
    <s v="USD"/>
    <n v="1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s v="ED&amp;F Man Capital"/>
    <n v="38289617.950000003"/>
  </r>
  <r>
    <x v="57"/>
    <m/>
    <x v="0"/>
    <x v="101"/>
    <x v="28"/>
    <m/>
    <m/>
    <m/>
    <m/>
    <m/>
    <m/>
    <x v="5"/>
    <x v="23"/>
    <m/>
    <s v="CASH"/>
    <n v="9770263.2400000002"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n v="-200"/>
  </r>
  <r>
    <x v="0"/>
    <x v="0"/>
    <n v="200.07893852000001"/>
  </r>
  <r>
    <x v="0"/>
    <x v="1"/>
    <n v="-20000"/>
  </r>
  <r>
    <x v="0"/>
    <x v="1"/>
    <n v="28311.975235000002"/>
  </r>
  <r>
    <x v="0"/>
    <x v="2"/>
    <n v="25.399726000000001"/>
  </r>
  <r>
    <x v="0"/>
    <x v="3"/>
    <n v="4.2548999999999998E-3"/>
  </r>
  <r>
    <x v="0"/>
    <x v="4"/>
    <n v="359.80767796999999"/>
  </r>
  <r>
    <x v="0"/>
    <x v="4"/>
    <n v="-500"/>
  </r>
  <r>
    <x v="0"/>
    <x v="5"/>
    <n v="25156.055035879999"/>
  </r>
  <r>
    <x v="0"/>
    <x v="5"/>
    <n v="-30000"/>
  </r>
  <r>
    <x v="0"/>
    <x v="6"/>
    <n v="-90"/>
  </r>
  <r>
    <x v="0"/>
    <x v="6"/>
    <n v="91.029457179999994"/>
  </r>
  <r>
    <x v="0"/>
    <x v="7"/>
    <n v="2516.18097941"/>
  </r>
  <r>
    <x v="0"/>
    <x v="7"/>
    <n v="86.735806530000005"/>
  </r>
  <r>
    <x v="0"/>
    <x v="7"/>
    <n v="1E-8"/>
  </r>
  <r>
    <x v="0"/>
    <x v="8"/>
    <n v="823.10059785999999"/>
  </r>
  <r>
    <x v="0"/>
    <x v="8"/>
    <n v="38.26334335"/>
  </r>
  <r>
    <x v="0"/>
    <x v="8"/>
    <n v="-183.84159223"/>
  </r>
  <r>
    <x v="0"/>
    <x v="9"/>
    <n v="18100000"/>
  </r>
  <r>
    <x v="0"/>
    <x v="9"/>
    <n v="2114122.1871344098"/>
  </r>
  <r>
    <x v="0"/>
    <x v="9"/>
    <n v="-4779678.8731498001"/>
  </r>
  <r>
    <x v="0"/>
    <x v="10"/>
    <n v="36.869033870000003"/>
  </r>
  <r>
    <x v="0"/>
    <x v="10"/>
    <n v="-4800"/>
  </r>
  <r>
    <x v="0"/>
    <x v="11"/>
    <n v="1.5637979999999999E-2"/>
  </r>
  <r>
    <x v="0"/>
    <x v="12"/>
    <n v="61610.470464270002"/>
  </r>
  <r>
    <x v="0"/>
    <x v="12"/>
    <n v="-180000"/>
  </r>
  <r>
    <x v="0"/>
    <x v="13"/>
    <n v="-2000"/>
  </r>
  <r>
    <x v="0"/>
    <x v="13"/>
    <n v="1999.0152611599999"/>
  </r>
  <r>
    <x v="0"/>
    <x v="14"/>
    <n v="204649.5"/>
  </r>
  <r>
    <x v="0"/>
    <x v="14"/>
    <n v="29999.901399999999"/>
  </r>
  <r>
    <x v="0"/>
    <x v="15"/>
    <n v="0.15721859999999999"/>
  </r>
  <r>
    <x v="0"/>
    <x v="16"/>
    <n v="9.9330999999999996"/>
  </r>
  <r>
    <x v="0"/>
    <x v="16"/>
    <n v="5884.9906846100002"/>
  </r>
  <r>
    <x v="0"/>
    <x v="16"/>
    <n v="949.21720000000005"/>
  </r>
  <r>
    <x v="0"/>
    <x v="17"/>
    <n v="668899.17272104998"/>
  </r>
  <r>
    <x v="0"/>
    <x v="18"/>
    <n v="0.19800000000000001"/>
  </r>
  <r>
    <x v="0"/>
    <x v="19"/>
    <n v="12.72046903"/>
  </r>
  <r>
    <x v="0"/>
    <x v="19"/>
    <n v="-892.14"/>
  </r>
  <r>
    <x v="0"/>
    <x v="20"/>
    <n v="-597.54899999999998"/>
  </r>
  <r>
    <x v="0"/>
    <x v="20"/>
    <n v="1.4551239499999999"/>
  </r>
  <r>
    <x v="0"/>
    <x v="21"/>
    <n v="-20000"/>
  </r>
  <r>
    <x v="0"/>
    <x v="21"/>
    <n v="4125.1621725699997"/>
  </r>
  <r>
    <x v="0"/>
    <x v="22"/>
    <n v="402320.62526320003"/>
  </r>
  <r>
    <x v="0"/>
    <x v="23"/>
    <n v="-6000000000"/>
  </r>
  <r>
    <x v="0"/>
    <x v="24"/>
    <n v="-60"/>
  </r>
  <r>
    <x v="0"/>
    <x v="24"/>
    <n v="57.222791209999997"/>
  </r>
  <r>
    <x v="0"/>
    <x v="25"/>
    <n v="1978352.2225671101"/>
  </r>
  <r>
    <x v="0"/>
    <x v="25"/>
    <n v="718760.47157083999"/>
  </r>
  <r>
    <x v="0"/>
    <x v="25"/>
    <n v="43977435.717233598"/>
  </r>
  <r>
    <x v="0"/>
    <x v="25"/>
    <n v="16863596.558114801"/>
  </r>
  <r>
    <x v="0"/>
    <x v="26"/>
    <n v="-100"/>
  </r>
  <r>
    <x v="1"/>
    <x v="8"/>
    <n v="7.9996000000000008E-3"/>
  </r>
  <r>
    <x v="1"/>
    <x v="8"/>
    <n v="1E-3"/>
  </r>
  <r>
    <x v="1"/>
    <x v="16"/>
    <n v="0.02"/>
  </r>
  <r>
    <x v="1"/>
    <x v="27"/>
    <n v="0.02"/>
  </r>
  <r>
    <x v="1"/>
    <x v="28"/>
    <n v="2.755467E-2"/>
  </r>
  <r>
    <x v="1"/>
    <x v="29"/>
    <n v="29.9885932"/>
  </r>
  <r>
    <x v="1"/>
    <x v="29"/>
    <n v="30"/>
  </r>
  <r>
    <x v="1"/>
    <x v="30"/>
    <n v="30"/>
  </r>
  <r>
    <x v="2"/>
    <x v="6"/>
    <n v="0.21932823000000001"/>
  </r>
  <r>
    <x v="2"/>
    <x v="8"/>
    <n v="5.7861299999999997E-2"/>
  </r>
  <r>
    <x v="2"/>
    <x v="16"/>
    <n v="0.73541904000000002"/>
  </r>
  <r>
    <x v="2"/>
    <x v="20"/>
    <n v="15.892145019999999"/>
  </r>
  <r>
    <x v="2"/>
    <x v="31"/>
    <n v="22277.5319929"/>
  </r>
  <r>
    <x v="2"/>
    <x v="28"/>
    <n v="114736.84"/>
  </r>
  <r>
    <x v="2"/>
    <x v="32"/>
    <n v="116647.68407285"/>
  </r>
  <r>
    <x v="3"/>
    <x v="8"/>
    <n v="4480.5611189399997"/>
  </r>
  <r>
    <x v="3"/>
    <x v="8"/>
    <n v="70.363883130000005"/>
  </r>
  <r>
    <x v="3"/>
    <x v="14"/>
    <n v="1817950.4935000001"/>
  </r>
  <r>
    <x v="3"/>
    <x v="16"/>
    <n v="1027.8621034600001"/>
  </r>
  <r>
    <x v="3"/>
    <x v="16"/>
    <n v="18730.582337479998"/>
  </r>
  <r>
    <x v="3"/>
    <x v="19"/>
    <n v="44259.146574890001"/>
  </r>
  <r>
    <x v="3"/>
    <x v="20"/>
    <n v="7003.5866771999999"/>
  </r>
  <r>
    <x v="3"/>
    <x v="28"/>
    <n v="16767943.4275"/>
  </r>
  <r>
    <x v="3"/>
    <x v="28"/>
    <n v="5845736.2089999998"/>
  </r>
  <r>
    <x v="3"/>
    <x v="28"/>
    <n v="6701112.0306000002"/>
  </r>
  <r>
    <x v="3"/>
    <x v="33"/>
    <n v="101"/>
  </r>
  <r>
    <x v="3"/>
    <x v="28"/>
    <n v="-67594809.802665502"/>
  </r>
  <r>
    <x v="4"/>
    <x v="28"/>
    <n v="174430.503494"/>
  </r>
  <r>
    <x v="5"/>
    <x v="0"/>
    <n v="150"/>
  </r>
  <r>
    <x v="5"/>
    <x v="4"/>
    <n v="2.0391293999999999E-3"/>
  </r>
  <r>
    <x v="5"/>
    <x v="6"/>
    <n v="1652.0172"/>
  </r>
  <r>
    <x v="5"/>
    <x v="8"/>
    <n v="9.7342860000000003E-2"/>
  </r>
  <r>
    <x v="5"/>
    <x v="8"/>
    <n v="2.4876999999999999E-4"/>
  </r>
  <r>
    <x v="5"/>
    <x v="10"/>
    <n v="0.06"/>
  </r>
  <r>
    <x v="5"/>
    <x v="11"/>
    <n v="9.7777784334"/>
  </r>
  <r>
    <x v="5"/>
    <x v="13"/>
    <n v="1.0009999999999999"/>
  </r>
  <r>
    <x v="5"/>
    <x v="14"/>
    <n v="2.0999999999999999E-3"/>
  </r>
  <r>
    <x v="5"/>
    <x v="14"/>
    <n v="1.4E-3"/>
  </r>
  <r>
    <x v="5"/>
    <x v="15"/>
    <n v="2.94E-5"/>
  </r>
  <r>
    <x v="5"/>
    <x v="16"/>
    <n v="2821.3388136228"/>
  </r>
  <r>
    <x v="5"/>
    <x v="16"/>
    <n v="0.57950425419999996"/>
  </r>
  <r>
    <x v="5"/>
    <x v="16"/>
    <n v="4.4272812999999996E-3"/>
  </r>
  <r>
    <x v="5"/>
    <x v="16"/>
    <n v="6.3310570499999996E-2"/>
  </r>
  <r>
    <x v="5"/>
    <x v="16"/>
    <n v="4.8358750000000001E-4"/>
  </r>
  <r>
    <x v="5"/>
    <x v="16"/>
    <n v="1.8303131E-2"/>
  </r>
  <r>
    <x v="5"/>
    <x v="16"/>
    <n v="1.16617652E-2"/>
  </r>
  <r>
    <x v="5"/>
    <x v="16"/>
    <n v="8.0959692700000002E-2"/>
  </r>
  <r>
    <x v="5"/>
    <x v="16"/>
    <n v="7.5791675000000001E-3"/>
  </r>
  <r>
    <x v="5"/>
    <x v="16"/>
    <n v="50.996764155000001"/>
  </r>
  <r>
    <x v="5"/>
    <x v="16"/>
    <n v="4.5371055728999998"/>
  </r>
  <r>
    <x v="5"/>
    <x v="16"/>
    <n v="1.029E-3"/>
  </r>
  <r>
    <x v="5"/>
    <x v="16"/>
    <n v="3.3981742E-3"/>
  </r>
  <r>
    <x v="5"/>
    <x v="16"/>
    <n v="5.2185100000000004E-4"/>
  </r>
  <r>
    <x v="5"/>
    <x v="16"/>
    <n v="1.4090999999999999E-3"/>
  </r>
  <r>
    <x v="5"/>
    <x v="16"/>
    <n v="3.4502529999999999E-3"/>
  </r>
  <r>
    <x v="5"/>
    <x v="16"/>
    <n v="3.6706054516000002"/>
  </r>
  <r>
    <x v="5"/>
    <x v="27"/>
    <n v="4.1382783000000001E-3"/>
  </r>
  <r>
    <x v="5"/>
    <x v="27"/>
    <n v="2.2650990999999999E-2"/>
  </r>
  <r>
    <x v="5"/>
    <x v="27"/>
    <n v="1.6639433999999999E-3"/>
  </r>
  <r>
    <x v="5"/>
    <x v="27"/>
    <n v="1.4090999999999999E-3"/>
  </r>
  <r>
    <x v="5"/>
    <x v="27"/>
    <n v="5.2499999999999997E-4"/>
  </r>
  <r>
    <x v="5"/>
    <x v="27"/>
    <n v="1.8303131E-2"/>
  </r>
  <r>
    <x v="5"/>
    <x v="27"/>
    <n v="4.4272812999999996E-3"/>
  </r>
  <r>
    <x v="5"/>
    <x v="27"/>
    <n v="3.6355406787"/>
  </r>
  <r>
    <x v="5"/>
    <x v="27"/>
    <n v="6.3310570499999996E-2"/>
  </r>
  <r>
    <x v="5"/>
    <x v="27"/>
    <n v="3.3981742E-3"/>
  </r>
  <r>
    <x v="5"/>
    <x v="27"/>
    <n v="0.29467934690000003"/>
  </r>
  <r>
    <x v="5"/>
    <x v="27"/>
    <n v="3.4502529999999999E-3"/>
  </r>
  <r>
    <x v="5"/>
    <x v="27"/>
    <n v="7.5791675000000001E-3"/>
  </r>
  <r>
    <x v="5"/>
    <x v="34"/>
    <n v="5024"/>
  </r>
  <r>
    <x v="5"/>
    <x v="35"/>
    <n v="8.9826517890000002"/>
  </r>
  <r>
    <x v="5"/>
    <x v="36"/>
    <n v="2.53888889"/>
  </r>
  <r>
    <x v="5"/>
    <x v="37"/>
    <n v="1.7534640000000001E-2"/>
  </r>
  <r>
    <x v="5"/>
    <x v="37"/>
    <n v="79.940653319999996"/>
  </r>
  <r>
    <x v="5"/>
    <x v="38"/>
    <n v="1.9338685143000001"/>
  </r>
  <r>
    <x v="5"/>
    <x v="19"/>
    <n v="53.117741070000001"/>
  </r>
  <r>
    <x v="5"/>
    <x v="20"/>
    <n v="180.67693722999999"/>
  </r>
  <r>
    <x v="5"/>
    <x v="39"/>
    <n v="5.6554146698999999"/>
  </r>
  <r>
    <x v="5"/>
    <x v="40"/>
    <n v="4.7709999999999999"/>
  </r>
  <r>
    <x v="5"/>
    <x v="41"/>
    <n v="5625.02729593"/>
  </r>
  <r>
    <x v="5"/>
    <x v="42"/>
    <n v="5968"/>
  </r>
  <r>
    <x v="5"/>
    <x v="22"/>
    <n v="24.565999999999999"/>
  </r>
  <r>
    <x v="5"/>
    <x v="22"/>
    <n v="52.134156330000003"/>
  </r>
  <r>
    <x v="5"/>
    <x v="24"/>
    <n v="2.8970426800000002"/>
  </r>
  <r>
    <x v="5"/>
    <x v="43"/>
    <n v="0.82786806999999996"/>
  </r>
  <r>
    <x v="5"/>
    <x v="33"/>
    <n v="13972.219738"/>
  </r>
  <r>
    <x v="5"/>
    <x v="33"/>
    <n v="21"/>
  </r>
  <r>
    <x v="5"/>
    <x v="33"/>
    <n v="1006533.600838"/>
  </r>
  <r>
    <x v="5"/>
    <x v="33"/>
    <n v="60000"/>
  </r>
  <r>
    <x v="5"/>
    <x v="44"/>
    <n v="35119.677000000003"/>
  </r>
  <r>
    <x v="5"/>
    <x v="45"/>
    <n v="7.9373880867000004"/>
  </r>
  <r>
    <x v="5"/>
    <x v="46"/>
    <n v="1.0349904999999999"/>
  </r>
  <r>
    <x v="5"/>
    <x v="46"/>
    <n v="1"/>
  </r>
  <r>
    <x v="5"/>
    <x v="32"/>
    <n v="10"/>
  </r>
  <r>
    <x v="5"/>
    <x v="32"/>
    <n v="183.58995200000001"/>
  </r>
  <r>
    <x v="5"/>
    <x v="32"/>
    <n v="20"/>
  </r>
  <r>
    <x v="5"/>
    <x v="32"/>
    <n v="19.999987999999998"/>
  </r>
  <r>
    <x v="5"/>
    <x v="32"/>
    <n v="20.099976000000002"/>
  </r>
  <r>
    <x v="5"/>
    <x v="47"/>
    <n v="7.66849E-3"/>
  </r>
  <r>
    <x v="6"/>
    <x v="1"/>
    <n v="9.6999999999999992E-9"/>
  </r>
  <r>
    <x v="6"/>
    <x v="1"/>
    <n v="5.7406593000000001E-3"/>
  </r>
  <r>
    <x v="6"/>
    <x v="6"/>
    <n v="0.72885028029999999"/>
  </r>
  <r>
    <x v="6"/>
    <x v="6"/>
    <n v="5.02E-8"/>
  </r>
  <r>
    <x v="6"/>
    <x v="48"/>
    <n v="0.11285791119999999"/>
  </r>
  <r>
    <x v="6"/>
    <x v="48"/>
    <n v="0.47315189390000001"/>
  </r>
  <r>
    <x v="6"/>
    <x v="8"/>
    <n v="473.54122320379997"/>
  </r>
  <r>
    <x v="6"/>
    <x v="8"/>
    <n v="3.8600000000000002E-8"/>
  </r>
  <r>
    <x v="6"/>
    <x v="13"/>
    <n v="0.97764076359999996"/>
  </r>
  <r>
    <x v="6"/>
    <x v="14"/>
    <n v="3.1699999999999999E-8"/>
  </r>
  <r>
    <x v="6"/>
    <x v="14"/>
    <n v="3.7085151300000001E-2"/>
  </r>
  <r>
    <x v="6"/>
    <x v="15"/>
    <n v="6.1E-9"/>
  </r>
  <r>
    <x v="6"/>
    <x v="15"/>
    <n v="0.70701212930000001"/>
  </r>
  <r>
    <x v="6"/>
    <x v="16"/>
    <n v="2.8600000000000001E-8"/>
  </r>
  <r>
    <x v="6"/>
    <x v="16"/>
    <n v="4971.4403833700999"/>
  </r>
  <r>
    <x v="6"/>
    <x v="19"/>
    <n v="6.2442432399999998E-2"/>
  </r>
  <r>
    <x v="6"/>
    <x v="19"/>
    <n v="4.6999999999999999E-9"/>
  </r>
  <r>
    <x v="6"/>
    <x v="20"/>
    <n v="7.1564416123000001"/>
  </r>
  <r>
    <x v="6"/>
    <x v="20"/>
    <n v="9.3000000000000006E-9"/>
  </r>
  <r>
    <x v="6"/>
    <x v="49"/>
    <n v="7.8999999999999996E-9"/>
  </r>
  <r>
    <x v="6"/>
    <x v="49"/>
    <n v="0.95766241559999998"/>
  </r>
  <r>
    <x v="6"/>
    <x v="32"/>
    <n v="9.7899999999999997E-8"/>
  </r>
  <r>
    <x v="6"/>
    <x v="32"/>
    <n v="0.54364484400000002"/>
  </r>
  <r>
    <x v="7"/>
    <x v="0"/>
    <n v="0.10014646000000001"/>
  </r>
  <r>
    <x v="7"/>
    <x v="1"/>
    <n v="3.2091770000000001E-4"/>
  </r>
  <r>
    <x v="7"/>
    <x v="6"/>
    <n v="5.3552099999999996E-4"/>
  </r>
  <r>
    <x v="7"/>
    <x v="48"/>
    <n v="3.3400000000000001E-8"/>
  </r>
  <r>
    <x v="7"/>
    <x v="8"/>
    <n v="291.78577073859998"/>
  </r>
  <r>
    <x v="7"/>
    <x v="8"/>
    <n v="257.68569321349997"/>
  </r>
  <r>
    <x v="7"/>
    <x v="13"/>
    <n v="3.8972870000000001E-3"/>
  </r>
  <r>
    <x v="7"/>
    <x v="15"/>
    <n v="0.1010306031"/>
  </r>
  <r>
    <x v="7"/>
    <x v="16"/>
    <n v="1547.6982186905"/>
  </r>
  <r>
    <x v="7"/>
    <x v="19"/>
    <n v="9.5620959999999995E-4"/>
  </r>
  <r>
    <x v="7"/>
    <x v="20"/>
    <n v="2.4771052999999999E-3"/>
  </r>
  <r>
    <x v="7"/>
    <x v="23"/>
    <n v="71073.205401560001"/>
  </r>
  <r>
    <x v="7"/>
    <x v="49"/>
    <n v="4.8644820000000002E-4"/>
  </r>
  <r>
    <x v="7"/>
    <x v="32"/>
    <n v="1.9184280000000001E-4"/>
  </r>
  <r>
    <x v="7"/>
    <x v="50"/>
    <n v="2.4299999999999999E-3"/>
  </r>
  <r>
    <x v="7"/>
    <x v="51"/>
    <n v="377.09760540000002"/>
  </r>
  <r>
    <x v="7"/>
    <x v="1"/>
    <n v="1.1000000000000001E-7"/>
  </r>
  <r>
    <x v="7"/>
    <x v="1"/>
    <n v="1E-8"/>
  </r>
  <r>
    <x v="7"/>
    <x v="2"/>
    <n v="3587.9402382600001"/>
  </r>
  <r>
    <x v="7"/>
    <x v="52"/>
    <n v="0.53247394999999997"/>
  </r>
  <r>
    <x v="7"/>
    <x v="3"/>
    <n v="5.2478028200000004"/>
  </r>
  <r>
    <x v="7"/>
    <x v="4"/>
    <n v="1.5389969999999999E-2"/>
  </r>
  <r>
    <x v="7"/>
    <x v="5"/>
    <n v="152.41521331999999"/>
  </r>
  <r>
    <x v="7"/>
    <x v="6"/>
    <n v="0.39312850999999999"/>
  </r>
  <r>
    <x v="7"/>
    <x v="6"/>
    <n v="-29.37"/>
  </r>
  <r>
    <x v="7"/>
    <x v="6"/>
    <n v="1E-8"/>
  </r>
  <r>
    <x v="7"/>
    <x v="6"/>
    <n v="31.011724019999999"/>
  </r>
  <r>
    <x v="7"/>
    <x v="53"/>
    <n v="2.5033500000000001E-3"/>
  </r>
  <r>
    <x v="7"/>
    <x v="54"/>
    <n v="115.29838952"/>
  </r>
  <r>
    <x v="7"/>
    <x v="55"/>
    <n v="14.7502"/>
  </r>
  <r>
    <x v="7"/>
    <x v="48"/>
    <n v="2605.5844934199999"/>
  </r>
  <r>
    <x v="7"/>
    <x v="48"/>
    <n v="1E-8"/>
  </r>
  <r>
    <x v="7"/>
    <x v="48"/>
    <n v="1625.6897381399999"/>
  </r>
  <r>
    <x v="7"/>
    <x v="48"/>
    <n v="-546.37"/>
  </r>
  <r>
    <x v="7"/>
    <x v="8"/>
    <n v="0.74809400000000004"/>
  </r>
  <r>
    <x v="7"/>
    <x v="8"/>
    <n v="201.83665540999999"/>
  </r>
  <r>
    <x v="7"/>
    <x v="8"/>
    <n v="344.26372151999999"/>
  </r>
  <r>
    <x v="7"/>
    <x v="8"/>
    <n v="488.2668764"/>
  </r>
  <r>
    <x v="7"/>
    <x v="56"/>
    <n v="0.33565571999999999"/>
  </r>
  <r>
    <x v="7"/>
    <x v="57"/>
    <n v="1367501156.8785999"/>
  </r>
  <r>
    <x v="7"/>
    <x v="58"/>
    <n v="1.7855998900000001"/>
  </r>
  <r>
    <x v="7"/>
    <x v="10"/>
    <n v="43.072197150000001"/>
  </r>
  <r>
    <x v="7"/>
    <x v="59"/>
    <n v="0.30791584"/>
  </r>
  <r>
    <x v="7"/>
    <x v="60"/>
    <n v="5.6119999999999998E-5"/>
  </r>
  <r>
    <x v="7"/>
    <x v="61"/>
    <n v="5.9800000000000001E-4"/>
  </r>
  <r>
    <x v="7"/>
    <x v="13"/>
    <n v="19056.338227560002"/>
  </r>
  <r>
    <x v="7"/>
    <x v="13"/>
    <n v="18100.925351860002"/>
  </r>
  <r>
    <x v="7"/>
    <x v="62"/>
    <n v="241319.15317850999"/>
  </r>
  <r>
    <x v="7"/>
    <x v="14"/>
    <n v="1E-8"/>
  </r>
  <r>
    <x v="7"/>
    <x v="14"/>
    <n v="-457203"/>
  </r>
  <r>
    <x v="7"/>
    <x v="14"/>
    <n v="26712.616036769999"/>
  </r>
  <r>
    <x v="7"/>
    <x v="14"/>
    <n v="7533"/>
  </r>
  <r>
    <x v="7"/>
    <x v="14"/>
    <n v="593225.51604993001"/>
  </r>
  <r>
    <x v="7"/>
    <x v="15"/>
    <n v="1E-8"/>
  </r>
  <r>
    <x v="7"/>
    <x v="15"/>
    <n v="9624.8193363800001"/>
  </r>
  <r>
    <x v="7"/>
    <x v="15"/>
    <n v="0.97793739999999996"/>
  </r>
  <r>
    <x v="7"/>
    <x v="16"/>
    <n v="1E-8"/>
  </r>
  <r>
    <x v="7"/>
    <x v="16"/>
    <n v="6"/>
  </r>
  <r>
    <x v="7"/>
    <x v="16"/>
    <n v="99.530674790000006"/>
  </r>
  <r>
    <x v="7"/>
    <x v="16"/>
    <n v="-1466.27"/>
  </r>
  <r>
    <x v="7"/>
    <x v="16"/>
    <n v="689.88583590999997"/>
  </r>
  <r>
    <x v="7"/>
    <x v="63"/>
    <n v="9823.8364263999993"/>
  </r>
  <r>
    <x v="7"/>
    <x v="27"/>
    <n v="3460.93190667"/>
  </r>
  <r>
    <x v="7"/>
    <x v="64"/>
    <n v="340417.99782405002"/>
  </r>
  <r>
    <x v="7"/>
    <x v="64"/>
    <n v="7201.7560000000003"/>
  </r>
  <r>
    <x v="7"/>
    <x v="18"/>
    <n v="2339.8611111199998"/>
  </r>
  <r>
    <x v="7"/>
    <x v="36"/>
    <n v="0.68557060000000003"/>
  </r>
  <r>
    <x v="7"/>
    <x v="65"/>
    <n v="54.776400000000002"/>
  </r>
  <r>
    <x v="7"/>
    <x v="37"/>
    <n v="100.03406049"/>
  </r>
  <r>
    <x v="7"/>
    <x v="66"/>
    <n v="5337.6979873099999"/>
  </r>
  <r>
    <x v="7"/>
    <x v="67"/>
    <n v="3281.8687999200001"/>
  </r>
  <r>
    <x v="7"/>
    <x v="68"/>
    <n v="14.785856219999999"/>
  </r>
  <r>
    <x v="7"/>
    <x v="69"/>
    <n v="0.81765067999999996"/>
  </r>
  <r>
    <x v="7"/>
    <x v="70"/>
    <n v="9.1121815000000002"/>
  </r>
  <r>
    <x v="7"/>
    <x v="38"/>
    <n v="5"/>
  </r>
  <r>
    <x v="7"/>
    <x v="71"/>
    <n v="0.24234807999999999"/>
  </r>
  <r>
    <x v="7"/>
    <x v="72"/>
    <n v="1E-8"/>
  </r>
  <r>
    <x v="7"/>
    <x v="19"/>
    <n v="362"/>
  </r>
  <r>
    <x v="7"/>
    <x v="19"/>
    <n v="-2073"/>
  </r>
  <r>
    <x v="7"/>
    <x v="19"/>
    <n v="23365.829594899998"/>
  </r>
  <r>
    <x v="7"/>
    <x v="19"/>
    <n v="1E-8"/>
  </r>
  <r>
    <x v="7"/>
    <x v="73"/>
    <n v="4.3289484800000002"/>
  </r>
  <r>
    <x v="7"/>
    <x v="20"/>
    <n v="20"/>
  </r>
  <r>
    <x v="7"/>
    <x v="20"/>
    <n v="6149.0642865700001"/>
  </r>
  <r>
    <x v="7"/>
    <x v="20"/>
    <n v="4867.9546093700001"/>
  </r>
  <r>
    <x v="7"/>
    <x v="20"/>
    <n v="1E-8"/>
  </r>
  <r>
    <x v="7"/>
    <x v="20"/>
    <n v="-5500"/>
  </r>
  <r>
    <x v="7"/>
    <x v="74"/>
    <n v="0.66495972999999997"/>
  </r>
  <r>
    <x v="7"/>
    <x v="21"/>
    <n v="0.34"/>
  </r>
  <r>
    <x v="7"/>
    <x v="75"/>
    <n v="0.89105878000000005"/>
  </r>
  <r>
    <x v="7"/>
    <x v="76"/>
    <n v="40.704174029999997"/>
  </r>
  <r>
    <x v="7"/>
    <x v="77"/>
    <n v="3013993111.0959401"/>
  </r>
  <r>
    <x v="7"/>
    <x v="78"/>
    <n v="4.3068300000000002E-3"/>
  </r>
  <r>
    <x v="7"/>
    <x v="40"/>
    <n v="162254.56419957001"/>
  </r>
  <r>
    <x v="7"/>
    <x v="79"/>
    <n v="0.34782034000000001"/>
  </r>
  <r>
    <x v="7"/>
    <x v="22"/>
    <n v="1000"/>
  </r>
  <r>
    <x v="7"/>
    <x v="22"/>
    <n v="955716.34132199001"/>
  </r>
  <r>
    <x v="7"/>
    <x v="80"/>
    <n v="3.0962099999999998E-3"/>
  </r>
  <r>
    <x v="7"/>
    <x v="81"/>
    <n v="2.6598900000000002E-2"/>
  </r>
  <r>
    <x v="7"/>
    <x v="31"/>
    <n v="1214222.2371159999"/>
  </r>
  <r>
    <x v="7"/>
    <x v="23"/>
    <n v="4741392995.3522301"/>
  </r>
  <r>
    <x v="7"/>
    <x v="24"/>
    <n v="0.14106867000000001"/>
  </r>
  <r>
    <x v="7"/>
    <x v="82"/>
    <n v="38753.774400000002"/>
  </r>
  <r>
    <x v="7"/>
    <x v="83"/>
    <n v="29.76350429"/>
  </r>
  <r>
    <x v="7"/>
    <x v="49"/>
    <n v="5976030.9888418298"/>
  </r>
  <r>
    <x v="7"/>
    <x v="49"/>
    <n v="13696462.7211191"/>
  </r>
  <r>
    <x v="7"/>
    <x v="84"/>
    <n v="6.3152970000000003E-2"/>
  </r>
  <r>
    <x v="7"/>
    <x v="85"/>
    <n v="20"/>
  </r>
  <r>
    <x v="7"/>
    <x v="43"/>
    <n v="4.7890616599999998"/>
  </r>
  <r>
    <x v="7"/>
    <x v="28"/>
    <n v="-79762265.626461402"/>
  </r>
  <r>
    <x v="7"/>
    <x v="33"/>
    <n v="4512595.36556256"/>
  </r>
  <r>
    <x v="7"/>
    <x v="86"/>
    <n v="0.34680431"/>
  </r>
  <r>
    <x v="7"/>
    <x v="25"/>
    <n v="20621131.491479099"/>
  </r>
  <r>
    <x v="7"/>
    <x v="25"/>
    <n v="8853108.5269754808"/>
  </r>
  <r>
    <x v="7"/>
    <x v="25"/>
    <n v="33167.9"/>
  </r>
  <r>
    <x v="7"/>
    <x v="25"/>
    <n v="1E-8"/>
  </r>
  <r>
    <x v="7"/>
    <x v="25"/>
    <n v="817354.02785735996"/>
  </r>
  <r>
    <x v="7"/>
    <x v="25"/>
    <n v="33123.9"/>
  </r>
  <r>
    <x v="7"/>
    <x v="25"/>
    <n v="6.2163969999999999E-2"/>
  </r>
  <r>
    <x v="7"/>
    <x v="25"/>
    <n v="8853064.5269754808"/>
  </r>
  <r>
    <x v="7"/>
    <x v="25"/>
    <n v="12245.511049999999"/>
  </r>
  <r>
    <x v="7"/>
    <x v="25"/>
    <n v="-1000000"/>
  </r>
  <r>
    <x v="7"/>
    <x v="25"/>
    <n v="-50520.467648209997"/>
  </r>
  <r>
    <x v="7"/>
    <x v="25"/>
    <n v="-9528648.0788313001"/>
  </r>
  <r>
    <x v="7"/>
    <x v="25"/>
    <n v="6596.56"/>
  </r>
  <r>
    <x v="7"/>
    <x v="26"/>
    <n v="59589.017780000002"/>
  </r>
  <r>
    <x v="7"/>
    <x v="87"/>
    <n v="0.20872535"/>
  </r>
  <r>
    <x v="7"/>
    <x v="88"/>
    <n v="97856389.900000006"/>
  </r>
  <r>
    <x v="7"/>
    <x v="46"/>
    <n v="0.55556267999999998"/>
  </r>
  <r>
    <x v="7"/>
    <x v="32"/>
    <n v="7.6039999999999997E-5"/>
  </r>
  <r>
    <x v="7"/>
    <x v="32"/>
    <n v="6.4869999999999994E-5"/>
  </r>
  <r>
    <x v="7"/>
    <x v="32"/>
    <n v="5952.37141058"/>
  </r>
  <r>
    <x v="7"/>
    <x v="32"/>
    <n v="300"/>
  </r>
  <r>
    <x v="7"/>
    <x v="32"/>
    <n v="7.4209999999999996E-5"/>
  </r>
  <r>
    <x v="7"/>
    <x v="89"/>
    <n v="3.9304560899999998"/>
  </r>
  <r>
    <x v="7"/>
    <x v="47"/>
    <n v="0.10222220999999999"/>
  </r>
  <r>
    <x v="7"/>
    <x v="50"/>
    <n v="1.329583E-2"/>
  </r>
  <r>
    <x v="7"/>
    <x v="90"/>
    <n v="2.173E-4"/>
  </r>
  <r>
    <x v="7"/>
    <x v="91"/>
    <n v="19451203.1070689"/>
  </r>
  <r>
    <x v="8"/>
    <x v="6"/>
    <n v="1.7695412699999999"/>
  </r>
  <r>
    <x v="8"/>
    <x v="8"/>
    <n v="1.8847761800000001E-2"/>
  </r>
  <r>
    <x v="8"/>
    <x v="14"/>
    <n v="9.9499194400000004"/>
  </r>
  <r>
    <x v="8"/>
    <x v="16"/>
    <n v="3.4037359600000001"/>
  </r>
  <r>
    <x v="8"/>
    <x v="20"/>
    <n v="9.1421368100000002"/>
  </r>
  <r>
    <x v="8"/>
    <x v="22"/>
    <n v="867220.80407488998"/>
  </r>
  <r>
    <x v="8"/>
    <x v="31"/>
    <n v="0.10834547999999999"/>
  </r>
  <r>
    <x v="8"/>
    <x v="28"/>
    <n v="112996.6406"/>
  </r>
  <r>
    <x v="8"/>
    <x v="25"/>
    <n v="1.182861E-2"/>
  </r>
  <r>
    <x v="8"/>
    <x v="46"/>
    <n v="8.93329E-3"/>
  </r>
  <r>
    <x v="8"/>
    <x v="32"/>
    <n v="0.71704489000000005"/>
  </r>
  <r>
    <x v="9"/>
    <x v="6"/>
    <n v="0.1"/>
  </r>
  <r>
    <x v="9"/>
    <x v="8"/>
    <n v="7.4249999999999998"/>
  </r>
  <r>
    <x v="9"/>
    <x v="16"/>
    <n v="5.0000000000000001E-4"/>
  </r>
  <r>
    <x v="9"/>
    <x v="20"/>
    <n v="914.82898999999998"/>
  </r>
  <r>
    <x v="9"/>
    <x v="28"/>
    <n v="2.63E-3"/>
  </r>
  <r>
    <x v="9"/>
    <x v="32"/>
    <n v="493543"/>
  </r>
  <r>
    <x v="10"/>
    <x v="28"/>
    <n v="10138.885630000001"/>
  </r>
  <r>
    <x v="11"/>
    <x v="6"/>
    <n v="0.49829999999999902"/>
  </r>
  <r>
    <x v="11"/>
    <x v="8"/>
    <n v="83.467310608521004"/>
  </r>
  <r>
    <x v="11"/>
    <x v="8"/>
    <n v="206.253836413801"/>
  </r>
  <r>
    <x v="11"/>
    <x v="8"/>
    <n v="54.235957655954202"/>
  </r>
  <r>
    <x v="11"/>
    <x v="13"/>
    <n v="33"/>
  </r>
  <r>
    <x v="11"/>
    <x v="14"/>
    <n v="147384.59369374899"/>
  </r>
  <r>
    <x v="11"/>
    <x v="15"/>
    <n v="-0.40708584438984002"/>
  </r>
  <r>
    <x v="11"/>
    <x v="16"/>
    <n v="-25.196230196931499"/>
  </r>
  <r>
    <x v="11"/>
    <x v="16"/>
    <n v="5131.67158237892"/>
  </r>
  <r>
    <x v="11"/>
    <x v="16"/>
    <n v="150"/>
  </r>
  <r>
    <x v="11"/>
    <x v="18"/>
    <n v="-3.6901195303759099E-2"/>
  </r>
  <r>
    <x v="11"/>
    <x v="20"/>
    <n v="-29.569263762295201"/>
  </r>
  <r>
    <x v="11"/>
    <x v="22"/>
    <n v="383818.60575309797"/>
  </r>
  <r>
    <x v="11"/>
    <x v="23"/>
    <n v="-10030682958.4883"/>
  </r>
  <r>
    <x v="11"/>
    <x v="33"/>
    <n v="-66835.391536763593"/>
  </r>
  <r>
    <x v="11"/>
    <x v="25"/>
    <n v="34742049.153713502"/>
  </r>
  <r>
    <x v="11"/>
    <x v="25"/>
    <n v="17263081.789881501"/>
  </r>
  <r>
    <x v="11"/>
    <x v="32"/>
    <n v="0.44933626032875401"/>
  </r>
  <r>
    <x v="11"/>
    <x v="32"/>
    <n v="5297132.9727466302"/>
  </r>
  <r>
    <x v="11"/>
    <x v="32"/>
    <n v="-2041.7036599847299"/>
  </r>
  <r>
    <x v="11"/>
    <x v="91"/>
    <n v="1540128.6311230001"/>
  </r>
  <r>
    <x v="11"/>
    <x v="28"/>
    <n v="-24678.549614920001"/>
  </r>
  <r>
    <x v="12"/>
    <x v="1"/>
    <n v="59"/>
  </r>
  <r>
    <x v="12"/>
    <x v="8"/>
    <n v="-221.57694376000001"/>
  </r>
  <r>
    <x v="12"/>
    <x v="16"/>
    <n v="-2975.5798351799999"/>
  </r>
  <r>
    <x v="12"/>
    <x v="27"/>
    <n v="1267.7570125100001"/>
  </r>
  <r>
    <x v="12"/>
    <x v="25"/>
    <n v="10004697.2340612"/>
  </r>
  <r>
    <x v="12"/>
    <x v="92"/>
    <n v="1644286.05309931"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BINANCE"/>
    <s v="BINE-2-S1-F"/>
    <s v="B_F_BTC-USD_230331"/>
    <n v="4508"/>
    <n v="450800"/>
    <n v="17830.22914444"/>
    <n v="1.69682361"/>
    <x v="0"/>
    <d v="2023-03-31T08:00:00"/>
    <n v="0"/>
    <x v="0"/>
    <n v="100"/>
    <n v="25.282905584002155"/>
    <n v="449563.40527596924"/>
    <n v="107"/>
    <x v="0"/>
    <s v="LONG"/>
    <x v="0"/>
    <n v="455308"/>
    <n v="18008.531435884401"/>
    <n v="0.01"/>
    <n v="4508"/>
    <s v="BINE"/>
    <s v="BTC Mar 23 LONG"/>
  </r>
  <r>
    <s v="BINANCE"/>
    <s v="BINE-2-S1-F"/>
    <s v="B_P_BTC-USD-SWAP"/>
    <n v="-66664"/>
    <n v="-6666400"/>
    <n v="17748.889282010001"/>
    <n v="-3.2611129800000001"/>
    <x v="1"/>
    <d v="2099-12-31T08:00:00"/>
    <n v="0"/>
    <x v="0"/>
    <n v="100"/>
    <n v="-375.59533411236947"/>
    <n v="-6678580.3889630912"/>
    <n v="28141"/>
    <x v="1"/>
    <s v="SHORT"/>
    <x v="1"/>
    <n v="-6666400"/>
    <n v="17748.889282010001"/>
    <n v="0"/>
    <n v="0"/>
    <s v="BINE"/>
    <s v="BTC PERP SHORT"/>
  </r>
  <r>
    <s v="BINANCE"/>
    <s v="BINE-2-S1-F"/>
    <s v="B_P_ETH-USD-SWAP"/>
    <n v="-401392"/>
    <n v="-4013920"/>
    <n v="1322.99"/>
    <n v="-8.7598545300000001"/>
    <x v="1"/>
    <d v="2099-12-31T08:00:00"/>
    <n v="0"/>
    <x v="1"/>
    <n v="10"/>
    <n v="-3033.9760693580452"/>
    <n v="-4006514.7853715131"/>
    <n v="28141"/>
    <x v="1"/>
    <s v="SHORT"/>
    <x v="1"/>
    <n v="-4013920"/>
    <n v="1322.99"/>
    <n v="0"/>
    <n v="0"/>
    <s v="BINE"/>
    <s v="ETH PERP SHORT"/>
  </r>
  <r>
    <s v="BINANCE"/>
    <s v="BINE-2-S1-F"/>
    <s v="B_F_BTC-USD_221230"/>
    <n v="-77676"/>
    <n v="-7767600"/>
    <n v="17772.15176085"/>
    <n v="-6.6554160800000002"/>
    <x v="0"/>
    <d v="2022-12-30T08:00:00"/>
    <n v="0"/>
    <x v="0"/>
    <n v="100"/>
    <n v="-437.06581535676094"/>
    <n v="-7771606.6149387676"/>
    <n v="16"/>
    <x v="2"/>
    <s v="SHORT"/>
    <x v="2"/>
    <n v="-7845276"/>
    <n v="17949.873278458501"/>
    <n v="0.01"/>
    <n v="-77676"/>
    <s v="BINE"/>
    <s v="BTC Dec 22 SHORT"/>
  </r>
  <r>
    <s v="BINANCE"/>
    <s v="BINE-2-S1-F"/>
    <s v="B_F_ETH-USD_221230"/>
    <n v="-451199"/>
    <n v="-4511990"/>
    <n v="1323.7445926299999"/>
    <n v="-51.121236119999999"/>
    <x v="0"/>
    <d v="2022-12-30T08:00:00"/>
    <n v="0"/>
    <x v="1"/>
    <n v="10"/>
    <n v="-3408.5049526326166"/>
    <n v="-4501098.6166493101"/>
    <n v="16"/>
    <x v="2"/>
    <s v="SHORT"/>
    <x v="2"/>
    <n v="-4557109.9000000004"/>
    <n v="1336.9820385563"/>
    <n v="0.01"/>
    <n v="-45119.900000000373"/>
    <s v="BINE"/>
    <s v="ETH Dec 22 SHORT"/>
  </r>
  <r>
    <s v="BINANCE"/>
    <s v="BINE-2-S1-P"/>
    <s v="BAXSUSDT"/>
    <n v="6000"/>
    <n v="45674.671799999996"/>
    <n v="7.6124453000000001"/>
    <n v="-20981.635859999999"/>
    <x v="1"/>
    <d v="2099-12-31T08:00:00"/>
    <n v="1"/>
    <x v="2"/>
    <n v="1"/>
    <n v="6000"/>
    <n v="45674.671800000004"/>
    <n v="28141"/>
    <x v="1"/>
    <s v="LONG"/>
    <x v="3"/>
    <n v="45674.671799999996"/>
    <n v="7.6124453000000001"/>
    <n v="0"/>
    <n v="0"/>
    <s v="BINE"/>
    <s v="AXS PERP LONG"/>
  </r>
  <r>
    <s v="BINANCE"/>
    <s v="BINE-2-S1-P"/>
    <s v="BEOSUSDT"/>
    <n v="673542.1"/>
    <n v="673529.44414394104"/>
    <n v="0.99998120999999995"/>
    <n v="5803.8988048499996"/>
    <x v="1"/>
    <d v="2099-12-31T08:00:00"/>
    <n v="1"/>
    <x v="3"/>
    <n v="1"/>
    <n v="673542.1"/>
    <n v="672535.94080908631"/>
    <n v="28141"/>
    <x v="1"/>
    <s v="LONG"/>
    <x v="3"/>
    <n v="673529.44414394104"/>
    <n v="0.99998120999999995"/>
    <n v="0"/>
    <n v="0"/>
    <s v="BINE"/>
    <s v="EOS PERP LONG"/>
  </r>
  <r>
    <s v="BINANCE"/>
    <s v="BINE-2-S1-P"/>
    <s v="B_F_ETH-USDT_221230"/>
    <n v="1939.489"/>
    <n v="2565117.2753451802"/>
    <n v="1322.57376832"/>
    <n v="205542.51078082999"/>
    <x v="0"/>
    <d v="2022-12-30T08:00:00"/>
    <n v="1"/>
    <x v="1"/>
    <n v="1"/>
    <n v="1939.489"/>
    <n v="2561190.720337349"/>
    <n v="16"/>
    <x v="2"/>
    <s v="LONG"/>
    <x v="4"/>
    <n v="2590768.448098632"/>
    <n v="1335.7995060032001"/>
    <n v="0.01"/>
    <n v="25651.172753451858"/>
    <s v="BINE"/>
    <s v="ETH Dec 22 LONG"/>
  </r>
  <r>
    <s v="BINANCE"/>
    <s v="BINE-2-S1-P"/>
    <s v="BBCHUSDT"/>
    <n v="-1788.952"/>
    <n v="-195670.942206304"/>
    <n v="109.37741326"/>
    <n v="-6102.0275417900002"/>
    <x v="1"/>
    <d v="2099-12-31T08:00:00"/>
    <n v="1"/>
    <x v="4"/>
    <n v="1"/>
    <n v="-1788.952"/>
    <n v="-196855.11314971425"/>
    <n v="28141"/>
    <x v="1"/>
    <s v="SHORT"/>
    <x v="1"/>
    <n v="-195670.942206304"/>
    <n v="109.37741326"/>
    <n v="0"/>
    <n v="0"/>
    <s v="BINE"/>
    <s v="BCH PERP SHORT"/>
  </r>
  <r>
    <s v="BINANCE"/>
    <s v="BINE-2-S1-P"/>
    <s v="BBTCUSDT"/>
    <n v="-164.2"/>
    <n v="-2913763.8006235301"/>
    <n v="17745.211940460002"/>
    <n v="952.81395553000004"/>
    <x v="1"/>
    <d v="2099-12-31T08:00:00"/>
    <n v="1"/>
    <x v="0"/>
    <n v="1"/>
    <n v="-164.2"/>
    <n v="-2919692.5527824988"/>
    <n v="28141"/>
    <x v="1"/>
    <s v="SHORT"/>
    <x v="1"/>
    <n v="-2913763.8006235301"/>
    <n v="17745.211940460002"/>
    <n v="0"/>
    <n v="0"/>
    <s v="BINE"/>
    <s v="BTC PERP SHORT"/>
  </r>
  <r>
    <s v="BINANCE"/>
    <s v="BINE-2-S1-P"/>
    <s v="BENJUSDT"/>
    <n v="-105"/>
    <n v="-31.71"/>
    <n v="0.30199999999999999"/>
    <n v="24.205108200000002"/>
    <x v="1"/>
    <d v="2099-12-31T08:00:00"/>
    <n v="1"/>
    <x v="5"/>
    <n v="1"/>
    <n v="-105"/>
    <n v="-31.889461501645332"/>
    <n v="28141"/>
    <x v="1"/>
    <s v="SHORT"/>
    <x v="1"/>
    <n v="-31.71"/>
    <n v="0.30199999999999999"/>
    <n v="0"/>
    <n v="0"/>
    <s v="BINE"/>
    <s v="ENJ PERP SHORT"/>
  </r>
  <r>
    <s v="BINANCE"/>
    <s v="BINE-2-S1-P"/>
    <s v="BETCUSDT"/>
    <n v="-8.5299999999999994"/>
    <n v="-164.33294579299999"/>
    <n v="19.265292590000001"/>
    <n v="12.22032596"/>
    <x v="1"/>
    <d v="2099-12-31T08:00:00"/>
    <n v="1"/>
    <x v="6"/>
    <n v="1"/>
    <n v="-8.5299999999999994"/>
    <n v="-164.2270040323983"/>
    <n v="28141"/>
    <x v="1"/>
    <s v="SHORT"/>
    <x v="1"/>
    <n v="-164.33294579299999"/>
    <n v="19.265292590000001"/>
    <n v="0"/>
    <n v="0"/>
    <s v="BINE"/>
    <s v="ETC PERP SHORT"/>
  </r>
  <r>
    <s v="BINANCE"/>
    <s v="BINE-2-S1-P"/>
    <s v="BETHUSDT"/>
    <n v="-11513.936"/>
    <n v="-15224979.5580638"/>
    <n v="1322.3088575500001"/>
    <n v="61511.154405360001"/>
    <x v="1"/>
    <d v="2099-12-31T08:00:00"/>
    <n v="1"/>
    <x v="1"/>
    <n v="1"/>
    <n v="-11513.936"/>
    <n v="-15204719.40689436"/>
    <n v="28141"/>
    <x v="1"/>
    <s v="SHORT"/>
    <x v="1"/>
    <n v="-15224979.5580638"/>
    <n v="1322.3088575500001"/>
    <n v="0"/>
    <n v="0"/>
    <s v="BINE"/>
    <s v="ETH PERP SHORT"/>
  </r>
  <r>
    <s v="BINANCE"/>
    <s v="BINE-2-S1-P"/>
    <s v="BFILUSDT"/>
    <n v="-2260"/>
    <n v="-9758.0454372000004"/>
    <n v="4.3177192199999999"/>
    <n v="1936.9938618000001"/>
    <x v="1"/>
    <d v="2099-12-31T08:00:00"/>
    <n v="1"/>
    <x v="7"/>
    <n v="1"/>
    <n v="-2260"/>
    <n v="-9760.3438232587996"/>
    <n v="28141"/>
    <x v="1"/>
    <s v="SHORT"/>
    <x v="1"/>
    <n v="-9758.0454372000004"/>
    <n v="4.3177192199999999"/>
    <n v="0"/>
    <n v="0"/>
    <s v="BINE"/>
    <s v="FIL PERP SHORT"/>
  </r>
  <r>
    <s v="BINANCE"/>
    <s v="BINE-2-S1-P"/>
    <s v="BLTCUSDT"/>
    <n v="-2193.1849999999999"/>
    <n v="-171119.06213209199"/>
    <n v="78.023086120000002"/>
    <n v="105.24757064000001"/>
    <x v="1"/>
    <d v="2099-12-31T08:00:00"/>
    <n v="1"/>
    <x v="8"/>
    <n v="1"/>
    <n v="-2193.1849999999999"/>
    <n v="-169630.75548353564"/>
    <n v="28141"/>
    <x v="1"/>
    <s v="SHORT"/>
    <x v="1"/>
    <n v="-171119.06213209199"/>
    <n v="78.023086120000002"/>
    <n v="0"/>
    <n v="0"/>
    <s v="BINE"/>
    <s v="LTC PERP SHORT"/>
  </r>
  <r>
    <s v="BINANCE"/>
    <s v="BINE-2-S1-P"/>
    <s v="BOMGUSDT"/>
    <n v="-24000"/>
    <n v="-27752.778480000001"/>
    <n v="1.1563657700000001"/>
    <n v="110.52144"/>
    <x v="1"/>
    <d v="2099-12-31T08:00:00"/>
    <n v="1"/>
    <x v="9"/>
    <n v="1"/>
    <n v="-24000"/>
    <n v="-28168.332320806079"/>
    <n v="28141"/>
    <x v="1"/>
    <s v="SHORT"/>
    <x v="1"/>
    <e v="#N/A"/>
    <e v="#N/A"/>
    <e v="#N/A"/>
    <e v="#N/A"/>
    <s v="BINE"/>
    <s v="OMG PERP SHORT"/>
  </r>
  <r>
    <s v="BINANCE"/>
    <s v="BINE-2-S1-P"/>
    <s v="BZILUSDT"/>
    <n v="-581844"/>
    <n v="-12885.76159848"/>
    <n v="2.214642E-2"/>
    <n v="171.47524523999999"/>
    <x v="1"/>
    <d v="2099-12-31T08:00:00"/>
    <n v="1"/>
    <x v="10"/>
    <n v="1"/>
    <n v="-581844"/>
    <n v="-12930.710446315714"/>
    <n v="28141"/>
    <x v="1"/>
    <s v="SHORT"/>
    <x v="1"/>
    <n v="-12885.76159848"/>
    <n v="2.214642E-2"/>
    <n v="0"/>
    <n v="0"/>
    <s v="BINE"/>
    <s v="ZIL PERP SHORT"/>
  </r>
  <r>
    <s v="BINANCE"/>
    <s v="BINE-2-S1-P"/>
    <s v="BCOMPUSDT"/>
    <n v="-200.97900000000001"/>
    <n v="-7854.3582478930002"/>
    <n v="39.080492229999997"/>
    <n v="2106.67812112"/>
    <x v="1"/>
    <d v="2099-12-31T08:00:00"/>
    <n v="1"/>
    <x v="11"/>
    <n v="1"/>
    <n v="-200.97900000000001"/>
    <n v="-7885.9603425893165"/>
    <n v="28141"/>
    <x v="1"/>
    <s v="SHORT"/>
    <x v="1"/>
    <n v="-7854.3582478930002"/>
    <n v="39.080492229999997"/>
    <n v="0"/>
    <n v="0"/>
    <s v="BINE"/>
    <s v="COMP PERP SHORT"/>
  </r>
  <r>
    <s v="BINANCE"/>
    <s v="BINE-2-S1-P"/>
    <s v="BLINKUSDT"/>
    <n v="-66407.44"/>
    <n v="-459522.43734607799"/>
    <n v="6.9197432900000004"/>
    <n v="-11078.838880789999"/>
    <x v="1"/>
    <d v="2099-12-31T08:00:00"/>
    <n v="1"/>
    <x v="12"/>
    <n v="1"/>
    <n v="-66407.44"/>
    <n v="-458965.51962823956"/>
    <n v="28141"/>
    <x v="1"/>
    <s v="SHORT"/>
    <x v="1"/>
    <n v="-459522.43734607799"/>
    <n v="6.9197432900000004"/>
    <n v="0"/>
    <n v="0"/>
    <s v="BINE"/>
    <s v="LINK PERP SHORT"/>
  </r>
  <r>
    <s v="BINANCE"/>
    <s v="BINE-2-S1-P"/>
    <s v="B_F_BTC-USDT_221230"/>
    <n v="-27.065000000000001"/>
    <n v="-480993.08884176798"/>
    <n v="17771.774943349999"/>
    <n v="557.81255785999997"/>
    <x v="0"/>
    <d v="2022-12-30T08:00:00"/>
    <n v="1"/>
    <x v="0"/>
    <n v="1"/>
    <n v="-27.065000000000001"/>
    <n v="-481251.39428171946"/>
    <n v="16"/>
    <x v="2"/>
    <s v="SHORT"/>
    <x v="2"/>
    <n v="-485803.01973018568"/>
    <n v="17949.4926927835"/>
    <n v="0.01"/>
    <n v="-4809.9308884177008"/>
    <s v="BINE"/>
    <s v="BTC Dec 22 SHORT"/>
  </r>
  <r>
    <s v="BINANCE"/>
    <s v="BINE-2-S2-P"/>
    <s v="BBTCUSDT"/>
    <n v="50.694000000000003"/>
    <n v="899693.83305412601"/>
    <n v="17747.54079485"/>
    <n v="4572.4640426699998"/>
    <x v="1"/>
    <d v="2099-12-31T08:00:00"/>
    <n v="1"/>
    <x v="0"/>
    <n v="1"/>
    <n v="50.694000000000003"/>
    <n v="901406.17704479909"/>
    <n v="28141"/>
    <x v="1"/>
    <s v="LONG"/>
    <x v="3"/>
    <n v="899693.83305412601"/>
    <n v="17747.54079485"/>
    <n v="0"/>
    <n v="0"/>
    <s v="BINE"/>
    <s v="BTC PERP LONG"/>
  </r>
  <r>
    <s v="DYDX"/>
    <s v="DYDX-1-M-P"/>
    <s v="D_T_BTC_USDC_SWAP"/>
    <n v="-1.4123000000000001"/>
    <n v="-25086.400784960999"/>
    <n v="17762.798828125"/>
    <n v="2486.3029609999999"/>
    <x v="1"/>
    <d v="2099-12-31T08:00:00"/>
    <n v="1"/>
    <x v="0"/>
    <n v="1"/>
    <n v="-1.4123000000000001"/>
    <n v="-25112.556591319877"/>
    <n v="28141"/>
    <x v="1"/>
    <s v="SHORT"/>
    <x v="1"/>
    <n v="-25086.400784960999"/>
    <n v="17762.798828125"/>
    <n v="0"/>
    <n v="0"/>
    <s v="DYDX"/>
    <s v="BTC PERP SHORT"/>
  </r>
  <r>
    <s v="DYDX"/>
    <s v="DYDX-1-M-P"/>
    <s v="D_T_ATOM_USDC_SWAP"/>
    <n v="-426.6"/>
    <n v="-4147.7465887070002"/>
    <n v="9.7228002549999992"/>
    <n v="5215.712356"/>
    <x v="1"/>
    <d v="2099-12-31T08:00:00"/>
    <n v="1"/>
    <x v="13"/>
    <n v="1"/>
    <n v="-426.6"/>
    <n v="-4153.4513098608704"/>
    <n v="28141"/>
    <x v="1"/>
    <s v="SHORT"/>
    <x v="1"/>
    <n v="-4147.7465887070002"/>
    <n v="9.7228002549999992"/>
    <n v="0"/>
    <n v="0"/>
    <s v="DYDX"/>
    <s v="ATOM PERP SHORT"/>
  </r>
  <r>
    <s v="HUOBI"/>
    <s v="FUBI-M"/>
    <s v="BTC221230"/>
    <n v="2393"/>
    <n v="239300"/>
    <n v="17687"/>
    <n v="0.51829988299999996"/>
    <x v="0"/>
    <d v="2022-12-30T08:00:00"/>
    <n v="0"/>
    <x v="0"/>
    <n v="100"/>
    <n v="13.529711087239216"/>
    <n v="240576.10659385595"/>
    <n v="16"/>
    <x v="2"/>
    <s v="LONG"/>
    <x v="4"/>
    <n v="241693"/>
    <n v="17863.87"/>
    <n v="0.01"/>
    <n v="2393"/>
    <s v="FUBI"/>
    <s v="BTC Dec 22 LONG"/>
  </r>
  <r>
    <s v="HUOBI"/>
    <s v="FUBI-M"/>
    <s v="ETH221230"/>
    <n v="64783"/>
    <n v="647830"/>
    <n v="1312.7529999999999"/>
    <n v="24.615616648"/>
    <x v="0"/>
    <d v="2022-12-30T08:00:00"/>
    <n v="0"/>
    <x v="1"/>
    <n v="10"/>
    <n v="493.48963590256511"/>
    <n v="651677.36246831343"/>
    <n v="16"/>
    <x v="2"/>
    <s v="LONG"/>
    <x v="4"/>
    <n v="654308.30000000005"/>
    <n v="1325.8805299999999"/>
    <n v="0.01"/>
    <n v="6478.3000000000466"/>
    <s v="FUBI"/>
    <s v="ETH Dec 22 LONG"/>
  </r>
  <r>
    <s v="HUOBI"/>
    <s v="HUBI-1-M-P"/>
    <s v="H_P_BTC-USD-SWAP"/>
    <n v="13015"/>
    <n v="1301500"/>
    <n v="17752.400000000001"/>
    <n v="0.53520549699999997"/>
    <x v="1"/>
    <d v="2099-12-31T08:00:00"/>
    <n v="0"/>
    <x v="0"/>
    <n v="100"/>
    <n v="73.314030778936925"/>
    <n v="1303620.1563929906"/>
    <n v="28141"/>
    <x v="1"/>
    <s v="LONG"/>
    <x v="3"/>
    <n v="1301500"/>
    <n v="17752.400000000001"/>
    <n v="0"/>
    <n v="0"/>
    <s v="HUBI"/>
    <s v="BTC PERP LONG"/>
  </r>
  <r>
    <s v="HUOBI"/>
    <s v="HUBI-1-M-P"/>
    <s v="H_P_ETH-USD-SWAP"/>
    <n v="-66714"/>
    <n v="-667140"/>
    <n v="1323.87"/>
    <n v="-3.9830221790000002"/>
    <x v="1"/>
    <d v="2099-12-31T08:00:00"/>
    <n v="0"/>
    <x v="1"/>
    <n v="10"/>
    <n v="-503.93165492080044"/>
    <n v="-665466.56272213825"/>
    <n v="28141"/>
    <x v="1"/>
    <s v="SHORT"/>
    <x v="1"/>
    <n v="-667140"/>
    <n v="1323.87"/>
    <n v="0"/>
    <n v="0"/>
    <s v="HUBI"/>
    <s v="ETH PERP SHORT"/>
  </r>
  <r>
    <s v="HUOBI"/>
    <s v="HUBI-1-M-PT"/>
    <s v="H_T_BTC_USDT_SWAP"/>
    <n v="30.03"/>
    <n v="533032.5"/>
    <n v="17750"/>
    <n v="-2473.2285408299999"/>
    <x v="1"/>
    <d v="2099-12-31T08:00:00"/>
    <n v="1"/>
    <x v="0"/>
    <n v="1"/>
    <n v="30.03"/>
    <n v="533973.00462885783"/>
    <n v="28141"/>
    <x v="1"/>
    <s v="LONG"/>
    <x v="3"/>
    <n v="533032.5"/>
    <n v="17750"/>
    <n v="0"/>
    <n v="0"/>
    <s v="HUBI"/>
    <s v="BTC PERP LONG"/>
  </r>
  <r>
    <s v="HUOBI"/>
    <s v="HUBI-1-M-PT"/>
    <s v="H_T_ETH_USDT_SWAP"/>
    <n v="-45.63"/>
    <n v="-60383.547899999998"/>
    <n v="1323.33"/>
    <n v="240.29736257299999"/>
    <x v="1"/>
    <d v="2099-12-31T08:00:00"/>
    <n v="1"/>
    <x v="1"/>
    <n v="1"/>
    <n v="-45.63"/>
    <n v="-60256.661712952868"/>
    <n v="28141"/>
    <x v="1"/>
    <s v="SHORT"/>
    <x v="1"/>
    <n v="-60383.547899999998"/>
    <n v="1323.33"/>
    <n v="0"/>
    <n v="0"/>
    <s v="HUBI"/>
    <s v="ETH PERP SHORT"/>
  </r>
  <r>
    <s v="OKEX"/>
    <s v="OKEX-2-M"/>
    <s v="O_P_BCH-USDT-SWAP"/>
    <n v="9220"/>
    <n v="100848.36150275799"/>
    <n v="109.38"/>
    <n v="1541.1538589039999"/>
    <x v="1"/>
    <d v="2099-12-31T08:00:00"/>
    <n v="1"/>
    <x v="4"/>
    <n v="0.1"/>
    <n v="922"/>
    <n v="101456.27961177078"/>
    <n v="28141"/>
    <x v="1"/>
    <s v="LONG"/>
    <x v="3"/>
    <n v="100848.36150275799"/>
    <n v="109.38"/>
    <n v="0"/>
    <n v="0"/>
    <s v="OKEX"/>
    <s v="BCH PERP LONG"/>
  </r>
  <r>
    <s v="OKEX"/>
    <s v="OKEX-2-M"/>
    <s v="O_P_BTC-USDT-SWAP"/>
    <n v="6735"/>
    <n v="1195597.1732763201"/>
    <n v="17752"/>
    <n v="-3319.8703885149998"/>
    <x v="1"/>
    <d v="2099-12-31T08:00:00"/>
    <n v="1"/>
    <x v="0"/>
    <n v="0.01"/>
    <n v="67.349999999999994"/>
    <n v="1197571.8235682175"/>
    <n v="28141"/>
    <x v="1"/>
    <s v="LONG"/>
    <x v="3"/>
    <n v="1195597.1732763201"/>
    <n v="17752"/>
    <n v="0"/>
    <n v="0"/>
    <s v="OKEX"/>
    <s v="BTC PERP LONG"/>
  </r>
  <r>
    <s v="OKEX"/>
    <s v="OKEX-2-M"/>
    <s v="O_P_EOS-USDT-SWAP"/>
    <n v="232"/>
    <n v="2320.6959999999999"/>
    <n v="1.0003"/>
    <n v="95.362391595999995"/>
    <x v="1"/>
    <d v="2099-12-31T08:00:00"/>
    <n v="1"/>
    <x v="3"/>
    <n v="10"/>
    <n v="2320"/>
    <n v="2316.5343082148543"/>
    <n v="28141"/>
    <x v="1"/>
    <s v="LONG"/>
    <x v="3"/>
    <n v="2320.6959999999999"/>
    <n v="1.0003"/>
    <n v="0"/>
    <n v="0"/>
    <s v="OKEX"/>
    <s v="EOS PERP LONG"/>
  </r>
  <r>
    <s v="OKEX"/>
    <s v="OKEX-2-M"/>
    <s v="O_F_ETH-USDT_221230"/>
    <n v="19407"/>
    <n v="2564732.1232174798"/>
    <n v="1321.55"/>
    <n v="159508.82696084399"/>
    <x v="0"/>
    <d v="2022-12-30T08:00:00"/>
    <n v="1"/>
    <x v="1"/>
    <n v="0.1"/>
    <n v="1940.7"/>
    <n v="2562789.9054641165"/>
    <n v="16"/>
    <x v="2"/>
    <s v="LONG"/>
    <x v="4"/>
    <n v="2590379.4444496548"/>
    <n v="1334.7655"/>
    <n v="0.01"/>
    <n v="25647.321232174989"/>
    <s v="OKEX"/>
    <s v="ETH Dec 22 LONG"/>
  </r>
  <r>
    <s v="OKEX"/>
    <s v="OKEX-2-M"/>
    <s v="O_F_ETH-USDT_230331"/>
    <n v="4630"/>
    <n v="611122.96910644195"/>
    <n v="1319.92"/>
    <n v="5789.7647082450003"/>
    <x v="0"/>
    <d v="2023-03-31T08:00:00"/>
    <n v="1"/>
    <x v="1"/>
    <n v="0.1"/>
    <n v="463"/>
    <n v="611414.29702163441"/>
    <n v="107"/>
    <x v="0"/>
    <s v="LONG"/>
    <x v="0"/>
    <n v="617234.1987975064"/>
    <n v="1333.1192000000001"/>
    <n v="0.01"/>
    <n v="6111.2296910644509"/>
    <s v="OKEX"/>
    <s v="ETH Mar 23 LONG"/>
  </r>
  <r>
    <s v="OKEX"/>
    <s v="OKEX-2-M"/>
    <s v="O_P_BTC-USD-SWAP"/>
    <n v="-13935"/>
    <n v="-1393500"/>
    <n v="17754.8"/>
    <n v="4.1014634000000001E-2"/>
    <x v="1"/>
    <d v="2099-12-31T08:00:00"/>
    <n v="0"/>
    <x v="0"/>
    <n v="100"/>
    <n v="-78.485817919661159"/>
    <n v="-1395581.3524913392"/>
    <n v="28141"/>
    <x v="1"/>
    <s v="SHORT"/>
    <x v="1"/>
    <n v="-1393500"/>
    <n v="17754.8"/>
    <n v="0"/>
    <n v="0"/>
    <s v="OKEX"/>
    <s v="BTC PERP SHORT"/>
  </r>
  <r>
    <s v="OKEX"/>
    <s v="OKEX-2-M"/>
    <s v="O_P_ETH-USD-SWAP"/>
    <n v="-86397"/>
    <n v="-863970"/>
    <n v="1323.21"/>
    <n v="4.7299636109999996"/>
    <x v="1"/>
    <d v="2099-12-31T08:00:00"/>
    <n v="0"/>
    <x v="1"/>
    <n v="10"/>
    <n v="-652.93490829120094"/>
    <n v="-862232.69536447071"/>
    <n v="28141"/>
    <x v="1"/>
    <s v="SHORT"/>
    <x v="1"/>
    <n v="-863970"/>
    <n v="1323.21"/>
    <n v="0"/>
    <n v="0"/>
    <s v="OKEX"/>
    <s v="ETH PERP SHORT"/>
  </r>
  <r>
    <s v="OKEX"/>
    <s v="OKEX-2-M"/>
    <s v="O_P_ETH-USDT-SWAP"/>
    <n v="-32771"/>
    <n v="-4337274.6856304202"/>
    <n v="1323.51"/>
    <n v="-4138.6918854420001"/>
    <x v="1"/>
    <d v="2099-12-31T08:00:00"/>
    <n v="1"/>
    <x v="1"/>
    <n v="0.1"/>
    <n v="-3277.1000000000004"/>
    <n v="-4327571.9066298017"/>
    <n v="28141"/>
    <x v="1"/>
    <s v="SHORT"/>
    <x v="1"/>
    <n v="-4337274.6856304202"/>
    <n v="1323.51"/>
    <n v="0"/>
    <n v="0"/>
    <s v="OKEX"/>
    <s v="ETH PERP SHORT"/>
  </r>
  <r>
    <s v="OKEX"/>
    <s v="OKEX-2-M"/>
    <s v="O_P_LTC-USDT-SWAP"/>
    <n v="-1682"/>
    <n v="-131280.1"/>
    <n v="78.05"/>
    <n v="-1842.5521247260001"/>
    <x v="1"/>
    <d v="2099-12-31T08:00:00"/>
    <n v="1"/>
    <x v="8"/>
    <n v="1"/>
    <n v="-1682"/>
    <n v="-130093.41698183553"/>
    <n v="28141"/>
    <x v="1"/>
    <s v="SHORT"/>
    <x v="1"/>
    <n v="-131280.1"/>
    <n v="78.05"/>
    <n v="0"/>
    <n v="0"/>
    <s v="OKEX"/>
    <s v="LTC PERP SHORT"/>
  </r>
  <r>
    <s v="OKEX"/>
    <s v="OKEX-2-M"/>
    <s v="O_F_BTC-USD_221230"/>
    <n v="-7322"/>
    <n v="-732200"/>
    <n v="17767.099999999999"/>
    <n v="0.275349601"/>
    <x v="0"/>
    <d v="2022-12-30T08:00:00"/>
    <n v="0"/>
    <x v="0"/>
    <n v="100"/>
    <n v="-41.211002358291452"/>
    <n v="-732785.97246166598"/>
    <n v="16"/>
    <x v="2"/>
    <s v="SHORT"/>
    <x v="2"/>
    <n v="-739522"/>
    <n v="17944.770999999997"/>
    <n v="0.01"/>
    <n v="-7322"/>
    <s v="OKEX"/>
    <s v="BTC Dec 22 SHORT"/>
  </r>
  <r>
    <s v="OKEX"/>
    <s v="OKEX-2-M"/>
    <s v="O_F_ETH-USD_221230"/>
    <n v="-201184"/>
    <n v="-2011840"/>
    <n v="1324.24"/>
    <n v="-42.368497421000001"/>
    <x v="0"/>
    <d v="2022-12-30T08:00:00"/>
    <n v="0"/>
    <x v="1"/>
    <n v="10"/>
    <n v="-1519.2412251555609"/>
    <n v="-2006232.8416517791"/>
    <n v="16"/>
    <x v="2"/>
    <s v="SHORT"/>
    <x v="2"/>
    <n v="-2031958.4"/>
    <n v="1337.4824000000001"/>
    <n v="0.01"/>
    <n v="-20118.399999999907"/>
    <s v="OKEX"/>
    <s v="ETH Dec 22 SHORT"/>
  </r>
  <r>
    <s v="OKEX"/>
    <s v="OKEX-2-M"/>
    <s v="O_P_LINK-USDT-SWAP"/>
    <n v="-35999"/>
    <n v="-249293.07500000001"/>
    <n v="6.9249999999999998"/>
    <n v="-6317.8531397249999"/>
    <x v="1"/>
    <d v="2099-12-31T08:00:00"/>
    <n v="1"/>
    <x v="12"/>
    <n v="1"/>
    <n v="-35999"/>
    <n v="-248801.93757050409"/>
    <n v="28141"/>
    <x v="1"/>
    <s v="SHORT"/>
    <x v="1"/>
    <n v="-249293.07500000001"/>
    <n v="6.9249999999999998"/>
    <n v="0"/>
    <n v="0"/>
    <s v="OKEX"/>
    <s v="LINK PERP SHORT"/>
  </r>
  <r>
    <s v="OKEX"/>
    <s v="OKEX-2-M"/>
    <s v="O_P_SHIB-USDT-SWAP"/>
    <n v="-87029"/>
    <n v="-797185.64"/>
    <n v="9.1600000000000004E-6"/>
    <n v="117424.76586747399"/>
    <x v="1"/>
    <d v="2099-12-31T08:00:00"/>
    <n v="1"/>
    <x v="14"/>
    <n v="1000000"/>
    <n v="-87029000000"/>
    <n v="-797459.83892325079"/>
    <n v="28141"/>
    <x v="1"/>
    <s v="SHORT"/>
    <x v="1"/>
    <n v="-797185.64"/>
    <n v="9.1600000000000004E-6"/>
    <n v="0"/>
    <n v="0"/>
    <s v="OKEX"/>
    <s v="SHIB PERP SHORT"/>
  </r>
  <r>
    <s v="OKEX"/>
    <s v="OKEX-2-M"/>
    <s v="O_F_BTC-USDT_221230"/>
    <n v="-6217"/>
    <n v="-1103952.6653247301"/>
    <n v="17757"/>
    <n v="-31451.180557642001"/>
    <x v="0"/>
    <d v="2022-12-30T08:00:00"/>
    <n v="1"/>
    <x v="0"/>
    <n v="0.01"/>
    <n v="-62.17"/>
    <n v="-1105464.5920005357"/>
    <n v="16"/>
    <x v="2"/>
    <s v="SHORT"/>
    <x v="2"/>
    <n v="-1114992.1919779775"/>
    <n v="17934.57"/>
    <n v="0.01"/>
    <n v="-11039.52665324742"/>
    <s v="OKEX"/>
    <s v="BTC Dec 22 SHORT"/>
  </r>
  <r>
    <s v="OKEX"/>
    <s v="OKEX-2-S1"/>
    <s v="O_P_BTC-USD-SWAP"/>
    <n v="624"/>
    <n v="62400"/>
    <n v="17757.900000000001"/>
    <n v="0.24800808499999999"/>
    <x v="1"/>
    <d v="2099-12-31T08:00:00"/>
    <n v="0"/>
    <x v="0"/>
    <n v="100"/>
    <n v="3.5139290118764039"/>
    <n v="62482.292125346539"/>
    <n v="28141"/>
    <x v="1"/>
    <s v="LONG"/>
    <x v="3"/>
    <n v="62400"/>
    <n v="17757.900000000001"/>
    <n v="0"/>
    <n v="0"/>
    <s v="OKEX"/>
    <s v="BTC PERP LONG"/>
  </r>
  <r>
    <s v="OKEX"/>
    <s v="OKEX-2-S1"/>
    <s v="O_P_ETH-USD-SWAP"/>
    <n v="-1915"/>
    <n v="-19150"/>
    <n v="1323.62"/>
    <n v="-0.397702577"/>
    <x v="1"/>
    <d v="2099-12-31T08:00:00"/>
    <n v="0"/>
    <x v="1"/>
    <n v="10"/>
    <n v="-14.467898641604087"/>
    <n v="-19105.572521245402"/>
    <n v="28141"/>
    <x v="1"/>
    <s v="SHORT"/>
    <x v="1"/>
    <n v="-19150"/>
    <n v="1323.62"/>
    <n v="0"/>
    <n v="0"/>
    <s v="OKEX"/>
    <s v="ETH PERP SHORT"/>
  </r>
  <r>
    <s v="OKEX"/>
    <s v="OKEX-2-S1"/>
    <s v="O_F_ETH-USD_221230"/>
    <n v="-67"/>
    <n v="-670"/>
    <n v="1324.52"/>
    <n v="-5.3616051999999997E-2"/>
    <x v="0"/>
    <d v="2022-12-30T08:00:00"/>
    <n v="0"/>
    <x v="1"/>
    <n v="10"/>
    <n v="-0.50584362637030778"/>
    <n v="-667.99141516215116"/>
    <n v="16"/>
    <x v="2"/>
    <s v="SHORT"/>
    <x v="2"/>
    <n v="-676.7"/>
    <n v="1337.7652"/>
    <n v="0.01"/>
    <n v="-6.7000000000000455"/>
    <s v="OKEX"/>
    <s v="ETH Dec 22 SHORT"/>
  </r>
  <r>
    <s v="OKEX"/>
    <s v="OKEX-2-S2"/>
    <s v="O_F_BTC-USD_221230"/>
    <n v="2"/>
    <n v="200"/>
    <n v="17773.400000000001"/>
    <n v="7.4171199999999995E-4"/>
    <x v="0"/>
    <d v="2022-12-30T08:00:00"/>
    <n v="0"/>
    <x v="0"/>
    <n v="100"/>
    <n v="1.1252770994857483E-2"/>
    <n v="200.08910884197508"/>
    <n v="16"/>
    <x v="2"/>
    <s v="LONG"/>
    <x v="4"/>
    <n v="202"/>
    <n v="17951.134000000002"/>
    <n v="0.01"/>
    <n v="2"/>
    <s v="OKEX"/>
    <s v="BTC Dec 22 LONG"/>
  </r>
  <r>
    <s v="OKEX"/>
    <s v="OKEX-2-S2"/>
    <s v="O_F_BTC-USDT_221230"/>
    <n v="1"/>
    <n v="177.60399602999999"/>
    <n v="17760.400000000001"/>
    <n v="13.334542715"/>
    <x v="0"/>
    <d v="2022-12-30T08:00:00"/>
    <n v="1"/>
    <x v="0"/>
    <n v="0.01"/>
    <n v="0.01"/>
    <n v="177.813188354598"/>
    <n v="16"/>
    <x v="2"/>
    <s v="LONG"/>
    <x v="4"/>
    <n v="179.3800359903"/>
    <n v="17938.004000000001"/>
    <n v="0.01"/>
    <n v="1.776039960300011"/>
    <s v="OKEX"/>
    <s v="BTC Dec 22 LONG"/>
  </r>
  <r>
    <s v="OKEX"/>
    <s v="OKEX-2-S2"/>
    <s v="O_F_ETH-USDT_221230"/>
    <n v="10771"/>
    <n v="1424173.95422184"/>
    <n v="1322.23"/>
    <n v="98132.629544968993"/>
    <x v="0"/>
    <d v="2022-12-30T08:00:00"/>
    <n v="1"/>
    <x v="1"/>
    <n v="0.1"/>
    <n v="1077.1000000000001"/>
    <n v="1422363.5838488175"/>
    <n v="16"/>
    <x v="2"/>
    <s v="LONG"/>
    <x v="4"/>
    <n v="1438415.6937640584"/>
    <n v="1335.4522999999999"/>
    <n v="0.01"/>
    <n v="14241.739542218391"/>
    <s v="OKEX"/>
    <s v="ETH Dec 22 LONG"/>
  </r>
  <r>
    <s v="OKEX"/>
    <s v="OKEX-2-S2"/>
    <s v="O_P_BTC-USDT-SWAP"/>
    <n v="-1"/>
    <n v="-177.55899603099999"/>
    <n v="17755.900000000001"/>
    <n v="-4.0625998699999997"/>
    <x v="1"/>
    <d v="2099-12-31T08:00:00"/>
    <n v="1"/>
    <x v="0"/>
    <n v="0.01"/>
    <n v="-0.01"/>
    <n v="-177.813188354598"/>
    <n v="28141"/>
    <x v="1"/>
    <s v="SHORT"/>
    <x v="1"/>
    <n v="-177.55899603099999"/>
    <n v="17755.900000000001"/>
    <n v="0"/>
    <n v="0"/>
    <s v="OKEX"/>
    <s v="BTC PERP SHORT"/>
  </r>
  <r>
    <s v="OKEX"/>
    <s v="OKEX-2-S2"/>
    <s v="O_P_ETH-USDT-SWAP"/>
    <n v="-10771"/>
    <n v="-1426252.7572528201"/>
    <n v="1324.16"/>
    <n v="-109366.509779863"/>
    <x v="1"/>
    <d v="2099-12-31T08:00:00"/>
    <n v="1"/>
    <x v="1"/>
    <n v="0.1"/>
    <n v="-1077.1000000000001"/>
    <n v="-1422363.5838488175"/>
    <n v="28141"/>
    <x v="1"/>
    <s v="SHORT"/>
    <x v="1"/>
    <n v="-1426252.7572528201"/>
    <n v="1324.16"/>
    <n v="0"/>
    <n v="0"/>
    <s v="OKEX"/>
    <s v="ETH PERP SHORT"/>
  </r>
  <r>
    <s v="OKEX"/>
    <s v="OKEX-2-S3"/>
    <s v="O_P_AXS-USDT-SWAP"/>
    <n v="17440"/>
    <n v="13289.280198025999"/>
    <n v="7.62"/>
    <n v="-18244.730061801001"/>
    <x v="1"/>
    <d v="2099-12-31T08:00:00"/>
    <n v="1"/>
    <x v="2"/>
    <n v="0.1"/>
    <n v="1744"/>
    <n v="13289.28"/>
    <n v="28141"/>
    <x v="1"/>
    <s v="LONG"/>
    <x v="3"/>
    <n v="13289.280198025999"/>
    <n v="7.62"/>
    <n v="0"/>
    <n v="0"/>
    <s v="OKEX"/>
    <s v="AXS PERP LONG"/>
  </r>
  <r>
    <s v="ED&amp;F"/>
    <s v="UNMBF222"/>
    <s v="ETHZ2"/>
    <n v="378"/>
    <n v="24862950"/>
    <n v="1315.5"/>
    <n v="0"/>
    <x v="2"/>
    <d v="2022-12-30T00:00:00"/>
    <n v="1"/>
    <x v="1"/>
    <n v="50"/>
    <n v="18900"/>
    <n v="24958380.591163907"/>
    <n v="16"/>
    <x v="3"/>
    <s v="LONG"/>
    <x v="5"/>
    <n v="25111579.5"/>
    <n v="1328.655"/>
    <n v="0.01"/>
    <n v="248629.5"/>
    <s v="UNMBF222"/>
    <s v="ETH CME Dec 22 LONG"/>
  </r>
  <r>
    <s v="ED&amp;F"/>
    <s v="UNMBF222"/>
    <s v="BTCZ2"/>
    <n v="262"/>
    <n v="23245950"/>
    <n v="17745"/>
    <n v="0"/>
    <x v="2"/>
    <d v="2022-12-30T00:00:00"/>
    <n v="1"/>
    <x v="0"/>
    <n v="5"/>
    <n v="1310"/>
    <n v="23293527.674452335"/>
    <n v="16"/>
    <x v="3"/>
    <s v="LONG"/>
    <x v="5"/>
    <n v="23478409.5"/>
    <n v="17922.45"/>
    <n v="0.01"/>
    <n v="232459.5"/>
    <s v="UNMBF222"/>
    <s v="BTC CME Dec 22 LONG"/>
  </r>
  <r>
    <s v="-"/>
    <s v="WALLET"/>
    <s v="AAC"/>
    <n v="377.09760540000002"/>
    <n v="0.108605982773918"/>
    <n v="2.8800496534237073E-4"/>
    <n v="0"/>
    <x v="3"/>
    <m/>
    <n v="1"/>
    <x v="15"/>
    <m/>
    <m/>
    <m/>
    <n v="0"/>
    <x v="4"/>
    <s v="LONG"/>
    <x v="6"/>
    <n v="0.108605982773918"/>
    <n v="2.8800496534237073E-4"/>
    <n v="0"/>
    <n v="0"/>
    <s v="-"/>
    <s v="AAC"/>
  </r>
  <r>
    <s v="-"/>
    <s v="WALLET"/>
    <s v="AAVE"/>
    <n v="172.92698313999995"/>
    <n v="10699.493436393539"/>
    <n v="61.872897115954061"/>
    <n v="0"/>
    <x v="3"/>
    <m/>
    <n v="1"/>
    <x v="16"/>
    <m/>
    <m/>
    <m/>
    <n v="0"/>
    <x v="4"/>
    <s v="LONG"/>
    <x v="6"/>
    <n v="10699.493436393539"/>
    <n v="61.872897115954061"/>
    <n v="0"/>
    <n v="0"/>
    <s v="-"/>
    <s v="AAVE"/>
  </r>
  <r>
    <s v="-"/>
    <s v="WALLET"/>
    <s v="ADA"/>
    <n v="-1261.823638289934"/>
    <n v="-394.78105575485097"/>
    <n v="0.31286547800758557"/>
    <n v="0"/>
    <x v="3"/>
    <m/>
    <n v="1"/>
    <x v="17"/>
    <m/>
    <m/>
    <m/>
    <n v="0"/>
    <x v="4"/>
    <s v="SHORT"/>
    <x v="7"/>
    <n v="-394.78105575485097"/>
    <n v="0.31286547800758557"/>
    <n v="0"/>
    <n v="0"/>
    <s v="-"/>
    <s v="ADA"/>
  </r>
  <r>
    <s v="-"/>
    <s v="WALLET"/>
    <s v="ALGO"/>
    <n v="807.91387026003213"/>
    <n v="180.5924856544043"/>
    <n v="0.22352937893773192"/>
    <n v="0"/>
    <x v="3"/>
    <m/>
    <n v="1"/>
    <x v="18"/>
    <m/>
    <m/>
    <m/>
    <n v="0"/>
    <x v="4"/>
    <s v="LONG"/>
    <x v="6"/>
    <n v="180.5924856544043"/>
    <n v="0.22352937893773192"/>
    <n v="0"/>
    <n v="0"/>
    <s v="-"/>
    <s v="ALGO"/>
  </r>
  <r>
    <s v="-"/>
    <s v="WALLET"/>
    <s v="ARPA"/>
    <n v="0.53247394999999997"/>
    <n v="1.5597722376476299E-2"/>
    <n v="2.9292930436270733E-2"/>
    <n v="0"/>
    <x v="3"/>
    <m/>
    <n v="1"/>
    <x v="19"/>
    <m/>
    <m/>
    <m/>
    <n v="0"/>
    <x v="4"/>
    <s v="LONG"/>
    <x v="6"/>
    <n v="1.5597722376476299E-2"/>
    <n v="2.9292930436270733E-2"/>
    <n v="0"/>
    <n v="0"/>
    <s v="-"/>
    <s v="ARPA"/>
  </r>
  <r>
    <s v="-"/>
    <s v="WALLET"/>
    <s v="ATOM"/>
    <n v="0.37945432000000001"/>
    <n v="3.6944328233388779"/>
    <n v="9.7361727844839869"/>
    <n v="0"/>
    <x v="3"/>
    <m/>
    <n v="1"/>
    <x v="13"/>
    <m/>
    <m/>
    <m/>
    <n v="0"/>
    <x v="4"/>
    <s v="LONG"/>
    <x v="6"/>
    <n v="3.6944328233388779"/>
    <n v="9.7361727844839869"/>
    <n v="0"/>
    <n v="0"/>
    <s v="-"/>
    <s v="ATOM"/>
  </r>
  <r>
    <s v="-"/>
    <s v="WALLET"/>
    <s v="AURA"/>
    <n v="410.64283547000002"/>
    <n v="23.728907973323899"/>
    <n v="5.7784785033848332E-2"/>
    <n v="0"/>
    <x v="3"/>
    <m/>
    <n v="1"/>
    <x v="20"/>
    <m/>
    <m/>
    <m/>
    <n v="0"/>
    <x v="4"/>
    <s v="LONG"/>
    <x v="6"/>
    <n v="23.728907973323899"/>
    <n v="5.7784785033848332E-2"/>
    <n v="0"/>
    <n v="0"/>
    <s v="-"/>
    <s v="AURA"/>
  </r>
  <r>
    <s v="-"/>
    <s v="WALLET"/>
    <s v="AVAX"/>
    <n v="70.268235089999962"/>
    <n v="964.65462723403471"/>
    <n v="13.728174985446831"/>
    <n v="0"/>
    <x v="3"/>
    <m/>
    <n v="1"/>
    <x v="21"/>
    <m/>
    <m/>
    <m/>
    <n v="0"/>
    <x v="4"/>
    <s v="LONG"/>
    <x v="6"/>
    <n v="964.65462723403471"/>
    <n v="13.728174985446831"/>
    <n v="0"/>
    <n v="0"/>
    <s v="-"/>
    <s v="AVAX"/>
  </r>
  <r>
    <s v="-"/>
    <s v="WALLET"/>
    <s v="BAL"/>
    <n v="113.5289379"/>
    <n v="693.35216550169798"/>
    <n v="6.1072725450177749"/>
    <n v="0"/>
    <x v="3"/>
    <m/>
    <n v="1"/>
    <x v="22"/>
    <m/>
    <m/>
    <m/>
    <n v="0"/>
    <x v="4"/>
    <s v="LONG"/>
    <x v="6"/>
    <n v="693.35216550169798"/>
    <n v="6.1072725450177749"/>
    <n v="0"/>
    <n v="0"/>
    <s v="-"/>
    <s v="BAL"/>
  </r>
  <r>
    <s v="-"/>
    <s v="WALLET"/>
    <s v="BAT"/>
    <n v="-222.50421832001302"/>
    <n v="-50.378724239137227"/>
    <n v="0.22641693995518258"/>
    <n v="0"/>
    <x v="3"/>
    <m/>
    <n v="1"/>
    <x v="23"/>
    <m/>
    <m/>
    <m/>
    <n v="0"/>
    <x v="4"/>
    <s v="SHORT"/>
    <x v="7"/>
    <n v="-50.378724239137227"/>
    <n v="0.22641693995518258"/>
    <n v="0"/>
    <n v="0"/>
    <s v="-"/>
    <s v="BAT"/>
  </r>
  <r>
    <s v="-"/>
    <s v="WALLET"/>
    <s v="BCH"/>
    <n v="1220.6000211200005"/>
    <n v="134314.03149336699"/>
    <n v="110.03934881970824"/>
    <n v="0"/>
    <x v="3"/>
    <m/>
    <n v="1"/>
    <x v="4"/>
    <m/>
    <m/>
    <m/>
    <n v="0"/>
    <x v="4"/>
    <s v="LONG"/>
    <x v="6"/>
    <n v="134314.03149336699"/>
    <n v="110.03934881970824"/>
    <n v="0"/>
    <n v="0"/>
    <s v="-"/>
    <s v="BCH"/>
  </r>
  <r>
    <s v="-"/>
    <s v="WALLET"/>
    <s v="BHD"/>
    <n v="2.5033500000000001E-3"/>
    <n v="2.0680074109796E-4"/>
    <n v="8.2609599575752493E-2"/>
    <n v="0"/>
    <x v="3"/>
    <m/>
    <n v="1"/>
    <x v="24"/>
    <m/>
    <m/>
    <m/>
    <n v="0"/>
    <x v="4"/>
    <s v="LONG"/>
    <x v="6"/>
    <n v="2.0680074109796E-4"/>
    <n v="8.2609599575752493E-2"/>
    <n v="0"/>
    <n v="0"/>
    <s v="-"/>
    <s v="BHD"/>
  </r>
  <r>
    <s v="-"/>
    <s v="WALLET"/>
    <s v="BLZ"/>
    <n v="115.29838952"/>
    <n v="7.2485353001044297"/>
    <n v="6.2867619663040289E-2"/>
    <n v="0"/>
    <x v="3"/>
    <m/>
    <n v="1"/>
    <x v="25"/>
    <m/>
    <m/>
    <m/>
    <n v="0"/>
    <x v="4"/>
    <s v="LONG"/>
    <x v="6"/>
    <n v="7.2485353001044297"/>
    <n v="6.2867619663040289E-2"/>
    <n v="0"/>
    <n v="0"/>
    <s v="-"/>
    <s v="BLZ"/>
  </r>
  <r>
    <s v="-"/>
    <s v="WALLET"/>
    <s v="BNB"/>
    <n v="2643.4596990000005"/>
    <n v="718893.34396060032"/>
    <n v="271.95169430143079"/>
    <n v="0"/>
    <x v="3"/>
    <m/>
    <n v="1"/>
    <x v="26"/>
    <m/>
    <m/>
    <m/>
    <n v="0"/>
    <x v="4"/>
    <s v="LONG"/>
    <x v="6"/>
    <n v="718893.34396060032"/>
    <n v="271.95169430143079"/>
    <n v="0"/>
    <n v="0"/>
    <s v="-"/>
    <s v="BNB"/>
  </r>
  <r>
    <s v="-"/>
    <s v="WALLET"/>
    <s v="BOBA"/>
    <n v="14.7502"/>
    <n v="3.0350563509423498"/>
    <n v="0.2057637422504339"/>
    <n v="0"/>
    <x v="3"/>
    <m/>
    <n v="1"/>
    <x v="27"/>
    <m/>
    <m/>
    <m/>
    <n v="0"/>
    <x v="4"/>
    <s v="LONG"/>
    <x v="6"/>
    <n v="3.0350563509423498"/>
    <n v="0.2057637422504339"/>
    <n v="0"/>
    <n v="0"/>
    <s v="-"/>
    <s v="BOBA"/>
  </r>
  <r>
    <s v="-"/>
    <s v="WALLET"/>
    <s v="BSV"/>
    <n v="1.46109958"/>
    <n v="67.724016275143157"/>
    <n v="46.351403560832701"/>
    <n v="0"/>
    <x v="3"/>
    <m/>
    <n v="1"/>
    <x v="28"/>
    <m/>
    <m/>
    <m/>
    <n v="0"/>
    <x v="4"/>
    <s v="LONG"/>
    <x v="6"/>
    <n v="67.724016275143157"/>
    <n v="46.351403560832701"/>
    <n v="0"/>
    <n v="0"/>
    <s v="-"/>
    <s v="BSV"/>
  </r>
  <r>
    <s v="-"/>
    <s v="WALLET"/>
    <s v="BTC"/>
    <n v="819.35309221000011"/>
    <n v="14569178.571405791"/>
    <n v="17781.31883545966"/>
    <n v="0"/>
    <x v="3"/>
    <m/>
    <n v="1"/>
    <x v="0"/>
    <m/>
    <m/>
    <m/>
    <n v="0"/>
    <x v="4"/>
    <s v="LONG"/>
    <x v="6"/>
    <n v="14569178.571405791"/>
    <n v="17781.31883545966"/>
    <n v="0"/>
    <n v="0"/>
    <s v="-"/>
    <s v="BTC"/>
  </r>
  <r>
    <s v="-"/>
    <s v="WALLET"/>
    <s v="BTM"/>
    <n v="0.33565571999999999"/>
    <n v="4.5931368673763897E-3"/>
    <n v="1.3684071486630377E-2"/>
    <n v="0"/>
    <x v="3"/>
    <m/>
    <n v="1"/>
    <x v="29"/>
    <m/>
    <m/>
    <m/>
    <n v="0"/>
    <x v="4"/>
    <s v="LONG"/>
    <x v="6"/>
    <n v="4.5931368673763897E-3"/>
    <n v="1.3684071486630377E-2"/>
    <n v="0"/>
    <n v="0"/>
    <s v="-"/>
    <s v="BTM"/>
  </r>
  <r>
    <s v="-"/>
    <s v="WALLET"/>
    <s v="BTT"/>
    <n v="1367501156.8785999"/>
    <n v="935.22966832539601"/>
    <n v="6.8389680229602994E-7"/>
    <n v="0"/>
    <x v="3"/>
    <m/>
    <n v="1"/>
    <x v="30"/>
    <m/>
    <m/>
    <m/>
    <n v="0"/>
    <x v="4"/>
    <s v="LONG"/>
    <x v="6"/>
    <n v="935.22966832539601"/>
    <n v="6.8389680229602994E-7"/>
    <n v="0"/>
    <n v="0"/>
    <s v="-"/>
    <s v="BTT"/>
  </r>
  <r>
    <s v="-"/>
    <s v="WALLET"/>
    <s v="BUSD"/>
    <n v="23295746.800730463"/>
    <n v="23297247.215332102"/>
    <n v="1.0000644072334093"/>
    <n v="0"/>
    <x v="3"/>
    <m/>
    <n v="1"/>
    <x v="31"/>
    <m/>
    <m/>
    <m/>
    <n v="0"/>
    <x v="4"/>
    <s v="LONG"/>
    <x v="6"/>
    <n v="23297247.215332102"/>
    <n v="1.0000644072334093"/>
    <n v="0"/>
    <n v="0"/>
    <s v="-"/>
    <s v="BUSD"/>
  </r>
  <r>
    <s v="-"/>
    <s v="WALLET"/>
    <s v="CMT"/>
    <n v="1.7855998900000001"/>
    <n v="6.6675674008969104E-3"/>
    <n v="3.7340769554465589E-3"/>
    <n v="0"/>
    <x v="3"/>
    <m/>
    <n v="1"/>
    <x v="32"/>
    <m/>
    <m/>
    <m/>
    <n v="0"/>
    <x v="4"/>
    <s v="LONG"/>
    <x v="6"/>
    <n v="6.6675674008969104E-3"/>
    <n v="3.7340769554465589E-3"/>
    <n v="0"/>
    <n v="0"/>
    <s v="-"/>
    <s v="CMT"/>
  </r>
  <r>
    <s v="-"/>
    <s v="WALLET"/>
    <s v="COMP"/>
    <n v="264.03921729000012"/>
    <n v="10360.300312157662"/>
    <n v="39.237733009860861"/>
    <n v="0"/>
    <x v="3"/>
    <m/>
    <n v="1"/>
    <x v="11"/>
    <m/>
    <m/>
    <m/>
    <n v="0"/>
    <x v="4"/>
    <s v="LONG"/>
    <x v="6"/>
    <n v="10360.300312157662"/>
    <n v="39.237733009860861"/>
    <n v="0"/>
    <n v="0"/>
    <s v="-"/>
    <s v="COMP"/>
  </r>
  <r>
    <s v="-"/>
    <s v="WALLET"/>
    <s v="CRO"/>
    <n v="0.30791584"/>
    <n v="1.9173392057550601E-2"/>
    <n v="6.2268287521520818E-2"/>
    <n v="0"/>
    <x v="3"/>
    <m/>
    <n v="1"/>
    <x v="33"/>
    <m/>
    <m/>
    <m/>
    <n v="0"/>
    <x v="4"/>
    <s v="LONG"/>
    <x v="6"/>
    <n v="1.9173392057550601E-2"/>
    <n v="6.2268287521520818E-2"/>
    <n v="0"/>
    <n v="0"/>
    <s v="-"/>
    <s v="CRO"/>
  </r>
  <r>
    <s v="-"/>
    <s v="WALLET"/>
    <s v="CRV"/>
    <n v="10.06080899"/>
    <n v="6.5718022679016617"/>
    <n v="0.6532081341007212"/>
    <n v="0"/>
    <x v="3"/>
    <m/>
    <n v="1"/>
    <x v="34"/>
    <m/>
    <m/>
    <m/>
    <n v="0"/>
    <x v="4"/>
    <s v="LONG"/>
    <x v="6"/>
    <n v="6.5718022679016617"/>
    <n v="0.6532081341007212"/>
    <n v="0"/>
    <n v="0"/>
    <s v="-"/>
    <s v="CRV"/>
  </r>
  <r>
    <s v="-"/>
    <s v="WALLET"/>
    <s v="CVX"/>
    <n v="2.9155110000000001E-2"/>
    <n v="0.11727537396027"/>
    <n v="4.022463779429061"/>
    <n v="0"/>
    <x v="3"/>
    <m/>
    <n v="1"/>
    <x v="35"/>
    <m/>
    <m/>
    <m/>
    <n v="0"/>
    <x v="4"/>
    <s v="LONG"/>
    <x v="6"/>
    <n v="0.11727537396027"/>
    <n v="4.022463779429061"/>
    <n v="0"/>
    <n v="0"/>
    <s v="-"/>
    <s v="CVX"/>
  </r>
  <r>
    <s v="-"/>
    <s v="WALLET"/>
    <s v="DASH"/>
    <n v="-0.10338559999996733"/>
    <n v="-4.9888823908731865"/>
    <n v="48.255099267932508"/>
    <n v="0"/>
    <x v="3"/>
    <m/>
    <n v="1"/>
    <x v="36"/>
    <m/>
    <m/>
    <m/>
    <n v="0"/>
    <x v="4"/>
    <s v="SHORT"/>
    <x v="7"/>
    <n v="-4.9888823908731865"/>
    <n v="48.255099267932508"/>
    <n v="0"/>
    <n v="0"/>
    <s v="-"/>
    <s v="DASH"/>
  </r>
  <r>
    <s v="-"/>
    <s v="WALLET"/>
    <s v="DOGE"/>
    <n v="7755.550084270013"/>
    <n v="705.28774684180098"/>
    <n v="9.0939744979828319E-2"/>
    <n v="0"/>
    <x v="3"/>
    <m/>
    <n v="1"/>
    <x v="37"/>
    <m/>
    <m/>
    <m/>
    <n v="0"/>
    <x v="4"/>
    <s v="LONG"/>
    <x v="6"/>
    <n v="705.28774684180098"/>
    <n v="9.0939744979828319E-2"/>
    <n v="0"/>
    <n v="0"/>
    <s v="-"/>
    <s v="DOGE"/>
  </r>
  <r>
    <s v="-"/>
    <s v="WALLET"/>
    <s v="DON"/>
    <n v="5.9800000000000001E-4"/>
    <n v="3.5880618598903801E-6"/>
    <n v="6.0001034446327426E-3"/>
    <n v="0"/>
    <x v="3"/>
    <m/>
    <n v="1"/>
    <x v="38"/>
    <m/>
    <m/>
    <m/>
    <n v="0"/>
    <x v="4"/>
    <s v="LONG"/>
    <x v="6"/>
    <n v="3.5880618598903801E-6"/>
    <n v="6.0001034446327426E-3"/>
    <n v="0"/>
    <n v="0"/>
    <s v="-"/>
    <s v="DON"/>
  </r>
  <r>
    <s v="-"/>
    <s v="WALLET"/>
    <s v="DOT"/>
    <n v="99.390531390001343"/>
    <n v="524.47935713902552"/>
    <n v="5.2769549554072306"/>
    <n v="0"/>
    <x v="3"/>
    <m/>
    <n v="1"/>
    <x v="39"/>
    <m/>
    <m/>
    <m/>
    <n v="0"/>
    <x v="4"/>
    <s v="LONG"/>
    <x v="6"/>
    <n v="524.47935713902552"/>
    <n v="5.2769549554072306"/>
    <n v="0"/>
    <n v="0"/>
    <s v="-"/>
    <s v="DOT"/>
  </r>
  <r>
    <s v="-"/>
    <s v="WALLET"/>
    <s v="ENJ"/>
    <n v="-70.433751370001119"/>
    <n v="-21.391375264092858"/>
    <n v="0.30370915715847835"/>
    <n v="0"/>
    <x v="3"/>
    <m/>
    <n v="1"/>
    <x v="5"/>
    <m/>
    <m/>
    <m/>
    <n v="0"/>
    <x v="4"/>
    <s v="SHORT"/>
    <x v="7"/>
    <n v="-21.391375264092858"/>
    <n v="0.30370915715847835"/>
    <n v="0"/>
    <n v="0"/>
    <s v="-"/>
    <s v="ENJ"/>
  </r>
  <r>
    <s v="-"/>
    <s v="WALLET"/>
    <s v="EOS"/>
    <n v="-688938.25621875096"/>
    <n v="-687909.09774674708"/>
    <n v="0.99850616733398945"/>
    <n v="0"/>
    <x v="3"/>
    <m/>
    <n v="1"/>
    <x v="3"/>
    <m/>
    <m/>
    <m/>
    <n v="0"/>
    <x v="4"/>
    <s v="SHORT"/>
    <x v="7"/>
    <n v="-687909.09774674708"/>
    <n v="0.99850616733398945"/>
    <n v="0"/>
    <n v="0"/>
    <s v="-"/>
    <s v="EOS"/>
  </r>
  <r>
    <s v="-"/>
    <s v="WALLET"/>
    <s v="ETC"/>
    <n v="-357.18625408001179"/>
    <n v="-6876.8614758568419"/>
    <n v="19.252872688422062"/>
    <n v="0"/>
    <x v="3"/>
    <m/>
    <n v="1"/>
    <x v="6"/>
    <m/>
    <m/>
    <m/>
    <n v="0"/>
    <x v="4"/>
    <s v="SHORT"/>
    <x v="7"/>
    <n v="-6876.8614758568419"/>
    <n v="19.252872688422062"/>
    <n v="0"/>
    <n v="0"/>
    <s v="-"/>
    <s v="ETC"/>
  </r>
  <r>
    <s v="-"/>
    <s v="WALLET"/>
    <s v="ETH"/>
    <n v="8017.9208722499825"/>
    <n v="10588059.29520908"/>
    <n v="1320.5492376277177"/>
    <n v="0"/>
    <x v="3"/>
    <m/>
    <n v="1"/>
    <x v="1"/>
    <m/>
    <m/>
    <m/>
    <n v="0"/>
    <x v="4"/>
    <s v="LONG"/>
    <x v="6"/>
    <n v="10588059.29520908"/>
    <n v="1320.5492376277177"/>
    <n v="0"/>
    <n v="0"/>
    <s v="-"/>
    <s v="ETH"/>
  </r>
  <r>
    <s v="-"/>
    <s v="WALLET"/>
    <s v="ETHF"/>
    <n v="9823.8374246499989"/>
    <n v="2289.3390316107329"/>
    <n v="0.23303918139629606"/>
    <n v="0"/>
    <x v="3"/>
    <m/>
    <n v="1"/>
    <x v="40"/>
    <m/>
    <m/>
    <m/>
    <n v="0"/>
    <x v="4"/>
    <s v="LONG"/>
    <x v="6"/>
    <n v="2289.3390316107329"/>
    <n v="0.23303918139629606"/>
    <n v="0"/>
    <n v="0"/>
    <s v="-"/>
    <s v="ETHF"/>
  </r>
  <r>
    <s v="-"/>
    <s v="WALLET"/>
    <s v="ETHW"/>
    <n v="4732.5387514900003"/>
    <n v="17168.724723454554"/>
    <n v="3.6278043614643671"/>
    <n v="0"/>
    <x v="3"/>
    <m/>
    <n v="1"/>
    <x v="41"/>
    <m/>
    <m/>
    <m/>
    <n v="0"/>
    <x v="4"/>
    <s v="LONG"/>
    <x v="6"/>
    <n v="17168.724723454554"/>
    <n v="3.6278043614643671"/>
    <n v="0"/>
    <n v="0"/>
    <s v="-"/>
    <s v="ETHW"/>
  </r>
  <r>
    <s v="-"/>
    <s v="WALLET"/>
    <s v="EUR"/>
    <n v="-29200761.150801349"/>
    <n v="-31048439.312618308"/>
    <n v="1.0632750000000002"/>
    <n v="0"/>
    <x v="4"/>
    <m/>
    <n v="1"/>
    <x v="42"/>
    <m/>
    <m/>
    <m/>
    <n v="0"/>
    <x v="5"/>
    <s v="SHORT"/>
    <x v="8"/>
    <n v="-31048439.312618308"/>
    <n v="1.0632750000000002"/>
    <n v="0"/>
    <n v="0"/>
    <s v="-"/>
    <s v="EUR"/>
  </r>
  <r>
    <s v="-"/>
    <s v="WALLET"/>
    <s v="EUROC"/>
    <n v="-14657552.054922231"/>
    <n v="-15591094.171178397"/>
    <n v="1.0636901791484799"/>
    <n v="0"/>
    <x v="3"/>
    <m/>
    <n v="1"/>
    <x v="43"/>
    <m/>
    <m/>
    <m/>
    <n v="0"/>
    <x v="4"/>
    <s v="SHORT"/>
    <x v="7"/>
    <n v="-15591094.171178397"/>
    <n v="1.0636901791484799"/>
    <n v="0"/>
    <n v="0"/>
    <s v="-"/>
    <s v="EUROC"/>
  </r>
  <r>
    <s v="-"/>
    <s v="WALLET"/>
    <s v="FIL"/>
    <n v="1380.76141583"/>
    <n v="5963.1443169869199"/>
    <n v="4.3187362049817768"/>
    <n v="0"/>
    <x v="3"/>
    <m/>
    <n v="1"/>
    <x v="7"/>
    <m/>
    <m/>
    <m/>
    <n v="0"/>
    <x v="4"/>
    <s v="LONG"/>
    <x v="6"/>
    <n v="5963.1443169869199"/>
    <n v="4.3187362049817768"/>
    <n v="0"/>
    <n v="0"/>
    <s v="-"/>
    <s v="FIL"/>
  </r>
  <r>
    <s v="-"/>
    <s v="WALLET"/>
    <s v="FTM"/>
    <n v="-412.09802375998697"/>
    <n v="-102.70465146855713"/>
    <n v="0.24922383886114946"/>
    <n v="0"/>
    <x v="3"/>
    <m/>
    <n v="1"/>
    <x v="44"/>
    <m/>
    <m/>
    <m/>
    <n v="0"/>
    <x v="4"/>
    <s v="SHORT"/>
    <x v="7"/>
    <n v="-102.70465146855713"/>
    <n v="0.24922383886114946"/>
    <n v="0"/>
    <n v="0"/>
    <s v="-"/>
    <s v="FTM"/>
  </r>
  <r>
    <s v="-"/>
    <s v="WALLET"/>
    <s v="FTT"/>
    <n v="3.2244594900000001"/>
    <n v="4.5314762300717524"/>
    <n v="1.4053444442782417"/>
    <n v="0"/>
    <x v="3"/>
    <m/>
    <n v="1"/>
    <x v="45"/>
    <m/>
    <m/>
    <m/>
    <n v="0"/>
    <x v="4"/>
    <s v="LONG"/>
    <x v="6"/>
    <n v="4.5314762300717524"/>
    <n v="1.4053444442782417"/>
    <n v="0"/>
    <n v="0"/>
    <s v="-"/>
    <s v="FTT"/>
  </r>
  <r>
    <s v="-"/>
    <s v="WALLET"/>
    <s v="GAS"/>
    <n v="54.776400000000002"/>
    <n v="129.16760549956601"/>
    <n v="2.3580886202738043"/>
    <n v="0"/>
    <x v="3"/>
    <m/>
    <n v="1"/>
    <x v="46"/>
    <m/>
    <m/>
    <m/>
    <n v="0"/>
    <x v="4"/>
    <s v="LONG"/>
    <x v="6"/>
    <n v="129.16760549956601"/>
    <n v="2.3580886202738043"/>
    <n v="0"/>
    <n v="0"/>
    <s v="-"/>
    <s v="GAS"/>
  </r>
  <r>
    <s v="-"/>
    <s v="WALLET"/>
    <s v="GBP"/>
    <n v="0.01"/>
    <n v="1.236575E-2"/>
    <n v="1.236575"/>
    <n v="0"/>
    <x v="3"/>
    <m/>
    <n v="1"/>
    <x v="47"/>
    <m/>
    <m/>
    <m/>
    <n v="0"/>
    <x v="4"/>
    <s v="LONG"/>
    <x v="6"/>
    <n v="1.236575E-2"/>
    <n v="1.236575"/>
    <n v="0"/>
    <n v="0"/>
    <s v="-"/>
    <s v="GBP"/>
  </r>
  <r>
    <s v="-"/>
    <s v="WALLET"/>
    <s v="HBAR"/>
    <n v="121.56685131997801"/>
    <n v="5.805791754675738"/>
    <n v="4.7758017022207992E-2"/>
    <n v="0"/>
    <x v="3"/>
    <m/>
    <n v="1"/>
    <x v="48"/>
    <m/>
    <m/>
    <m/>
    <n v="0"/>
    <x v="4"/>
    <s v="LONG"/>
    <x v="6"/>
    <n v="5.805791754675738"/>
    <n v="4.7758017022207992E-2"/>
    <n v="0"/>
    <n v="0"/>
    <s v="-"/>
    <s v="HBAR"/>
  </r>
  <r>
    <s v="-"/>
    <s v="WALLET"/>
    <s v="HPT"/>
    <n v="5337.6979873099999"/>
    <n v="4.3086430476905999"/>
    <n v="8.0720997290106985E-4"/>
    <n v="0"/>
    <x v="3"/>
    <m/>
    <n v="1"/>
    <x v="49"/>
    <m/>
    <m/>
    <m/>
    <n v="0"/>
    <x v="4"/>
    <s v="LONG"/>
    <x v="6"/>
    <n v="4.3086430476905999"/>
    <n v="8.0720997290106985E-4"/>
    <n v="0"/>
    <n v="0"/>
    <s v="-"/>
    <s v="HPT"/>
  </r>
  <r>
    <s v="-"/>
    <s v="WALLET"/>
    <s v="HT"/>
    <n v="2292.6992752800002"/>
    <n v="14824.465873638699"/>
    <n v="6.4659443274906749"/>
    <n v="0"/>
    <x v="3"/>
    <m/>
    <n v="1"/>
    <x v="50"/>
    <m/>
    <m/>
    <m/>
    <n v="0"/>
    <x v="4"/>
    <s v="LONG"/>
    <x v="6"/>
    <n v="14824.465873638699"/>
    <n v="6.4659443274906749"/>
    <n v="0"/>
    <n v="0"/>
    <s v="-"/>
    <s v="HT"/>
  </r>
  <r>
    <s v="-"/>
    <s v="WALLET"/>
    <s v="IOST"/>
    <n v="14.785856219999999"/>
    <n v="0.123527511653473"/>
    <n v="8.3544374986133201E-3"/>
    <n v="0"/>
    <x v="3"/>
    <m/>
    <n v="1"/>
    <x v="51"/>
    <m/>
    <m/>
    <m/>
    <n v="0"/>
    <x v="4"/>
    <s v="LONG"/>
    <x v="6"/>
    <n v="0.123527511653473"/>
    <n v="8.3544374986133201E-3"/>
    <n v="0"/>
    <n v="0"/>
    <s v="-"/>
    <s v="IOST"/>
  </r>
  <r>
    <s v="-"/>
    <s v="WALLET"/>
    <s v="IRIS"/>
    <n v="0.81765067999999996"/>
    <n v="1.1813223419658901E-2"/>
    <n v="1.4447763217978247E-2"/>
    <n v="0"/>
    <x v="3"/>
    <m/>
    <n v="1"/>
    <x v="52"/>
    <m/>
    <m/>
    <m/>
    <n v="0"/>
    <x v="4"/>
    <s v="LONG"/>
    <x v="6"/>
    <n v="1.1813223419658901E-2"/>
    <n v="1.4447763217978247E-2"/>
    <n v="0"/>
    <n v="0"/>
    <s v="-"/>
    <s v="IRIS"/>
  </r>
  <r>
    <s v="-"/>
    <s v="WALLET"/>
    <s v="JST"/>
    <n v="9.1121815000000002"/>
    <n v="0.20280990270913199"/>
    <n v="2.2257008676696353E-2"/>
    <n v="0"/>
    <x v="3"/>
    <m/>
    <n v="1"/>
    <x v="53"/>
    <m/>
    <m/>
    <m/>
    <n v="0"/>
    <x v="4"/>
    <s v="LONG"/>
    <x v="6"/>
    <n v="0.20280990270913199"/>
    <n v="2.2257008676696353E-2"/>
    <n v="0"/>
    <n v="0"/>
    <s v="-"/>
    <s v="JST"/>
  </r>
  <r>
    <s v="-"/>
    <s v="WALLET"/>
    <s v="KSM"/>
    <n v="9.3766399999999986E-3"/>
    <n v="0.27011125132556207"/>
    <n v="28.80682753369673"/>
    <n v="0"/>
    <x v="3"/>
    <m/>
    <n v="1"/>
    <x v="54"/>
    <m/>
    <m/>
    <m/>
    <n v="0"/>
    <x v="4"/>
    <s v="LONG"/>
    <x v="6"/>
    <n v="0.27011125132556207"/>
    <n v="28.80682753369673"/>
    <n v="0"/>
    <n v="0"/>
    <s v="-"/>
    <s v="KSM"/>
  </r>
  <r>
    <s v="-"/>
    <s v="WALLET"/>
    <s v="LAMB"/>
    <n v="0.24234807999999999"/>
    <n v="3.1303907634898202E-4"/>
    <n v="1.291692000815447E-3"/>
    <n v="0"/>
    <x v="3"/>
    <m/>
    <n v="1"/>
    <x v="55"/>
    <m/>
    <m/>
    <m/>
    <n v="0"/>
    <x v="4"/>
    <s v="LONG"/>
    <x v="6"/>
    <n v="3.1303907634898202E-4"/>
    <n v="1.291692000815447E-3"/>
    <n v="0"/>
    <n v="0"/>
    <s v="-"/>
    <s v="LAMB"/>
  </r>
  <r>
    <s v="-"/>
    <s v="WALLET"/>
    <s v="LEND"/>
    <n v="1E-8"/>
    <n v="0"/>
    <n v="0"/>
    <n v="0"/>
    <x v="3"/>
    <m/>
    <n v="1"/>
    <x v="56"/>
    <m/>
    <m/>
    <m/>
    <n v="0"/>
    <x v="4"/>
    <s v="LONG"/>
    <x v="6"/>
    <n v="0"/>
    <n v="0"/>
    <n v="0"/>
    <n v="0"/>
    <s v="-"/>
    <s v="LEND"/>
  </r>
  <r>
    <s v="-"/>
    <s v="WALLET"/>
    <s v="LINK"/>
    <n v="97854.805681089987"/>
    <n v="676309.48787578486"/>
    <n v="6.9113569146505265"/>
    <n v="0"/>
    <x v="3"/>
    <m/>
    <n v="1"/>
    <x v="12"/>
    <m/>
    <m/>
    <m/>
    <n v="0"/>
    <x v="4"/>
    <s v="LONG"/>
    <x v="6"/>
    <n v="676309.48787578486"/>
    <n v="6.9113569146505265"/>
    <n v="0"/>
    <n v="0"/>
    <s v="-"/>
    <s v="LINK"/>
  </r>
  <r>
    <s v="-"/>
    <s v="WALLET"/>
    <s v="LOL"/>
    <n v="4.3289484800000002"/>
    <n v="1.2517933116982099E-6"/>
    <n v="2.8916798559316879E-7"/>
    <n v="0"/>
    <x v="3"/>
    <m/>
    <n v="1"/>
    <x v="57"/>
    <m/>
    <m/>
    <m/>
    <n v="0"/>
    <x v="4"/>
    <s v="LONG"/>
    <x v="6"/>
    <n v="1.2517933116982099E-6"/>
    <n v="2.8916798559316879E-7"/>
    <n v="0"/>
    <n v="0"/>
    <s v="-"/>
    <s v="LOL"/>
  </r>
  <r>
    <s v="-"/>
    <s v="WALLET"/>
    <s v="LTC"/>
    <n v="4705.7578393799995"/>
    <n v="363964.39763020474"/>
    <n v="77.344480964230485"/>
    <n v="0"/>
    <x v="3"/>
    <m/>
    <n v="1"/>
    <x v="8"/>
    <m/>
    <m/>
    <m/>
    <n v="0"/>
    <x v="4"/>
    <s v="LONG"/>
    <x v="6"/>
    <n v="363964.39763020474"/>
    <n v="77.344480964230485"/>
    <n v="0"/>
    <n v="0"/>
    <s v="-"/>
    <s v="LTC"/>
  </r>
  <r>
    <s v="-"/>
    <s v="WALLET"/>
    <s v="LXT"/>
    <n v="0.66495972999999997"/>
    <n v="1.4097389321686499E-4"/>
    <n v="2.1200365504368964E-4"/>
    <n v="0"/>
    <x v="3"/>
    <m/>
    <n v="1"/>
    <x v="58"/>
    <m/>
    <m/>
    <m/>
    <n v="0"/>
    <x v="4"/>
    <s v="LONG"/>
    <x v="6"/>
    <n v="1.4097389321686499E-4"/>
    <n v="2.1200365504368964E-4"/>
    <n v="0"/>
    <n v="0"/>
    <s v="-"/>
    <s v="LXT"/>
  </r>
  <r>
    <s v="-"/>
    <s v="WALLET"/>
    <s v="MANA"/>
    <n v="8901.9249501599916"/>
    <n v="3480.2381972767253"/>
    <n v="0.39095344172882246"/>
    <n v="0"/>
    <x v="3"/>
    <m/>
    <n v="1"/>
    <x v="59"/>
    <m/>
    <m/>
    <m/>
    <n v="0"/>
    <x v="4"/>
    <s v="LONG"/>
    <x v="6"/>
    <n v="3480.2381972767253"/>
    <n v="0.39095344172882246"/>
    <n v="0"/>
    <n v="0"/>
    <s v="-"/>
    <s v="MANA"/>
  </r>
  <r>
    <s v="-"/>
    <s v="WALLET"/>
    <s v="MATIC"/>
    <n v="-19669.06792709"/>
    <n v="-18163.084249336534"/>
    <n v="0.92343390732413455"/>
    <n v="0"/>
    <x v="3"/>
    <m/>
    <n v="1"/>
    <x v="60"/>
    <m/>
    <m/>
    <m/>
    <n v="0"/>
    <x v="4"/>
    <s v="SHORT"/>
    <x v="7"/>
    <n v="-18163.084249336534"/>
    <n v="0.92343390732413455"/>
    <n v="0"/>
    <n v="0"/>
    <s v="-"/>
    <s v="MATIC"/>
  </r>
  <r>
    <s v="-"/>
    <s v="WALLET"/>
    <s v="MKR"/>
    <n v="-1.164447000000024E-2"/>
    <n v="-7.0249723796296166"/>
    <n v="603.28828874388205"/>
    <n v="0"/>
    <x v="3"/>
    <m/>
    <n v="1"/>
    <x v="61"/>
    <m/>
    <m/>
    <m/>
    <n v="0"/>
    <x v="4"/>
    <s v="SHORT"/>
    <x v="7"/>
    <n v="-7.0249723796296166"/>
    <n v="603.28828874388205"/>
    <n v="0"/>
    <n v="0"/>
    <s v="-"/>
    <s v="MKR"/>
  </r>
  <r>
    <s v="-"/>
    <s v="WALLET"/>
    <s v="NEO"/>
    <n v="0.89105878000000005"/>
    <n v="6.5037826873500197"/>
    <n v="7.2989378852762323"/>
    <n v="0"/>
    <x v="3"/>
    <m/>
    <n v="1"/>
    <x v="62"/>
    <m/>
    <m/>
    <m/>
    <n v="0"/>
    <x v="4"/>
    <s v="LONG"/>
    <x v="6"/>
    <n v="6.5037826873500197"/>
    <n v="7.2989378852762323"/>
    <n v="0"/>
    <n v="0"/>
    <s v="-"/>
    <s v="NEO"/>
  </r>
  <r>
    <s v="-"/>
    <s v="WALLET"/>
    <s v="NEW"/>
    <n v="40.704174029999997"/>
    <n v="7.0169189137962596E-3"/>
    <n v="1.7238819067117328E-4"/>
    <n v="0"/>
    <x v="3"/>
    <m/>
    <n v="1"/>
    <x v="63"/>
    <m/>
    <m/>
    <m/>
    <n v="0"/>
    <x v="4"/>
    <s v="LONG"/>
    <x v="6"/>
    <n v="7.0169189137962596E-3"/>
    <n v="1.7238819067117328E-4"/>
    <n v="0"/>
    <n v="0"/>
    <s v="-"/>
    <s v="NEW"/>
  </r>
  <r>
    <s v="-"/>
    <s v="WALLET"/>
    <s v="NFT"/>
    <n v="3045130004.3544402"/>
    <n v="1431.37464321588"/>
    <n v="4.7005370580863848E-7"/>
    <n v="0"/>
    <x v="3"/>
    <m/>
    <n v="1"/>
    <x v="64"/>
    <m/>
    <m/>
    <m/>
    <n v="0"/>
    <x v="4"/>
    <s v="LONG"/>
    <x v="6"/>
    <n v="1431.37464321588"/>
    <n v="4.7005370580863848E-7"/>
    <n v="0"/>
    <n v="0"/>
    <s v="-"/>
    <s v="NFT"/>
  </r>
  <r>
    <s v="-"/>
    <s v="WALLET"/>
    <s v="NULS"/>
    <n v="4.3068300000000002E-3"/>
    <n v="8.9948535991461699E-4"/>
    <n v="0.20885090888533259"/>
    <n v="0"/>
    <x v="3"/>
    <m/>
    <n v="1"/>
    <x v="65"/>
    <m/>
    <m/>
    <m/>
    <n v="0"/>
    <x v="4"/>
    <s v="LONG"/>
    <x v="6"/>
    <n v="8.9948535991461699E-4"/>
    <n v="0.20885090888533259"/>
    <n v="0"/>
    <n v="0"/>
    <s v="-"/>
    <s v="NULS"/>
  </r>
  <r>
    <s v="-"/>
    <s v="WALLET"/>
    <s v="OMG"/>
    <n v="24121.420819300001"/>
    <n v="28310.841570335622"/>
    <n v="1.1736805133669235"/>
    <n v="0"/>
    <x v="3"/>
    <m/>
    <n v="1"/>
    <x v="9"/>
    <m/>
    <m/>
    <m/>
    <n v="0"/>
    <x v="4"/>
    <s v="LONG"/>
    <x v="6"/>
    <n v="28310.841570335622"/>
    <n v="1.1736805133669235"/>
    <n v="0"/>
    <n v="0"/>
    <s v="-"/>
    <s v="OMG"/>
  </r>
  <r>
    <s v="-"/>
    <s v="WALLET"/>
    <s v="ONG"/>
    <n v="0.34782034000000001"/>
    <n v="9.5947636568309402E-2"/>
    <n v="0.27585401293181822"/>
    <n v="0"/>
    <x v="3"/>
    <m/>
    <n v="1"/>
    <x v="66"/>
    <m/>
    <m/>
    <m/>
    <n v="0"/>
    <x v="4"/>
    <s v="LONG"/>
    <x v="6"/>
    <n v="9.5947636568309402E-2"/>
    <n v="0.27585401293181822"/>
    <n v="0"/>
    <n v="0"/>
    <s v="-"/>
    <s v="ONG"/>
  </r>
  <r>
    <s v="-"/>
    <s v="WALLET"/>
    <s v="OXT"/>
    <n v="29962.3355020698"/>
    <n v="2431.4388352548935"/>
    <n v="8.1149843445512765E-2"/>
    <n v="0"/>
    <x v="3"/>
    <m/>
    <n v="1"/>
    <x v="67"/>
    <m/>
    <m/>
    <m/>
    <n v="0"/>
    <x v="4"/>
    <s v="LONG"/>
    <x v="6"/>
    <n v="2431.4388352548935"/>
    <n v="8.1149843445512765E-2"/>
    <n v="0"/>
    <n v="0"/>
    <s v="-"/>
    <s v="OXT"/>
  </r>
  <r>
    <s v="-"/>
    <s v="WALLET"/>
    <s v="QTUM"/>
    <n v="3.0962099999999998E-3"/>
    <n v="7.1387622288239198E-3"/>
    <n v="2.3056453628222635"/>
    <n v="0"/>
    <x v="3"/>
    <m/>
    <n v="1"/>
    <x v="68"/>
    <m/>
    <m/>
    <m/>
    <n v="0"/>
    <x v="4"/>
    <s v="LONG"/>
    <x v="6"/>
    <n v="7.1387622288239198E-3"/>
    <n v="2.3056453628222635"/>
    <n v="0"/>
    <n v="0"/>
    <s v="-"/>
    <s v="QTUM"/>
  </r>
  <r>
    <s v="-"/>
    <s v="WALLET"/>
    <s v="REI"/>
    <n v="2.6598900000000002E-2"/>
    <n v="6.6919810153986102E-4"/>
    <n v="2.5158863770301063E-2"/>
    <n v="0"/>
    <x v="3"/>
    <m/>
    <n v="1"/>
    <x v="69"/>
    <m/>
    <m/>
    <m/>
    <n v="0"/>
    <x v="4"/>
    <s v="LONG"/>
    <x v="6"/>
    <n v="6.6919810153986102E-4"/>
    <n v="2.5158863770301063E-2"/>
    <n v="0"/>
    <n v="0"/>
    <s v="-"/>
    <s v="REI"/>
  </r>
  <r>
    <s v="-"/>
    <s v="WALLET"/>
    <s v="ROSE"/>
    <n v="9.5929999999999998E-5"/>
    <n v="4.27645494988511E-6"/>
    <n v="4.4578911184041593E-2"/>
    <n v="0"/>
    <x v="3"/>
    <m/>
    <n v="1"/>
    <x v="70"/>
    <m/>
    <m/>
    <m/>
    <n v="0"/>
    <x v="4"/>
    <s v="LONG"/>
    <x v="6"/>
    <n v="4.27645494988511E-6"/>
    <n v="4.4578911184041593E-2"/>
    <n v="0"/>
    <n v="0"/>
    <s v="-"/>
    <s v="ROSE"/>
  </r>
  <r>
    <s v="-"/>
    <s v="WALLET"/>
    <s v="SGB"/>
    <n v="1236499.8774543798"/>
    <n v="14847.450909555013"/>
    <n v="1.2007644465053985E-2"/>
    <n v="0"/>
    <x v="3"/>
    <m/>
    <n v="1"/>
    <x v="71"/>
    <m/>
    <m/>
    <m/>
    <n v="0"/>
    <x v="4"/>
    <s v="LONG"/>
    <x v="6"/>
    <n v="14847.450909555013"/>
    <n v="1.2007644465053985E-2"/>
    <n v="0"/>
    <n v="0"/>
    <s v="-"/>
    <s v="SGB"/>
  </r>
  <r>
    <s v="-"/>
    <s v="WALLET"/>
    <s v="SHFT"/>
    <n v="3387190.4289662"/>
    <n v="32605.692936694599"/>
    <n v="9.6261765083713174E-3"/>
    <n v="0"/>
    <x v="3"/>
    <m/>
    <n v="1"/>
    <x v="72"/>
    <m/>
    <m/>
    <m/>
    <n v="0"/>
    <x v="4"/>
    <s v="LONG"/>
    <x v="6"/>
    <n v="32605.692936694599"/>
    <n v="9.6261765083713174E-3"/>
    <n v="0"/>
    <n v="0"/>
    <s v="-"/>
    <s v="SHFT"/>
  </r>
  <r>
    <s v="-"/>
    <s v="WALLET"/>
    <s v="SHIB"/>
    <n v="175916972770.21173"/>
    <n v="1611953.725415648"/>
    <n v="9.1631506615409553E-6"/>
    <n v="0"/>
    <x v="3"/>
    <m/>
    <n v="1"/>
    <x v="14"/>
    <m/>
    <m/>
    <m/>
    <n v="0"/>
    <x v="4"/>
    <s v="LONG"/>
    <x v="6"/>
    <n v="1611953.725415648"/>
    <n v="9.1631506615409553E-6"/>
    <n v="0"/>
    <n v="0"/>
    <s v="-"/>
    <s v="SHIB"/>
  </r>
  <r>
    <s v="-"/>
    <s v="WALLET"/>
    <s v="SOL"/>
    <n v="-1120.61557146"/>
    <n v="-15502.579568059911"/>
    <n v="13.833985501256505"/>
    <n v="0"/>
    <x v="3"/>
    <m/>
    <n v="1"/>
    <x v="73"/>
    <m/>
    <m/>
    <m/>
    <n v="0"/>
    <x v="4"/>
    <s v="SHORT"/>
    <x v="7"/>
    <n v="-15502.579568059911"/>
    <n v="13.833985501256505"/>
    <n v="0"/>
    <n v="0"/>
    <s v="-"/>
    <s v="SOL"/>
  </r>
  <r>
    <s v="-"/>
    <s v="WALLET"/>
    <s v="SOLO"/>
    <n v="38753.774400000002"/>
    <n v="6015.4481548669601"/>
    <n v="0.15522225249024932"/>
    <n v="0"/>
    <x v="3"/>
    <m/>
    <n v="1"/>
    <x v="74"/>
    <m/>
    <m/>
    <m/>
    <n v="0"/>
    <x v="4"/>
    <s v="LONG"/>
    <x v="6"/>
    <n v="6015.4481548669601"/>
    <n v="0.15522225249024932"/>
    <n v="0"/>
    <n v="0"/>
    <s v="-"/>
    <s v="SOLO"/>
  </r>
  <r>
    <s v="-"/>
    <s v="WALLET"/>
    <s v="STETH"/>
    <n v="619.74326685000005"/>
    <n v="792792.37106265896"/>
    <n v="1279.2270823565768"/>
    <n v="0"/>
    <x v="3"/>
    <m/>
    <n v="1"/>
    <x v="75"/>
    <m/>
    <m/>
    <m/>
    <n v="0"/>
    <x v="4"/>
    <s v="LONG"/>
    <x v="6"/>
    <n v="792792.37106265896"/>
    <n v="1279.2270823565768"/>
    <n v="0"/>
    <n v="0"/>
    <s v="-"/>
    <s v="STETH"/>
  </r>
  <r>
    <s v="-"/>
    <s v="WALLET"/>
    <s v="STORJ"/>
    <n v="29.76350429"/>
    <n v="9.6462709240136704"/>
    <n v="0.32409728471571952"/>
    <n v="0"/>
    <x v="3"/>
    <m/>
    <n v="1"/>
    <x v="76"/>
    <m/>
    <m/>
    <m/>
    <n v="0"/>
    <x v="4"/>
    <s v="LONG"/>
    <x v="6"/>
    <n v="9.6462709240136704"/>
    <n v="0.32409728471571952"/>
    <n v="0"/>
    <n v="0"/>
    <s v="-"/>
    <s v="STORJ"/>
  </r>
  <r>
    <s v="-"/>
    <s v="WALLET"/>
    <s v="SUSHI"/>
    <n v="-6.3618126500005019"/>
    <n v="-7.3780124565964798"/>
    <n v="1.1597343182679072"/>
    <n v="0"/>
    <x v="3"/>
    <m/>
    <n v="1"/>
    <x v="77"/>
    <m/>
    <m/>
    <m/>
    <n v="0"/>
    <x v="4"/>
    <s v="SHORT"/>
    <x v="7"/>
    <n v="-7.3780124565964798"/>
    <n v="1.1597343182679072"/>
    <n v="0"/>
    <n v="0"/>
    <s v="-"/>
    <s v="SUSHI"/>
  </r>
  <r>
    <s v="-"/>
    <s v="WALLET"/>
    <s v="TRX"/>
    <n v="45.224419630000007"/>
    <n v="2.4616950867775187"/>
    <n v="5.4432872923913259E-2"/>
    <n v="0"/>
    <x v="3"/>
    <m/>
    <n v="1"/>
    <x v="78"/>
    <m/>
    <m/>
    <m/>
    <n v="0"/>
    <x v="4"/>
    <s v="LONG"/>
    <x v="6"/>
    <n v="2.4616950867775187"/>
    <n v="5.4432872923913259E-2"/>
    <n v="0"/>
    <n v="0"/>
    <s v="-"/>
    <s v="TRX"/>
  </r>
  <r>
    <s v="-"/>
    <s v="WALLET"/>
    <s v="TRY"/>
    <n v="0.10983253"/>
    <n v="5.8483062598339696E-3"/>
    <n v="5.3247487423206674E-2"/>
    <n v="0"/>
    <x v="3"/>
    <m/>
    <n v="1"/>
    <x v="79"/>
    <m/>
    <m/>
    <m/>
    <n v="0"/>
    <x v="4"/>
    <s v="LONG"/>
    <x v="6"/>
    <n v="5.8483062598339696E-3"/>
    <n v="5.3247487423206674E-2"/>
    <n v="0"/>
    <n v="0"/>
    <s v="-"/>
    <s v="TRY"/>
  </r>
  <r>
    <s v="-"/>
    <s v="WALLET"/>
    <s v="TT"/>
    <n v="6.3152970000000003E-2"/>
    <n v="2.4301270697733201E-4"/>
    <n v="3.8480012417045784E-3"/>
    <n v="0"/>
    <x v="3"/>
    <m/>
    <n v="1"/>
    <x v="80"/>
    <m/>
    <m/>
    <m/>
    <n v="0"/>
    <x v="4"/>
    <s v="LONG"/>
    <x v="6"/>
    <n v="2.4301270697733201E-4"/>
    <n v="3.8480012417045784E-3"/>
    <n v="0"/>
    <n v="0"/>
    <s v="-"/>
    <s v="TT"/>
  </r>
  <r>
    <s v="-"/>
    <s v="WALLET"/>
    <s v="TUSD"/>
    <n v="20"/>
    <n v="20.010969829115499"/>
    <n v="1.000548491455775"/>
    <n v="0"/>
    <x v="3"/>
    <m/>
    <n v="1"/>
    <x v="81"/>
    <m/>
    <m/>
    <m/>
    <n v="0"/>
    <x v="4"/>
    <s v="LONG"/>
    <x v="6"/>
    <n v="20.010969829115499"/>
    <n v="1.000548491455775"/>
    <n v="0"/>
    <n v="0"/>
    <s v="-"/>
    <s v="TUSD"/>
  </r>
  <r>
    <s v="-"/>
    <s v="WALLET"/>
    <s v="UNI"/>
    <n v="-66.066807019999942"/>
    <n v="-402.32138127685903"/>
    <n v="6.0896144285445351"/>
    <n v="0"/>
    <x v="3"/>
    <m/>
    <n v="1"/>
    <x v="82"/>
    <m/>
    <m/>
    <m/>
    <n v="0"/>
    <x v="4"/>
    <s v="SHORT"/>
    <x v="7"/>
    <n v="-402.32138127685903"/>
    <n v="6.0896144285445351"/>
    <n v="0"/>
    <n v="0"/>
    <s v="-"/>
    <s v="UNI"/>
  </r>
  <r>
    <s v="-"/>
    <s v="WALLET"/>
    <s v="USD"/>
    <n v="66371370.517192498"/>
    <n v="66371370.517192498"/>
    <n v="1"/>
    <n v="0"/>
    <x v="4"/>
    <m/>
    <n v="1"/>
    <x v="83"/>
    <m/>
    <m/>
    <m/>
    <n v="0"/>
    <x v="5"/>
    <s v="LONG"/>
    <x v="9"/>
    <n v="66371370.517192498"/>
    <n v="1"/>
    <n v="0"/>
    <n v="0"/>
    <s v="-"/>
    <s v="USD"/>
  </r>
  <r>
    <s v="-"/>
    <s v="WALLET"/>
    <s v="USDC"/>
    <n v="-54202885.937472254"/>
    <n v="-54210152.641422257"/>
    <n v="1.0001340648901682"/>
    <n v="0"/>
    <x v="3"/>
    <m/>
    <n v="1"/>
    <x v="84"/>
    <m/>
    <m/>
    <m/>
    <n v="0"/>
    <x v="4"/>
    <s v="SHORT"/>
    <x v="7"/>
    <n v="-54210152.641422257"/>
    <n v="1.0001340648901682"/>
    <n v="0"/>
    <n v="0"/>
    <s v="-"/>
    <s v="USDC"/>
  </r>
  <r>
    <s v="-"/>
    <s v="WALLET"/>
    <s v="USDP"/>
    <n v="0.34680431"/>
    <n v="0.34704878178316301"/>
    <n v="1.0007049271768365"/>
    <n v="0"/>
    <x v="3"/>
    <m/>
    <n v="1"/>
    <x v="85"/>
    <m/>
    <m/>
    <m/>
    <n v="0"/>
    <x v="4"/>
    <s v="LONG"/>
    <x v="6"/>
    <n v="0.34704878178316301"/>
    <n v="1.0007049271768365"/>
    <n v="0"/>
    <n v="0"/>
    <s v="-"/>
    <s v="USDP"/>
  </r>
  <r>
    <s v="-"/>
    <s v="WALLET"/>
    <s v="USDT"/>
    <n v="20235401.049579419"/>
    <n v="20235749.923517808"/>
    <n v="1.0000172407721268"/>
    <n v="0"/>
    <x v="3"/>
    <m/>
    <n v="1"/>
    <x v="86"/>
    <m/>
    <m/>
    <m/>
    <n v="0"/>
    <x v="4"/>
    <s v="LONG"/>
    <x v="6"/>
    <n v="20235749.923517808"/>
    <n v="1.0000172407721268"/>
    <n v="0"/>
    <n v="0"/>
    <s v="-"/>
    <s v="USDT"/>
  </r>
  <r>
    <s v="-"/>
    <s v="WALLET"/>
    <s v="UST"/>
    <n v="29.9885932"/>
    <n v="0"/>
    <n v="0"/>
    <n v="0"/>
    <x v="3"/>
    <m/>
    <n v="1"/>
    <x v="87"/>
    <m/>
    <m/>
    <m/>
    <n v="0"/>
    <x v="4"/>
    <s v="LONG"/>
    <x v="6"/>
    <n v="0"/>
    <n v="0"/>
    <n v="0"/>
    <n v="0"/>
    <s v="-"/>
    <s v="UST"/>
  </r>
  <r>
    <s v="-"/>
    <s v="WALLET"/>
    <s v="VET"/>
    <n v="59489.017780000002"/>
    <n v="1134.697100789049"/>
    <n v="1.9074060106108025E-2"/>
    <n v="0"/>
    <x v="3"/>
    <m/>
    <n v="1"/>
    <x v="88"/>
    <m/>
    <m/>
    <m/>
    <n v="0"/>
    <x v="4"/>
    <s v="LONG"/>
    <x v="6"/>
    <n v="1134.697100789049"/>
    <n v="1.9074060106108025E-2"/>
    <n v="0"/>
    <n v="0"/>
    <s v="-"/>
    <s v="VET"/>
  </r>
  <r>
    <s v="-"/>
    <s v="WALLET"/>
    <s v="VSYS"/>
    <n v="0.20872535"/>
    <n v="2.2560538056823199E-4"/>
    <n v="1.080871971556076E-3"/>
    <n v="0"/>
    <x v="3"/>
    <m/>
    <n v="1"/>
    <x v="89"/>
    <m/>
    <m/>
    <m/>
    <n v="0"/>
    <x v="4"/>
    <s v="LONG"/>
    <x v="6"/>
    <n v="2.2560538056823199E-4"/>
    <n v="1.080871971556076E-3"/>
    <n v="0"/>
    <n v="0"/>
    <s v="-"/>
    <s v="VSYS"/>
  </r>
  <r>
    <s v="-"/>
    <s v="WALLET"/>
    <s v="WETH"/>
    <n v="154.70349367"/>
    <n v="204307.207223865"/>
    <n v="1320.6373196695565"/>
    <n v="0"/>
    <x v="3"/>
    <m/>
    <n v="1"/>
    <x v="90"/>
    <m/>
    <m/>
    <m/>
    <n v="0"/>
    <x v="4"/>
    <s v="LONG"/>
    <x v="6"/>
    <n v="204307.207223865"/>
    <n v="1320.6373196695565"/>
    <n v="0"/>
    <n v="0"/>
    <s v="-"/>
    <s v="WETH"/>
  </r>
  <r>
    <s v="-"/>
    <s v="WALLET"/>
    <s v="WOO"/>
    <n v="1644286.05309931"/>
    <n v="223508.10865896201"/>
    <n v="0.13593018577130922"/>
    <n v="0"/>
    <x v="3"/>
    <m/>
    <n v="1"/>
    <x v="91"/>
    <m/>
    <m/>
    <m/>
    <n v="0"/>
    <x v="4"/>
    <s v="LONG"/>
    <x v="6"/>
    <n v="223508.10865896201"/>
    <n v="0.13593018577130922"/>
    <n v="0"/>
    <n v="0"/>
    <s v="-"/>
    <s v="WOO"/>
  </r>
  <r>
    <s v="-"/>
    <s v="WALLET"/>
    <s v="XEC"/>
    <n v="97856395.370000005"/>
    <n v="2872.6498836238143"/>
    <n v="2.9355770491669746E-5"/>
    <n v="0"/>
    <x v="3"/>
    <m/>
    <n v="1"/>
    <x v="92"/>
    <m/>
    <m/>
    <m/>
    <n v="0"/>
    <x v="4"/>
    <s v="LONG"/>
    <x v="6"/>
    <n v="2872.6498836238143"/>
    <n v="2.9355770491669746E-5"/>
    <n v="0"/>
    <n v="0"/>
    <s v="-"/>
    <s v="XEC"/>
  </r>
  <r>
    <s v="-"/>
    <s v="WALLET"/>
    <s v="XLM"/>
    <n v="-4633.5205147299566"/>
    <n v="-389.18645000527613"/>
    <n v="8.399368229147855E-2"/>
    <n v="0"/>
    <x v="3"/>
    <m/>
    <n v="1"/>
    <x v="93"/>
    <m/>
    <m/>
    <m/>
    <n v="0"/>
    <x v="4"/>
    <s v="SHORT"/>
    <x v="7"/>
    <n v="-389.18645000527613"/>
    <n v="8.399368229147855E-2"/>
    <n v="0"/>
    <n v="0"/>
    <s v="-"/>
    <s v="XLM"/>
  </r>
  <r>
    <s v="-"/>
    <s v="WALLET"/>
    <s v="XRP"/>
    <n v="121195.08256007999"/>
    <n v="47884.460297740188"/>
    <n v="0.39510233654902993"/>
    <n v="0"/>
    <x v="3"/>
    <m/>
    <n v="1"/>
    <x v="94"/>
    <m/>
    <m/>
    <m/>
    <n v="0"/>
    <x v="4"/>
    <s v="LONG"/>
    <x v="6"/>
    <n v="47884.460297740188"/>
    <n v="0.39510233654902993"/>
    <n v="0"/>
    <n v="0"/>
    <s v="-"/>
    <s v="XRP"/>
  </r>
  <r>
    <s v="-"/>
    <s v="WALLET"/>
    <s v="XTZ"/>
    <n v="-75.675093910002033"/>
    <n v="-73.394628790272691"/>
    <n v="0.96986505068046003"/>
    <n v="0"/>
    <x v="3"/>
    <m/>
    <n v="1"/>
    <x v="95"/>
    <m/>
    <m/>
    <m/>
    <n v="0"/>
    <x v="4"/>
    <s v="SHORT"/>
    <x v="7"/>
    <n v="-73.394628790272691"/>
    <n v="0.96986505068046003"/>
    <n v="0"/>
    <n v="0"/>
    <s v="-"/>
    <s v="XTZ"/>
  </r>
  <r>
    <s v="-"/>
    <s v="WALLET"/>
    <s v="YFI"/>
    <n v="4.0593207099999997"/>
    <n v="26364.489033310143"/>
    <n v="6494.8031744232758"/>
    <n v="0"/>
    <x v="3"/>
    <m/>
    <n v="1"/>
    <x v="96"/>
    <m/>
    <m/>
    <m/>
    <n v="0"/>
    <x v="4"/>
    <s v="LONG"/>
    <x v="6"/>
    <n v="26364.489033310143"/>
    <n v="6494.8031744232758"/>
    <n v="0"/>
    <n v="0"/>
    <s v="-"/>
    <s v="YFI"/>
  </r>
  <r>
    <s v="-"/>
    <s v="WALLET"/>
    <s v="YFII"/>
    <n v="1.572583E-2"/>
    <n v="21.62773927210381"/>
    <n v="1375.3003353148172"/>
    <n v="0"/>
    <x v="3"/>
    <m/>
    <n v="1"/>
    <x v="97"/>
    <m/>
    <m/>
    <m/>
    <n v="0"/>
    <x v="4"/>
    <s v="LONG"/>
    <x v="6"/>
    <n v="21.62773927210381"/>
    <n v="1375.3003353148172"/>
    <n v="0"/>
    <n v="0"/>
    <s v="-"/>
    <s v="YFII"/>
  </r>
  <r>
    <s v="-"/>
    <s v="WALLET"/>
    <s v="ZEC"/>
    <n v="2.173E-4"/>
    <n v="1.00552704908156E-2"/>
    <n v="46.273679203017025"/>
    <n v="0"/>
    <x v="3"/>
    <m/>
    <n v="1"/>
    <x v="98"/>
    <m/>
    <m/>
    <m/>
    <n v="0"/>
    <x v="4"/>
    <s v="LONG"/>
    <x v="6"/>
    <n v="1.00552704908156E-2"/>
    <n v="46.273679203017025"/>
    <n v="0"/>
    <n v="0"/>
    <s v="-"/>
    <s v="ZEC"/>
  </r>
  <r>
    <s v="-"/>
    <s v="WALLET"/>
    <s v="ZIL"/>
    <n v="762050.88035880844"/>
    <n v="16935.569120381988"/>
    <n v="2.2223672404141765E-2"/>
    <n v="0"/>
    <x v="3"/>
    <m/>
    <n v="1"/>
    <x v="10"/>
    <m/>
    <m/>
    <m/>
    <n v="0"/>
    <x v="4"/>
    <s v="LONG"/>
    <x v="6"/>
    <n v="16935.569120381988"/>
    <n v="2.2223672404141765E-2"/>
    <n v="0"/>
    <n v="0"/>
    <s v="-"/>
    <s v="ZIL"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d v="2022-12-21T22:00:00"/>
    <s v="BINANCE"/>
    <x v="0"/>
    <s v="B_F_BTC-USD_230331"/>
    <n v="6584"/>
    <n v="658400"/>
    <n v="16884.3357664"/>
    <n v="-0.16075417"/>
    <x v="0"/>
    <d v="2023-03-31T08:00:00"/>
    <n v="0"/>
    <x v="0"/>
    <n v="100"/>
    <n v="38.994723222113521"/>
    <n v="655795.09868192894"/>
    <n v="99"/>
    <s v="Mar 23"/>
    <s v="LONG"/>
    <s v="Mar 23 LONG"/>
    <n v="664984"/>
    <n v="17053.179124064001"/>
    <n v="0.01"/>
    <n v="6584"/>
    <x v="0"/>
    <s v="BTC Mar 23 LONG"/>
    <b v="1"/>
  </r>
  <r>
    <d v="2022-12-21T22:00:00"/>
    <s v="BINANCE"/>
    <x v="0"/>
    <s v="B_P_BTC-USD-SWAP"/>
    <n v="-128459"/>
    <n v="-12845900"/>
    <n v="16845.5"/>
    <n v="-0.75499925999999995"/>
    <x v="1"/>
    <d v="2099-12-31T08:00:00"/>
    <n v="0"/>
    <x v="0"/>
    <n v="100"/>
    <n v="-762.57160666053244"/>
    <n v="-12824574.217220871"/>
    <n v="28133"/>
    <s v="PERP"/>
    <s v="SHORT"/>
    <s v="PERP SHORT"/>
    <n v="-12845900"/>
    <n v="16845.5"/>
    <n v="0"/>
    <n v="0"/>
    <x v="0"/>
    <s v="BTC PERP SHORT"/>
    <b v="1"/>
  </r>
  <r>
    <d v="2022-12-21T22:00:00"/>
    <s v="BINANCE"/>
    <x v="0"/>
    <s v="B_P_ETH-USD-SWAP"/>
    <n v="-987462"/>
    <n v="-9874620"/>
    <n v="1214.79"/>
    <n v="-43.842905279999997"/>
    <x v="1"/>
    <d v="2099-12-31T08:00:00"/>
    <n v="0"/>
    <x v="1"/>
    <n v="10"/>
    <n v="-8128.6642135677776"/>
    <n v="-9864946.8292679153"/>
    <n v="28133"/>
    <s v="PERP"/>
    <s v="SHORT"/>
    <s v="PERP SHORT"/>
    <n v="-9874620"/>
    <n v="1214.79"/>
    <n v="0"/>
    <n v="0"/>
    <x v="0"/>
    <s v="ETH PERP SHORT"/>
    <b v="1"/>
  </r>
  <r>
    <d v="2022-12-21T22:00:00"/>
    <s v="BINANCE"/>
    <x v="0"/>
    <s v="B_F_BTC-USD_221230"/>
    <n v="-187665"/>
    <n v="-18766500"/>
    <n v="16861.886390740001"/>
    <n v="41.152243820000002"/>
    <x v="0"/>
    <d v="2022-12-30T08:00:00"/>
    <n v="0"/>
    <x v="0"/>
    <n v="100"/>
    <n v="-1112.9537683462243"/>
    <n v="-18717138.269804031"/>
    <n v="8"/>
    <s v="Dec 22"/>
    <s v="SHORT"/>
    <s v="Dec 22 SHORT"/>
    <n v="-18954165"/>
    <n v="17030.5052546474"/>
    <n v="0.01"/>
    <n v="-187665"/>
    <x v="0"/>
    <s v="BTC Dec 22 SHORT"/>
    <b v="1"/>
  </r>
  <r>
    <d v="2022-12-21T22:00:00"/>
    <s v="BINANCE"/>
    <x v="0"/>
    <s v="B_F_ETH-USD_221230"/>
    <n v="-822127"/>
    <n v="-8221270"/>
    <n v="1214.2160954200001"/>
    <n v="274.91348434000002"/>
    <x v="0"/>
    <d v="2022-12-30T08:00:00"/>
    <n v="0"/>
    <x v="1"/>
    <n v="10"/>
    <n v="-6770.8458412060863"/>
    <n v="-8217098.4626453221"/>
    <n v="8"/>
    <s v="Dec 22"/>
    <s v="SHORT"/>
    <s v="Dec 22 SHORT"/>
    <n v="-8303482.7000000002"/>
    <n v="1226.3582563742002"/>
    <n v="0.01"/>
    <n v="-82212.700000000186"/>
    <x v="0"/>
    <s v="ETH Dec 22 SHORT"/>
    <b v="1"/>
  </r>
  <r>
    <d v="2022-12-21T22:00:00"/>
    <s v="BINANCE"/>
    <x v="1"/>
    <s v="BAXSUSDT"/>
    <n v="6000"/>
    <n v="41022"/>
    <n v="6.8369999999999997"/>
    <n v="-25634.307659999999"/>
    <x v="1"/>
    <d v="2099-12-31T08:00:00"/>
    <n v="1"/>
    <x v="2"/>
    <n v="1"/>
    <n v="6000"/>
    <n v="41022"/>
    <n v="28133"/>
    <s v="PERP"/>
    <s v="LONG"/>
    <s v="PERP LONG"/>
    <n v="41022"/>
    <n v="6.8369999999999997"/>
    <n v="0"/>
    <n v="0"/>
    <x v="0"/>
    <s v="AXS PERP LONG"/>
    <b v="1"/>
  </r>
  <r>
    <d v="2022-12-21T22:00:00"/>
    <s v="BINANCE"/>
    <x v="1"/>
    <s v="BEOSUSDT"/>
    <n v="779160.9"/>
    <n v="695235.26664404396"/>
    <n v="0.89228715999999997"/>
    <n v="-10446.56860031"/>
    <x v="1"/>
    <d v="2099-12-31T08:00:00"/>
    <n v="1"/>
    <x v="3"/>
    <n v="1"/>
    <n v="779160.9"/>
    <n v="691856.48131148377"/>
    <n v="28133"/>
    <s v="PERP"/>
    <s v="LONG"/>
    <s v="PERP LONG"/>
    <n v="695235.26664404396"/>
    <n v="0.89228715999999997"/>
    <n v="0"/>
    <n v="0"/>
    <x v="0"/>
    <s v="EOS PERP LONG"/>
    <b v="1"/>
  </r>
  <r>
    <d v="2022-12-21T22:00:00"/>
    <s v="BINANCE"/>
    <x v="1"/>
    <s v="B_F_ETH-USDT_221230"/>
    <n v="3004.1950000000002"/>
    <n v="3648274.4259875002"/>
    <n v="1214.39334863"/>
    <n v="106237.59533066"/>
    <x v="0"/>
    <d v="2022-12-30T08:00:00"/>
    <n v="1"/>
    <x v="1"/>
    <n v="1"/>
    <n v="3004.1950000000002"/>
    <n v="3645891.0297076716"/>
    <n v="8"/>
    <s v="Dec 22"/>
    <s v="LONG"/>
    <s v="Dec 22 LONG"/>
    <n v="3684757.170247375"/>
    <n v="1226.5372821163"/>
    <n v="0.01"/>
    <n v="36482.744259874802"/>
    <x v="0"/>
    <s v="ETH Dec 22 LONG"/>
    <b v="1"/>
  </r>
  <r>
    <d v="2022-12-21T22:00:00"/>
    <s v="BINANCE"/>
    <x v="1"/>
    <s v="BBCHUSDT"/>
    <n v="-2359.1410000000001"/>
    <n v="-238242.28902289699"/>
    <n v="100.98687998"/>
    <n v="5062.0016247200001"/>
    <x v="1"/>
    <d v="2099-12-31T08:00:00"/>
    <n v="1"/>
    <x v="4"/>
    <n v="1"/>
    <n v="-2359.1410000000001"/>
    <n v="-236717.23655463263"/>
    <n v="28133"/>
    <s v="PERP"/>
    <s v="SHORT"/>
    <s v="PERP SHORT"/>
    <n v="-238242.28902289699"/>
    <n v="100.98687998"/>
    <n v="0"/>
    <n v="0"/>
    <x v="0"/>
    <s v="BCH PERP SHORT"/>
    <b v="1"/>
  </r>
  <r>
    <d v="2022-12-21T22:00:00"/>
    <s v="BINANCE"/>
    <x v="1"/>
    <s v="BBTCUSDT"/>
    <n v="-895.78099999999995"/>
    <n v="-15086423.832566099"/>
    <n v="16841.643027220001"/>
    <n v="-9046.8379292200007"/>
    <x v="1"/>
    <d v="2099-12-31T08:00:00"/>
    <n v="1"/>
    <x v="0"/>
    <n v="1"/>
    <n v="-895.78099999999995"/>
    <n v="-15064827.77031895"/>
    <n v="28133"/>
    <s v="PERP"/>
    <s v="SHORT"/>
    <s v="PERP SHORT"/>
    <n v="-15086423.832566099"/>
    <n v="16841.643027220001"/>
    <n v="0"/>
    <n v="0"/>
    <x v="0"/>
    <s v="BTC PERP SHORT"/>
    <b v="1"/>
  </r>
  <r>
    <d v="2022-12-21T22:00:00"/>
    <s v="BINANCE"/>
    <x v="1"/>
    <s v="BETCUSDT"/>
    <n v="-8.5299999999999994"/>
    <n v="-141.11179000000001"/>
    <n v="16.542999999999999"/>
    <n v="35.441481750000001"/>
    <x v="1"/>
    <d v="2099-12-31T08:00:00"/>
    <n v="1"/>
    <x v="5"/>
    <n v="1"/>
    <n v="-8.5299999999999994"/>
    <n v="-141.77839117375305"/>
    <n v="28133"/>
    <s v="PERP"/>
    <s v="SHORT"/>
    <s v="PERP SHORT"/>
    <n v="-141.11179000000001"/>
    <n v="16.542999999999999"/>
    <n v="0"/>
    <n v="0"/>
    <x v="0"/>
    <s v="ETC PERP SHORT"/>
    <b v="1"/>
  </r>
  <r>
    <d v="2022-12-21T22:00:00"/>
    <s v="BINANCE"/>
    <x v="1"/>
    <s v="BETHUSDT"/>
    <n v="-19577.268"/>
    <n v="-23776591.986000001"/>
    <n v="1214.5"/>
    <n v="-204141.55310086999"/>
    <x v="1"/>
    <d v="2099-12-31T08:00:00"/>
    <n v="1"/>
    <x v="1"/>
    <n v="1"/>
    <n v="-19577.268"/>
    <n v="-23758972.299528841"/>
    <n v="28133"/>
    <s v="PERP"/>
    <s v="SHORT"/>
    <s v="PERP SHORT"/>
    <n v="-23776591.986000001"/>
    <n v="1214.5"/>
    <n v="0"/>
    <n v="0"/>
    <x v="0"/>
    <s v="ETH PERP SHORT"/>
    <b v="1"/>
  </r>
  <r>
    <d v="2022-12-21T22:00:00"/>
    <s v="BINANCE"/>
    <x v="1"/>
    <s v="BLTCUSDT"/>
    <n v="-1668.479"/>
    <n v="-109698.098575335"/>
    <n v="65.747365459999997"/>
    <n v="-406.53917383999999"/>
    <x v="1"/>
    <d v="2099-12-31T08:00:00"/>
    <n v="1"/>
    <x v="6"/>
    <n v="1"/>
    <n v="-1668.479"/>
    <n v="-109104.17706077542"/>
    <n v="28133"/>
    <s v="PERP"/>
    <s v="SHORT"/>
    <s v="PERP SHORT"/>
    <n v="-109698.098575335"/>
    <n v="65.747365459999997"/>
    <n v="0"/>
    <n v="0"/>
    <x v="0"/>
    <s v="LTC PERP SHORT"/>
    <b v="1"/>
  </r>
  <r>
    <d v="2022-12-21T22:00:00"/>
    <s v="BINANCE"/>
    <x v="1"/>
    <s v="BOMGUSDT"/>
    <n v="-24000"/>
    <n v="-24174.322319999999"/>
    <n v="1.0072634300000001"/>
    <n v="3688.9776000000002"/>
    <x v="1"/>
    <d v="2099-12-31T08:00:00"/>
    <n v="1"/>
    <x v="7"/>
    <n v="1"/>
    <n v="-24000"/>
    <n v="-24130.6124980596"/>
    <n v="28133"/>
    <s v="PERP"/>
    <s v="SHORT"/>
    <s v="PERP SHORT"/>
    <n v="-24174.322319999999"/>
    <n v="1.0072634300000001"/>
    <n v="0"/>
    <n v="0"/>
    <x v="0"/>
    <s v="OMG PERP SHORT"/>
    <b v="1"/>
  </r>
  <r>
    <d v="2022-12-21T22:00:00"/>
    <s v="BINANCE"/>
    <x v="1"/>
    <s v="BZILUSDT"/>
    <n v="-782143"/>
    <n v="-14036.85449238"/>
    <n v="1.794666E-2"/>
    <n v="3103.9344955000001"/>
    <x v="1"/>
    <d v="2099-12-31T08:00:00"/>
    <n v="1"/>
    <x v="8"/>
    <n v="1"/>
    <n v="-782143"/>
    <n v="-13959.326258967372"/>
    <n v="28133"/>
    <s v="PERP"/>
    <s v="SHORT"/>
    <s v="PERP SHORT"/>
    <n v="-14036.85449238"/>
    <n v="1.794666E-2"/>
    <n v="0"/>
    <n v="0"/>
    <x v="0"/>
    <s v="ZIL PERP SHORT"/>
    <b v="1"/>
  </r>
  <r>
    <d v="2022-12-21T22:00:00"/>
    <s v="BINANCE"/>
    <x v="1"/>
    <s v="BCOMPUSDT"/>
    <n v="-200.97900000000001"/>
    <n v="-6644.3657400000002"/>
    <n v="33.06"/>
    <n v="3316.6706290100001"/>
    <x v="1"/>
    <d v="2099-12-31T08:00:00"/>
    <n v="1"/>
    <x v="9"/>
    <n v="1"/>
    <n v="-200.97900000000001"/>
    <n v="-6663.3681880202721"/>
    <n v="28133"/>
    <s v="PERP"/>
    <s v="SHORT"/>
    <s v="PERP SHORT"/>
    <n v="-6644.3657400000002"/>
    <n v="33.06"/>
    <n v="0"/>
    <n v="0"/>
    <x v="0"/>
    <s v="COMP PERP SHORT"/>
    <b v="1"/>
  </r>
  <r>
    <d v="2022-12-21T22:00:00"/>
    <s v="BINANCE"/>
    <x v="1"/>
    <s v="BLINKUSDT"/>
    <n v="-50999.1"/>
    <n v="-303138.65039999998"/>
    <n v="5.944"/>
    <n v="1055.9858346200001"/>
    <x v="1"/>
    <d v="2099-12-31T08:00:00"/>
    <n v="1"/>
    <x v="10"/>
    <n v="1"/>
    <n v="-50999.1"/>
    <n v="-305038.73004863015"/>
    <n v="28133"/>
    <s v="PERP"/>
    <s v="SHORT"/>
    <s v="PERP SHORT"/>
    <n v="-303138.65039999998"/>
    <n v="5.944"/>
    <n v="0"/>
    <n v="0"/>
    <x v="0"/>
    <s v="LINK PERP SHORT"/>
    <b v="1"/>
  </r>
  <r>
    <d v="2022-12-21T22:00:00"/>
    <s v="BINANCE"/>
    <x v="1"/>
    <s v="B_F_BTC-USDT_221230"/>
    <n v="-173.96600000000001"/>
    <n v="-2932555.4060583799"/>
    <n v="16857.060609880002"/>
    <n v="152329.47265861"/>
    <x v="0"/>
    <d v="2022-12-30T08:00:00"/>
    <n v="1"/>
    <x v="0"/>
    <n v="1"/>
    <n v="-173.96600000000001"/>
    <n v="-2925679.1870907135"/>
    <n v="8"/>
    <s v="Dec 22"/>
    <s v="SHORT"/>
    <s v="Dec 22 SHORT"/>
    <n v="-2961880.9601189638"/>
    <n v="17025.631215978803"/>
    <n v="0.01"/>
    <n v="-29325.554060583934"/>
    <x v="0"/>
    <s v="BTC Dec 22 SHORT"/>
    <b v="1"/>
  </r>
  <r>
    <d v="2022-12-21T22:00:00"/>
    <s v="BINANCE"/>
    <x v="2"/>
    <s v="BBTCUSDT"/>
    <n v="69.063999999999993"/>
    <n v="1163106.824"/>
    <n v="16841"/>
    <n v="721.72712979999994"/>
    <x v="1"/>
    <d v="2099-12-31T08:00:00"/>
    <n v="1"/>
    <x v="0"/>
    <n v="1"/>
    <n v="69.063999999999993"/>
    <n v="1161486.1948727511"/>
    <n v="28133"/>
    <s v="PERP"/>
    <s v="LONG"/>
    <s v="PERP LONG"/>
    <n v="1163106.824"/>
    <n v="16841"/>
    <n v="0"/>
    <n v="0"/>
    <x v="0"/>
    <s v="BTC PERP LONG"/>
    <b v="1"/>
  </r>
  <r>
    <d v="2022-12-21T22:00:00"/>
    <s v="DYDX"/>
    <x v="3"/>
    <s v="D_T_BTC_USDC_SWAP"/>
    <n v="-1.4123000000000001"/>
    <n v="-23792.932589648"/>
    <n v="16846.939453125"/>
    <n v="3776.4553329999999"/>
    <x v="1"/>
    <d v="2099-12-31T08:00:00"/>
    <n v="1"/>
    <x v="0"/>
    <n v="1"/>
    <n v="-1.4123000000000001"/>
    <n v="-23751.403814125835"/>
    <n v="28133"/>
    <s v="PERP"/>
    <s v="SHORT"/>
    <s v="PERP SHORT"/>
    <n v="-23792.932589648"/>
    <n v="16846.939453125"/>
    <n v="0"/>
    <n v="0"/>
    <x v="1"/>
    <s v="BTC PERP SHORT"/>
    <b v="1"/>
  </r>
  <r>
    <d v="2022-12-21T22:00:00"/>
    <s v="DYDX"/>
    <x v="3"/>
    <s v="D_T_ATOM_USDC_SWAP"/>
    <n v="-426.6"/>
    <n v="-3843.3247610090002"/>
    <n v="9.0092000960000007"/>
    <n v="5517.8093959999997"/>
    <x v="1"/>
    <d v="2099-12-31T08:00:00"/>
    <n v="1"/>
    <x v="11"/>
    <n v="1"/>
    <n v="-426.6"/>
    <n v="-3773.9475811716752"/>
    <n v="28133"/>
    <s v="PERP"/>
    <s v="SHORT"/>
    <s v="PERP SHORT"/>
    <n v="-3843.3247610090002"/>
    <n v="9.0092000960000007"/>
    <n v="0"/>
    <n v="0"/>
    <x v="1"/>
    <s v="ATOM PERP SHORT"/>
    <b v="1"/>
  </r>
  <r>
    <d v="2022-12-21T22:00:00"/>
    <s v="HUOBI"/>
    <x v="4"/>
    <s v="ETH221230"/>
    <n v="11173"/>
    <n v="111730"/>
    <n v="1208.297"/>
    <n v="0.17888605899999999"/>
    <x v="0"/>
    <d v="2022-12-30T08:00:00"/>
    <n v="0"/>
    <x v="1"/>
    <n v="10"/>
    <n v="92.468987343343557"/>
    <n v="112220.36235372486"/>
    <n v="8"/>
    <s v="Dec 22"/>
    <s v="LONG"/>
    <s v="Dec 22 LONG"/>
    <n v="112847.3"/>
    <n v="1220.37997"/>
    <n v="0.01"/>
    <n v="1117.3000000000029"/>
    <x v="2"/>
    <s v="ETH Dec 22 LONG"/>
    <b v="1"/>
  </r>
  <r>
    <d v="2022-12-21T22:00:00"/>
    <s v="HUOBI"/>
    <x v="5"/>
    <s v="H_P_BTC-USD-SWAP"/>
    <n v="12302"/>
    <n v="1230200"/>
    <n v="16842.7"/>
    <n v="0.113476283"/>
    <x v="1"/>
    <d v="2099-12-31T08:00:00"/>
    <n v="0"/>
    <x v="0"/>
    <n v="100"/>
    <n v="73.040545755728004"/>
    <n v="1228361.8898594"/>
    <n v="28133"/>
    <s v="PERP"/>
    <s v="LONG"/>
    <s v="PERP LONG"/>
    <n v="1230200"/>
    <n v="16842.7"/>
    <n v="0"/>
    <n v="0"/>
    <x v="3"/>
    <s v="BTC PERP LONG"/>
    <b v="1"/>
  </r>
  <r>
    <d v="2022-12-21T22:00:00"/>
    <s v="HUOBI"/>
    <x v="5"/>
    <s v="H_P_ETH-USD-SWAP"/>
    <n v="-162244"/>
    <n v="-1622440"/>
    <n v="1214.03"/>
    <n v="-3.6525896299999898"/>
    <x v="1"/>
    <d v="2099-12-31T08:00:00"/>
    <n v="0"/>
    <x v="1"/>
    <n v="10"/>
    <n v="-1336.4084907292242"/>
    <n v="-1621865.3344323009"/>
    <n v="28133"/>
    <s v="PERP"/>
    <s v="SHORT"/>
    <s v="PERP SHORT"/>
    <n v="-1622440"/>
    <n v="1214.03"/>
    <n v="0"/>
    <n v="0"/>
    <x v="3"/>
    <s v="ETH PERP SHORT"/>
    <b v="1"/>
  </r>
  <r>
    <d v="2022-12-21T22:00:00"/>
    <s v="HUOBI"/>
    <x v="6"/>
    <s v="H_T_BTC_USDT_SWAP"/>
    <n v="3.7149999999999999"/>
    <n v="62537.195500000002"/>
    <n v="16833.7"/>
    <n v="148.69630363799999"/>
    <x v="1"/>
    <d v="2099-12-31T08:00:00"/>
    <n v="1"/>
    <x v="0"/>
    <n v="1"/>
    <n v="3.7149999999999999"/>
    <n v="62477.140246036586"/>
    <n v="28133"/>
    <s v="PERP"/>
    <s v="LONG"/>
    <s v="PERP LONG"/>
    <n v="62537.195500000002"/>
    <n v="16833.7"/>
    <n v="0"/>
    <n v="0"/>
    <x v="3"/>
    <s v="BTC PERP LONG"/>
    <b v="1"/>
  </r>
  <r>
    <d v="2022-12-21T22:00:00"/>
    <s v="HUOBI"/>
    <x v="6"/>
    <s v="H_T_ETH_USDT_SWAP"/>
    <n v="21.28"/>
    <n v="25829.4512"/>
    <n v="1213.79"/>
    <n v="137.98560000000001"/>
    <x v="1"/>
    <d v="2099-12-31T08:00:00"/>
    <n v="1"/>
    <x v="1"/>
    <n v="1"/>
    <n v="21.28"/>
    <n v="25825.407842093889"/>
    <n v="28133"/>
    <s v="PERP"/>
    <s v="LONG"/>
    <s v="PERP LONG"/>
    <n v="25829.4512"/>
    <n v="1213.79"/>
    <n v="0"/>
    <n v="0"/>
    <x v="3"/>
    <s v="ETH PERP LONG"/>
    <b v="1"/>
  </r>
  <r>
    <d v="2022-12-21T22:00:00"/>
    <s v="OKEX"/>
    <x v="7"/>
    <s v="O_P_BCH-USDT-SWAP"/>
    <n v="983"/>
    <n v="9932.232148002"/>
    <n v="101.04"/>
    <n v="3.700892385"/>
    <x v="1"/>
    <d v="2099-12-31T08:00:00"/>
    <n v="1"/>
    <x v="4"/>
    <n v="0.1"/>
    <n v="98.300000000000011"/>
    <n v="9863.4648600148921"/>
    <n v="28133"/>
    <s v="PERP"/>
    <s v="LONG"/>
    <s v="PERP LONG"/>
    <n v="9932.232148002"/>
    <n v="101.04"/>
    <n v="0"/>
    <n v="0"/>
    <x v="4"/>
    <s v="BCH PERP LONG"/>
    <b v="1"/>
  </r>
  <r>
    <d v="2022-12-21T22:00:00"/>
    <s v="OKEX"/>
    <x v="7"/>
    <s v="O_P_EOS-USDT-SWAP"/>
    <n v="232"/>
    <n v="2072.6880000000001"/>
    <n v="0.89339999999999997"/>
    <n v="-152.645608404"/>
    <x v="1"/>
    <d v="2099-12-31T08:00:00"/>
    <n v="1"/>
    <x v="3"/>
    <n v="10"/>
    <n v="2320"/>
    <n v="2060.0456679007407"/>
    <n v="28133"/>
    <s v="PERP"/>
    <s v="LONG"/>
    <s v="PERP LONG"/>
    <n v="2072.6880000000001"/>
    <n v="0.89339999999999997"/>
    <n v="0"/>
    <n v="0"/>
    <x v="4"/>
    <s v="EOS PERP LONG"/>
    <b v="1"/>
  </r>
  <r>
    <d v="2022-12-21T22:00:00"/>
    <s v="OKEX"/>
    <x v="7"/>
    <s v="O_F_ETH-USDT_221230"/>
    <n v="7463"/>
    <n v="907776.94452692999"/>
    <n v="1216.3699999999999"/>
    <n v="-11746.221963676"/>
    <x v="0"/>
    <d v="2022-12-30T08:00:00"/>
    <n v="1"/>
    <x v="1"/>
    <n v="0.1"/>
    <n v="746.30000000000007"/>
    <n v="905709.67446215556"/>
    <n v="8"/>
    <s v="Dec 22"/>
    <s v="LONG"/>
    <s v="Dec 22 LONG"/>
    <n v="916854.71397219924"/>
    <n v="1228.5337"/>
    <n v="0.01"/>
    <n v="9077.7694452692522"/>
    <x v="4"/>
    <s v="ETH Dec 22 LONG"/>
    <b v="1"/>
  </r>
  <r>
    <d v="2022-12-21T22:00:00"/>
    <s v="OKEX"/>
    <x v="7"/>
    <s v="O_F_ETH-USDT_230331"/>
    <n v="4630"/>
    <n v="560081.84834587004"/>
    <n v="1209.68"/>
    <n v="-45251.355291754997"/>
    <x v="0"/>
    <d v="2023-03-31T08:00:00"/>
    <n v="1"/>
    <x v="1"/>
    <n v="0.1"/>
    <n v="463"/>
    <n v="561896.79656435479"/>
    <n v="99"/>
    <s v="Mar 23"/>
    <s v="LONG"/>
    <s v="Mar 23 LONG"/>
    <n v="565682.66682932875"/>
    <n v="1221.7768000000001"/>
    <n v="0.01"/>
    <n v="5600.8184834587155"/>
    <x v="4"/>
    <s v="ETH Mar 23 LONG"/>
    <b v="1"/>
  </r>
  <r>
    <d v="2022-12-21T22:00:00"/>
    <s v="OKEX"/>
    <x v="7"/>
    <s v="O_P_BTC-USD-SWAP"/>
    <n v="-34285"/>
    <n v="-3428500"/>
    <n v="16860.2"/>
    <n v="-0.32890339499999999"/>
    <x v="1"/>
    <d v="2099-12-31T08:00:00"/>
    <n v="0"/>
    <x v="0"/>
    <n v="100"/>
    <n v="-203.34871472461774"/>
    <n v="-3419824.0023421878"/>
    <n v="28133"/>
    <s v="PERP"/>
    <s v="SHORT"/>
    <s v="PERP SHORT"/>
    <n v="-3428500"/>
    <n v="16860.2"/>
    <n v="0"/>
    <n v="0"/>
    <x v="4"/>
    <s v="BTC PERP SHORT"/>
    <b v="1"/>
  </r>
  <r>
    <d v="2022-12-21T22:00:00"/>
    <s v="OKEX"/>
    <x v="7"/>
    <s v="O_P_ETH-USD-SWAP"/>
    <n v="-192909"/>
    <n v="-1929090"/>
    <n v="1215.3"/>
    <n v="-12.329377248"/>
    <x v="1"/>
    <d v="2099-12-31T08:00:00"/>
    <n v="0"/>
    <x v="1"/>
    <n v="10"/>
    <n v="-1587.3364601333005"/>
    <n v="-1926391.516239102"/>
    <n v="28133"/>
    <s v="PERP"/>
    <s v="SHORT"/>
    <s v="PERP SHORT"/>
    <n v="-1929090"/>
    <n v="1215.3"/>
    <n v="0"/>
    <n v="0"/>
    <x v="4"/>
    <s v="ETH PERP SHORT"/>
    <b v="1"/>
  </r>
  <r>
    <d v="2022-12-21T22:00:00"/>
    <s v="OKEX"/>
    <x v="7"/>
    <s v="O_P_BTC-USDT-SWAP"/>
    <n v="-40321"/>
    <n v="-6795701.18810423"/>
    <n v="16854"/>
    <n v="-7309.2831988050002"/>
    <x v="1"/>
    <d v="2099-12-31T08:00:00"/>
    <n v="1"/>
    <x v="0"/>
    <n v="0.01"/>
    <n v="-403.21000000000004"/>
    <n v="-6780998.0400011884"/>
    <n v="28133"/>
    <s v="PERP"/>
    <s v="SHORT"/>
    <s v="PERP SHORT"/>
    <n v="-6795701.18810423"/>
    <n v="16854"/>
    <n v="0"/>
    <n v="0"/>
    <x v="4"/>
    <s v="BTC PERP SHORT"/>
    <b v="1"/>
  </r>
  <r>
    <d v="2022-12-21T22:00:00"/>
    <s v="OKEX"/>
    <x v="7"/>
    <s v="O_P_ETH-USDT-SWAP"/>
    <n v="-60943"/>
    <n v="-7405062.1543440204"/>
    <n v="1215.08"/>
    <n v="-62384.826541804003"/>
    <x v="1"/>
    <d v="2099-12-31T08:00:00"/>
    <n v="1"/>
    <x v="1"/>
    <n v="0.1"/>
    <n v="-6094.3"/>
    <n v="-7396042.4347778568"/>
    <n v="28133"/>
    <s v="PERP"/>
    <s v="SHORT"/>
    <s v="PERP SHORT"/>
    <n v="-7405062.1543440204"/>
    <n v="1215.08"/>
    <n v="0"/>
    <n v="0"/>
    <x v="4"/>
    <s v="ETH PERP SHORT"/>
    <b v="1"/>
  </r>
  <r>
    <d v="2022-12-21T22:00:00"/>
    <s v="OKEX"/>
    <x v="7"/>
    <s v="O_P_LTC-USDT-SWAP"/>
    <n v="-594"/>
    <n v="-39079.26"/>
    <n v="65.790000000000006"/>
    <n v="-198.829411002"/>
    <x v="1"/>
    <d v="2099-12-31T08:00:00"/>
    <n v="1"/>
    <x v="6"/>
    <n v="1"/>
    <n v="-594"/>
    <n v="-38842.491379334468"/>
    <n v="28133"/>
    <s v="PERP"/>
    <s v="SHORT"/>
    <s v="PERP SHORT"/>
    <n v="-39079.26"/>
    <n v="65.790000000000006"/>
    <n v="0"/>
    <n v="0"/>
    <x v="4"/>
    <s v="LTC PERP SHORT"/>
    <b v="1"/>
  </r>
  <r>
    <d v="2022-12-21T22:00:00"/>
    <s v="OKEX"/>
    <x v="7"/>
    <s v="O_F_BTC-USD_221230"/>
    <n v="-14360"/>
    <n v="-1436000"/>
    <n v="16865.5"/>
    <n v="1.632575586"/>
    <x v="0"/>
    <d v="2022-12-30T08:00:00"/>
    <n v="0"/>
    <x v="0"/>
    <n v="100"/>
    <n v="-85.144229343926952"/>
    <n v="-1431916.0048078676"/>
    <n v="8"/>
    <s v="Dec 22"/>
    <s v="SHORT"/>
    <s v="Dec 22 SHORT"/>
    <n v="-1450360"/>
    <n v="17034.154999999999"/>
    <n v="0.01"/>
    <n v="-14360"/>
    <x v="4"/>
    <s v="BTC Dec 22 SHORT"/>
    <b v="1"/>
  </r>
  <r>
    <d v="2022-12-21T22:00:00"/>
    <s v="OKEX"/>
    <x v="7"/>
    <s v="O_F_ETH-USD_221230"/>
    <n v="-109517"/>
    <n v="-1095170"/>
    <n v="1215.3800000000001"/>
    <n v="-11.276740965"/>
    <x v="0"/>
    <d v="2022-12-30T08:00:00"/>
    <n v="0"/>
    <x v="1"/>
    <n v="10"/>
    <n v="-901.09266237719885"/>
    <n v="-1093566.0483745006"/>
    <n v="8"/>
    <s v="Dec 22"/>
    <s v="SHORT"/>
    <s v="Dec 22 SHORT"/>
    <n v="-1106121.7"/>
    <n v="1227.5338000000002"/>
    <n v="0.01"/>
    <n v="-10951.699999999953"/>
    <x v="4"/>
    <s v="ETH Dec 22 SHORT"/>
    <b v="1"/>
  </r>
  <r>
    <d v="2022-12-21T22:00:00"/>
    <s v="OKEX"/>
    <x v="7"/>
    <s v="O_P_LINK-USDT-SWAP"/>
    <n v="-28263"/>
    <n v="-168051.79800000001"/>
    <n v="5.9459999999999997"/>
    <n v="606.83311180800001"/>
    <x v="1"/>
    <d v="2099-12-31T08:00:00"/>
    <n v="1"/>
    <x v="10"/>
    <n v="1"/>
    <n v="-28263"/>
    <n v="-169048.27001583233"/>
    <n v="28133"/>
    <s v="PERP"/>
    <s v="SHORT"/>
    <s v="PERP SHORT"/>
    <n v="-168051.79800000001"/>
    <n v="5.9459999999999997"/>
    <n v="0"/>
    <n v="0"/>
    <x v="4"/>
    <s v="LINK PERP SHORT"/>
    <b v="1"/>
  </r>
  <r>
    <d v="2022-12-21T22:00:00"/>
    <s v="OKEX"/>
    <x v="7"/>
    <s v="O_P_SHIB-USDT-SWAP"/>
    <n v="-89029"/>
    <n v="-734489.25"/>
    <n v="8.2500000000000006E-6"/>
    <n v="198421.15587049801"/>
    <x v="1"/>
    <d v="2099-12-31T08:00:00"/>
    <n v="1"/>
    <x v="12"/>
    <n v="1000000"/>
    <n v="-89029000000"/>
    <n v="-734252.59187326359"/>
    <n v="28133"/>
    <s v="PERP"/>
    <s v="SHORT"/>
    <s v="PERP SHORT"/>
    <n v="-734489.25"/>
    <n v="8.2500000000000006E-6"/>
    <n v="0"/>
    <n v="0"/>
    <x v="4"/>
    <s v="SHIB PERP SHORT"/>
    <b v="1"/>
  </r>
  <r>
    <d v="2022-12-21T22:00:00"/>
    <s v="OKEX"/>
    <x v="7"/>
    <s v="O_F_BTC-USDT_221230"/>
    <n v="-17541"/>
    <n v="-2956640.7299139202"/>
    <n v="16855.599999999999"/>
    <n v="144494.44908329801"/>
    <x v="0"/>
    <d v="2022-12-30T08:00:00"/>
    <n v="1"/>
    <x v="0"/>
    <n v="0.01"/>
    <n v="-175.41"/>
    <n v="-2949963.706744893"/>
    <n v="8"/>
    <s v="Dec 22"/>
    <s v="SHORT"/>
    <s v="Dec 22 SHORT"/>
    <n v="-2986207.1372130592"/>
    <n v="17024.155999999999"/>
    <n v="0.01"/>
    <n v="-29566.407299139071"/>
    <x v="4"/>
    <s v="BTC Dec 22 SHORT"/>
    <b v="1"/>
  </r>
  <r>
    <d v="2022-12-21T22:00:00"/>
    <s v="OKEX"/>
    <x v="8"/>
    <s v="O_P_BTC-USD-SWAP"/>
    <n v="624"/>
    <n v="62400"/>
    <n v="16859.8"/>
    <n v="6.0825576999999999E-2"/>
    <x v="1"/>
    <d v="2099-12-31T08:00:00"/>
    <n v="0"/>
    <x v="0"/>
    <n v="100"/>
    <n v="3.7011115197096052"/>
    <n v="62243.570251175937"/>
    <n v="28133"/>
    <s v="PERP"/>
    <s v="LONG"/>
    <s v="PERP LONG"/>
    <n v="62400"/>
    <n v="16859.8"/>
    <n v="0"/>
    <n v="0"/>
    <x v="4"/>
    <s v="BTC PERP LONG"/>
    <b v="1"/>
  </r>
  <r>
    <d v="2022-12-21T22:00:00"/>
    <s v="OKEX"/>
    <x v="8"/>
    <s v="O_P_ETH-USD-SWAP"/>
    <n v="77"/>
    <n v="770"/>
    <n v="1215.21"/>
    <n v="1.2446219E-2"/>
    <x v="1"/>
    <d v="2099-12-31T08:00:00"/>
    <n v="0"/>
    <x v="1"/>
    <n v="10"/>
    <n v="0.63363533874803535"/>
    <n v="768.97984240278799"/>
    <n v="28133"/>
    <s v="PERP"/>
    <s v="LONG"/>
    <s v="PERP LONG"/>
    <n v="770"/>
    <n v="1215.21"/>
    <n v="0"/>
    <n v="0"/>
    <x v="4"/>
    <s v="ETH PERP LONG"/>
    <b v="1"/>
  </r>
  <r>
    <d v="2022-12-21T22:00:00"/>
    <s v="OKEX"/>
    <x v="9"/>
    <s v="O_F_BTC-USD_221230"/>
    <n v="2"/>
    <n v="200"/>
    <n v="16863.599999999999"/>
    <n v="1.3461899999999999E-4"/>
    <x v="0"/>
    <d v="2022-12-30T08:00:00"/>
    <n v="0"/>
    <x v="0"/>
    <n v="100"/>
    <n v="1.1859863848763016E-2"/>
    <n v="199.45366809638392"/>
    <n v="8"/>
    <s v="Dec 22"/>
    <s v="LONG"/>
    <s v="Dec 22 LONG"/>
    <n v="202"/>
    <n v="17032.235999999997"/>
    <n v="0.01"/>
    <n v="2"/>
    <x v="4"/>
    <s v="BTC Dec 22 LONG"/>
    <b v="1"/>
  </r>
  <r>
    <d v="2022-12-21T22:00:00"/>
    <s v="OKEX"/>
    <x v="9"/>
    <s v="O_F_ETH-USDT_221230"/>
    <n v="5960"/>
    <n v="724837.33080091805"/>
    <n v="1216.17"/>
    <n v="-8911.2798135720004"/>
    <x v="0"/>
    <d v="2022-12-30T08:00:00"/>
    <n v="1"/>
    <x v="1"/>
    <n v="0.1"/>
    <n v="596"/>
    <n v="723305.59557744162"/>
    <n v="8"/>
    <s v="Dec 22"/>
    <s v="LONG"/>
    <s v="Dec 22 LONG"/>
    <n v="732085.70410892728"/>
    <n v="1228.3317000000002"/>
    <n v="0.01"/>
    <n v="7248.3733080092352"/>
    <x v="4"/>
    <s v="ETH Dec 22 LONG"/>
    <b v="1"/>
  </r>
  <r>
    <d v="2022-12-21T22:00:00"/>
    <s v="OKEX"/>
    <x v="9"/>
    <s v="O_P_ETH-USDT-SWAP"/>
    <n v="-5960"/>
    <n v="-724092.33078981598"/>
    <n v="1214.92"/>
    <n v="4590.4307447789997"/>
    <x v="1"/>
    <d v="2099-12-31T08:00:00"/>
    <n v="1"/>
    <x v="1"/>
    <n v="0.1"/>
    <n v="-596"/>
    <n v="-723305.59557744162"/>
    <n v="28133"/>
    <s v="PERP"/>
    <s v="SHORT"/>
    <s v="PERP SHORT"/>
    <n v="-724092.33078981598"/>
    <n v="1214.92"/>
    <n v="0"/>
    <n v="0"/>
    <x v="4"/>
    <s v="ETH PERP SHORT"/>
    <b v="1"/>
  </r>
  <r>
    <d v="2022-12-21T22:00:00"/>
    <s v="OKEX"/>
    <x v="10"/>
    <s v="O_P_AXS-USDT-SWAP"/>
    <n v="17440"/>
    <n v="11911.520177495"/>
    <n v="6.83"/>
    <n v="-19622.490061801"/>
    <x v="1"/>
    <d v="2099-12-31T08:00:00"/>
    <n v="1"/>
    <x v="2"/>
    <n v="0.1"/>
    <n v="1744"/>
    <n v="11911.52"/>
    <n v="28133"/>
    <s v="PERP"/>
    <s v="LONG"/>
    <s v="PERP LONG"/>
    <n v="11911.520177495"/>
    <n v="6.83"/>
    <n v="0"/>
    <n v="0"/>
    <x v="4"/>
    <s v="AXS PERP LONG"/>
    <b v="1"/>
  </r>
  <r>
    <d v="2022-12-21T22:00:00"/>
    <s v="ED&amp;F"/>
    <x v="11"/>
    <s v="ETHZ2"/>
    <n v="821"/>
    <n v="49567875"/>
    <n v="1207.5"/>
    <n v="0"/>
    <x v="2"/>
    <d v="2022-12-30T00:00:00"/>
    <n v="1"/>
    <x v="1"/>
    <n v="50"/>
    <n v="41050"/>
    <n v="49818279.695392579"/>
    <n v="8"/>
    <s v="CME Dec 22"/>
    <s v="LONG"/>
    <s v="CME Dec 22 LONG"/>
    <n v="50063553.75"/>
    <n v="1219.575"/>
    <n v="0.01"/>
    <n v="495678.75"/>
    <x v="5"/>
    <s v="ETH CME Dec 22 LONG"/>
    <b v="1"/>
  </r>
  <r>
    <d v="2022-12-21T22:00:00"/>
    <s v="ED&amp;F"/>
    <x v="11"/>
    <s v="BTCZ2"/>
    <n v="734"/>
    <n v="61417450"/>
    <n v="16735"/>
    <n v="0"/>
    <x v="2"/>
    <d v="2022-12-30T00:00:00"/>
    <n v="1"/>
    <x v="0"/>
    <n v="5"/>
    <n v="3670"/>
    <n v="61720351.198641799"/>
    <n v="8"/>
    <s v="CME Dec 22"/>
    <s v="LONG"/>
    <s v="CME Dec 22 LONG"/>
    <n v="62031624.5"/>
    <n v="16902.349999999999"/>
    <n v="0.01"/>
    <n v="614174.5"/>
    <x v="5"/>
    <s v="BTC CME Dec 22 LONG"/>
    <b v="1"/>
  </r>
  <r>
    <d v="2022-12-22T00:00:00"/>
    <s v="BINANCE"/>
    <x v="12"/>
    <s v="AAVE"/>
    <n v="588.79111995999995"/>
    <n v="32969.127003973903"/>
    <n v="55.994606383013597"/>
    <n v="0"/>
    <x v="3"/>
    <d v="2022-12-22T00:00:00"/>
    <n v="1"/>
    <x v="13"/>
    <n v="1"/>
    <n v="588.79111995999995"/>
    <n v="32969.127003973939"/>
    <n v="0"/>
    <s v="COIN"/>
    <s v="LONG"/>
    <s v="COIN LONG"/>
    <n v="32969.127003973903"/>
    <n v="55.994606383013597"/>
    <n v="0"/>
    <n v="0"/>
    <x v="0"/>
    <s v="AAVE COIN LONG"/>
    <b v="1"/>
  </r>
  <r>
    <d v="2022-12-22T00:00:00"/>
    <s v="BINANCE"/>
    <x v="12"/>
    <s v="ADA"/>
    <n v="282494.31025400001"/>
    <n v="71514.569922760798"/>
    <n v="0.25315401877814703"/>
    <n v="0"/>
    <x v="3"/>
    <d v="2022-12-22T00:00:00"/>
    <n v="1"/>
    <x v="14"/>
    <n v="1"/>
    <n v="282494.31025400001"/>
    <n v="71514.569922760813"/>
    <n v="0"/>
    <s v="COIN"/>
    <s v="LONG"/>
    <s v="COIN LONG"/>
    <n v="71514.569922760798"/>
    <n v="0.25315401877814703"/>
    <n v="0"/>
    <n v="0"/>
    <x v="0"/>
    <s v="ADA COIN LONG"/>
    <b v="1"/>
  </r>
  <r>
    <d v="2022-12-22T00:00:00"/>
    <s v="BINANCE"/>
    <x v="12"/>
    <s v="ALGO"/>
    <n v="208622.48856999999"/>
    <n v="35858.271266039097"/>
    <n v="0.17188114048408301"/>
    <n v="0"/>
    <x v="3"/>
    <d v="2022-12-22T00:00:00"/>
    <n v="1"/>
    <x v="15"/>
    <n v="1"/>
    <n v="208622.48856999999"/>
    <n v="35858.27126603917"/>
    <n v="0"/>
    <s v="COIN"/>
    <s v="LONG"/>
    <s v="COIN LONG"/>
    <n v="35858.271266039097"/>
    <n v="0.17188114048408301"/>
    <n v="0"/>
    <n v="0"/>
    <x v="0"/>
    <s v="ALGO COIN LONG"/>
    <b v="1"/>
  </r>
  <r>
    <d v="2022-12-22T00:00:00"/>
    <s v="BINANCE"/>
    <x v="12"/>
    <s v="ATOM"/>
    <n v="4.2548999999999998E-3"/>
    <n v="3.76412788634021E-2"/>
    <n v="8.8465719202336501"/>
    <n v="0"/>
    <x v="3"/>
    <d v="2022-12-22T00:00:00"/>
    <n v="1"/>
    <x v="11"/>
    <n v="1"/>
    <n v="4.2548999999999998E-3"/>
    <n v="3.7641278863402156E-2"/>
    <n v="0"/>
    <s v="COIN"/>
    <s v="LONG"/>
    <s v="COIN LONG"/>
    <n v="3.76412788634021E-2"/>
    <n v="8.8465719202336501"/>
    <n v="0"/>
    <n v="0"/>
    <x v="0"/>
    <s v="ATOM COIN LONG"/>
    <b v="1"/>
  </r>
  <r>
    <d v="2022-12-22T00:00:00"/>
    <s v="BINANCE"/>
    <x v="12"/>
    <s v="AVAX"/>
    <n v="2447.9403420200001"/>
    <n v="28632.179833840899"/>
    <n v="11.6964369361281"/>
    <n v="0"/>
    <x v="3"/>
    <d v="2022-12-22T00:00:00"/>
    <n v="1"/>
    <x v="16"/>
    <n v="1"/>
    <n v="2447.9403420200001"/>
    <n v="28632.179833840783"/>
    <n v="0"/>
    <s v="COIN"/>
    <s v="LONG"/>
    <s v="COIN LONG"/>
    <n v="28632.179833840899"/>
    <n v="11.6964369361281"/>
    <n v="0"/>
    <n v="0"/>
    <x v="0"/>
    <s v="AVAX COIN LONG"/>
    <b v="1"/>
  </r>
  <r>
    <d v="2022-12-22T00:00:00"/>
    <s v="BINANCE"/>
    <x v="12"/>
    <s v="BAT"/>
    <n v="99032.628395320004"/>
    <n v="18611.952507588099"/>
    <n v="0.18793757985794901"/>
    <n v="0"/>
    <x v="3"/>
    <d v="2022-12-22T00:00:00"/>
    <n v="1"/>
    <x v="17"/>
    <n v="1"/>
    <n v="99032.628395320004"/>
    <n v="18611.952507588041"/>
    <n v="0"/>
    <s v="COIN"/>
    <s v="LONG"/>
    <s v="COIN LONG"/>
    <n v="18611.952507588099"/>
    <n v="0.18793757985794901"/>
    <n v="0"/>
    <n v="0"/>
    <x v="0"/>
    <s v="BAT COIN LONG"/>
    <b v="1"/>
  </r>
  <r>
    <d v="2022-12-22T00:00:00"/>
    <s v="BINANCE"/>
    <x v="12"/>
    <s v="BCH"/>
    <n v="259.06827763000001"/>
    <n v="25995.023934365199"/>
    <n v="100.34043601235901"/>
    <n v="0"/>
    <x v="3"/>
    <d v="2022-12-22T00:00:00"/>
    <n v="1"/>
    <x v="4"/>
    <n v="1"/>
    <n v="259.06827763000001"/>
    <n v="25995.023934365076"/>
    <n v="0"/>
    <s v="COIN"/>
    <s v="LONG"/>
    <s v="COIN LONG"/>
    <n v="25995.023934365199"/>
    <n v="100.34043601235901"/>
    <n v="0"/>
    <n v="0"/>
    <x v="0"/>
    <s v="BCH COIN LONG"/>
    <b v="1"/>
  </r>
  <r>
    <d v="2022-12-22T00:00:00"/>
    <s v="BINANCE"/>
    <x v="12"/>
    <s v="BNB"/>
    <n v="129.48463710999999"/>
    <n v="31859.303723424899"/>
    <n v="246.046978502629"/>
    <n v="0"/>
    <x v="3"/>
    <d v="2022-12-22T00:00:00"/>
    <n v="1"/>
    <x v="18"/>
    <n v="1"/>
    <n v="129.48463710999999"/>
    <n v="31859.303723424888"/>
    <n v="0"/>
    <s v="COIN"/>
    <s v="LONG"/>
    <s v="COIN LONG"/>
    <n v="31859.303723424899"/>
    <n v="246.046978502629"/>
    <n v="0"/>
    <n v="0"/>
    <x v="0"/>
    <s v="BNB COIN LONG"/>
    <b v="1"/>
  </r>
  <r>
    <d v="2022-12-22T00:00:00"/>
    <s v="BINANCE"/>
    <x v="12"/>
    <s v="BTC"/>
    <n v="12.47446197"/>
    <n v="209789.693134197"/>
    <n v="16817.534386550898"/>
    <n v="0"/>
    <x v="3"/>
    <d v="2022-12-22T00:00:00"/>
    <n v="1"/>
    <x v="0"/>
    <n v="1"/>
    <n v="12.47446197"/>
    <n v="209789.69313419645"/>
    <n v="0"/>
    <s v="COIN"/>
    <s v="LONG"/>
    <s v="COIN LONG"/>
    <n v="209789.693134197"/>
    <n v="16817.534386550898"/>
    <n v="0"/>
    <n v="0"/>
    <x v="0"/>
    <s v="BTC COIN LONG"/>
    <b v="1"/>
  </r>
  <r>
    <d v="2022-12-22T00:00:00"/>
    <s v="BINANCE"/>
    <x v="12"/>
    <s v="BUSD"/>
    <n v="96976.121548929994"/>
    <n v="96938.598242387496"/>
    <n v="0.99961306653696602"/>
    <n v="0"/>
    <x v="3"/>
    <d v="2022-12-22T00:00:00"/>
    <n v="1"/>
    <x v="19"/>
    <n v="1"/>
    <n v="96976.121548929994"/>
    <n v="96938.598242387467"/>
    <n v="0"/>
    <s v="COIN"/>
    <s v="LONG"/>
    <s v="COIN LONG"/>
    <n v="96938.598242387496"/>
    <n v="0.99961306653696602"/>
    <n v="0"/>
    <n v="0"/>
    <x v="0"/>
    <s v="BUSD COIN LONG"/>
    <b v="1"/>
  </r>
  <r>
    <d v="2022-12-22T00:00:00"/>
    <s v="BINANCE"/>
    <x v="12"/>
    <s v="COMP"/>
    <n v="37.144183460000001"/>
    <n v="1231.49866621564"/>
    <n v="33.154549420687097"/>
    <n v="0"/>
    <x v="3"/>
    <d v="2022-12-22T00:00:00"/>
    <n v="1"/>
    <x v="9"/>
    <n v="1"/>
    <n v="37.144183460000001"/>
    <n v="1231.4986662156382"/>
    <n v="0"/>
    <s v="COIN"/>
    <s v="LONG"/>
    <s v="COIN LONG"/>
    <n v="1231.49866621564"/>
    <n v="33.154549420687097"/>
    <n v="0"/>
    <n v="0"/>
    <x v="0"/>
    <s v="COMP COIN LONG"/>
    <b v="1"/>
  </r>
  <r>
    <d v="2022-12-22T00:00:00"/>
    <s v="BINANCE"/>
    <x v="12"/>
    <s v="CRV"/>
    <n v="1.5637979999999999E-2"/>
    <n v="8.0785694442599507E-3"/>
    <n v="0.51659929506623903"/>
    <n v="0"/>
    <x v="3"/>
    <d v="2022-12-22T00:00:00"/>
    <n v="1"/>
    <x v="20"/>
    <n v="1"/>
    <n v="1.5637979999999999E-2"/>
    <n v="8.0785694442599438E-3"/>
    <n v="0"/>
    <s v="COIN"/>
    <s v="LONG"/>
    <s v="COIN LONG"/>
    <n v="8.0785694442599507E-3"/>
    <n v="0.51659929506623903"/>
    <n v="0"/>
    <n v="0"/>
    <x v="0"/>
    <s v="CRV COIN LONG"/>
    <b v="1"/>
  </r>
  <r>
    <d v="2022-12-22T00:00:00"/>
    <s v="BINANCE"/>
    <x v="12"/>
    <s v="DASH"/>
    <n v="892.52768000000003"/>
    <n v="37950.147259475401"/>
    <n v="42.519854688960997"/>
    <n v="0"/>
    <x v="3"/>
    <d v="2022-12-22T00:00:00"/>
    <n v="1"/>
    <x v="21"/>
    <n v="1"/>
    <n v="892.52768000000003"/>
    <n v="37950.147259475481"/>
    <n v="0"/>
    <s v="COIN"/>
    <s v="LONG"/>
    <s v="COIN LONG"/>
    <n v="37950.147259475401"/>
    <n v="42.519854688960997"/>
    <n v="0"/>
    <n v="0"/>
    <x v="0"/>
    <s v="DASH COIN LONG"/>
    <b v="1"/>
  </r>
  <r>
    <d v="2022-12-22T00:00:00"/>
    <s v="BINANCE"/>
    <x v="12"/>
    <s v="DOGE"/>
    <n v="430798.01984883001"/>
    <n v="31740.8136189785"/>
    <n v="7.3679107508703601E-2"/>
    <n v="0"/>
    <x v="3"/>
    <d v="2022-12-22T00:00:00"/>
    <n v="1"/>
    <x v="22"/>
    <n v="1"/>
    <n v="430798.01984883001"/>
    <n v="31740.813618978573"/>
    <n v="0"/>
    <s v="COIN"/>
    <s v="LONG"/>
    <s v="COIN LONG"/>
    <n v="31740.8136189785"/>
    <n v="7.3679107508703601E-2"/>
    <n v="0"/>
    <n v="0"/>
    <x v="0"/>
    <s v="DOGE COIN LONG"/>
    <b v="1"/>
  </r>
  <r>
    <d v="2022-12-22T00:00:00"/>
    <s v="BINANCE"/>
    <x v="12"/>
    <s v="DOT"/>
    <n v="4176.4189155900003"/>
    <n v="18710.969289914199"/>
    <n v="4.4801466682541804"/>
    <n v="0"/>
    <x v="3"/>
    <d v="2022-12-22T00:00:00"/>
    <n v="1"/>
    <x v="23"/>
    <n v="1"/>
    <n v="4176.4189155900003"/>
    <n v="18710.969289914276"/>
    <n v="0"/>
    <s v="COIN"/>
    <s v="LONG"/>
    <s v="COIN LONG"/>
    <n v="18710.969289914199"/>
    <n v="4.4801466682541804"/>
    <n v="0"/>
    <n v="0"/>
    <x v="0"/>
    <s v="DOT COIN LONG"/>
    <b v="1"/>
  </r>
  <r>
    <d v="2022-12-22T00:00:00"/>
    <s v="BINANCE"/>
    <x v="12"/>
    <s v="ENJ"/>
    <n v="43089.324699999997"/>
    <n v="11177.5133551158"/>
    <n v="0.25940330773194598"/>
    <n v="0"/>
    <x v="3"/>
    <d v="2022-12-22T00:00:00"/>
    <n v="1"/>
    <x v="24"/>
    <n v="1"/>
    <n v="43089.324699999997"/>
    <n v="11177.51335511584"/>
    <n v="0"/>
    <s v="COIN"/>
    <s v="LONG"/>
    <s v="COIN LONG"/>
    <n v="11177.5133551158"/>
    <n v="0.25940330773194598"/>
    <n v="0"/>
    <n v="0"/>
    <x v="0"/>
    <s v="ENJ COIN LONG"/>
    <b v="1"/>
  </r>
  <r>
    <d v="2022-12-22T00:00:00"/>
    <s v="BINANCE"/>
    <x v="12"/>
    <s v="EOS"/>
    <n v="79109.898400000005"/>
    <n v="70245.691158184403"/>
    <n v="0.88795071892273303"/>
    <n v="0"/>
    <x v="3"/>
    <d v="2022-12-22T00:00:00"/>
    <n v="1"/>
    <x v="3"/>
    <n v="1"/>
    <n v="79109.898400000005"/>
    <n v="70245.691158184374"/>
    <n v="0"/>
    <s v="COIN"/>
    <s v="LONG"/>
    <s v="COIN LONG"/>
    <n v="70245.691158184403"/>
    <n v="0.88795071892273303"/>
    <n v="0"/>
    <n v="0"/>
    <x v="0"/>
    <s v="EOS COIN LONG"/>
    <b v="1"/>
  </r>
  <r>
    <d v="2022-12-22T00:00:00"/>
    <s v="BINANCE"/>
    <x v="12"/>
    <s v="ETH"/>
    <n v="156.5093"/>
    <n v="189939.68531863799"/>
    <n v="1213.5999925796"/>
    <n v="0"/>
    <x v="3"/>
    <d v="2022-12-22T00:00:00"/>
    <n v="1"/>
    <x v="1"/>
    <n v="1"/>
    <n v="156.5093"/>
    <n v="189939.6853186384"/>
    <n v="0"/>
    <s v="COIN"/>
    <s v="LONG"/>
    <s v="COIN LONG"/>
    <n v="189939.68531863799"/>
    <n v="1213.5999925796"/>
    <n v="0"/>
    <n v="0"/>
    <x v="0"/>
    <s v="ETH COIN LONG"/>
    <b v="1"/>
  </r>
  <r>
    <d v="2022-12-22T00:00:00"/>
    <s v="BINANCE"/>
    <x v="12"/>
    <s v="EUR"/>
    <n v="797446.80671859998"/>
    <n v="845680.37682297395"/>
    <n v="1.0604849999999999"/>
    <n v="0"/>
    <x v="3"/>
    <d v="2022-12-22T00:00:00"/>
    <n v="1"/>
    <x v="25"/>
    <n v="1"/>
    <n v="797446.80671859998"/>
    <n v="845680.37682297442"/>
    <n v="0"/>
    <s v="CASH"/>
    <s v="LONG"/>
    <s v="CASH LONG"/>
    <n v="845680.37682297395"/>
    <n v="1.0604849999999999"/>
    <n v="0"/>
    <n v="0"/>
    <x v="0"/>
    <s v="EUR CASH LONG"/>
    <b v="1"/>
  </r>
  <r>
    <d v="2022-12-22T00:00:00"/>
    <s v="BINANCE"/>
    <x v="12"/>
    <s v="FIL"/>
    <n v="0.19800000000000001"/>
    <n v="0.58891170441999996"/>
    <n v="2.9743015374747501"/>
    <n v="0"/>
    <x v="3"/>
    <d v="2022-12-22T00:00:00"/>
    <n v="1"/>
    <x v="26"/>
    <n v="1"/>
    <n v="0.19800000000000001"/>
    <n v="0.58891170442000051"/>
    <n v="0"/>
    <s v="COIN"/>
    <s v="LONG"/>
    <s v="COIN LONG"/>
    <n v="0.58891170441999996"/>
    <n v="2.9743015374747501"/>
    <n v="0"/>
    <n v="0"/>
    <x v="0"/>
    <s v="FIL COIN LONG"/>
    <b v="1"/>
  </r>
  <r>
    <d v="2022-12-22T00:00:00"/>
    <s v="BINANCE"/>
    <x v="12"/>
    <s v="FTM"/>
    <n v="266862.84056619002"/>
    <n v="53895.789346936697"/>
    <n v="0.20196063727939201"/>
    <n v="0"/>
    <x v="3"/>
    <d v="2022-12-22T00:00:00"/>
    <n v="1"/>
    <x v="27"/>
    <n v="1"/>
    <n v="266862.84056619002"/>
    <n v="53895.789346936523"/>
    <n v="0"/>
    <s v="COIN"/>
    <s v="LONG"/>
    <s v="COIN LONG"/>
    <n v="53895.789346936697"/>
    <n v="0.20196063727939201"/>
    <n v="0"/>
    <n v="0"/>
    <x v="0"/>
    <s v="FTM COIN LONG"/>
    <b v="1"/>
  </r>
  <r>
    <d v="2022-12-22T00:00:00"/>
    <s v="BINANCE"/>
    <x v="12"/>
    <s v="GRT"/>
    <n v="176725.44699999999"/>
    <n v="10125.990130067599"/>
    <n v="5.7297861185026E-2"/>
    <n v="0"/>
    <x v="3"/>
    <d v="2022-12-22T00:00:00"/>
    <n v="1"/>
    <x v="28"/>
    <n v="1"/>
    <n v="176725.44699999999"/>
    <n v="10125.990130067668"/>
    <n v="0"/>
    <s v="COIN"/>
    <s v="LONG"/>
    <s v="COIN LONG"/>
    <n v="10125.990130067599"/>
    <n v="5.7297861185026E-2"/>
    <n v="0"/>
    <n v="0"/>
    <x v="0"/>
    <s v="GRT COIN LONG"/>
    <b v="1"/>
  </r>
  <r>
    <d v="2022-12-22T00:00:00"/>
    <s v="BINANCE"/>
    <x v="12"/>
    <s v="HBAR"/>
    <n v="462355.60076897999"/>
    <n v="19718.731182754698"/>
    <n v="4.26484099034573E-2"/>
    <n v="0"/>
    <x v="3"/>
    <d v="2022-12-22T00:00:00"/>
    <n v="1"/>
    <x v="29"/>
    <n v="1"/>
    <n v="462355.60076897999"/>
    <n v="19718.731182754716"/>
    <n v="0"/>
    <s v="COIN"/>
    <s v="LONG"/>
    <s v="COIN LONG"/>
    <n v="19718.731182754698"/>
    <n v="4.26484099034573E-2"/>
    <n v="0"/>
    <n v="0"/>
    <x v="0"/>
    <s v="HBAR COIN LONG"/>
    <b v="1"/>
  </r>
  <r>
    <d v="2022-12-22T00:00:00"/>
    <s v="BINANCE"/>
    <x v="12"/>
    <s v="LINK"/>
    <n v="9846.5098820799994"/>
    <n v="58894.507350933003"/>
    <n v="5.9812571211772401"/>
    <n v="0"/>
    <x v="3"/>
    <d v="2022-12-22T00:00:00"/>
    <n v="1"/>
    <x v="10"/>
    <n v="1"/>
    <n v="9846.5098820799994"/>
    <n v="58894.507350933061"/>
    <n v="0"/>
    <s v="COIN"/>
    <s v="LONG"/>
    <s v="COIN LONG"/>
    <n v="58894.507350933003"/>
    <n v="5.9812571211772401"/>
    <n v="0"/>
    <n v="0"/>
    <x v="0"/>
    <s v="LINK COIN LONG"/>
    <b v="1"/>
  </r>
  <r>
    <d v="2022-12-22T00:00:00"/>
    <s v="BINANCE"/>
    <x v="12"/>
    <s v="LTC"/>
    <n v="652.80519645000004"/>
    <n v="42687.845480629403"/>
    <n v="65.391399628509205"/>
    <n v="0"/>
    <x v="3"/>
    <d v="2022-12-22T00:00:00"/>
    <n v="1"/>
    <x v="6"/>
    <n v="1"/>
    <n v="652.80519645000004"/>
    <n v="42687.84548062941"/>
    <n v="0"/>
    <s v="COIN"/>
    <s v="LONG"/>
    <s v="COIN LONG"/>
    <n v="42687.845480629403"/>
    <n v="65.391399628509205"/>
    <n v="0"/>
    <n v="0"/>
    <x v="0"/>
    <s v="LTC COIN LONG"/>
    <b v="1"/>
  </r>
  <r>
    <d v="2022-12-22T00:00:00"/>
    <s v="BINANCE"/>
    <x v="12"/>
    <s v="MANA"/>
    <n v="48661.243241700002"/>
    <n v="14888.648682876699"/>
    <n v="0.30596523415821703"/>
    <n v="0"/>
    <x v="3"/>
    <d v="2022-12-22T00:00:00"/>
    <n v="1"/>
    <x v="30"/>
    <n v="1"/>
    <n v="48661.243241700002"/>
    <n v="14888.648682876697"/>
    <n v="0"/>
    <s v="COIN"/>
    <s v="LONG"/>
    <s v="COIN LONG"/>
    <n v="14888.648682876699"/>
    <n v="0.30596523415821703"/>
    <n v="0"/>
    <n v="0"/>
    <x v="0"/>
    <s v="MANA COIN LONG"/>
    <b v="1"/>
  </r>
  <r>
    <d v="2022-12-22T00:00:00"/>
    <s v="BINANCE"/>
    <x v="12"/>
    <s v="MATIC"/>
    <n v="47331.326028060001"/>
    <n v="37533.549707539401"/>
    <n v="0.79299594702434395"/>
    <n v="0"/>
    <x v="3"/>
    <d v="2022-12-22T00:00:00"/>
    <n v="1"/>
    <x v="31"/>
    <n v="1"/>
    <n v="47331.326028060001"/>
    <n v="37533.549707539423"/>
    <n v="0"/>
    <s v="COIN"/>
    <s v="LONG"/>
    <s v="COIN LONG"/>
    <n v="37533.549707539401"/>
    <n v="0.79299594702434395"/>
    <n v="0"/>
    <n v="0"/>
    <x v="0"/>
    <s v="MATIC COIN LONG"/>
    <b v="1"/>
  </r>
  <r>
    <d v="2022-12-22T00:00:00"/>
    <s v="BINANCE"/>
    <x v="12"/>
    <s v="MKR"/>
    <n v="10.85320127"/>
    <n v="5982.2429639982802"/>
    <n v="551.19616923848696"/>
    <n v="0"/>
    <x v="3"/>
    <d v="2022-12-22T00:00:00"/>
    <n v="1"/>
    <x v="32"/>
    <n v="1"/>
    <n v="10.85320127"/>
    <n v="5982.2429639982811"/>
    <n v="0"/>
    <s v="COIN"/>
    <s v="LONG"/>
    <s v="COIN LONG"/>
    <n v="5982.2429639982802"/>
    <n v="551.19616923848696"/>
    <n v="0"/>
    <n v="0"/>
    <x v="0"/>
    <s v="MKR COIN LONG"/>
    <b v="1"/>
  </r>
  <r>
    <d v="2022-12-22T00:00:00"/>
    <s v="BINANCE"/>
    <x v="12"/>
    <s v="OMG"/>
    <n v="24404.849819300001"/>
    <n v="24537.665585953"/>
    <n v="1.0054421874191499"/>
    <n v="0"/>
    <x v="3"/>
    <d v="2022-12-22T00:00:00"/>
    <n v="1"/>
    <x v="7"/>
    <n v="1"/>
    <n v="24404.849819300001"/>
    <n v="24537.66558595284"/>
    <n v="0"/>
    <s v="COIN"/>
    <s v="LONG"/>
    <s v="COIN LONG"/>
    <n v="24537.665585953"/>
    <n v="1.0054421874191499"/>
    <n v="0"/>
    <n v="0"/>
    <x v="0"/>
    <s v="OMG COIN LONG"/>
    <b v="1"/>
  </r>
  <r>
    <d v="2022-12-22T00:00:00"/>
    <s v="BINANCE"/>
    <x v="12"/>
    <s v="OXT"/>
    <n v="494904.75941951998"/>
    <n v="35449.8343453087"/>
    <n v="7.1629608870377906E-2"/>
    <n v="0"/>
    <x v="3"/>
    <d v="2022-12-22T00:00:00"/>
    <n v="1"/>
    <x v="33"/>
    <n v="1"/>
    <n v="494904.75941951998"/>
    <n v="35449.834345308693"/>
    <n v="0"/>
    <s v="COIN"/>
    <s v="LONG"/>
    <s v="COIN LONG"/>
    <n v="35449.8343453087"/>
    <n v="7.1629608870377906E-2"/>
    <n v="0"/>
    <n v="0"/>
    <x v="0"/>
    <s v="OXT COIN LONG"/>
    <b v="1"/>
  </r>
  <r>
    <d v="2022-12-22T00:00:00"/>
    <s v="BINANCE"/>
    <x v="12"/>
    <s v="SHIB"/>
    <n v="4109003323.0799999"/>
    <n v="33888.354805595198"/>
    <n v="8.2473417860839007E-6"/>
    <n v="0"/>
    <x v="3"/>
    <d v="2022-12-22T00:00:00"/>
    <n v="1"/>
    <x v="12"/>
    <n v="1"/>
    <n v="4109003323.0799999"/>
    <n v="33888.354805595292"/>
    <n v="0"/>
    <s v="COIN"/>
    <s v="LONG"/>
    <s v="COIN LONG"/>
    <n v="33888.354805595198"/>
    <n v="8.2473417860839007E-6"/>
    <n v="0"/>
    <n v="0"/>
    <x v="0"/>
    <s v="SHIB COIN LONG"/>
    <b v="1"/>
  </r>
  <r>
    <d v="2022-12-22T00:00:00"/>
    <s v="BINANCE"/>
    <x v="12"/>
    <s v="SOL"/>
    <n v="5298.5608991500003"/>
    <n v="64266.165480284202"/>
    <n v="12.1289849646899"/>
    <n v="0"/>
    <x v="3"/>
    <d v="2022-12-22T00:00:00"/>
    <n v="1"/>
    <x v="34"/>
    <n v="1"/>
    <n v="5298.5608991500003"/>
    <n v="64266.165480284151"/>
    <n v="0"/>
    <s v="COIN"/>
    <s v="LONG"/>
    <s v="COIN LONG"/>
    <n v="64266.165480284202"/>
    <n v="12.1289849646899"/>
    <n v="0"/>
    <n v="0"/>
    <x v="0"/>
    <s v="SOL COIN LONG"/>
    <b v="1"/>
  </r>
  <r>
    <d v="2022-12-22T00:00:00"/>
    <s v="BINANCE"/>
    <x v="12"/>
    <s v="SUSHI"/>
    <n v="18852.062861040002"/>
    <n v="17562.300412924302"/>
    <n v="0.93158507598756701"/>
    <n v="0"/>
    <x v="3"/>
    <d v="2022-12-22T00:00:00"/>
    <n v="1"/>
    <x v="35"/>
    <n v="1"/>
    <n v="18852.062861040002"/>
    <n v="17562.300412924342"/>
    <n v="0"/>
    <s v="COIN"/>
    <s v="LONG"/>
    <s v="COIN LONG"/>
    <n v="17562.300412924302"/>
    <n v="0.93158507598756701"/>
    <n v="0"/>
    <n v="0"/>
    <x v="0"/>
    <s v="SUSHI COIN LONG"/>
    <b v="1"/>
  </r>
  <r>
    <d v="2022-12-22T00:00:00"/>
    <s v="BINANCE"/>
    <x v="12"/>
    <s v="UNI"/>
    <n v="5603.8969129300003"/>
    <n v="29768.483484868899"/>
    <n v="5.3121040496272203"/>
    <n v="0"/>
    <x v="3"/>
    <d v="2022-12-22T00:00:00"/>
    <n v="1"/>
    <x v="36"/>
    <n v="1"/>
    <n v="5603.8969129300003"/>
    <n v="29768.483484868932"/>
    <n v="0"/>
    <s v="COIN"/>
    <s v="LONG"/>
    <s v="COIN LONG"/>
    <n v="29768.483484868899"/>
    <n v="5.3121040496272203"/>
    <n v="0"/>
    <n v="0"/>
    <x v="0"/>
    <s v="UNI COIN LONG"/>
    <b v="1"/>
  </r>
  <r>
    <d v="2022-12-22T00:00:00"/>
    <s v="BINANCE"/>
    <x v="12"/>
    <s v="USDT"/>
    <n v="1078013.87937356"/>
    <n v="1078096.8276038601"/>
    <n v="1.0000769454196099"/>
    <n v="0"/>
    <x v="3"/>
    <d v="2022-12-22T00:00:00"/>
    <n v="1"/>
    <x v="37"/>
    <n v="1"/>
    <n v="1078013.87937356"/>
    <n v="1078096.8276038535"/>
    <n v="0"/>
    <s v="COIN"/>
    <s v="LONG"/>
    <s v="COIN LONG"/>
    <n v="1078096.8276038601"/>
    <n v="1.0000769454196099"/>
    <n v="0"/>
    <n v="0"/>
    <x v="0"/>
    <s v="USDT COIN LONG"/>
    <b v="1"/>
  </r>
  <r>
    <d v="2022-12-22T00:00:00"/>
    <s v="BINANCE"/>
    <x v="12"/>
    <s v="XLM"/>
    <n v="880786.08497730002"/>
    <n v="66139.947587080896"/>
    <n v="7.5091953330286204E-2"/>
    <n v="0"/>
    <x v="3"/>
    <d v="2022-12-22T00:00:00"/>
    <n v="1"/>
    <x v="38"/>
    <n v="1"/>
    <n v="880786.08497730002"/>
    <n v="66139.947587080911"/>
    <n v="0"/>
    <s v="COIN"/>
    <s v="LONG"/>
    <s v="COIN LONG"/>
    <n v="66139.947587080896"/>
    <n v="7.5091953330286204E-2"/>
    <n v="0"/>
    <n v="0"/>
    <x v="0"/>
    <s v="XLM COIN LONG"/>
    <b v="1"/>
  </r>
  <r>
    <d v="2022-12-22T00:00:00"/>
    <s v="BINANCE"/>
    <x v="12"/>
    <s v="XTZ"/>
    <n v="60084.043149999998"/>
    <n v="48422.427018062597"/>
    <n v="0.80591159448401095"/>
    <n v="0"/>
    <x v="3"/>
    <d v="2022-12-22T00:00:00"/>
    <n v="1"/>
    <x v="39"/>
    <n v="1"/>
    <n v="60084.043149999998"/>
    <n v="48422.427018062612"/>
    <n v="0"/>
    <s v="COIN"/>
    <s v="LONG"/>
    <s v="COIN LONG"/>
    <n v="48422.427018062597"/>
    <n v="0.80591159448401095"/>
    <n v="0"/>
    <n v="0"/>
    <x v="0"/>
    <s v="XTZ COIN LONG"/>
    <b v="1"/>
  </r>
  <r>
    <d v="2022-12-22T00:00:00"/>
    <s v="BINANCE"/>
    <x v="12"/>
    <s v="YFI"/>
    <n v="0.2175"/>
    <n v="1208.60497790047"/>
    <n v="5556.8044960941497"/>
    <n v="0"/>
    <x v="3"/>
    <d v="2022-12-22T00:00:00"/>
    <n v="1"/>
    <x v="40"/>
    <n v="1"/>
    <n v="0.2175"/>
    <n v="1208.6049779004775"/>
    <n v="0"/>
    <s v="COIN"/>
    <s v="LONG"/>
    <s v="COIN LONG"/>
    <n v="1208.60497790047"/>
    <n v="5556.8044960941497"/>
    <n v="0"/>
    <n v="0"/>
    <x v="0"/>
    <s v="YFI COIN LONG"/>
    <b v="1"/>
  </r>
  <r>
    <d v="2022-12-22T00:00:00"/>
    <s v="BINANCE"/>
    <x v="0"/>
    <s v="BTC"/>
    <n v="800.94752805999997"/>
    <n v="13469962.594972"/>
    <n v="16817.534386550898"/>
    <n v="0"/>
    <x v="3"/>
    <d v="2022-12-22T00:00:00"/>
    <n v="1"/>
    <x v="0"/>
    <n v="1"/>
    <n v="800.94752805999997"/>
    <n v="13469962.59497199"/>
    <n v="0"/>
    <s v="COIN"/>
    <s v="LONG"/>
    <s v="COIN LONG"/>
    <n v="13469962.594972"/>
    <n v="16817.534386550898"/>
    <n v="0"/>
    <n v="0"/>
    <x v="0"/>
    <s v="BTC COIN LONG"/>
    <b v="1"/>
  </r>
  <r>
    <d v="2022-12-22T00:00:00"/>
    <s v="BINANCE"/>
    <x v="0"/>
    <s v="BTC"/>
    <n v="42.384173820000001"/>
    <n v="712797.30066340405"/>
    <n v="16817.534386550898"/>
    <n v="0"/>
    <x v="4"/>
    <d v="2022-12-22T00:00:00"/>
    <n v="1"/>
    <x v="0"/>
    <n v="1"/>
    <n v="42.384173820000001"/>
    <n v="712797.30066340032"/>
    <n v="0"/>
    <s v="COIN"/>
    <s v="LONG"/>
    <s v="COIN LONG"/>
    <n v="712797.30066340405"/>
    <n v="16817.534386550898"/>
    <n v="0"/>
    <n v="0"/>
    <x v="0"/>
    <s v="BTC COIN LONG"/>
    <b v="1"/>
  </r>
  <r>
    <d v="2022-12-22T00:00:00"/>
    <s v="BINANCE"/>
    <x v="0"/>
    <s v="ETH"/>
    <n v="6819.9764083800001"/>
    <n v="8276723.3186030202"/>
    <n v="1213.5999925796"/>
    <n v="0"/>
    <x v="3"/>
    <d v="2022-12-22T00:00:00"/>
    <n v="1"/>
    <x v="1"/>
    <n v="1"/>
    <n v="6819.9764083800001"/>
    <n v="8276723.3186030146"/>
    <n v="0"/>
    <s v="COIN"/>
    <s v="LONG"/>
    <s v="COIN LONG"/>
    <n v="8276723.3186030202"/>
    <n v="1213.5999925796"/>
    <n v="0"/>
    <n v="0"/>
    <x v="0"/>
    <s v="ETH COIN LONG"/>
    <b v="1"/>
  </r>
  <r>
    <d v="2022-12-22T00:00:00"/>
    <s v="BINANCE"/>
    <x v="0"/>
    <s v="ETH"/>
    <n v="247.85015272999999"/>
    <n v="300790.94351398101"/>
    <n v="1213.5999925796"/>
    <n v="0"/>
    <x v="4"/>
    <d v="2022-12-22T00:00:00"/>
    <n v="1"/>
    <x v="1"/>
    <n v="1"/>
    <n v="247.85015272999999"/>
    <n v="300790.94351398072"/>
    <n v="0"/>
    <s v="COIN"/>
    <s v="LONG"/>
    <s v="COIN LONG"/>
    <n v="300790.94351398101"/>
    <n v="1213.5999925796"/>
    <n v="0"/>
    <n v="0"/>
    <x v="0"/>
    <s v="ETH COIN LONG"/>
    <b v="1"/>
  </r>
  <r>
    <d v="2022-12-22T00:00:00"/>
    <s v="BINANCE"/>
    <x v="13"/>
    <s v="BNB"/>
    <n v="2407.90595734"/>
    <n v="592457.98532198905"/>
    <n v="246.046978502629"/>
    <n v="0"/>
    <x v="3"/>
    <d v="2022-12-22T00:00:00"/>
    <n v="1"/>
    <x v="18"/>
    <n v="1"/>
    <n v="2407.90595734"/>
    <n v="592457.9853219873"/>
    <n v="0"/>
    <s v="COIN"/>
    <s v="LONG"/>
    <s v="COIN LONG"/>
    <n v="592457.98532198905"/>
    <n v="246.046978502629"/>
    <n v="0"/>
    <n v="0"/>
    <x v="0"/>
    <s v="BNB COIN LONG"/>
    <b v="1"/>
  </r>
  <r>
    <d v="2022-12-22T00:00:00"/>
    <s v="BINANCE"/>
    <x v="13"/>
    <s v="BTC"/>
    <n v="159.61342984999999"/>
    <n v="2684304.3450577101"/>
    <n v="16817.534386550898"/>
    <n v="0"/>
    <x v="3"/>
    <d v="2022-12-22T00:00:00"/>
    <n v="1"/>
    <x v="0"/>
    <n v="1"/>
    <n v="159.61342984999999"/>
    <n v="2684304.3450577045"/>
    <n v="0"/>
    <s v="COIN"/>
    <s v="LONG"/>
    <s v="COIN LONG"/>
    <n v="2684304.3450577101"/>
    <n v="16817.534386550898"/>
    <n v="0"/>
    <n v="0"/>
    <x v="0"/>
    <s v="BTC COIN LONG"/>
    <b v="1"/>
  </r>
  <r>
    <d v="2022-12-22T00:00:00"/>
    <s v="BINANCE"/>
    <x v="13"/>
    <s v="BUSD"/>
    <n v="2829073.3861803999"/>
    <n v="2827978.7230178998"/>
    <n v="0.99961306653696602"/>
    <n v="0"/>
    <x v="3"/>
    <d v="2022-12-22T00:00:00"/>
    <n v="1"/>
    <x v="19"/>
    <n v="1"/>
    <n v="2829073.3861803999"/>
    <n v="2827978.7230179077"/>
    <n v="0"/>
    <s v="COIN"/>
    <s v="LONG"/>
    <s v="COIN LONG"/>
    <n v="2827978.7230178998"/>
    <n v="0.99961306653696602"/>
    <n v="0"/>
    <n v="0"/>
    <x v="0"/>
    <s v="BUSD COIN LONG"/>
    <b v="1"/>
  </r>
  <r>
    <d v="2022-12-22T00:00:00"/>
    <s v="BINANCE"/>
    <x v="13"/>
    <s v="ETC"/>
    <n v="0.15721859999999999"/>
    <n v="2.6131535956142802"/>
    <n v="16.621147851553701"/>
    <n v="0"/>
    <x v="3"/>
    <d v="2022-12-22T00:00:00"/>
    <n v="1"/>
    <x v="5"/>
    <n v="1"/>
    <n v="0.15721859999999999"/>
    <n v="2.6131535956142806"/>
    <n v="0"/>
    <s v="COIN"/>
    <s v="LONG"/>
    <s v="COIN LONG"/>
    <n v="2.6131535956142802"/>
    <n v="16.621147851553701"/>
    <n v="0"/>
    <n v="0"/>
    <x v="0"/>
    <s v="ETC COIN LONG"/>
    <b v="1"/>
  </r>
  <r>
    <d v="2022-12-22T00:00:00"/>
    <s v="BINANCE"/>
    <x v="13"/>
    <s v="ETH"/>
    <n v="3422.5001000000002"/>
    <n v="4153546.0959636802"/>
    <n v="1213.5999925796"/>
    <n v="0"/>
    <x v="3"/>
    <d v="2022-12-22T00:00:00"/>
    <n v="1"/>
    <x v="1"/>
    <n v="1"/>
    <n v="3422.5001000000002"/>
    <n v="4153546.0959636807"/>
    <n v="0"/>
    <s v="COIN"/>
    <s v="LONG"/>
    <s v="COIN LONG"/>
    <n v="4153546.0959636802"/>
    <n v="1213.5999925796"/>
    <n v="0"/>
    <n v="0"/>
    <x v="0"/>
    <s v="ETH COIN LONG"/>
    <b v="1"/>
  </r>
  <r>
    <d v="2022-12-22T00:00:00"/>
    <s v="BINANCE"/>
    <x v="13"/>
    <s v="USDT"/>
    <n v="5594242.5322214896"/>
    <n v="5594672.9835605696"/>
    <n v="1.0000769454196099"/>
    <n v="0"/>
    <x v="3"/>
    <d v="2022-12-22T00:00:00"/>
    <n v="1"/>
    <x v="37"/>
    <n v="1"/>
    <n v="5594242.5322214896"/>
    <n v="5594672.9835605305"/>
    <n v="0"/>
    <s v="COIN"/>
    <s v="LONG"/>
    <s v="COIN LONG"/>
    <n v="5594672.9835605696"/>
    <n v="1.0000769454196099"/>
    <n v="0"/>
    <n v="0"/>
    <x v="0"/>
    <s v="USDT COIN LONG"/>
    <b v="1"/>
  </r>
  <r>
    <d v="2022-12-22T00:00:00"/>
    <s v="BINANCE"/>
    <x v="1"/>
    <s v="BNB"/>
    <n v="62.515992249999996"/>
    <n v="15381.8710012063"/>
    <n v="246.046978502629"/>
    <n v="0"/>
    <x v="3"/>
    <d v="2022-12-22T00:00:00"/>
    <n v="1"/>
    <x v="18"/>
    <n v="1"/>
    <n v="62.515992249999996"/>
    <n v="15381.871001206271"/>
    <n v="0"/>
    <s v="COIN"/>
    <s v="LONG"/>
    <s v="COIN LONG"/>
    <n v="15381.8710012063"/>
    <n v="246.046978502629"/>
    <n v="0"/>
    <n v="0"/>
    <x v="0"/>
    <s v="BNB COIN LONG"/>
    <b v="1"/>
  </r>
  <r>
    <d v="2022-12-22T00:00:00"/>
    <s v="BINANCE"/>
    <x v="1"/>
    <s v="BUSD"/>
    <n v="21976000"/>
    <n v="21967496.750216302"/>
    <n v="0.99961306653696602"/>
    <n v="0"/>
    <x v="3"/>
    <d v="2022-12-22T00:00:00"/>
    <n v="1"/>
    <x v="19"/>
    <n v="1"/>
    <n v="21976000"/>
    <n v="21967496.750216365"/>
    <n v="0"/>
    <s v="COIN"/>
    <s v="LONG"/>
    <s v="COIN LONG"/>
    <n v="21967496.750216302"/>
    <n v="0.99961306653696602"/>
    <n v="0"/>
    <n v="0"/>
    <x v="0"/>
    <s v="BUSD COIN LONG"/>
    <b v="1"/>
  </r>
  <r>
    <d v="2022-12-22T00:00:00"/>
    <s v="BINANCE"/>
    <x v="1"/>
    <s v="USDT"/>
    <n v="17689871.925314698"/>
    <n v="17691233.079932999"/>
    <n v="1.0000769454196099"/>
    <n v="0"/>
    <x v="3"/>
    <d v="2022-12-22T00:00:00"/>
    <n v="1"/>
    <x v="37"/>
    <n v="1"/>
    <n v="17689871.925314698"/>
    <n v="17691233.079932839"/>
    <n v="0"/>
    <s v="COIN"/>
    <s v="LONG"/>
    <s v="COIN LONG"/>
    <n v="17691233.079932999"/>
    <n v="1.0000769454196099"/>
    <n v="0"/>
    <n v="0"/>
    <x v="0"/>
    <s v="USDT COIN LONG"/>
    <b v="1"/>
  </r>
  <r>
    <d v="2022-12-22T00:00:00"/>
    <s v="BINANCE"/>
    <x v="1"/>
    <s v="USDT"/>
    <n v="31941.801154410001"/>
    <n v="31944.258929703199"/>
    <n v="1.0000769454196099"/>
    <n v="0"/>
    <x v="4"/>
    <d v="2022-12-22T00:00:00"/>
    <n v="1"/>
    <x v="37"/>
    <n v="1"/>
    <n v="31941.801154410001"/>
    <n v="31944.258929702923"/>
    <n v="0"/>
    <s v="COIN"/>
    <s v="LONG"/>
    <s v="COIN LONG"/>
    <n v="31944.258929703199"/>
    <n v="1.0000769454196099"/>
    <n v="0"/>
    <n v="0"/>
    <x v="0"/>
    <s v="USDT COIN LONG"/>
    <b v="1"/>
  </r>
  <r>
    <d v="2022-12-22T00:00:00"/>
    <s v="BINANCE"/>
    <x v="2"/>
    <s v="USDT"/>
    <n v="2025524.7787866399"/>
    <n v="2025680.63364069"/>
    <n v="1.0000769454196099"/>
    <n v="0"/>
    <x v="3"/>
    <d v="2022-12-22T00:00:00"/>
    <n v="1"/>
    <x v="37"/>
    <n v="1"/>
    <n v="2025524.7787866399"/>
    <n v="2025680.6336406739"/>
    <n v="0"/>
    <s v="COIN"/>
    <s v="LONG"/>
    <s v="COIN LONG"/>
    <n v="2025680.63364069"/>
    <n v="1.0000769454196099"/>
    <n v="0"/>
    <n v="0"/>
    <x v="0"/>
    <s v="USDT COIN LONG"/>
    <b v="1"/>
  </r>
  <r>
    <d v="2022-12-22T00:00:00"/>
    <s v="BINANCE"/>
    <x v="2"/>
    <s v="USDT"/>
    <n v="315.66230288000003"/>
    <n v="315.68659164835202"/>
    <n v="1.0000769454196099"/>
    <n v="0"/>
    <x v="4"/>
    <d v="2022-12-22T00:00:00"/>
    <n v="1"/>
    <x v="37"/>
    <n v="1"/>
    <n v="315.66230288000003"/>
    <n v="315.68659164835015"/>
    <n v="0"/>
    <s v="COIN"/>
    <s v="LONG"/>
    <s v="COIN LONG"/>
    <n v="315.68659164835202"/>
    <n v="1.0000769454196099"/>
    <n v="0"/>
    <n v="0"/>
    <x v="0"/>
    <s v="USDT COIN LONG"/>
    <b v="1"/>
  </r>
  <r>
    <d v="2022-12-22T00:00:00"/>
    <s v="BTFX"/>
    <x v="14"/>
    <s v="BTC"/>
    <n v="7.9996000000000008E-3"/>
    <n v="134.53354807865301"/>
    <n v="16817.534386550898"/>
    <n v="0"/>
    <x v="3"/>
    <d v="2022-12-22T00:00:00"/>
    <n v="1"/>
    <x v="0"/>
    <n v="1"/>
    <n v="7.9996000000000008E-3"/>
    <n v="134.53354807865259"/>
    <n v="0"/>
    <s v="COIN"/>
    <s v="LONG"/>
    <s v="COIN LONG"/>
    <n v="134.53354807865301"/>
    <n v="16817.534386550898"/>
    <n v="0"/>
    <n v="0"/>
    <x v="6"/>
    <s v="BTC COIN LONG"/>
    <b v="0"/>
  </r>
  <r>
    <d v="2022-12-22T00:00:00"/>
    <s v="BTFX"/>
    <x v="14"/>
    <s v="ETH"/>
    <n v="0.02"/>
    <n v="24.271999851592"/>
    <n v="1213.5999925796"/>
    <n v="0"/>
    <x v="3"/>
    <d v="2022-12-22T00:00:00"/>
    <n v="1"/>
    <x v="1"/>
    <n v="1"/>
    <n v="0.02"/>
    <n v="24.271999851592"/>
    <n v="0"/>
    <s v="COIN"/>
    <s v="LONG"/>
    <s v="COIN LONG"/>
    <n v="24.271999851592"/>
    <n v="1213.5999925796"/>
    <n v="0"/>
    <n v="0"/>
    <x v="6"/>
    <s v="ETH COIN LONG"/>
    <b v="0"/>
  </r>
  <r>
    <d v="2022-12-22T00:00:00"/>
    <s v="BTFX"/>
    <x v="14"/>
    <s v="ETHW"/>
    <n v="0.02"/>
    <n v="5.88200597017094E-2"/>
    <n v="2.9410029850854702"/>
    <n v="0"/>
    <x v="3"/>
    <d v="2022-12-22T00:00:00"/>
    <n v="1"/>
    <x v="41"/>
    <n v="1"/>
    <n v="0.02"/>
    <n v="5.8820059701709407E-2"/>
    <n v="0"/>
    <s v="COIN"/>
    <s v="LONG"/>
    <s v="COIN LONG"/>
    <n v="5.88200597017094E-2"/>
    <n v="2.9410029850854702"/>
    <n v="0"/>
    <n v="0"/>
    <x v="6"/>
    <s v="ETHW COIN LONG"/>
    <b v="0"/>
  </r>
  <r>
    <d v="2022-12-22T00:00:00"/>
    <s v="BTFX"/>
    <x v="14"/>
    <s v="USD"/>
    <n v="2.755467E-2"/>
    <n v="2.755467E-2"/>
    <n v="1"/>
    <n v="0"/>
    <x v="3"/>
    <d v="2022-12-22T00:00:00"/>
    <n v="1"/>
    <x v="42"/>
    <n v="1"/>
    <n v="2.755467E-2"/>
    <n v="2.755467E-2"/>
    <n v="0"/>
    <s v="CASH"/>
    <s v="LONG"/>
    <s v="CASH LONG"/>
    <n v="2.755467E-2"/>
    <n v="1"/>
    <n v="0"/>
    <n v="0"/>
    <x v="6"/>
    <s v="USD CASH LONG"/>
    <b v="0"/>
  </r>
  <r>
    <d v="2022-12-22T00:00:00"/>
    <s v="BTFX"/>
    <x v="14"/>
    <s v="UST"/>
    <n v="29.9885932"/>
    <n v="0"/>
    <n v="0"/>
    <n v="0"/>
    <x v="3"/>
    <d v="2022-12-22T00:00:00"/>
    <n v="1"/>
    <x v="43"/>
    <n v="1"/>
    <n v="29.9885932"/>
    <n v="0"/>
    <n v="0"/>
    <s v="COIN"/>
    <s v="SHORT"/>
    <s v="COIN SHORT"/>
    <n v="0"/>
    <n v="0"/>
    <n v="0"/>
    <n v="0"/>
    <x v="6"/>
    <s v="UST COIN SHORT"/>
    <b v="0"/>
  </r>
  <r>
    <d v="2022-12-21T00:06:54"/>
    <s v="BTSE"/>
    <x v="15"/>
    <s v="BCH"/>
    <n v="0.21932823000000001"/>
    <n v="22.007490228019101"/>
    <n v="100.34043601235901"/>
    <n v="0"/>
    <x v="3"/>
    <d v="2022-12-21T00:06:54"/>
    <n v="1"/>
    <x v="4"/>
    <n v="1"/>
    <n v="0.21932823000000001"/>
    <n v="22.007490228018959"/>
    <n v="0"/>
    <s v="COIN"/>
    <s v="LONG"/>
    <s v="COIN LONG"/>
    <n v="22.007490228019101"/>
    <n v="100.34043601235901"/>
    <n v="0"/>
    <n v="0"/>
    <x v="7"/>
    <s v="BCH COIN LONG"/>
    <b v="1"/>
  </r>
  <r>
    <d v="2022-12-21T00:06:57"/>
    <s v="BTSE"/>
    <x v="15"/>
    <s v="BTC"/>
    <n v="5.7861299999999997E-2"/>
    <n v="973.08440240054199"/>
    <n v="16817.534386550898"/>
    <n v="0"/>
    <x v="3"/>
    <d v="2022-12-21T00:06:57"/>
    <n v="1"/>
    <x v="0"/>
    <n v="1"/>
    <n v="5.7861299999999997E-2"/>
    <n v="973.08440240053744"/>
    <n v="0"/>
    <s v="COIN"/>
    <s v="LONG"/>
    <s v="COIN LONG"/>
    <n v="973.08440240054199"/>
    <n v="16817.534386550898"/>
    <n v="0"/>
    <n v="0"/>
    <x v="7"/>
    <s v="BTC COIN LONG"/>
    <b v="1"/>
  </r>
  <r>
    <d v="2022-12-21T00:07:00"/>
    <s v="BTSE"/>
    <x v="15"/>
    <s v="ETH"/>
    <n v="0.73541904000000002"/>
    <n v="892.50454148689698"/>
    <n v="1213.5999925796"/>
    <n v="0"/>
    <x v="3"/>
    <d v="2022-12-21T00:07:00"/>
    <n v="1"/>
    <x v="1"/>
    <n v="1"/>
    <n v="0.73541904000000002"/>
    <n v="892.50454148689653"/>
    <n v="0"/>
    <s v="COIN"/>
    <s v="LONG"/>
    <s v="COIN LONG"/>
    <n v="892.50454148689698"/>
    <n v="1213.5999925796"/>
    <n v="0"/>
    <n v="0"/>
    <x v="7"/>
    <s v="ETH COIN LONG"/>
    <b v="1"/>
  </r>
  <r>
    <d v="2022-12-21T00:07:03"/>
    <s v="BTSE"/>
    <x v="15"/>
    <s v="SGB"/>
    <n v="22277.5319929"/>
    <n v="230.87367989251399"/>
    <n v="1.0363521415482401E-2"/>
    <n v="0"/>
    <x v="3"/>
    <d v="2022-12-21T00:07:03"/>
    <n v="1"/>
    <x v="44"/>
    <n v="1"/>
    <n v="22277.5319929"/>
    <n v="230.87367989251348"/>
    <n v="0"/>
    <s v="COIN"/>
    <s v="LONG"/>
    <s v="COIN LONG"/>
    <n v="230.87367989251399"/>
    <n v="1.0363521415482401E-2"/>
    <n v="0"/>
    <n v="0"/>
    <x v="7"/>
    <s v="SGB COIN LONG"/>
    <b v="1"/>
  </r>
  <r>
    <d v="2022-12-21T00:07:05"/>
    <s v="BTSE"/>
    <x v="15"/>
    <s v="USD"/>
    <n v="114736.84"/>
    <n v="114736.84"/>
    <n v="1"/>
    <n v="0"/>
    <x v="3"/>
    <d v="2022-12-21T00:07:05"/>
    <n v="1"/>
    <x v="42"/>
    <n v="1"/>
    <n v="114736.84"/>
    <n v="114736.84"/>
    <n v="0"/>
    <s v="CASH"/>
    <s v="LONG"/>
    <s v="CASH LONG"/>
    <n v="114736.84"/>
    <n v="1"/>
    <n v="0"/>
    <n v="0"/>
    <x v="7"/>
    <s v="USD CASH LONG"/>
    <b v="1"/>
  </r>
  <r>
    <d v="2022-12-21T00:07:06"/>
    <s v="BTSE"/>
    <x v="15"/>
    <s v="XRP"/>
    <n v="116647.68407285"/>
    <n v="40362.391802594502"/>
    <n v="0.34601965845620197"/>
    <n v="0"/>
    <x v="3"/>
    <d v="2022-12-21T00:07:06"/>
    <n v="1"/>
    <x v="45"/>
    <n v="1"/>
    <n v="116647.68407285"/>
    <n v="40362.391802594509"/>
    <n v="0"/>
    <s v="COIN"/>
    <s v="LONG"/>
    <s v="COIN LONG"/>
    <n v="40362.391802594502"/>
    <n v="0.34601965845620197"/>
    <n v="0"/>
    <n v="0"/>
    <x v="7"/>
    <s v="XRP COIN LONG"/>
    <b v="1"/>
  </r>
  <r>
    <d v="2022-12-22T00:00:00"/>
    <s v="BULL"/>
    <x v="16"/>
    <s v="BTC"/>
    <n v="2383.6053532599999"/>
    <n v="40086364.992417"/>
    <n v="16817.534386550898"/>
    <n v="0"/>
    <x v="3"/>
    <d v="2022-12-22T00:00:00"/>
    <n v="1"/>
    <x v="0"/>
    <n v="1"/>
    <n v="2383.6053532599999"/>
    <n v="40086364.992416851"/>
    <n v="0"/>
    <s v="COIN"/>
    <s v="LONG"/>
    <s v="COIN LONG"/>
    <n v="40086364.992417"/>
    <n v="16817.534386550898"/>
    <n v="0"/>
    <n v="0"/>
    <x v="8"/>
    <s v="BTC COIN LONG"/>
    <b v="1"/>
  </r>
  <r>
    <d v="2022-12-22T00:00:00"/>
    <s v="BULL"/>
    <x v="16"/>
    <s v="USD"/>
    <n v="39642858.624899998"/>
    <n v="39642858.624899998"/>
    <n v="1"/>
    <n v="0"/>
    <x v="3"/>
    <d v="2022-12-22T00:00:00"/>
    <n v="1"/>
    <x v="42"/>
    <n v="1"/>
    <n v="39642858.624899998"/>
    <n v="39642858.624899998"/>
    <n v="0"/>
    <s v="CASH"/>
    <s v="LONG"/>
    <s v="CASH LONG"/>
    <n v="39642858.624899998"/>
    <n v="1"/>
    <n v="0"/>
    <n v="0"/>
    <x v="8"/>
    <s v="USD CASH LONG"/>
    <b v="1"/>
  </r>
  <r>
    <d v="2022-12-22T00:00:00"/>
    <s v="BULL"/>
    <x v="16"/>
    <s v="USDC"/>
    <n v="101"/>
    <n v="101.00966412743"/>
    <n v="1.00009568443"/>
    <n v="0"/>
    <x v="3"/>
    <d v="2022-12-22T00:00:00"/>
    <n v="1"/>
    <x v="46"/>
    <n v="1"/>
    <n v="101"/>
    <n v="101.00966412743"/>
    <n v="0"/>
    <s v="COIN"/>
    <s v="LONG"/>
    <s v="COIN LONG"/>
    <n v="101.00966412743"/>
    <n v="1.00009568443"/>
    <n v="0"/>
    <n v="0"/>
    <x v="8"/>
    <s v="USDC COIN LONG"/>
    <b v="1"/>
  </r>
  <r>
    <d v="2022-12-22T00:00:00"/>
    <s v="BULL"/>
    <x v="17"/>
    <s v="EOS"/>
    <n v="3435922.0964000002"/>
    <n v="3050929.4956608801"/>
    <n v="0.88795071892273303"/>
    <n v="0"/>
    <x v="3"/>
    <d v="2022-12-22T00:00:00"/>
    <n v="1"/>
    <x v="3"/>
    <n v="1"/>
    <n v="3435922.0964000002"/>
    <n v="3050929.4956608843"/>
    <n v="0"/>
    <s v="COIN"/>
    <s v="LONG"/>
    <s v="COIN LONG"/>
    <n v="3050929.4956608801"/>
    <n v="0.88795071892273303"/>
    <n v="0"/>
    <n v="0"/>
    <x v="8"/>
    <s v="EOS COIN LONG"/>
    <b v="1"/>
  </r>
  <r>
    <d v="2022-12-22T00:00:00"/>
    <s v="BULL"/>
    <x v="17"/>
    <s v="LINK"/>
    <n v="92251.100577489997"/>
    <n v="551777.55226554896"/>
    <n v="5.9812571211772401"/>
    <n v="0"/>
    <x v="3"/>
    <d v="2022-12-22T00:00:00"/>
    <n v="1"/>
    <x v="10"/>
    <n v="1"/>
    <n v="92251.100577489997"/>
    <n v="551777.55226554989"/>
    <n v="0"/>
    <s v="COIN"/>
    <s v="LONG"/>
    <s v="COIN LONG"/>
    <n v="551777.55226554896"/>
    <n v="5.9812571211772401"/>
    <n v="0"/>
    <n v="0"/>
    <x v="8"/>
    <s v="LINK COIN LONG"/>
    <b v="1"/>
  </r>
  <r>
    <d v="2022-12-22T00:00:00"/>
    <s v="BULL"/>
    <x v="17"/>
    <s v="LTC"/>
    <n v="6746.5343951000004"/>
    <n v="441165.32673746598"/>
    <n v="65.391399628509205"/>
    <n v="0"/>
    <x v="3"/>
    <d v="2022-12-22T00:00:00"/>
    <n v="1"/>
    <x v="6"/>
    <n v="1"/>
    <n v="6746.5343951000004"/>
    <n v="441165.32673746673"/>
    <n v="0"/>
    <s v="COIN"/>
    <s v="LONG"/>
    <s v="COIN LONG"/>
    <n v="441165.32673746598"/>
    <n v="65.391399628509205"/>
    <n v="0"/>
    <n v="0"/>
    <x v="8"/>
    <s v="LTC COIN LONG"/>
    <b v="1"/>
  </r>
  <r>
    <d v="2022-12-22T00:00:00"/>
    <s v="BULL"/>
    <x v="17"/>
    <s v="USD"/>
    <n v="4736834.8578000003"/>
    <n v="4736834.8578000003"/>
    <n v="1"/>
    <n v="0"/>
    <x v="3"/>
    <d v="2022-12-22T00:00:00"/>
    <n v="1"/>
    <x v="42"/>
    <n v="1"/>
    <n v="4736834.8578000003"/>
    <n v="4736834.8578000003"/>
    <n v="0"/>
    <s v="CASH"/>
    <s v="LONG"/>
    <s v="CASH LONG"/>
    <n v="4736834.8578000003"/>
    <n v="1"/>
    <n v="0"/>
    <n v="0"/>
    <x v="8"/>
    <s v="USD CASH LONG"/>
    <b v="1"/>
  </r>
  <r>
    <d v="2022-12-22T00:00:00"/>
    <s v="BULL"/>
    <x v="18"/>
    <s v="ETH"/>
    <n v="15115.83038025"/>
    <n v="18344571.6373059"/>
    <n v="1213.5999925796"/>
    <n v="0"/>
    <x v="3"/>
    <d v="2022-12-22T00:00:00"/>
    <n v="1"/>
    <x v="1"/>
    <n v="1"/>
    <n v="15115.83038025"/>
    <n v="18344571.637305893"/>
    <n v="0"/>
    <s v="COIN"/>
    <s v="LONG"/>
    <s v="COIN LONG"/>
    <n v="18344571.6373059"/>
    <n v="1213.5999925796"/>
    <n v="0"/>
    <n v="0"/>
    <x v="8"/>
    <s v="ETH COIN LONG"/>
    <b v="1"/>
  </r>
  <r>
    <d v="2022-12-22T00:00:00"/>
    <s v="BULL"/>
    <x v="18"/>
    <s v="USD"/>
    <n v="8215898.9515000004"/>
    <n v="8215898.9515000004"/>
    <n v="1"/>
    <n v="0"/>
    <x v="3"/>
    <d v="2022-12-22T00:00:00"/>
    <n v="1"/>
    <x v="42"/>
    <n v="1"/>
    <n v="8215898.9515000004"/>
    <n v="8215898.9515000004"/>
    <n v="0"/>
    <s v="CASH"/>
    <s v="LONG"/>
    <s v="CASH LONG"/>
    <n v="8215898.9515000004"/>
    <n v="1"/>
    <n v="0"/>
    <n v="0"/>
    <x v="8"/>
    <s v="USD CASH LONG"/>
    <b v="1"/>
  </r>
  <r>
    <d v="2022-12-22T00:00:00"/>
    <s v="BULL"/>
    <x v="19"/>
    <s v="BTC"/>
    <n v="68.964423530000005"/>
    <n v="1159811.5641644399"/>
    <n v="16817.534386550898"/>
    <n v="0"/>
    <x v="3"/>
    <d v="2022-12-22T00:00:00"/>
    <n v="1"/>
    <x v="0"/>
    <n v="1"/>
    <n v="68.964423530000005"/>
    <n v="1159811.564164435"/>
    <n v="0"/>
    <s v="COIN"/>
    <s v="LONG"/>
    <s v="COIN LONG"/>
    <n v="1159811.5641644399"/>
    <n v="16817.534386550898"/>
    <n v="0"/>
    <n v="0"/>
    <x v="8"/>
    <s v="BTC COIN LONG"/>
    <b v="1"/>
  </r>
  <r>
    <d v="2022-12-22T00:00:00"/>
    <s v="BULL"/>
    <x v="19"/>
    <s v="ETH"/>
    <n v="1062.42483479"/>
    <n v="1289358.7716175199"/>
    <n v="1213.5999925796"/>
    <n v="0"/>
    <x v="3"/>
    <d v="2022-12-22T00:00:00"/>
    <n v="1"/>
    <x v="1"/>
    <n v="1"/>
    <n v="1062.42483479"/>
    <n v="1289358.7716175267"/>
    <n v="0"/>
    <s v="COIN"/>
    <s v="LONG"/>
    <s v="COIN LONG"/>
    <n v="1289358.7716175199"/>
    <n v="1213.5999925796"/>
    <n v="0"/>
    <n v="0"/>
    <x v="8"/>
    <s v="ETH COIN LONG"/>
    <b v="1"/>
  </r>
  <r>
    <d v="2022-12-22T00:00:00"/>
    <s v="DEFI"/>
    <x v="20"/>
    <s v="CRV"/>
    <n v="0.26739257999999999"/>
    <n v="0.138134818333943"/>
    <n v="0.51659929506623903"/>
    <n v="0"/>
    <x v="3"/>
    <d v="2022-12-22T00:00:00"/>
    <n v="1"/>
    <x v="20"/>
    <n v="1"/>
    <n v="0.26739257999999999"/>
    <n v="0.13813481833394292"/>
    <n v="0"/>
    <s v="COIN"/>
    <s v="LONG"/>
    <s v="COIN LONG"/>
    <n v="0.138134818333943"/>
    <n v="0.51659929506623903"/>
    <n v="0"/>
    <n v="0"/>
    <x v="9"/>
    <s v="CRV COIN LONG"/>
    <b v="0"/>
  </r>
  <r>
    <d v="2022-12-22T00:00:00"/>
    <s v="DEFI"/>
    <x v="20"/>
    <s v="CRV"/>
    <n v="9.7777784299999997"/>
    <n v="5.0511934442518802"/>
    <n v="0.51659929506623903"/>
    <n v="0"/>
    <x v="3"/>
    <d v="2022-12-22T00:00:00"/>
    <n v="1"/>
    <x v="20"/>
    <n v="1"/>
    <n v="9.7777784299999997"/>
    <n v="5.0511934442518776"/>
    <n v="0"/>
    <s v="COIN"/>
    <s v="LONG"/>
    <s v="COIN LONG"/>
    <n v="5.0511934442518802"/>
    <n v="0.51659929506623903"/>
    <n v="0"/>
    <n v="0"/>
    <x v="9"/>
    <s v="CRV COIN LONG"/>
    <b v="0"/>
  </r>
  <r>
    <d v="2022-12-22T00:00:00"/>
    <s v="DEFI"/>
    <x v="20"/>
    <s v="CVX"/>
    <n v="2.8866099999999999E-2"/>
    <n v="0.10232988627301499"/>
    <n v="3.5449848186286101"/>
    <n v="0"/>
    <x v="3"/>
    <d v="2022-12-22T00:00:00"/>
    <n v="1"/>
    <x v="47"/>
    <n v="1"/>
    <n v="2.8866099999999999E-2"/>
    <n v="0.10232988627301531"/>
    <n v="0"/>
    <s v="COIN"/>
    <s v="LONG"/>
    <s v="COIN LONG"/>
    <n v="0.10232988627301499"/>
    <n v="3.5449848186286101"/>
    <n v="0"/>
    <n v="0"/>
    <x v="9"/>
    <s v="CVX COIN LONG"/>
    <b v="0"/>
  </r>
  <r>
    <d v="2022-12-22T00:00:00"/>
    <s v="DEFI"/>
    <x v="20"/>
    <s v="ETH"/>
    <n v="3.67060545"/>
    <n v="4454.6467468826404"/>
    <n v="1213.5999925796"/>
    <n v="0"/>
    <x v="3"/>
    <d v="2022-12-22T00:00:00"/>
    <n v="1"/>
    <x v="1"/>
    <n v="1"/>
    <n v="3.67060545"/>
    <n v="4454.6467468826395"/>
    <n v="0"/>
    <s v="COIN"/>
    <s v="LONG"/>
    <s v="COIN LONG"/>
    <n v="4454.6467468826404"/>
    <n v="1213.5999925796"/>
    <n v="0"/>
    <n v="0"/>
    <x v="9"/>
    <s v="ETH COIN LONG"/>
    <b v="0"/>
  </r>
  <r>
    <d v="2022-12-22T00:00:00"/>
    <s v="DEFI"/>
    <x v="20"/>
    <s v="USDC"/>
    <n v="13972.219738"/>
    <n v="13973.556661881499"/>
    <n v="1.00009568443"/>
    <n v="0"/>
    <x v="3"/>
    <d v="2022-12-22T00:00:00"/>
    <n v="1"/>
    <x v="46"/>
    <n v="1"/>
    <n v="13972.219738"/>
    <n v="13973.556661881465"/>
    <n v="0"/>
    <s v="COIN"/>
    <s v="LONG"/>
    <s v="COIN LONG"/>
    <n v="13973.556661881499"/>
    <n v="1.00009568443"/>
    <n v="0"/>
    <n v="0"/>
    <x v="9"/>
    <s v="USDC COIN LONG"/>
    <b v="0"/>
  </r>
  <r>
    <d v="2022-12-22T00:00:00"/>
    <s v="DEFI"/>
    <x v="21"/>
    <s v="$ PLEASE VISIT ACADY.SITE TO RECEIVE REWARD."/>
    <n v="180000"/>
    <n v="0"/>
    <n v="0"/>
    <n v="0"/>
    <x v="3"/>
    <d v="2022-12-22T00:00:00"/>
    <n v="1"/>
    <x v="48"/>
    <n v="1"/>
    <n v="180000"/>
    <n v="0"/>
    <n v="0"/>
    <s v="COIN"/>
    <s v="SHORT"/>
    <s v="COIN SHORT"/>
    <n v="0"/>
    <n v="0"/>
    <n v="0"/>
    <n v="0"/>
    <x v="9"/>
    <s v="$ PLEASE VISIT ACADY.SITE TO RECEIVE REWARD. COIN SHORT"/>
    <b v="0"/>
  </r>
  <r>
    <d v="2022-12-22T00:00:00"/>
    <s v="DEFI"/>
    <x v="21"/>
    <s v="$ USDCBONUS.COM &lt;- VISIT TO CLAIM BONUS"/>
    <n v="7000"/>
    <n v="0"/>
    <n v="0"/>
    <n v="0"/>
    <x v="3"/>
    <d v="2022-12-22T00:00:00"/>
    <n v="1"/>
    <x v="49"/>
    <n v="1"/>
    <n v="7000"/>
    <n v="0"/>
    <n v="0"/>
    <s v="COIN"/>
    <s v="SHORT"/>
    <s v="COIN SHORT"/>
    <n v="0"/>
    <n v="0"/>
    <n v="0"/>
    <n v="0"/>
    <x v="9"/>
    <s v="$ USDCBONUS.COM &lt;- VISIT TO CLAIM BONUS COIN SHORT"/>
    <b v="0"/>
  </r>
  <r>
    <d v="2022-12-22T00:00:00"/>
    <s v="DEFI"/>
    <x v="21"/>
    <s v="$ USDCGIFT.COM &lt;- VISIT TO CLAIM BONUS"/>
    <n v="7000"/>
    <n v="0"/>
    <n v="0"/>
    <n v="0"/>
    <x v="3"/>
    <d v="2022-12-22T00:00:00"/>
    <n v="1"/>
    <x v="50"/>
    <n v="1"/>
    <n v="7000"/>
    <n v="0"/>
    <n v="0"/>
    <s v="COIN"/>
    <s v="SHORT"/>
    <s v="COIN SHORT"/>
    <n v="0"/>
    <n v="0"/>
    <n v="0"/>
    <n v="0"/>
    <x v="9"/>
    <s v="$ USDCGIFT.COM &lt;- VISIT TO CLAIM BONUS COIN SHORT"/>
    <b v="0"/>
  </r>
  <r>
    <d v="2022-12-22T00:00:00"/>
    <s v="DEFI"/>
    <x v="21"/>
    <s v="927$ VISIT AUSDBONUS.COM TO CLAIM"/>
    <n v="8"/>
    <n v="0"/>
    <n v="0"/>
    <n v="0"/>
    <x v="3"/>
    <d v="2022-12-22T00:00:00"/>
    <n v="1"/>
    <x v="51"/>
    <n v="1"/>
    <n v="8"/>
    <n v="0"/>
    <n v="0"/>
    <s v="COIN"/>
    <s v="SHORT"/>
    <s v="COIN SHORT"/>
    <n v="0"/>
    <n v="0"/>
    <n v="0"/>
    <n v="0"/>
    <x v="9"/>
    <s v="927$ VISIT AUSDBONUS.COM TO CLAIM COIN SHORT"/>
    <b v="0"/>
  </r>
  <r>
    <d v="2022-12-22T00:00:00"/>
    <s v="DEFI"/>
    <x v="21"/>
    <s v="AAVE"/>
    <n v="230.62351240000001"/>
    <n v="12913.672799505999"/>
    <n v="55.994606383013597"/>
    <n v="0"/>
    <x v="3"/>
    <d v="2022-12-22T00:00:00"/>
    <n v="1"/>
    <x v="13"/>
    <n v="1"/>
    <n v="230.62351240000001"/>
    <n v="12913.672799506056"/>
    <n v="0"/>
    <s v="COIN"/>
    <s v="LONG"/>
    <s v="COIN LONG"/>
    <n v="12913.672799505999"/>
    <n v="55.994606383013597"/>
    <n v="0"/>
    <n v="0"/>
    <x v="9"/>
    <s v="AAVE COIN LONG"/>
    <b v="0"/>
  </r>
  <r>
    <d v="2022-12-22T00:00:00"/>
    <s v="DEFI"/>
    <x v="21"/>
    <s v="AVAX"/>
    <n v="69.006194350000001"/>
    <n v="807.12660041697802"/>
    <n v="11.6964369361281"/>
    <n v="0"/>
    <x v="3"/>
    <d v="2022-12-22T00:00:00"/>
    <n v="1"/>
    <x v="16"/>
    <n v="1"/>
    <n v="69.006194350000001"/>
    <n v="807.12660041697416"/>
    <n v="0"/>
    <s v="COIN"/>
    <s v="LONG"/>
    <s v="COIN LONG"/>
    <n v="807.12660041697802"/>
    <n v="11.6964369361281"/>
    <n v="0"/>
    <n v="0"/>
    <x v="9"/>
    <s v="AVAX COIN LONG"/>
    <b v="0"/>
  </r>
  <r>
    <d v="2022-12-22T00:00:00"/>
    <s v="DEFI"/>
    <x v="21"/>
    <s v="BONUS. VISIT HTTPS://BITBONUS.TECH TO CLAIM REWARD."/>
    <n v="25"/>
    <n v="0"/>
    <n v="0"/>
    <n v="0"/>
    <x v="3"/>
    <d v="2022-12-22T00:00:00"/>
    <n v="1"/>
    <x v="52"/>
    <n v="1"/>
    <n v="25"/>
    <n v="0"/>
    <n v="0"/>
    <s v="COIN"/>
    <s v="SHORT"/>
    <s v="COIN SHORT"/>
    <n v="0"/>
    <n v="0"/>
    <n v="0"/>
    <n v="0"/>
    <x v="9"/>
    <s v="BONUS. VISIT HTTPS://BITBONUS.TECH TO CLAIM REWARD. COIN SHORT"/>
    <b v="0"/>
  </r>
  <r>
    <d v="2022-12-22T00:00:00"/>
    <s v="DEFI"/>
    <x v="21"/>
    <s v="ETH"/>
    <n v="16.894087620000001"/>
    <n v="20502.664610271098"/>
    <n v="1213.5999925796"/>
    <n v="0"/>
    <x v="3"/>
    <d v="2022-12-22T00:00:00"/>
    <n v="1"/>
    <x v="1"/>
    <n v="1"/>
    <n v="16.894087620000001"/>
    <n v="20502.664610271113"/>
    <n v="0"/>
    <s v="COIN"/>
    <s v="LONG"/>
    <s v="COIN LONG"/>
    <n v="20502.664610271098"/>
    <n v="1213.5999925796"/>
    <n v="0"/>
    <n v="0"/>
    <x v="9"/>
    <s v="ETH COIN LONG"/>
    <b v="0"/>
  </r>
  <r>
    <d v="2022-12-22T00:00:00"/>
    <s v="DEFI"/>
    <x v="21"/>
    <s v="INVITATION TOKEN. PLEASE VISIT HTTPS://AAKER.SITE AND CLAIM REWARDS."/>
    <n v="480000"/>
    <n v="0"/>
    <n v="0"/>
    <n v="0"/>
    <x v="3"/>
    <d v="2022-12-22T00:00:00"/>
    <n v="1"/>
    <x v="53"/>
    <n v="1"/>
    <n v="480000"/>
    <n v="0"/>
    <n v="0"/>
    <s v="COIN"/>
    <s v="SHORT"/>
    <s v="COIN SHORT"/>
    <n v="0"/>
    <n v="0"/>
    <n v="0"/>
    <n v="0"/>
    <x v="9"/>
    <s v="INVITATION TOKEN. PLEASE VISIT HTTPS://AAKER.SITE AND CLAIM REWARDS. COIN SHORT"/>
    <b v="0"/>
  </r>
  <r>
    <d v="2022-12-22T00:00:00"/>
    <s v="DEFI"/>
    <x v="21"/>
    <s v="OAAVEUSDC/AAVE-02DEC22-67.5C"/>
    <n v="34311.93215886"/>
    <n v="0"/>
    <n v="0"/>
    <n v="0"/>
    <x v="3"/>
    <d v="2022-12-22T00:00:00"/>
    <n v="1"/>
    <x v="54"/>
    <n v="1"/>
    <n v="34311.93215886"/>
    <n v="0"/>
    <n v="0"/>
    <s v="COIN"/>
    <s v="SHORT"/>
    <s v="COIN SHORT"/>
    <n v="0"/>
    <n v="0"/>
    <n v="0"/>
    <n v="0"/>
    <x v="9"/>
    <s v="OAAVEUSDC/AAVE-02DEC22-67.5C COIN SHORT"/>
    <b v="0"/>
  </r>
  <r>
    <d v="2022-12-22T00:00:00"/>
    <s v="DEFI"/>
    <x v="21"/>
    <s v="OAAVEUSDC/AAVE-16DEC22-72.5C"/>
    <n v="33793.379334129997"/>
    <n v="0"/>
    <n v="0"/>
    <n v="0"/>
    <x v="3"/>
    <d v="2022-12-22T00:00:00"/>
    <n v="1"/>
    <x v="55"/>
    <n v="1"/>
    <n v="33793.379334129997"/>
    <n v="0"/>
    <n v="0"/>
    <s v="COIN"/>
    <s v="SHORT"/>
    <s v="COIN SHORT"/>
    <n v="0"/>
    <n v="0"/>
    <n v="0"/>
    <n v="0"/>
    <x v="9"/>
    <s v="OAAVEUSDC/AAVE-16DEC22-72.5C COIN SHORT"/>
    <b v="0"/>
  </r>
  <r>
    <d v="2022-12-22T00:00:00"/>
    <s v="DEFI"/>
    <x v="21"/>
    <s v="OAAVEUSDC/AAVE-25NOV22-72.5C"/>
    <n v="33991.374100820001"/>
    <n v="0"/>
    <n v="0"/>
    <n v="0"/>
    <x v="3"/>
    <d v="2022-12-22T00:00:00"/>
    <n v="1"/>
    <x v="56"/>
    <n v="1"/>
    <n v="33991.374100820001"/>
    <n v="0"/>
    <n v="0"/>
    <s v="COIN"/>
    <s v="SHORT"/>
    <s v="COIN SHORT"/>
    <n v="0"/>
    <n v="0"/>
    <n v="0"/>
    <n v="0"/>
    <x v="9"/>
    <s v="OAAVEUSDC/AAVE-25NOV22-72.5C COIN SHORT"/>
    <b v="0"/>
  </r>
  <r>
    <d v="2022-12-22T00:00:00"/>
    <s v="DEFI"/>
    <x v="21"/>
    <s v="OWAVAXUSDC.E/WAVAX-09DEC22-15.5C"/>
    <n v="29214.150499390002"/>
    <n v="0"/>
    <n v="0"/>
    <n v="0"/>
    <x v="3"/>
    <d v="2022-12-22T00:00:00"/>
    <n v="1"/>
    <x v="57"/>
    <n v="1"/>
    <n v="29214.150499390002"/>
    <n v="0"/>
    <n v="0"/>
    <s v="COIN"/>
    <s v="SHORT"/>
    <s v="COIN SHORT"/>
    <n v="0"/>
    <n v="0"/>
    <n v="0"/>
    <n v="0"/>
    <x v="9"/>
    <s v="OWAVAXUSDC.E/WAVAX-09DEC22-15.5C COIN SHORT"/>
    <b v="0"/>
  </r>
  <r>
    <d v="2022-12-22T00:00:00"/>
    <s v="DEFI"/>
    <x v="21"/>
    <s v="OWAVAXUSDC.E/WAVAX-16DEC22-15.25C"/>
    <n v="20213.414599259999"/>
    <n v="0"/>
    <n v="0"/>
    <n v="0"/>
    <x v="3"/>
    <d v="2022-12-22T00:00:00"/>
    <n v="1"/>
    <x v="58"/>
    <n v="1"/>
    <n v="20213.414599259999"/>
    <n v="0"/>
    <n v="0"/>
    <s v="COIN"/>
    <s v="SHORT"/>
    <s v="COIN SHORT"/>
    <n v="0"/>
    <n v="0"/>
    <n v="0"/>
    <n v="0"/>
    <x v="9"/>
    <s v="OWAVAXUSDC.E/WAVAX-16DEC22-15.25C COIN SHORT"/>
    <b v="0"/>
  </r>
  <r>
    <d v="2022-12-22T00:00:00"/>
    <s v="DEFI"/>
    <x v="21"/>
    <s v="OWAVAXUSDC.E/WAVAX-25NOV22-15.5C"/>
    <n v="31925.004081070001"/>
    <n v="0"/>
    <n v="0"/>
    <n v="0"/>
    <x v="3"/>
    <d v="2022-12-22T00:00:00"/>
    <n v="1"/>
    <x v="59"/>
    <n v="1"/>
    <n v="31925.004081070001"/>
    <n v="0"/>
    <n v="0"/>
    <s v="COIN"/>
    <s v="SHORT"/>
    <s v="COIN SHORT"/>
    <n v="0"/>
    <n v="0"/>
    <n v="0"/>
    <n v="0"/>
    <x v="9"/>
    <s v="OWAVAXUSDC.E/WAVAX-25NOV22-15.5C COIN SHORT"/>
    <b v="0"/>
  </r>
  <r>
    <d v="2022-12-22T00:00:00"/>
    <s v="DEFI"/>
    <x v="21"/>
    <s v="OWETHUSDC/WETH-09DEC22-1450C"/>
    <n v="2698"/>
    <n v="0"/>
    <n v="0"/>
    <n v="0"/>
    <x v="3"/>
    <d v="2022-12-22T00:00:00"/>
    <n v="1"/>
    <x v="60"/>
    <n v="1"/>
    <n v="2698"/>
    <n v="0"/>
    <n v="0"/>
    <s v="COIN"/>
    <s v="SHORT"/>
    <s v="COIN SHORT"/>
    <n v="0"/>
    <n v="0"/>
    <n v="0"/>
    <n v="0"/>
    <x v="9"/>
    <s v="OWETHUSDC/WETH-09DEC22-1450C COIN SHORT"/>
    <b v="0"/>
  </r>
  <r>
    <d v="2022-12-22T00:00:00"/>
    <s v="DEFI"/>
    <x v="21"/>
    <s v="OWETHUSDC/WETH-16DEC22-1450C"/>
    <n v="2891"/>
    <n v="0"/>
    <n v="0"/>
    <n v="0"/>
    <x v="3"/>
    <d v="2022-12-22T00:00:00"/>
    <n v="1"/>
    <x v="61"/>
    <n v="1"/>
    <n v="2891"/>
    <n v="0"/>
    <n v="0"/>
    <s v="COIN"/>
    <s v="SHORT"/>
    <s v="COIN SHORT"/>
    <n v="0"/>
    <n v="0"/>
    <n v="0"/>
    <n v="0"/>
    <x v="9"/>
    <s v="OWETHUSDC/WETH-16DEC22-1450C COIN SHORT"/>
    <b v="0"/>
  </r>
  <r>
    <d v="2022-12-22T00:00:00"/>
    <s v="DEFI"/>
    <x v="21"/>
    <s v="OWETHUSDC/WETH-25NOV22-1400C"/>
    <n v="2904"/>
    <n v="0"/>
    <n v="0"/>
    <n v="0"/>
    <x v="3"/>
    <d v="2022-12-22T00:00:00"/>
    <n v="1"/>
    <x v="62"/>
    <n v="1"/>
    <n v="2904"/>
    <n v="0"/>
    <n v="0"/>
    <s v="COIN"/>
    <s v="SHORT"/>
    <s v="COIN SHORT"/>
    <n v="0"/>
    <n v="0"/>
    <n v="0"/>
    <n v="0"/>
    <x v="9"/>
    <s v="OWETHUSDC/WETH-25NOV22-1400C COIN SHORT"/>
    <b v="0"/>
  </r>
  <r>
    <d v="2022-12-22T00:00:00"/>
    <s v="DEFI"/>
    <x v="21"/>
    <s v="OWETHUSDC/WSTETH-02DEC22-1350C"/>
    <n v="9472.1338239899997"/>
    <n v="0"/>
    <n v="0"/>
    <n v="0"/>
    <x v="3"/>
    <d v="2022-12-22T00:00:00"/>
    <n v="1"/>
    <x v="63"/>
    <n v="1"/>
    <n v="9472.1338239899997"/>
    <n v="0"/>
    <n v="0"/>
    <s v="COIN"/>
    <s v="SHORT"/>
    <s v="COIN SHORT"/>
    <n v="0"/>
    <n v="0"/>
    <n v="0"/>
    <n v="0"/>
    <x v="9"/>
    <s v="OWETHUSDC/WSTETH-02DEC22-1350C COIN SHORT"/>
    <b v="0"/>
  </r>
  <r>
    <d v="2022-12-22T00:00:00"/>
    <s v="DEFI"/>
    <x v="21"/>
    <s v="OWETHUSDC/WSTETH-04NOV22-1700C"/>
    <n v="5625.02729593"/>
    <n v="0"/>
    <n v="0"/>
    <n v="0"/>
    <x v="3"/>
    <d v="2022-12-22T00:00:00"/>
    <n v="1"/>
    <x v="64"/>
    <n v="1"/>
    <n v="5625.02729593"/>
    <n v="0"/>
    <n v="0"/>
    <s v="COIN"/>
    <s v="SHORT"/>
    <s v="COIN SHORT"/>
    <n v="0"/>
    <n v="0"/>
    <n v="0"/>
    <n v="0"/>
    <x v="9"/>
    <s v="OWETHUSDC/WSTETH-04NOV22-1700C COIN SHORT"/>
    <b v="0"/>
  </r>
  <r>
    <d v="2022-12-22T00:00:00"/>
    <s v="DEFI"/>
    <x v="21"/>
    <s v="OWETHUSDC/WSTETH-09SEP22-1900C"/>
    <n v="5968"/>
    <n v="0"/>
    <n v="0"/>
    <n v="0"/>
    <x v="3"/>
    <d v="2022-12-22T00:00:00"/>
    <n v="1"/>
    <x v="65"/>
    <n v="1"/>
    <n v="5968"/>
    <n v="0"/>
    <n v="0"/>
    <s v="COIN"/>
    <s v="SHORT"/>
    <s v="COIN SHORT"/>
    <n v="0"/>
    <n v="0"/>
    <n v="0"/>
    <n v="0"/>
    <x v="9"/>
    <s v="OWETHUSDC/WSTETH-09SEP22-1900C COIN SHORT"/>
    <b v="0"/>
  </r>
  <r>
    <d v="2022-12-22T00:00:00"/>
    <s v="DEFI"/>
    <x v="21"/>
    <s v="USDC"/>
    <n v="60000"/>
    <n v="60005.741065800401"/>
    <n v="1.00009568443"/>
    <n v="0"/>
    <x v="3"/>
    <d v="2022-12-22T00:00:00"/>
    <n v="1"/>
    <x v="46"/>
    <n v="1"/>
    <n v="60000"/>
    <n v="60005.741065800001"/>
    <n v="0"/>
    <s v="COIN"/>
    <s v="LONG"/>
    <s v="COIN LONG"/>
    <n v="60005.741065800401"/>
    <n v="1.00009568443"/>
    <n v="0"/>
    <n v="0"/>
    <x v="9"/>
    <s v="USDC COIN LONG"/>
    <b v="0"/>
  </r>
  <r>
    <d v="2022-12-22T00:00:00"/>
    <s v="DEFI"/>
    <x v="21"/>
    <s v="WAVAX"/>
    <n v="188.04277877999999"/>
    <n v="2201.3706179569999"/>
    <n v="11.706754347278"/>
    <n v="0"/>
    <x v="3"/>
    <d v="2022-12-22T00:00:00"/>
    <n v="1"/>
    <x v="66"/>
    <n v="1"/>
    <n v="188.04277877999999"/>
    <n v="2201.3706179570004"/>
    <n v="0"/>
    <s v="COIN"/>
    <s v="LONG"/>
    <s v="COIN LONG"/>
    <n v="2201.3706179569999"/>
    <n v="11.706754347278"/>
    <n v="0"/>
    <n v="0"/>
    <x v="9"/>
    <s v="WAVAX COIN LONG"/>
    <b v="0"/>
  </r>
  <r>
    <d v="2022-12-22T00:00:00"/>
    <s v="DEFI"/>
    <x v="21"/>
    <s v="WETH"/>
    <n v="154.70349367"/>
    <n v="187686.52799079401"/>
    <n v="1213.2016125708799"/>
    <n v="0"/>
    <x v="3"/>
    <d v="2022-12-22T00:00:00"/>
    <n v="1"/>
    <x v="67"/>
    <n v="1"/>
    <n v="154.70349367"/>
    <n v="187686.52799079291"/>
    <n v="0"/>
    <s v="COIN"/>
    <s v="LONG"/>
    <s v="COIN LONG"/>
    <n v="187686.52799079401"/>
    <n v="1213.2016125708799"/>
    <n v="0"/>
    <n v="0"/>
    <x v="9"/>
    <s v="WETH COIN LONG"/>
    <b v="0"/>
  </r>
  <r>
    <d v="2022-12-22T00:00:00"/>
    <s v="DEFI"/>
    <x v="22"/>
    <s v="CRV"/>
    <n v="2476.4457659200002"/>
    <n v="1279.3301369440401"/>
    <n v="0.51659929506623903"/>
    <n v="0"/>
    <x v="3"/>
    <d v="2022-12-22T00:00:00"/>
    <n v="1"/>
    <x v="20"/>
    <n v="1"/>
    <n v="2476.4457659200002"/>
    <n v="1279.3301369440444"/>
    <n v="0"/>
    <s v="COIN"/>
    <s v="LONG"/>
    <s v="COIN LONG"/>
    <n v="1279.3301369440401"/>
    <n v="0.51659929506623903"/>
    <n v="0"/>
    <n v="0"/>
    <x v="9"/>
    <s v="CRV COIN LONG"/>
    <b v="0"/>
  </r>
  <r>
    <d v="2022-12-22T00:00:00"/>
    <s v="DEFI"/>
    <x v="22"/>
    <s v="CVX"/>
    <n v="87.078334369999993"/>
    <n v="308.69137337311599"/>
    <n v="3.5449848186286101"/>
    <n v="0"/>
    <x v="3"/>
    <d v="2022-12-22T00:00:00"/>
    <n v="1"/>
    <x v="47"/>
    <n v="1"/>
    <n v="87.078334369999993"/>
    <n v="308.69137337311588"/>
    <n v="0"/>
    <s v="COIN"/>
    <s v="LONG"/>
    <s v="COIN LONG"/>
    <n v="308.69137337311599"/>
    <n v="3.5449848186286101"/>
    <n v="0"/>
    <n v="0"/>
    <x v="9"/>
    <s v="CVX COIN LONG"/>
    <b v="0"/>
  </r>
  <r>
    <d v="2022-12-22T00:00:00"/>
    <s v="DEFI"/>
    <x v="22"/>
    <s v="DAI"/>
    <n v="171480.66440315999"/>
    <n v="171471.55531938301"/>
    <n v="0.99994687981990205"/>
    <n v="0"/>
    <x v="3"/>
    <d v="2022-12-22T00:00:00"/>
    <n v="1"/>
    <x v="68"/>
    <n v="1"/>
    <n v="171480.66440315999"/>
    <n v="171471.55531938357"/>
    <n v="0"/>
    <s v="COIN"/>
    <s v="LONG"/>
    <s v="COIN LONG"/>
    <n v="171471.55531938301"/>
    <n v="0.99994687981990205"/>
    <n v="0"/>
    <n v="0"/>
    <x v="9"/>
    <s v="DAI COIN LONG"/>
    <b v="0"/>
  </r>
  <r>
    <d v="2022-12-22T00:00:00"/>
    <s v="DEFI"/>
    <x v="22"/>
    <s v="ETH"/>
    <n v="0.56165878999999996"/>
    <n v="681.62910337626704"/>
    <n v="1213.5999925796"/>
    <n v="0"/>
    <x v="3"/>
    <d v="2022-12-22T00:00:00"/>
    <n v="1"/>
    <x v="1"/>
    <n v="1"/>
    <n v="0.56165878999999996"/>
    <n v="681.62910337626704"/>
    <n v="0"/>
    <s v="COIN"/>
    <s v="LONG"/>
    <s v="COIN LONG"/>
    <n v="681.62910337626704"/>
    <n v="1213.5999925796"/>
    <n v="0"/>
    <n v="0"/>
    <x v="9"/>
    <s v="ETH COIN LONG"/>
    <b v="0"/>
  </r>
  <r>
    <d v="2022-12-22T00:00:00"/>
    <s v="DEFI"/>
    <x v="22"/>
    <s v="MIM"/>
    <n v="529076.70672003995"/>
    <n v="527946.43152167299"/>
    <n v="0.99786368368894196"/>
    <n v="0"/>
    <x v="3"/>
    <d v="2022-12-22T00:00:00"/>
    <n v="1"/>
    <x v="69"/>
    <n v="1"/>
    <n v="529076.70672003995"/>
    <n v="527946.4315216731"/>
    <n v="0"/>
    <s v="COIN"/>
    <s v="LONG"/>
    <s v="COIN LONG"/>
    <n v="527946.43152167299"/>
    <n v="0.99786368368894196"/>
    <n v="0"/>
    <n v="0"/>
    <x v="9"/>
    <s v="MIM COIN LONG"/>
    <b v="0"/>
  </r>
  <r>
    <d v="2022-12-22T00:00:00"/>
    <s v="DEFI"/>
    <x v="22"/>
    <s v="USDC"/>
    <n v="173648.63628010001"/>
    <n v="173665.251750884"/>
    <n v="1.00009568443"/>
    <n v="0"/>
    <x v="3"/>
    <d v="2022-12-22T00:00:00"/>
    <n v="1"/>
    <x v="46"/>
    <n v="1"/>
    <n v="173648.63628010001"/>
    <n v="173665.25175088274"/>
    <n v="0"/>
    <s v="COIN"/>
    <s v="LONG"/>
    <s v="COIN LONG"/>
    <n v="173665.251750884"/>
    <n v="1.00009568443"/>
    <n v="0"/>
    <n v="0"/>
    <x v="9"/>
    <s v="USDC COIN LONG"/>
    <b v="0"/>
  </r>
  <r>
    <d v="2022-12-22T00:00:00"/>
    <s v="DEFI"/>
    <x v="22"/>
    <s v="USDT"/>
    <n v="132132.32695886001"/>
    <n v="132142.49393620301"/>
    <n v="1.0000769454196099"/>
    <n v="0"/>
    <x v="3"/>
    <d v="2022-12-22T00:00:00"/>
    <n v="1"/>
    <x v="37"/>
    <n v="1"/>
    <n v="132132.32695886001"/>
    <n v="132142.49393620188"/>
    <n v="0"/>
    <s v="COIN"/>
    <s v="LONG"/>
    <s v="COIN LONG"/>
    <n v="132142.49393620301"/>
    <n v="1.0000769454196099"/>
    <n v="0"/>
    <n v="0"/>
    <x v="9"/>
    <s v="USDT COIN LONG"/>
    <b v="0"/>
  </r>
  <r>
    <d v="2022-12-22T00:00:00"/>
    <s v="DEFI"/>
    <x v="23"/>
    <s v="AURA"/>
    <n v="304.97542600999998"/>
    <n v="16.4769011144449"/>
    <n v="5.4026979583281898E-2"/>
    <n v="0"/>
    <x v="3"/>
    <d v="2022-12-22T00:00:00"/>
    <n v="1"/>
    <x v="70"/>
    <n v="1"/>
    <n v="304.97542600999998"/>
    <n v="16.476901114444967"/>
    <n v="0"/>
    <s v="COIN"/>
    <s v="LONG"/>
    <s v="COIN LONG"/>
    <n v="16.4769011144449"/>
    <n v="5.4026979583281898E-2"/>
    <n v="0"/>
    <n v="0"/>
    <x v="9"/>
    <s v="AURA COIN LONG"/>
    <b v="0"/>
  </r>
  <r>
    <d v="2022-12-21T04:00:00"/>
    <s v="DEFI"/>
    <x v="23"/>
    <s v="ETH"/>
    <n v="981.27717437000001"/>
    <n v="1190877.97153396"/>
    <n v="1213.5999925796"/>
    <n v="0"/>
    <x v="3"/>
    <d v="2022-12-21T04:00:00"/>
    <n v="1"/>
    <x v="1"/>
    <n v="1"/>
    <n v="981.27717437000001"/>
    <n v="1190877.9715339628"/>
    <n v="0"/>
    <s v="COIN"/>
    <s v="LONG"/>
    <s v="COIN LONG"/>
    <n v="1190877.97153396"/>
    <n v="1213.5999925796"/>
    <n v="0"/>
    <n v="0"/>
    <x v="9"/>
    <s v="ETH COIN LONG"/>
    <b v="0"/>
  </r>
  <r>
    <d v="2022-12-22T00:00:00"/>
    <s v="DEFI"/>
    <x v="23"/>
    <s v="BAL"/>
    <n v="84.359915079999993"/>
    <n v="468.78744740484802"/>
    <n v="5.5569928793822099"/>
    <n v="0"/>
    <x v="3"/>
    <d v="2022-12-22T00:00:00"/>
    <n v="1"/>
    <x v="71"/>
    <n v="1"/>
    <n v="84.359915079999993"/>
    <n v="468.78744740484785"/>
    <n v="0"/>
    <s v="COIN"/>
    <s v="LONG"/>
    <s v="COIN LONG"/>
    <n v="468.78744740484802"/>
    <n v="5.5569928793822099"/>
    <n v="0"/>
    <n v="0"/>
    <x v="9"/>
    <s v="BAL COIN LONG"/>
    <b v="0"/>
  </r>
  <r>
    <d v="2022-12-22T00:00:00"/>
    <s v="DEFI"/>
    <x v="23"/>
    <s v="BAL"/>
    <n v="141.86028035999999"/>
    <n v="788.31656782768403"/>
    <n v="5.5569928793822099"/>
    <n v="0"/>
    <x v="3"/>
    <d v="2022-12-22T00:00:00"/>
    <n v="1"/>
    <x v="71"/>
    <n v="1"/>
    <n v="141.86028035999999"/>
    <n v="788.31656782768391"/>
    <n v="0"/>
    <s v="COIN"/>
    <s v="LONG"/>
    <s v="COIN LONG"/>
    <n v="788.31656782768403"/>
    <n v="5.5569928793822099"/>
    <n v="0"/>
    <n v="0"/>
    <x v="9"/>
    <s v="BAL COIN LONG"/>
    <b v="0"/>
  </r>
  <r>
    <d v="2022-12-22T00:00:00"/>
    <s v="DEFI"/>
    <x v="23"/>
    <s v="ETH"/>
    <n v="1009.5117245500001"/>
    <n v="1225143.4214228999"/>
    <n v="1213.5999925796"/>
    <n v="0"/>
    <x v="3"/>
    <d v="2022-12-22T00:00:00"/>
    <n v="1"/>
    <x v="1"/>
    <n v="1"/>
    <n v="1009.5117245500001"/>
    <n v="1225143.4214228992"/>
    <n v="0"/>
    <s v="COIN"/>
    <s v="LONG"/>
    <s v="COIN LONG"/>
    <n v="1225143.4214228999"/>
    <n v="1213.5999925796"/>
    <n v="0"/>
    <n v="0"/>
    <x v="9"/>
    <s v="ETH COIN LONG"/>
    <b v="0"/>
  </r>
  <r>
    <d v="2022-12-22T00:00:00"/>
    <s v="DEFI"/>
    <x v="23"/>
    <s v="ETH"/>
    <n v="2.5032300699999999"/>
    <n v="3037.91999437703"/>
    <n v="1213.5999925796"/>
    <n v="0"/>
    <x v="3"/>
    <d v="2022-12-22T00:00:00"/>
    <n v="1"/>
    <x v="1"/>
    <n v="1"/>
    <n v="2.5032300699999999"/>
    <n v="3037.9199943770313"/>
    <n v="0"/>
    <s v="COIN"/>
    <s v="LONG"/>
    <s v="COIN LONG"/>
    <n v="3037.91999437703"/>
    <n v="1213.5999925796"/>
    <n v="0"/>
    <n v="0"/>
    <x v="9"/>
    <s v="ETH COIN LONG"/>
    <b v="0"/>
  </r>
  <r>
    <d v="2022-12-21T11:00:00"/>
    <s v="DEFI"/>
    <x v="23"/>
    <s v="STETH"/>
    <n v="620.37384951000001"/>
    <n v="727768.40486504894"/>
    <n v="1173.11264077277"/>
    <n v="0"/>
    <x v="3"/>
    <d v="2022-12-21T11:00:00"/>
    <n v="1"/>
    <x v="72"/>
    <n v="1"/>
    <n v="620.37384951000001"/>
    <n v="727768.4048650451"/>
    <n v="0"/>
    <s v="COIN"/>
    <s v="LONG"/>
    <s v="COIN LONG"/>
    <n v="727768.40486504894"/>
    <n v="1173.11264077277"/>
    <n v="0"/>
    <n v="0"/>
    <x v="9"/>
    <s v="STETH COIN LONG"/>
    <b v="0"/>
  </r>
  <r>
    <d v="2022-12-22T00:00:00"/>
    <s v="DEFI"/>
    <x v="24"/>
    <s v="ETH"/>
    <n v="9.8779060000000002E-2"/>
    <n v="119.87826648302"/>
    <n v="1213.5999925796"/>
    <n v="0"/>
    <x v="3"/>
    <d v="2022-12-22T00:00:00"/>
    <n v="1"/>
    <x v="1"/>
    <n v="1"/>
    <n v="9.8779060000000002E-2"/>
    <n v="119.87826648301986"/>
    <n v="0"/>
    <s v="COIN"/>
    <s v="LONG"/>
    <s v="COIN LONG"/>
    <n v="119.87826648302"/>
    <n v="1213.5999925796"/>
    <n v="0"/>
    <n v="0"/>
    <x v="9"/>
    <s v="ETH COIN LONG"/>
    <b v="0"/>
  </r>
  <r>
    <d v="2022-12-22T00:00:00"/>
    <s v="DEFI"/>
    <x v="24"/>
    <s v="OBALUSDC/BAL-30DEC22-7.6C"/>
    <n v="196525.25441796001"/>
    <n v="0"/>
    <n v="0"/>
    <n v="0"/>
    <x v="3"/>
    <d v="2022-12-22T00:00:00"/>
    <n v="1"/>
    <x v="73"/>
    <n v="1"/>
    <n v="196525.25441796001"/>
    <n v="0"/>
    <n v="0"/>
    <s v="COIN"/>
    <s v="SHORT"/>
    <s v="COIN SHORT"/>
    <n v="0"/>
    <n v="0"/>
    <n v="0"/>
    <n v="0"/>
    <x v="9"/>
    <s v="OBALUSDC/BAL-30DEC22-7.6C COIN SHORT"/>
    <b v="0"/>
  </r>
  <r>
    <d v="2022-12-22T00:00:00"/>
    <s v="DEFI"/>
    <x v="24"/>
    <s v="OPERPUSDC/PERP-30DEC22-0.54C"/>
    <n v="201000.92417708001"/>
    <n v="0"/>
    <n v="0"/>
    <n v="0"/>
    <x v="3"/>
    <d v="2022-12-22T00:00:00"/>
    <n v="1"/>
    <x v="74"/>
    <n v="1"/>
    <n v="201000.92417708001"/>
    <n v="0"/>
    <n v="0"/>
    <s v="COIN"/>
    <s v="SHORT"/>
    <s v="COIN SHORT"/>
    <n v="0"/>
    <n v="0"/>
    <n v="0"/>
    <n v="0"/>
    <x v="9"/>
    <s v="OPERPUSDC/PERP-30DEC22-0.54C COIN SHORT"/>
    <b v="0"/>
  </r>
  <r>
    <d v="2022-12-22T00:00:00"/>
    <s v="DEFI"/>
    <x v="24"/>
    <s v="OSPELLUSDC/SPELL-30DEC22-0.00079C"/>
    <n v="100050250.667"/>
    <n v="0"/>
    <n v="0"/>
    <n v="0"/>
    <x v="3"/>
    <d v="2022-12-22T00:00:00"/>
    <n v="1"/>
    <x v="75"/>
    <n v="1"/>
    <n v="100050250.667"/>
    <n v="0"/>
    <n v="0"/>
    <s v="COIN"/>
    <s v="SHORT"/>
    <s v="COIN SHORT"/>
    <n v="0"/>
    <n v="0"/>
    <n v="0"/>
    <n v="0"/>
    <x v="9"/>
    <s v="OSPELLUSDC/SPELL-30DEC22-0.00079C COIN SHORT"/>
    <b v="0"/>
  </r>
  <r>
    <d v="2022-12-22T00:00:00"/>
    <s v="DEFI"/>
    <x v="25"/>
    <s v="ETH"/>
    <n v="448.98238387999999"/>
    <n v="544885.01774513896"/>
    <n v="1213.5999925796"/>
    <n v="0"/>
    <x v="3"/>
    <d v="2022-12-22T00:00:00"/>
    <n v="1"/>
    <x v="1"/>
    <n v="1"/>
    <n v="448.98238387999999"/>
    <n v="544885.01774513908"/>
    <n v="0"/>
    <s v="COIN"/>
    <s v="LONG"/>
    <s v="COIN LONG"/>
    <n v="544885.01774513896"/>
    <n v="1213.5999925796"/>
    <n v="0"/>
    <n v="0"/>
    <x v="9"/>
    <s v="ETH COIN LONG"/>
    <b v="0"/>
  </r>
  <r>
    <d v="2022-12-22T00:00:00"/>
    <s v="DEFI"/>
    <x v="25"/>
    <s v="ETH"/>
    <n v="2.96051419"/>
    <n v="3592.8799990158"/>
    <n v="1213.5999925796"/>
    <n v="0"/>
    <x v="3"/>
    <d v="2022-12-22T00:00:00"/>
    <n v="1"/>
    <x v="1"/>
    <n v="1"/>
    <n v="2.96051419"/>
    <n v="3592.8799990158004"/>
    <n v="0"/>
    <s v="COIN"/>
    <s v="LONG"/>
    <s v="COIN LONG"/>
    <n v="3592.8799990158"/>
    <n v="1213.5999925796"/>
    <n v="0"/>
    <n v="0"/>
    <x v="9"/>
    <s v="ETH COIN LONG"/>
    <b v="0"/>
  </r>
  <r>
    <d v="2022-12-22T00:00:00"/>
    <s v="DEFI"/>
    <x v="25"/>
    <s v="ETH"/>
    <n v="548.22376710000003"/>
    <n v="665324.35968452098"/>
    <n v="1213.5999925796"/>
    <n v="0"/>
    <x v="3"/>
    <d v="2022-12-22T00:00:00"/>
    <n v="1"/>
    <x v="1"/>
    <n v="1"/>
    <n v="548.22376710000003"/>
    <n v="665324.3596845204"/>
    <n v="0"/>
    <s v="COIN"/>
    <s v="LONG"/>
    <s v="COIN LONG"/>
    <n v="665324.35968452098"/>
    <n v="1213.5999925796"/>
    <n v="0"/>
    <n v="0"/>
    <x v="9"/>
    <s v="ETH COIN LONG"/>
    <b v="0"/>
  </r>
  <r>
    <d v="2022-12-22T00:00:00"/>
    <s v="DEFI"/>
    <x v="25"/>
    <s v="FXS"/>
    <n v="270.12425687000001"/>
    <n v="1336.43814250062"/>
    <n v="4.94749400881759"/>
    <n v="0"/>
    <x v="3"/>
    <d v="2022-12-22T00:00:00"/>
    <n v="1"/>
    <x v="76"/>
    <n v="1"/>
    <n v="270.12425687000001"/>
    <n v="1336.4381425006288"/>
    <n v="0"/>
    <s v="COIN"/>
    <s v="LONG"/>
    <s v="COIN LONG"/>
    <n v="1336.43814250062"/>
    <n v="4.94749400881759"/>
    <n v="0"/>
    <n v="0"/>
    <x v="9"/>
    <s v="FXS COIN LONG"/>
    <b v="0"/>
  </r>
  <r>
    <d v="2022-12-22T00:00:00"/>
    <s v="DEFI"/>
    <x v="26"/>
    <s v="USDC"/>
    <n v="12001154.931278"/>
    <n v="12002303.254946999"/>
    <n v="1.00009568443"/>
    <n v="0"/>
    <x v="3"/>
    <d v="2022-12-22T00:00:00"/>
    <n v="1"/>
    <x v="46"/>
    <n v="1"/>
    <n v="12001154.931278"/>
    <n v="12002303.25494694"/>
    <n v="0"/>
    <s v="COIN"/>
    <s v="LONG"/>
    <s v="COIN LONG"/>
    <n v="12002303.254946999"/>
    <n v="1.00009568443"/>
    <n v="0"/>
    <n v="0"/>
    <x v="9"/>
    <s v="USDC COIN LONG"/>
    <b v="0"/>
  </r>
  <r>
    <d v="2022-12-22T00:00:00"/>
    <s v="DYDX"/>
    <x v="3"/>
    <s v="USDC"/>
    <n v="174174.193871"/>
    <n v="174190.85962946201"/>
    <n v="1.00009568443"/>
    <n v="0"/>
    <x v="3"/>
    <d v="2022-12-22T00:00:00"/>
    <n v="1"/>
    <x v="46"/>
    <n v="1"/>
    <n v="174174.193871"/>
    <n v="174190.85962946125"/>
    <n v="0"/>
    <s v="COIN"/>
    <s v="LONG"/>
    <s v="COIN LONG"/>
    <n v="174190.85962946201"/>
    <n v="1.00009568443"/>
    <n v="0"/>
    <n v="0"/>
    <x v="1"/>
    <s v="USDC COIN LONG"/>
    <b v="1"/>
  </r>
  <r>
    <d v="2022-12-22T00:00:00"/>
    <s v="HUOBI"/>
    <x v="27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0"/>
    <s v="ADA COIN LONG"/>
    <b v="0"/>
  </r>
  <r>
    <d v="2022-12-22T00:00:00"/>
    <s v="HUOBI"/>
    <x v="27"/>
    <s v="BCH"/>
    <n v="4.9999999999999998E-8"/>
    <n v="5.0170218006179799E-6"/>
    <n v="100.34043601235901"/>
    <n v="0"/>
    <x v="3"/>
    <d v="2022-12-22T00:00:00"/>
    <n v="1"/>
    <x v="4"/>
    <n v="1"/>
    <n v="4.9999999999999998E-8"/>
    <n v="5.0170218006179502E-6"/>
    <n v="0"/>
    <s v="COIN"/>
    <s v="LONG"/>
    <s v="COIN LONG"/>
    <n v="5.0170218006179799E-6"/>
    <n v="100.34043601235901"/>
    <n v="0"/>
    <n v="0"/>
    <x v="10"/>
    <s v="BCH COIN LONG"/>
    <b v="0"/>
  </r>
  <r>
    <d v="2022-12-22T00:00:00"/>
    <s v="HUOBI"/>
    <x v="27"/>
    <s v="BSV"/>
    <n v="0.47315189000000002"/>
    <n v="21.222189966999299"/>
    <n v="44.852806076710998"/>
    <n v="0"/>
    <x v="3"/>
    <d v="2022-12-22T00:00:00"/>
    <n v="1"/>
    <x v="77"/>
    <n v="1"/>
    <n v="0.47315189000000002"/>
    <n v="21.222189966999295"/>
    <n v="0"/>
    <s v="COIN"/>
    <s v="LONG"/>
    <s v="COIN LONG"/>
    <n v="21.222189966999299"/>
    <n v="44.852806076710998"/>
    <n v="0"/>
    <n v="0"/>
    <x v="10"/>
    <s v="BSV COIN LONG"/>
    <b v="0"/>
  </r>
  <r>
    <d v="2022-12-22T00:00:00"/>
    <s v="HUOBI"/>
    <x v="27"/>
    <s v="BTC"/>
    <n v="4.0000000000000001E-8"/>
    <n v="6.72701375462039E-4"/>
    <n v="16817.534386550898"/>
    <n v="0"/>
    <x v="3"/>
    <d v="2022-12-22T00:00:00"/>
    <n v="1"/>
    <x v="0"/>
    <n v="1"/>
    <n v="4.0000000000000001E-8"/>
    <n v="6.7270137546203597E-4"/>
    <n v="0"/>
    <s v="COIN"/>
    <s v="LONG"/>
    <s v="COIN LONG"/>
    <n v="6.72701375462039E-4"/>
    <n v="16817.534386550898"/>
    <n v="0"/>
    <n v="0"/>
    <x v="10"/>
    <s v="BTC COIN LONG"/>
    <b v="0"/>
  </r>
  <r>
    <d v="2022-12-22T00:00:00"/>
    <s v="HUOBI"/>
    <x v="27"/>
    <s v="EOS"/>
    <n v="2.9999999999999997E-8"/>
    <n v="2.6638521567682001E-8"/>
    <n v="0.88795071892273303"/>
    <n v="0"/>
    <x v="3"/>
    <d v="2022-12-22T00:00:00"/>
    <n v="1"/>
    <x v="3"/>
    <n v="1"/>
    <n v="2.9999999999999997E-8"/>
    <n v="2.6638521567681988E-8"/>
    <n v="0"/>
    <s v="COIN"/>
    <s v="LONG"/>
    <s v="COIN LONG"/>
    <n v="2.6638521567682001E-8"/>
    <n v="0.88795071892273303"/>
    <n v="0"/>
    <n v="0"/>
    <x v="10"/>
    <s v="EOS COIN LONG"/>
    <b v="0"/>
  </r>
  <r>
    <d v="2022-12-22T00:00:00"/>
    <s v="HUOBI"/>
    <x v="27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0"/>
    <s v="ETC COIN LONG"/>
    <b v="0"/>
  </r>
  <r>
    <d v="2022-12-22T00:00:00"/>
    <s v="HUOBI"/>
    <x v="27"/>
    <s v="ETH"/>
    <n v="2.9999999999999997E-8"/>
    <n v="3.6407999777387999E-5"/>
    <n v="1213.5999925796"/>
    <n v="0"/>
    <x v="3"/>
    <d v="2022-12-22T00:00:00"/>
    <n v="1"/>
    <x v="1"/>
    <n v="1"/>
    <n v="2.9999999999999997E-8"/>
    <n v="3.6407999777387999E-5"/>
    <n v="0"/>
    <s v="COIN"/>
    <s v="LONG"/>
    <s v="COIN LONG"/>
    <n v="3.6407999777387999E-5"/>
    <n v="1213.5999925796"/>
    <n v="0"/>
    <n v="0"/>
    <x v="10"/>
    <s v="ETH COIN LONG"/>
    <b v="0"/>
  </r>
  <r>
    <d v="2022-12-22T00:00:00"/>
    <s v="HUOBI"/>
    <x v="27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0"/>
    <s v="LTC COIN LONG"/>
    <b v="0"/>
  </r>
  <r>
    <d v="2022-12-22T00:00:00"/>
    <s v="HUOBI"/>
    <x v="27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10"/>
    <s v="TRX COIN LONG"/>
    <b v="0"/>
  </r>
  <r>
    <d v="2022-12-22T00:00:00"/>
    <s v="HUOBI"/>
    <x v="27"/>
    <s v="XRP"/>
    <n v="9.9999999999999995E-8"/>
    <n v="3.4601965845620202E-8"/>
    <n v="0.34601965845620197"/>
    <n v="0"/>
    <x v="3"/>
    <d v="2022-12-22T00:00:00"/>
    <n v="1"/>
    <x v="45"/>
    <n v="1"/>
    <n v="9.9999999999999995E-8"/>
    <n v="3.4601965845620195E-8"/>
    <n v="0"/>
    <s v="COIN"/>
    <s v="LONG"/>
    <s v="COIN LONG"/>
    <n v="3.4601965845620202E-8"/>
    <n v="0.34601965845620197"/>
    <n v="0"/>
    <n v="0"/>
    <x v="10"/>
    <s v="XRP COIN LONG"/>
    <b v="0"/>
  </r>
  <r>
    <d v="2022-12-22T00:00:00"/>
    <s v="HUOBI"/>
    <x v="4"/>
    <s v="ADA"/>
    <n v="5.7406599999999999E-3"/>
    <n v="1.45327114943895E-3"/>
    <n v="0.25315401877814703"/>
    <n v="0"/>
    <x v="3"/>
    <d v="2022-12-22T00:00:00"/>
    <n v="1"/>
    <x v="14"/>
    <n v="1"/>
    <n v="5.7406599999999999E-3"/>
    <n v="1.4532711494389574E-3"/>
    <n v="0"/>
    <s v="COIN"/>
    <s v="LONG"/>
    <s v="COIN LONG"/>
    <n v="1.45327114943895E-3"/>
    <n v="0.25315401877814703"/>
    <n v="0"/>
    <n v="0"/>
    <x v="2"/>
    <s v="ADA COIN LONG"/>
    <b v="1"/>
  </r>
  <r>
    <d v="2022-12-22T00:00:00"/>
    <s v="HUOBI"/>
    <x v="4"/>
    <s v="BCH"/>
    <n v="0.72885027999999996"/>
    <n v="73.133154882930398"/>
    <n v="100.34043601235901"/>
    <n v="0"/>
    <x v="3"/>
    <d v="2022-12-22T00:00:00"/>
    <n v="1"/>
    <x v="4"/>
    <n v="1"/>
    <n v="0.72885027999999996"/>
    <n v="73.133154882929944"/>
    <n v="0"/>
    <s v="COIN"/>
    <s v="LONG"/>
    <s v="COIN LONG"/>
    <n v="73.133154882930398"/>
    <n v="100.34043601235901"/>
    <n v="0"/>
    <n v="0"/>
    <x v="2"/>
    <s v="BCH COIN LONG"/>
    <b v="1"/>
  </r>
  <r>
    <d v="2022-12-22T00:00:00"/>
    <s v="HUOBI"/>
    <x v="4"/>
    <s v="BSV"/>
    <n v="0.11285791000000001"/>
    <n v="5.0619939514529104"/>
    <n v="44.852806076711097"/>
    <n v="0"/>
    <x v="3"/>
    <d v="2022-12-22T00:00:00"/>
    <n v="1"/>
    <x v="77"/>
    <n v="1"/>
    <n v="0.11285791000000001"/>
    <n v="5.0619939514529033"/>
    <n v="0"/>
    <s v="COIN"/>
    <s v="LONG"/>
    <s v="COIN LONG"/>
    <n v="5.0619939514529104"/>
    <n v="44.852806076711097"/>
    <n v="0"/>
    <n v="0"/>
    <x v="2"/>
    <s v="BSV COIN LONG"/>
    <b v="1"/>
  </r>
  <r>
    <d v="2022-12-22T00:00:00"/>
    <s v="HUOBI"/>
    <x v="4"/>
    <s v="BTC"/>
    <n v="6.4747141299999997"/>
    <n v="108888.727524362"/>
    <n v="16817.534386550898"/>
    <n v="0"/>
    <x v="3"/>
    <d v="2022-12-22T00:00:00"/>
    <n v="1"/>
    <x v="0"/>
    <n v="1"/>
    <n v="6.4747141299999997"/>
    <n v="108888.72752436198"/>
    <n v="0"/>
    <s v="COIN"/>
    <s v="LONG"/>
    <s v="COIN LONG"/>
    <n v="108888.727524362"/>
    <n v="16817.534386550898"/>
    <n v="0"/>
    <n v="0"/>
    <x v="2"/>
    <s v="BTC COIN LONG"/>
    <b v="1"/>
  </r>
  <r>
    <d v="2022-12-22T00:00:00"/>
    <s v="HUOBI"/>
    <x v="4"/>
    <s v="DOT"/>
    <n v="0.97764076"/>
    <n v="4.3799739936634801"/>
    <n v="4.4801466682541804"/>
    <n v="0"/>
    <x v="3"/>
    <d v="2022-12-22T00:00:00"/>
    <n v="1"/>
    <x v="23"/>
    <n v="1"/>
    <n v="0.97764076"/>
    <n v="4.3799739936634845"/>
    <n v="0"/>
    <s v="COIN"/>
    <s v="LONG"/>
    <s v="COIN LONG"/>
    <n v="4.3799739936634801"/>
    <n v="4.4801466682541804"/>
    <n v="0"/>
    <n v="0"/>
    <x v="2"/>
    <s v="DOT COIN LONG"/>
    <b v="1"/>
  </r>
  <r>
    <d v="2022-12-22T00:00:00"/>
    <s v="HUOBI"/>
    <x v="4"/>
    <s v="EOS"/>
    <n v="3.7085149999999997E-2"/>
    <n v="3.2929785603857398E-2"/>
    <n v="0.88795071892273303"/>
    <n v="0"/>
    <x v="3"/>
    <d v="2022-12-22T00:00:00"/>
    <n v="1"/>
    <x v="3"/>
    <n v="1"/>
    <n v="3.7085149999999997E-2"/>
    <n v="3.2929785603857391E-2"/>
    <n v="0"/>
    <s v="COIN"/>
    <s v="LONG"/>
    <s v="COIN LONG"/>
    <n v="3.2929785603857398E-2"/>
    <n v="0.88795071892273303"/>
    <n v="0"/>
    <n v="0"/>
    <x v="2"/>
    <s v="EOS COIN LONG"/>
    <b v="1"/>
  </r>
  <r>
    <d v="2022-12-22T00:00:00"/>
    <s v="HUOBI"/>
    <x v="4"/>
    <s v="ETC"/>
    <n v="0.70701212999999996"/>
    <n v="11.751353145571899"/>
    <n v="16.621147851553701"/>
    <n v="0"/>
    <x v="3"/>
    <d v="2022-12-22T00:00:00"/>
    <n v="1"/>
    <x v="5"/>
    <n v="1"/>
    <n v="0.70701212999999996"/>
    <n v="11.751353145571905"/>
    <n v="0"/>
    <s v="COIN"/>
    <s v="LONG"/>
    <s v="COIN LONG"/>
    <n v="11.751353145571899"/>
    <n v="16.621147851553701"/>
    <n v="0"/>
    <n v="0"/>
    <x v="2"/>
    <s v="ETC COIN LONG"/>
    <b v="1"/>
  </r>
  <r>
    <d v="2022-12-22T00:00:00"/>
    <s v="HUOBI"/>
    <x v="4"/>
    <s v="ETH"/>
    <n v="513.39339651"/>
    <n v="623054.22219495196"/>
    <n v="1213.5999925796"/>
    <n v="0"/>
    <x v="3"/>
    <d v="2022-12-22T00:00:00"/>
    <n v="1"/>
    <x v="1"/>
    <n v="1"/>
    <n v="513.39339651"/>
    <n v="623054.22219495161"/>
    <n v="0"/>
    <s v="COIN"/>
    <s v="LONG"/>
    <s v="COIN LONG"/>
    <n v="623054.22219495196"/>
    <n v="1213.5999925796"/>
    <n v="0"/>
    <n v="0"/>
    <x v="2"/>
    <s v="ETH COIN LONG"/>
    <b v="1"/>
  </r>
  <r>
    <d v="2022-12-22T00:00:00"/>
    <s v="HUOBI"/>
    <x v="4"/>
    <s v="ETH"/>
    <n v="5.8887120000000001E-2"/>
    <n v="71.465408395034004"/>
    <n v="1213.5999925796"/>
    <n v="0"/>
    <x v="4"/>
    <d v="2022-12-22T00:00:00"/>
    <n v="1"/>
    <x v="1"/>
    <n v="1"/>
    <n v="5.8887120000000001E-2"/>
    <n v="71.465408395034018"/>
    <n v="0"/>
    <s v="COIN"/>
    <s v="LONG"/>
    <s v="COIN LONG"/>
    <n v="71.465408395034004"/>
    <n v="1213.5999925796"/>
    <n v="0"/>
    <n v="0"/>
    <x v="2"/>
    <s v="ETH COIN LONG"/>
    <b v="1"/>
  </r>
  <r>
    <d v="2022-12-22T00:00:00"/>
    <s v="HUOBI"/>
    <x v="4"/>
    <s v="LINK"/>
    <n v="6.244243E-2"/>
    <n v="0.37348422910111101"/>
    <n v="5.9812571211772401"/>
    <n v="0"/>
    <x v="3"/>
    <d v="2022-12-22T00:00:00"/>
    <n v="1"/>
    <x v="10"/>
    <n v="1"/>
    <n v="6.244243E-2"/>
    <n v="0.37348422910111134"/>
    <n v="0"/>
    <s v="COIN"/>
    <s v="LONG"/>
    <s v="COIN LONG"/>
    <n v="0.37348422910111101"/>
    <n v="5.9812571211772401"/>
    <n v="0"/>
    <n v="0"/>
    <x v="2"/>
    <s v="LINK COIN LONG"/>
    <b v="1"/>
  </r>
  <r>
    <d v="2022-12-22T00:00:00"/>
    <s v="HUOBI"/>
    <x v="4"/>
    <s v="LTC"/>
    <n v="7.1564416099999999"/>
    <n v="467.96973323760102"/>
    <n v="65.391399628509205"/>
    <n v="0"/>
    <x v="3"/>
    <d v="2022-12-22T00:00:00"/>
    <n v="1"/>
    <x v="6"/>
    <n v="1"/>
    <n v="7.1564416099999999"/>
    <n v="467.96973323760182"/>
    <n v="0"/>
    <s v="COIN"/>
    <s v="LONG"/>
    <s v="COIN LONG"/>
    <n v="467.96973323760102"/>
    <n v="65.391399628509205"/>
    <n v="0"/>
    <n v="0"/>
    <x v="2"/>
    <s v="LTC COIN LONG"/>
    <b v="1"/>
  </r>
  <r>
    <d v="2022-12-22T00:00:00"/>
    <s v="HUOBI"/>
    <x v="4"/>
    <s v="TRX"/>
    <n v="0.95766242000000001"/>
    <n v="5.2525084328381898E-2"/>
    <n v="5.4847181252431203E-2"/>
    <n v="0"/>
    <x v="3"/>
    <d v="2022-12-22T00:00:00"/>
    <n v="1"/>
    <x v="78"/>
    <n v="1"/>
    <n v="0.95766242000000001"/>
    <n v="5.2525084328381898E-2"/>
    <n v="0"/>
    <s v="COIN"/>
    <s v="LONG"/>
    <s v="COIN LONG"/>
    <n v="5.2525084328381898E-2"/>
    <n v="5.4847181252431203E-2"/>
    <n v="0"/>
    <n v="0"/>
    <x v="2"/>
    <s v="TRX COIN LONG"/>
    <b v="1"/>
  </r>
  <r>
    <d v="2022-12-22T00:00:00"/>
    <s v="HUOBI"/>
    <x v="4"/>
    <s v="XRP"/>
    <n v="0.54364484000000002"/>
    <n v="0.188111801858276"/>
    <n v="0.34601965845620197"/>
    <n v="0"/>
    <x v="3"/>
    <d v="2022-12-22T00:00:00"/>
    <n v="1"/>
    <x v="45"/>
    <n v="1"/>
    <n v="0.54364484000000002"/>
    <n v="0.18811180185827658"/>
    <n v="0"/>
    <s v="COIN"/>
    <s v="LONG"/>
    <s v="COIN LONG"/>
    <n v="0.188111801858276"/>
    <n v="0.34601965845620197"/>
    <n v="0"/>
    <n v="0"/>
    <x v="2"/>
    <s v="XRP COIN LONG"/>
    <b v="1"/>
  </r>
  <r>
    <d v="2022-12-22T00:00:00"/>
    <s v="GATE"/>
    <x v="28"/>
    <s v="BTC"/>
    <n v="9.9829999999999998E-5"/>
    <n v="1.6788944578093801"/>
    <n v="16817.534386550898"/>
    <n v="0"/>
    <x v="3"/>
    <d v="2022-12-22T00:00:00"/>
    <n v="1"/>
    <x v="0"/>
    <n v="1"/>
    <n v="9.9829999999999998E-5"/>
    <n v="1.6788944578093761"/>
    <n v="0"/>
    <s v="COIN"/>
    <s v="LONG"/>
    <s v="COIN LONG"/>
    <n v="1.6788944578093801"/>
    <n v="16817.534386550898"/>
    <n v="0"/>
    <n v="0"/>
    <x v="11"/>
    <s v="BTC COIN LONG"/>
    <b v="1"/>
  </r>
  <r>
    <d v="2022-12-22T00:00:00"/>
    <s v="GATE"/>
    <x v="28"/>
    <s v="USDT"/>
    <n v="10195.06528393"/>
    <n v="10195.8497475063"/>
    <n v="1.0000769454196099"/>
    <n v="0"/>
    <x v="3"/>
    <d v="2022-12-22T00:00:00"/>
    <n v="1"/>
    <x v="37"/>
    <n v="1"/>
    <n v="10195.06528393"/>
    <n v="10195.849747506223"/>
    <n v="0"/>
    <s v="COIN"/>
    <s v="LONG"/>
    <s v="COIN LONG"/>
    <n v="10195.8497475063"/>
    <n v="1.0000769454196099"/>
    <n v="0"/>
    <n v="0"/>
    <x v="11"/>
    <s v="USDT COIN LONG"/>
    <b v="1"/>
  </r>
  <r>
    <d v="2022-12-22T00:00:00"/>
    <s v="GATE"/>
    <x v="29"/>
    <s v="BTC"/>
    <n v="1.899957E-2"/>
    <n v="319.52592180468201"/>
    <n v="16817.534386550898"/>
    <n v="0"/>
    <x v="3"/>
    <d v="2022-12-22T00:00:00"/>
    <n v="1"/>
    <x v="0"/>
    <n v="1"/>
    <n v="1.899957E-2"/>
    <n v="319.52592180468088"/>
    <n v="0"/>
    <s v="COIN"/>
    <s v="LONG"/>
    <s v="COIN LONG"/>
    <n v="319.52592180468201"/>
    <n v="16817.534386550898"/>
    <n v="0"/>
    <n v="0"/>
    <x v="11"/>
    <s v="BTC COIN LONG"/>
    <b v="1"/>
  </r>
  <r>
    <d v="2022-12-22T00:00:00"/>
    <s v="GATE"/>
    <x v="29"/>
    <s v="ETHF"/>
    <n v="9.9825000000000001E-4"/>
    <n v="4.36327567710574E-4"/>
    <n v="0.43709247954978703"/>
    <n v="0"/>
    <x v="3"/>
    <d v="2022-12-22T00:00:00"/>
    <n v="1"/>
    <x v="79"/>
    <n v="1"/>
    <n v="9.9825000000000001E-4"/>
    <n v="4.3632756771057492E-4"/>
    <n v="0"/>
    <s v="COIN"/>
    <s v="LONG"/>
    <s v="COIN LONG"/>
    <n v="4.36327567710574E-4"/>
    <n v="0.43709247954978703"/>
    <n v="0"/>
    <n v="0"/>
    <x v="11"/>
    <s v="ETHF COIN LONG"/>
    <b v="1"/>
  </r>
  <r>
    <d v="2022-12-22T00:00:00"/>
    <s v="GATE"/>
    <x v="29"/>
    <s v="ETHW"/>
    <n v="9.9825000000000001E-4"/>
    <n v="2.93585622986157E-3"/>
    <n v="2.9410029850854702"/>
    <n v="0"/>
    <x v="3"/>
    <d v="2022-12-22T00:00:00"/>
    <n v="1"/>
    <x v="41"/>
    <n v="1"/>
    <n v="9.9825000000000001E-4"/>
    <n v="2.9358562298615705E-3"/>
    <n v="0"/>
    <s v="COIN"/>
    <s v="LONG"/>
    <s v="COIN LONG"/>
    <n v="2.93585622986157E-3"/>
    <n v="2.9410029850854702"/>
    <n v="0"/>
    <n v="0"/>
    <x v="11"/>
    <s v="ETHW COIN LONG"/>
    <b v="1"/>
  </r>
  <r>
    <d v="2022-12-22T00:00:00"/>
    <s v="GATE"/>
    <x v="29"/>
    <s v="ROSE"/>
    <n v="9.5929999999999998E-5"/>
    <n v="3.30859490071136E-6"/>
    <n v="3.4489678939970403E-2"/>
    <n v="0"/>
    <x v="3"/>
    <d v="2022-12-22T00:00:00"/>
    <n v="1"/>
    <x v="80"/>
    <n v="1"/>
    <n v="9.5929999999999998E-5"/>
    <n v="3.3085949007113608E-6"/>
    <n v="0"/>
    <s v="COIN"/>
    <s v="LONG"/>
    <s v="COIN LONG"/>
    <n v="3.30859490071136E-6"/>
    <n v="3.4489678939970403E-2"/>
    <n v="0"/>
    <n v="0"/>
    <x v="11"/>
    <s v="ROSE COIN LONG"/>
    <b v="1"/>
  </r>
  <r>
    <d v="2022-12-22T00:00:00"/>
    <s v="GATE"/>
    <x v="29"/>
    <s v="USDT"/>
    <n v="27.162898349999999"/>
    <n v="27.1649884106115"/>
    <n v="1.0000769454196099"/>
    <n v="0"/>
    <x v="3"/>
    <d v="2022-12-22T00:00:00"/>
    <n v="1"/>
    <x v="37"/>
    <n v="1"/>
    <n v="27.162898349999999"/>
    <n v="27.164988410611361"/>
    <n v="0"/>
    <s v="COIN"/>
    <s v="LONG"/>
    <s v="COIN LONG"/>
    <n v="27.1649884106115"/>
    <n v="1.0000769454196099"/>
    <n v="0"/>
    <n v="0"/>
    <x v="11"/>
    <s v="USDT COIN LONG"/>
    <b v="1"/>
  </r>
  <r>
    <d v="2022-12-22T00:00:00"/>
    <s v="GATE"/>
    <x v="30"/>
    <s v="BTC"/>
    <n v="1.995E-4"/>
    <n v="3.3550981101169199"/>
    <n v="16817.534386550898"/>
    <n v="0"/>
    <x v="3"/>
    <d v="2022-12-22T00:00:00"/>
    <n v="1"/>
    <x v="0"/>
    <n v="1"/>
    <n v="1.995E-4"/>
    <n v="3.3550981101169044"/>
    <n v="0"/>
    <s v="COIN"/>
    <s v="LONG"/>
    <s v="COIN LONG"/>
    <n v="3.3550981101169199"/>
    <n v="16817.534386550898"/>
    <n v="0"/>
    <n v="0"/>
    <x v="11"/>
    <s v="BTC COIN LONG"/>
    <b v="1"/>
  </r>
  <r>
    <d v="2022-12-22T00:00:00"/>
    <s v="GATE"/>
    <x v="30"/>
    <s v="ETH"/>
    <n v="9.9825000000000001E-4"/>
    <n v="1.2114761925925801"/>
    <n v="1213.5999925796"/>
    <n v="0"/>
    <x v="3"/>
    <d v="2022-12-22T00:00:00"/>
    <n v="1"/>
    <x v="1"/>
    <n v="1"/>
    <n v="9.9825000000000001E-4"/>
    <n v="1.2114761925925857"/>
    <n v="0"/>
    <s v="COIN"/>
    <s v="LONG"/>
    <s v="COIN LONG"/>
    <n v="1.2114761925925801"/>
    <n v="1213.5999925796"/>
    <n v="0"/>
    <n v="0"/>
    <x v="11"/>
    <s v="ETH COIN LONG"/>
    <b v="1"/>
  </r>
  <r>
    <d v="2022-12-22T00:00:00"/>
    <s v="GATE"/>
    <x v="30"/>
    <s v="USDT"/>
    <n v="59.393906000000001"/>
    <n v="59.398476089019901"/>
    <n v="1.0000769454196099"/>
    <n v="0"/>
    <x v="3"/>
    <d v="2022-12-22T00:00:00"/>
    <n v="1"/>
    <x v="37"/>
    <n v="1"/>
    <n v="59.393906000000001"/>
    <n v="59.398476089019439"/>
    <n v="0"/>
    <s v="COIN"/>
    <s v="LONG"/>
    <s v="COIN LONG"/>
    <n v="59.398476089019901"/>
    <n v="1.0000769454196099"/>
    <n v="0"/>
    <n v="0"/>
    <x v="11"/>
    <s v="USDT COIN LONG"/>
    <b v="1"/>
  </r>
  <r>
    <d v="2022-12-22T00:00:00"/>
    <s v="GATE"/>
    <x v="31"/>
    <s v="USDT"/>
    <n v="10045.297630999999"/>
    <n v="10046.070570641399"/>
    <n v="1.0000769454196099"/>
    <n v="0"/>
    <x v="3"/>
    <d v="2022-12-22T00:00:00"/>
    <n v="1"/>
    <x v="37"/>
    <n v="1"/>
    <n v="10045.297630999999"/>
    <n v="10046.070570641323"/>
    <n v="0"/>
    <s v="COIN"/>
    <s v="LONG"/>
    <s v="COIN LONG"/>
    <n v="10046.070570641399"/>
    <n v="1.0000769454196099"/>
    <n v="0"/>
    <n v="0"/>
    <x v="11"/>
    <s v="USDT COIN LONG"/>
    <b v="1"/>
  </r>
  <r>
    <d v="2022-12-21T00:00:00"/>
    <s v="HUOBI"/>
    <x v="32"/>
    <s v="USDT"/>
    <n v="1E-8"/>
    <n v="1.00007694541961E-8"/>
    <n v="1.0000769454196099"/>
    <n v="0"/>
    <x v="3"/>
    <d v="2022-12-21T00:00:00"/>
    <n v="1"/>
    <x v="37"/>
    <n v="1"/>
    <n v="1E-8"/>
    <n v="1.0000769454196098E-8"/>
    <n v="0"/>
    <s v="COIN"/>
    <s v="LONG"/>
    <s v="COIN LONG"/>
    <n v="1.00007694541961E-8"/>
    <n v="1.0000769454196099"/>
    <n v="0"/>
    <n v="0"/>
    <x v="12"/>
    <s v="USDT COIN LONG"/>
    <b v="0"/>
  </r>
  <r>
    <d v="2022-12-21T00:00:00"/>
    <s v="HUOBI"/>
    <x v="32"/>
    <s v="XRP"/>
    <n v="7.4209999999999996E-5"/>
    <n v="2.5678118854034701E-5"/>
    <n v="0.34601965845620197"/>
    <n v="0"/>
    <x v="3"/>
    <d v="2022-12-21T00:00:00"/>
    <n v="1"/>
    <x v="45"/>
    <n v="1"/>
    <n v="7.4209999999999996E-5"/>
    <n v="2.5678118854034749E-5"/>
    <n v="0"/>
    <s v="COIN"/>
    <s v="LONG"/>
    <s v="COIN LONG"/>
    <n v="2.5678118854034701E-5"/>
    <n v="0.34601965845620197"/>
    <n v="0"/>
    <n v="0"/>
    <x v="12"/>
    <s v="XRP COIN LONG"/>
    <b v="0"/>
  </r>
  <r>
    <d v="2022-12-22T00:00:00"/>
    <s v="HUOBI"/>
    <x v="33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2"/>
    <s v="ADA COIN LONG"/>
    <b v="0"/>
  </r>
  <r>
    <d v="2022-12-22T00:00:00"/>
    <s v="HUOBI"/>
    <x v="33"/>
    <s v="BCH"/>
    <n v="1E-8"/>
    <n v="1.0034043601235901E-6"/>
    <n v="100.34043601235901"/>
    <n v="0"/>
    <x v="3"/>
    <d v="2022-12-22T00:00:00"/>
    <n v="1"/>
    <x v="4"/>
    <n v="1"/>
    <n v="1E-8"/>
    <n v="1.0034043601235901E-6"/>
    <n v="0"/>
    <s v="COIN"/>
    <s v="LONG"/>
    <s v="COIN LONG"/>
    <n v="1.0034043601235901E-6"/>
    <n v="100.34043601235901"/>
    <n v="0"/>
    <n v="0"/>
    <x v="12"/>
    <s v="BCH COIN LONG"/>
    <b v="0"/>
  </r>
  <r>
    <d v="2022-12-22T00:00:00"/>
    <s v="HUOBI"/>
    <x v="33"/>
    <s v="BSV"/>
    <n v="1E-8"/>
    <n v="4.4852806076711E-7"/>
    <n v="44.852806076710998"/>
    <n v="0"/>
    <x v="3"/>
    <d v="2022-12-22T00:00:00"/>
    <n v="1"/>
    <x v="77"/>
    <n v="1"/>
    <n v="1E-8"/>
    <n v="4.4852806076711E-7"/>
    <n v="0"/>
    <s v="COIN"/>
    <s v="LONG"/>
    <s v="COIN LONG"/>
    <n v="4.4852806076711E-7"/>
    <n v="44.852806076710998"/>
    <n v="0"/>
    <n v="0"/>
    <x v="12"/>
    <s v="BSV COIN LONG"/>
    <b v="0"/>
  </r>
  <r>
    <d v="2022-12-22T00:00:00"/>
    <s v="HUOBI"/>
    <x v="33"/>
    <s v="EOS"/>
    <n v="1E-8"/>
    <n v="8.8795071892273299E-9"/>
    <n v="0.88795071892273303"/>
    <n v="0"/>
    <x v="3"/>
    <d v="2022-12-22T00:00:00"/>
    <n v="1"/>
    <x v="3"/>
    <n v="1"/>
    <n v="1E-8"/>
    <n v="8.8795071892273299E-9"/>
    <n v="0"/>
    <s v="COIN"/>
    <s v="LONG"/>
    <s v="COIN LONG"/>
    <n v="8.8795071892273299E-9"/>
    <n v="0.88795071892273303"/>
    <n v="0"/>
    <n v="0"/>
    <x v="12"/>
    <s v="EOS COIN LONG"/>
    <b v="0"/>
  </r>
  <r>
    <d v="2022-12-22T00:00:00"/>
    <s v="HUOBI"/>
    <x v="33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2"/>
    <s v="ETC COIN LONG"/>
    <b v="0"/>
  </r>
  <r>
    <d v="2022-12-22T00:00:00"/>
    <s v="HUOBI"/>
    <x v="33"/>
    <s v="ETH"/>
    <n v="1E-8"/>
    <n v="1.2135999925795999E-5"/>
    <n v="1213.5999925796"/>
    <n v="0"/>
    <x v="3"/>
    <d v="2022-12-22T00:00:00"/>
    <n v="1"/>
    <x v="1"/>
    <n v="1"/>
    <n v="1E-8"/>
    <n v="1.2135999925796001E-5"/>
    <n v="0"/>
    <s v="COIN"/>
    <s v="LONG"/>
    <s v="COIN LONG"/>
    <n v="1.2135999925795999E-5"/>
    <n v="1213.5999925796"/>
    <n v="0"/>
    <n v="0"/>
    <x v="12"/>
    <s v="ETH COIN LONG"/>
    <b v="0"/>
  </r>
  <r>
    <d v="2022-12-22T00:00:00"/>
    <s v="HUOBI"/>
    <x v="33"/>
    <s v="LINK"/>
    <n v="1E-8"/>
    <n v="5.9812571211772398E-8"/>
    <n v="5.9812571211772401"/>
    <n v="0"/>
    <x v="3"/>
    <d v="2022-12-22T00:00:00"/>
    <n v="1"/>
    <x v="10"/>
    <n v="1"/>
    <n v="1E-8"/>
    <n v="5.9812571211772398E-8"/>
    <n v="0"/>
    <s v="COIN"/>
    <s v="LONG"/>
    <s v="COIN LONG"/>
    <n v="5.9812571211772398E-8"/>
    <n v="5.9812571211772401"/>
    <n v="0"/>
    <n v="0"/>
    <x v="12"/>
    <s v="LINK COIN LONG"/>
    <b v="0"/>
  </r>
  <r>
    <d v="2022-12-22T00:00:00"/>
    <s v="HUOBI"/>
    <x v="33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2"/>
    <s v="LTC COIN LONG"/>
    <b v="0"/>
  </r>
  <r>
    <d v="2022-12-22T00:00:00"/>
    <s v="HUOBI"/>
    <x v="33"/>
    <s v="USDT"/>
    <n v="3.2621029500000001"/>
    <n v="3.2623539538803201"/>
    <n v="1.0000769454196099"/>
    <n v="0"/>
    <x v="3"/>
    <d v="2022-12-22T00:00:00"/>
    <n v="1"/>
    <x v="37"/>
    <n v="1"/>
    <n v="3.2621029500000001"/>
    <n v="3.2623539538802984"/>
    <n v="0"/>
    <s v="COIN"/>
    <s v="LONG"/>
    <s v="COIN LONG"/>
    <n v="3.2623539538803201"/>
    <n v="1.0000769454196099"/>
    <n v="0"/>
    <n v="0"/>
    <x v="12"/>
    <s v="USDT COIN LONG"/>
    <b v="0"/>
  </r>
  <r>
    <d v="2022-12-22T00:00:00"/>
    <s v="HUOBI"/>
    <x v="33"/>
    <s v="XRP"/>
    <n v="6.4869999999999994E-5"/>
    <n v="2.2446295244053799E-5"/>
    <n v="0.34601965845620197"/>
    <n v="0"/>
    <x v="3"/>
    <d v="2022-12-22T00:00:00"/>
    <n v="1"/>
    <x v="45"/>
    <n v="1"/>
    <n v="6.4869999999999994E-5"/>
    <n v="2.2446295244053819E-5"/>
    <n v="0"/>
    <s v="COIN"/>
    <s v="LONG"/>
    <s v="COIN LONG"/>
    <n v="2.2446295244053799E-5"/>
    <n v="0.34601965845620197"/>
    <n v="0"/>
    <n v="0"/>
    <x v="12"/>
    <s v="XRP COIN LONG"/>
    <b v="0"/>
  </r>
  <r>
    <d v="2022-12-22T00:00:00"/>
    <s v="HUOBI"/>
    <x v="5"/>
    <s v="AAVE"/>
    <n v="0.10014646000000001"/>
    <n v="5.6076616083522097"/>
    <n v="55.994606383013597"/>
    <n v="0"/>
    <x v="3"/>
    <d v="2022-12-22T00:00:00"/>
    <n v="1"/>
    <x v="13"/>
    <n v="1"/>
    <n v="0.10014646000000001"/>
    <n v="5.6076616083522159"/>
    <n v="0"/>
    <s v="COIN"/>
    <s v="LONG"/>
    <s v="COIN LONG"/>
    <n v="5.6076616083522097"/>
    <n v="55.994606383013597"/>
    <n v="0"/>
    <n v="0"/>
    <x v="3"/>
    <s v="AAVE COIN LONG"/>
    <b v="1"/>
  </r>
  <r>
    <d v="2022-12-22T00:00:00"/>
    <s v="HUOBI"/>
    <x v="5"/>
    <s v="ADA"/>
    <n v="3.2091999999999998E-4"/>
    <n v="8.1242187706282896E-5"/>
    <n v="0.25315401877814703"/>
    <n v="0"/>
    <x v="3"/>
    <d v="2022-12-22T00:00:00"/>
    <n v="1"/>
    <x v="14"/>
    <n v="1"/>
    <n v="3.2091999999999998E-4"/>
    <n v="8.1242187706282937E-5"/>
    <n v="0"/>
    <s v="COIN"/>
    <s v="LONG"/>
    <s v="COIN LONG"/>
    <n v="8.1242187706282896E-5"/>
    <n v="0.25315401877814703"/>
    <n v="0"/>
    <n v="0"/>
    <x v="3"/>
    <s v="ADA COIN LONG"/>
    <b v="1"/>
  </r>
  <r>
    <d v="2022-12-22T00:00:00"/>
    <s v="HUOBI"/>
    <x v="5"/>
    <s v="BCH"/>
    <n v="5.3552000000000005E-4"/>
    <n v="5.3734310293338798E-2"/>
    <n v="100.34043601235901"/>
    <n v="0"/>
    <x v="3"/>
    <d v="2022-12-22T00:00:00"/>
    <n v="1"/>
    <x v="4"/>
    <n v="1"/>
    <n v="5.3552000000000005E-4"/>
    <n v="5.37343102933385E-2"/>
    <n v="0"/>
    <s v="COIN"/>
    <s v="LONG"/>
    <s v="COIN LONG"/>
    <n v="5.3734310293338798E-2"/>
    <n v="100.34043601235901"/>
    <n v="0"/>
    <n v="0"/>
    <x v="3"/>
    <s v="BCH COIN LONG"/>
    <b v="1"/>
  </r>
  <r>
    <d v="2022-12-22T00:00:00"/>
    <s v="HUOBI"/>
    <x v="5"/>
    <s v="BSV"/>
    <n v="2.9999999999999997E-8"/>
    <n v="1.3455841823013299E-6"/>
    <n v="44.852806076710998"/>
    <n v="0"/>
    <x v="3"/>
    <d v="2022-12-22T00:00:00"/>
    <n v="1"/>
    <x v="77"/>
    <n v="1"/>
    <n v="2.9999999999999997E-8"/>
    <n v="1.3455841823013297E-6"/>
    <n v="0"/>
    <s v="COIN"/>
    <s v="LONG"/>
    <s v="COIN LONG"/>
    <n v="1.3455841823013299E-6"/>
    <n v="44.852806076710998"/>
    <n v="0"/>
    <n v="0"/>
    <x v="3"/>
    <s v="BSV COIN LONG"/>
    <b v="1"/>
  </r>
  <r>
    <d v="2022-12-22T00:00:00"/>
    <s v="HUOBI"/>
    <x v="5"/>
    <s v="BTC"/>
    <n v="162.31509036"/>
    <n v="2729739.6135854302"/>
    <n v="16817.534386550898"/>
    <n v="0"/>
    <x v="3"/>
    <d v="2022-12-22T00:00:00"/>
    <n v="1"/>
    <x v="0"/>
    <n v="1"/>
    <n v="162.31509036"/>
    <n v="2729739.6135854162"/>
    <n v="0"/>
    <s v="COIN"/>
    <s v="LONG"/>
    <s v="COIN LONG"/>
    <n v="2729739.6135854302"/>
    <n v="16817.534386550898"/>
    <n v="0"/>
    <n v="0"/>
    <x v="3"/>
    <s v="BTC COIN LONG"/>
    <b v="1"/>
  </r>
  <r>
    <d v="2022-12-22T00:00:00"/>
    <s v="HUOBI"/>
    <x v="5"/>
    <s v="BTC"/>
    <n v="-6.9043679999999996E-2"/>
    <n v="-1161.1444625740201"/>
    <n v="16817.534386550898"/>
    <n v="0"/>
    <x v="4"/>
    <d v="2022-12-22T00:00:00"/>
    <n v="1"/>
    <x v="0"/>
    <n v="1"/>
    <n v="-6.9043679999999996E-2"/>
    <n v="-1161.1444625740164"/>
    <n v="0"/>
    <s v="COIN"/>
    <s v="SHORT"/>
    <s v="COIN SHORT"/>
    <n v="-1161.1444625740201"/>
    <n v="16817.534386550898"/>
    <n v="0"/>
    <n v="0"/>
    <x v="3"/>
    <s v="BTC COIN SHORT"/>
    <b v="1"/>
  </r>
  <r>
    <d v="2022-12-22T00:00:00"/>
    <s v="HUOBI"/>
    <x v="5"/>
    <s v="DOT"/>
    <n v="3.8972899999999999E-3"/>
    <n v="1.7460430808720302E-2"/>
    <n v="4.4801466682541804"/>
    <n v="0"/>
    <x v="3"/>
    <d v="2022-12-22T00:00:00"/>
    <n v="1"/>
    <x v="23"/>
    <n v="1"/>
    <n v="3.8972899999999999E-3"/>
    <n v="1.7460430808720333E-2"/>
    <n v="0"/>
    <s v="COIN"/>
    <s v="LONG"/>
    <s v="COIN LONG"/>
    <n v="1.7460430808720302E-2"/>
    <n v="4.4801466682541804"/>
    <n v="0"/>
    <n v="0"/>
    <x v="3"/>
    <s v="DOT COIN LONG"/>
    <b v="1"/>
  </r>
  <r>
    <d v="2022-12-22T00:00:00"/>
    <s v="HUOBI"/>
    <x v="5"/>
    <s v="ETC"/>
    <n v="0.1010306"/>
    <n v="1.67924454013118"/>
    <n v="16.621147851553701"/>
    <n v="0"/>
    <x v="3"/>
    <d v="2022-12-22T00:00:00"/>
    <n v="1"/>
    <x v="5"/>
    <n v="1"/>
    <n v="0.1010306"/>
    <n v="1.6792445401311813"/>
    <n v="0"/>
    <s v="COIN"/>
    <s v="LONG"/>
    <s v="COIN LONG"/>
    <n v="1.67924454013118"/>
    <n v="16.621147851553701"/>
    <n v="0"/>
    <n v="0"/>
    <x v="3"/>
    <s v="ETC COIN LONG"/>
    <b v="1"/>
  </r>
  <r>
    <d v="2022-12-22T00:00:00"/>
    <s v="HUOBI"/>
    <x v="5"/>
    <s v="ETH"/>
    <n v="1423.22645031"/>
    <n v="1727227.6095352999"/>
    <n v="1213.5999925796"/>
    <n v="0"/>
    <x v="3"/>
    <d v="2022-12-22T00:00:00"/>
    <n v="1"/>
    <x v="1"/>
    <n v="1"/>
    <n v="1423.22645031"/>
    <n v="1727227.6095353065"/>
    <n v="0"/>
    <s v="COIN"/>
    <s v="LONG"/>
    <s v="COIN LONG"/>
    <n v="1727227.6095352999"/>
    <n v="1213.5999925796"/>
    <n v="0"/>
    <n v="0"/>
    <x v="3"/>
    <s v="ETH COIN LONG"/>
    <b v="1"/>
  </r>
  <r>
    <d v="2022-12-22T00:00:00"/>
    <s v="HUOBI"/>
    <x v="5"/>
    <s v="ETH"/>
    <n v="2.9779448300000002"/>
    <n v="3614.0338235904601"/>
    <n v="1213.5999925796"/>
    <n v="0"/>
    <x v="4"/>
    <d v="2022-12-22T00:00:00"/>
    <n v="1"/>
    <x v="1"/>
    <n v="1"/>
    <n v="2.9779448300000002"/>
    <n v="3614.0338235904583"/>
    <n v="0"/>
    <s v="COIN"/>
    <s v="LONG"/>
    <s v="COIN LONG"/>
    <n v="3614.0338235904601"/>
    <n v="1213.5999925796"/>
    <n v="0"/>
    <n v="0"/>
    <x v="3"/>
    <s v="ETH COIN LONG"/>
    <b v="1"/>
  </r>
  <r>
    <d v="2022-12-22T00:00:00"/>
    <s v="HUOBI"/>
    <x v="5"/>
    <s v="LINK"/>
    <n v="9.5620999999999998E-4"/>
    <n v="5.7193378718408804E-3"/>
    <n v="5.9812571211772401"/>
    <n v="0"/>
    <x v="3"/>
    <d v="2022-12-22T00:00:00"/>
    <n v="1"/>
    <x v="10"/>
    <n v="1"/>
    <n v="9.5620999999999998E-4"/>
    <n v="5.7193378718408882E-3"/>
    <n v="0"/>
    <s v="COIN"/>
    <s v="LONG"/>
    <s v="COIN LONG"/>
    <n v="5.7193378718408804E-3"/>
    <n v="5.9812571211772401"/>
    <n v="0"/>
    <n v="0"/>
    <x v="3"/>
    <s v="LINK COIN LONG"/>
    <b v="1"/>
  </r>
  <r>
    <d v="2022-12-22T00:00:00"/>
    <s v="HUOBI"/>
    <x v="5"/>
    <s v="LTC"/>
    <n v="2.4771099999999998E-3"/>
    <n v="0.16198168993377601"/>
    <n v="65.391399628509205"/>
    <n v="0"/>
    <x v="3"/>
    <d v="2022-12-22T00:00:00"/>
    <n v="1"/>
    <x v="6"/>
    <n v="1"/>
    <n v="2.4771099999999998E-3"/>
    <n v="0.16198168993377643"/>
    <n v="0"/>
    <s v="COIN"/>
    <s v="LONG"/>
    <s v="COIN LONG"/>
    <n v="0.16198168993377601"/>
    <n v="65.391399628509205"/>
    <n v="0"/>
    <n v="0"/>
    <x v="3"/>
    <s v="LTC COIN LONG"/>
    <b v="1"/>
  </r>
  <r>
    <d v="2022-12-22T00:00:00"/>
    <s v="HUOBI"/>
    <x v="5"/>
    <s v="SHIB"/>
    <n v="71073.205401560001"/>
    <n v="0.58616501677920896"/>
    <n v="8.2473417860839007E-6"/>
    <n v="0"/>
    <x v="3"/>
    <d v="2022-12-22T00:00:00"/>
    <n v="1"/>
    <x v="12"/>
    <n v="1"/>
    <n v="71073.205401560001"/>
    <n v="0.58616501677920985"/>
    <n v="0"/>
    <s v="COIN"/>
    <s v="LONG"/>
    <s v="COIN LONG"/>
    <n v="0.58616501677920896"/>
    <n v="8.2473417860839007E-6"/>
    <n v="0"/>
    <n v="0"/>
    <x v="3"/>
    <s v="SHIB COIN LONG"/>
    <b v="1"/>
  </r>
  <r>
    <d v="2022-12-22T00:00:00"/>
    <s v="HUOBI"/>
    <x v="5"/>
    <s v="TRX"/>
    <n v="4.8644999999999998E-4"/>
    <n v="2.6680411320245102E-5"/>
    <n v="5.4847181252431203E-2"/>
    <n v="0"/>
    <x v="3"/>
    <d v="2022-12-22T00:00:00"/>
    <n v="1"/>
    <x v="78"/>
    <n v="1"/>
    <n v="4.8644999999999998E-4"/>
    <n v="2.6680411320245156E-5"/>
    <n v="0"/>
    <s v="COIN"/>
    <s v="LONG"/>
    <s v="COIN LONG"/>
    <n v="2.6680411320245102E-5"/>
    <n v="5.4847181252431203E-2"/>
    <n v="0"/>
    <n v="0"/>
    <x v="3"/>
    <s v="TRX COIN LONG"/>
    <b v="1"/>
  </r>
  <r>
    <d v="2022-12-22T00:00:00"/>
    <s v="HUOBI"/>
    <x v="5"/>
    <s v="XRP"/>
    <n v="1.9184000000000001E-4"/>
    <n v="6.6380411278237796E-5"/>
    <n v="0.34601965845620197"/>
    <n v="0"/>
    <x v="3"/>
    <d v="2022-12-22T00:00:00"/>
    <n v="1"/>
    <x v="45"/>
    <n v="1"/>
    <n v="1.9184000000000001E-4"/>
    <n v="6.6380411278237783E-5"/>
    <n v="0"/>
    <s v="COIN"/>
    <s v="LONG"/>
    <s v="COIN LONG"/>
    <n v="6.6380411278237796E-5"/>
    <n v="0.34601965845620197"/>
    <n v="0"/>
    <n v="0"/>
    <x v="3"/>
    <s v="XRP COIN LONG"/>
    <b v="1"/>
  </r>
  <r>
    <d v="2022-12-22T00:00:00"/>
    <s v="HUOBI"/>
    <x v="5"/>
    <s v="YFII"/>
    <n v="2.4299999999999999E-3"/>
    <n v="2.9586033716067401"/>
    <n v="1217.5322516900201"/>
    <n v="0"/>
    <x v="3"/>
    <d v="2022-12-22T00:00:00"/>
    <n v="1"/>
    <x v="81"/>
    <n v="1"/>
    <n v="2.4299999999999999E-3"/>
    <n v="2.9586033716067486"/>
    <n v="0"/>
    <s v="COIN"/>
    <s v="LONG"/>
    <s v="COIN LONG"/>
    <n v="2.9586033716067401"/>
    <n v="1217.5322516900201"/>
    <n v="0"/>
    <n v="0"/>
    <x v="3"/>
    <s v="YFII COIN LONG"/>
    <b v="1"/>
  </r>
  <r>
    <d v="2022-12-22T00:00:00"/>
    <s v="HUOBI"/>
    <x v="6"/>
    <s v="USDT"/>
    <n v="641510.90734361997"/>
    <n v="641560.26866957499"/>
    <n v="1.0000769454196099"/>
    <n v="0"/>
    <x v="3"/>
    <d v="2022-12-22T00:00:00"/>
    <n v="1"/>
    <x v="37"/>
    <n v="1"/>
    <n v="641510.90734361997"/>
    <n v="641560.26866956986"/>
    <n v="0"/>
    <s v="COIN"/>
    <s v="LONG"/>
    <s v="COIN LONG"/>
    <n v="641560.26866957499"/>
    <n v="1.0000769454196099"/>
    <n v="0"/>
    <n v="0"/>
    <x v="3"/>
    <s v="USDT COIN LONG"/>
    <b v="1"/>
  </r>
  <r>
    <d v="2022-12-22T00:00:00"/>
    <s v="HUOBI"/>
    <x v="6"/>
    <s v="USDT"/>
    <n v="211.52754046000001"/>
    <n v="211.543816535361"/>
    <n v="1.0000769454196099"/>
    <n v="0"/>
    <x v="4"/>
    <d v="2022-12-22T00:00:00"/>
    <n v="1"/>
    <x v="37"/>
    <n v="1"/>
    <n v="211.52754046000001"/>
    <n v="211.54381653535975"/>
    <n v="0"/>
    <s v="COIN"/>
    <s v="LONG"/>
    <s v="COIN LONG"/>
    <n v="211.543816535361"/>
    <n v="1.0000769454196099"/>
    <n v="0"/>
    <n v="0"/>
    <x v="3"/>
    <s v="USDT COIN LONG"/>
    <b v="1"/>
  </r>
  <r>
    <d v="2022-12-22T00:00:00"/>
    <s v="HUOBI"/>
    <x v="34"/>
    <s v="AAC"/>
    <n v="377.09760540000002"/>
    <n v="8.4476363178700498E-2"/>
    <n v="2.2401723577399399E-4"/>
    <n v="0"/>
    <x v="3"/>
    <d v="2022-12-22T00:00:00"/>
    <n v="1"/>
    <x v="82"/>
    <n v="1"/>
    <n v="377.09760540000002"/>
    <n v="8.4476363178700359E-2"/>
    <n v="0"/>
    <s v="COIN"/>
    <s v="LONG"/>
    <s v="COIN LONG"/>
    <n v="8.4476363178700498E-2"/>
    <n v="2.2401723577399399E-4"/>
    <n v="0"/>
    <n v="0"/>
    <x v="3"/>
    <s v="AAC COIN LONG"/>
    <b v="1"/>
  </r>
  <r>
    <d v="2022-12-22T00:00:00"/>
    <s v="HUOBI"/>
    <x v="34"/>
    <s v="ADA"/>
    <n v="1.1000000000000001E-7"/>
    <n v="2.78469420655961E-8"/>
    <n v="0.25315401877814703"/>
    <n v="0"/>
    <x v="3"/>
    <d v="2022-12-22T00:00:00"/>
    <n v="1"/>
    <x v="14"/>
    <n v="1"/>
    <n v="1.1000000000000001E-7"/>
    <n v="2.7846942065596173E-8"/>
    <n v="0"/>
    <s v="COIN"/>
    <s v="LONG"/>
    <s v="COIN LONG"/>
    <n v="2.78469420655961E-8"/>
    <n v="0.25315401877814703"/>
    <n v="0"/>
    <n v="0"/>
    <x v="3"/>
    <s v="ADA COIN LONG"/>
    <b v="1"/>
  </r>
  <r>
    <d v="2022-12-22T00:00:00"/>
    <s v="HUOBI"/>
    <x v="34"/>
    <s v="ALGO"/>
    <n v="2.6E-7"/>
    <n v="4.46890965258616E-8"/>
    <n v="0.17188114048408301"/>
    <n v="0"/>
    <x v="3"/>
    <d v="2022-12-22T00:00:00"/>
    <n v="1"/>
    <x v="15"/>
    <n v="1"/>
    <n v="2.6E-7"/>
    <n v="4.468909652586158E-8"/>
    <n v="0"/>
    <s v="COIN"/>
    <s v="LONG"/>
    <s v="COIN LONG"/>
    <n v="4.46890965258616E-8"/>
    <n v="0.17188114048408301"/>
    <n v="0"/>
    <n v="0"/>
    <x v="3"/>
    <s v="ALGO COIN LONG"/>
    <b v="1"/>
  </r>
  <r>
    <d v="2022-12-22T00:00:00"/>
    <s v="HUOBI"/>
    <x v="34"/>
    <s v="ARPA"/>
    <n v="0.53247394999999997"/>
    <n v="1.38191571517005E-2"/>
    <n v="2.59527384423229E-2"/>
    <n v="0"/>
    <x v="3"/>
    <d v="2022-12-22T00:00:00"/>
    <n v="1"/>
    <x v="83"/>
    <n v="1"/>
    <n v="0.53247394999999997"/>
    <n v="1.3819157151700521E-2"/>
    <n v="0"/>
    <s v="COIN"/>
    <s v="LONG"/>
    <s v="COIN LONG"/>
    <n v="1.38191571517005E-2"/>
    <n v="2.59527384423229E-2"/>
    <n v="0"/>
    <n v="0"/>
    <x v="3"/>
    <s v="ARPA COIN LONG"/>
    <b v="1"/>
  </r>
  <r>
    <d v="2022-12-22T00:00:00"/>
    <s v="HUOBI"/>
    <x v="34"/>
    <s v="ATOM"/>
    <n v="4.3657420000000002E-2"/>
    <n v="0.38621850588184697"/>
    <n v="8.8465719202336501"/>
    <n v="0"/>
    <x v="3"/>
    <d v="2022-12-22T00:00:00"/>
    <n v="1"/>
    <x v="11"/>
    <n v="1"/>
    <n v="4.3657420000000002E-2"/>
    <n v="0.38621850588184697"/>
    <n v="0"/>
    <s v="COIN"/>
    <s v="LONG"/>
    <s v="COIN LONG"/>
    <n v="0.38621850588184697"/>
    <n v="8.8465719202336501"/>
    <n v="0"/>
    <n v="0"/>
    <x v="3"/>
    <s v="ATOM COIN LONG"/>
    <b v="1"/>
  </r>
  <r>
    <d v="2022-12-22T00:00:00"/>
    <s v="HUOBI"/>
    <x v="34"/>
    <s v="AVAX"/>
    <n v="1.5389969999999999E-2"/>
    <n v="0.18000781355390399"/>
    <n v="11.6964369361281"/>
    <n v="0"/>
    <x v="3"/>
    <d v="2022-12-22T00:00:00"/>
    <n v="1"/>
    <x v="16"/>
    <n v="1"/>
    <n v="1.5389969999999999E-2"/>
    <n v="0.18000781355390336"/>
    <n v="0"/>
    <s v="COIN"/>
    <s v="LONG"/>
    <s v="COIN LONG"/>
    <n v="0.18000781355390399"/>
    <n v="11.6964369361281"/>
    <n v="0"/>
    <n v="0"/>
    <x v="3"/>
    <s v="AVAX COIN LONG"/>
    <b v="1"/>
  </r>
  <r>
    <d v="2022-12-22T00:00:00"/>
    <s v="HUOBI"/>
    <x v="34"/>
    <s v="BAT"/>
    <n v="2.0454320000000002E-2"/>
    <n v="3.8441353984400499E-3"/>
    <n v="0.18793757985794901"/>
    <n v="0"/>
    <x v="3"/>
    <d v="2022-12-22T00:00:00"/>
    <n v="1"/>
    <x v="17"/>
    <n v="1"/>
    <n v="2.0454320000000002E-2"/>
    <n v="3.8441353984400438E-3"/>
    <n v="0"/>
    <s v="COIN"/>
    <s v="LONG"/>
    <s v="COIN LONG"/>
    <n v="3.8441353984400499E-3"/>
    <n v="0.18793757985794901"/>
    <n v="0"/>
    <n v="0"/>
    <x v="3"/>
    <s v="BAT COIN LONG"/>
    <b v="1"/>
  </r>
  <r>
    <d v="2022-12-22T00:00:00"/>
    <s v="HUOBI"/>
    <x v="34"/>
    <s v="BCH"/>
    <n v="1365.4647869299999"/>
    <n v="137011.33208008"/>
    <n v="100.34043601235901"/>
    <n v="0"/>
    <x v="3"/>
    <d v="2022-12-22T00:00:00"/>
    <n v="1"/>
    <x v="4"/>
    <n v="1"/>
    <n v="1365.4647869299999"/>
    <n v="137011.3320800791"/>
    <n v="0"/>
    <s v="COIN"/>
    <s v="LONG"/>
    <s v="COIN LONG"/>
    <n v="137011.33208008"/>
    <n v="100.34043601235901"/>
    <n v="0"/>
    <n v="0"/>
    <x v="3"/>
    <s v="BCH COIN LONG"/>
    <b v="1"/>
  </r>
  <r>
    <d v="2022-12-22T00:00:00"/>
    <s v="HUOBI"/>
    <x v="34"/>
    <s v="BHD"/>
    <n v="2.5033500000000001E-3"/>
    <n v="7.3950382143422898E-5"/>
    <n v="2.9540568495585E-2"/>
    <n v="0"/>
    <x v="3"/>
    <d v="2022-12-22T00:00:00"/>
    <n v="1"/>
    <x v="84"/>
    <n v="1"/>
    <n v="2.5033500000000001E-3"/>
    <n v="7.3950382143422709E-5"/>
    <n v="0"/>
    <s v="COIN"/>
    <s v="LONG"/>
    <s v="COIN LONG"/>
    <n v="7.3950382143422898E-5"/>
    <n v="2.9540568495585E-2"/>
    <n v="0"/>
    <n v="0"/>
    <x v="3"/>
    <s v="BHD COIN LONG"/>
    <b v="1"/>
  </r>
  <r>
    <d v="2022-12-22T00:00:00"/>
    <s v="HUOBI"/>
    <x v="34"/>
    <s v="BLZ"/>
    <n v="115.29838952"/>
    <n v="6.0867939527850004"/>
    <n v="5.2791664984437298E-2"/>
    <n v="0"/>
    <x v="3"/>
    <d v="2022-12-22T00:00:00"/>
    <n v="1"/>
    <x v="85"/>
    <n v="1"/>
    <n v="115.29838952"/>
    <n v="6.0867939527849959"/>
    <n v="0"/>
    <s v="COIN"/>
    <s v="LONG"/>
    <s v="COIN LONG"/>
    <n v="6.0867939527850004"/>
    <n v="5.2791664984437298E-2"/>
    <n v="0"/>
    <n v="0"/>
    <x v="3"/>
    <s v="BLZ COIN LONG"/>
    <b v="1"/>
  </r>
  <r>
    <d v="2022-12-22T00:00:00"/>
    <s v="HUOBI"/>
    <x v="34"/>
    <s v="BOBA"/>
    <n v="14.7502"/>
    <n v="2.6180196968815199"/>
    <n v="0.17749045415530099"/>
    <n v="0"/>
    <x v="3"/>
    <d v="2022-12-22T00:00:00"/>
    <n v="1"/>
    <x v="86"/>
    <n v="1"/>
    <n v="14.7502"/>
    <n v="2.6180196968815204"/>
    <n v="0"/>
    <s v="COIN"/>
    <s v="LONG"/>
    <s v="COIN LONG"/>
    <n v="2.6180196968815199"/>
    <n v="0.17749045415530099"/>
    <n v="0"/>
    <n v="0"/>
    <x v="3"/>
    <s v="BOBA COIN LONG"/>
    <b v="1"/>
  </r>
  <r>
    <d v="2022-12-22T00:00:00"/>
    <s v="HUOBI"/>
    <x v="34"/>
    <s v="BSV"/>
    <n v="7.7951899999999996E-3"/>
    <n v="0.34963614540111698"/>
    <n v="44.852806076710998"/>
    <n v="0"/>
    <x v="3"/>
    <d v="2022-12-22T00:00:00"/>
    <n v="1"/>
    <x v="77"/>
    <n v="1"/>
    <n v="7.7951899999999996E-3"/>
    <n v="0.34963614540111676"/>
    <n v="0"/>
    <s v="COIN"/>
    <s v="LONG"/>
    <s v="COIN LONG"/>
    <n v="0.34963614540111698"/>
    <n v="44.852806076710998"/>
    <n v="0"/>
    <n v="0"/>
    <x v="3"/>
    <s v="BSV COIN LONG"/>
    <b v="1"/>
  </r>
  <r>
    <d v="2022-12-22T00:00:00"/>
    <s v="HUOBI"/>
    <x v="34"/>
    <s v="BTC"/>
    <n v="67.359560889999997"/>
    <n v="1132821.7315305499"/>
    <n v="16817.534386550898"/>
    <n v="0"/>
    <x v="3"/>
    <d v="2022-12-22T00:00:00"/>
    <n v="1"/>
    <x v="0"/>
    <n v="1"/>
    <n v="67.359560889999997"/>
    <n v="1132821.7315305441"/>
    <n v="0"/>
    <s v="COIN"/>
    <s v="LONG"/>
    <s v="COIN LONG"/>
    <n v="1132821.7315305499"/>
    <n v="16817.534386550898"/>
    <n v="0"/>
    <n v="0"/>
    <x v="3"/>
    <s v="BTC COIN LONG"/>
    <b v="1"/>
  </r>
  <r>
    <d v="2022-12-22T00:00:00"/>
    <s v="HUOBI"/>
    <x v="34"/>
    <s v="BTM"/>
    <n v="0.33565571999999999"/>
    <n v="4.3661325148358797E-3"/>
    <n v="1.3007770327393401E-2"/>
    <n v="0"/>
    <x v="3"/>
    <d v="2022-12-22T00:00:00"/>
    <n v="1"/>
    <x v="87"/>
    <n v="1"/>
    <n v="0.33565571999999999"/>
    <n v="4.3661325148358675E-3"/>
    <n v="0"/>
    <s v="COIN"/>
    <s v="LONG"/>
    <s v="COIN LONG"/>
    <n v="4.3661325148358797E-3"/>
    <n v="1.3007770327393401E-2"/>
    <n v="0"/>
    <n v="0"/>
    <x v="3"/>
    <s v="BTM COIN LONG"/>
    <b v="1"/>
  </r>
  <r>
    <d v="2022-12-22T00:00:00"/>
    <s v="HUOBI"/>
    <x v="34"/>
    <s v="BTT"/>
    <n v="1367501156.8785999"/>
    <n v="871.71181538572102"/>
    <n v="6.3744868587566999E-7"/>
    <n v="0"/>
    <x v="3"/>
    <d v="2022-12-22T00:00:00"/>
    <n v="1"/>
    <x v="88"/>
    <n v="1"/>
    <n v="1367501156.8785999"/>
    <n v="871.71181538572193"/>
    <n v="0"/>
    <s v="COIN"/>
    <s v="LONG"/>
    <s v="COIN LONG"/>
    <n v="871.71181538572102"/>
    <n v="6.3744868587566999E-7"/>
    <n v="0"/>
    <n v="0"/>
    <x v="3"/>
    <s v="BTT COIN LONG"/>
    <b v="1"/>
  </r>
  <r>
    <d v="2022-12-22T00:00:00"/>
    <s v="HUOBI"/>
    <x v="34"/>
    <s v="CMT"/>
    <n v="1.7855998900000001"/>
    <n v="3.9038203815905601E-3"/>
    <n v="2.1862794702516199E-3"/>
    <n v="0"/>
    <x v="3"/>
    <d v="2022-12-22T00:00:00"/>
    <n v="1"/>
    <x v="89"/>
    <n v="1"/>
    <n v="1.7855998900000001"/>
    <n v="3.9038203815905509E-3"/>
    <n v="0"/>
    <s v="COIN"/>
    <s v="LONG"/>
    <s v="COIN LONG"/>
    <n v="3.9038203815905601E-3"/>
    <n v="2.1862794702516199E-3"/>
    <n v="0"/>
    <n v="0"/>
    <x v="3"/>
    <s v="CMT COIN LONG"/>
    <b v="1"/>
  </r>
  <r>
    <d v="2022-12-22T00:00:00"/>
    <s v="HUOBI"/>
    <x v="34"/>
    <s v="CRO"/>
    <n v="0.30791584"/>
    <n v="1.7564458430120899E-2"/>
    <n v="5.7043049263464103E-2"/>
    <n v="0"/>
    <x v="3"/>
    <d v="2022-12-22T00:00:00"/>
    <n v="1"/>
    <x v="90"/>
    <n v="1"/>
    <n v="0.30791584"/>
    <n v="1.756445843012093E-2"/>
    <n v="0"/>
    <s v="COIN"/>
    <s v="LONG"/>
    <s v="COIN LONG"/>
    <n v="1.7564458430120899E-2"/>
    <n v="5.7043049263464103E-2"/>
    <n v="0"/>
    <n v="0"/>
    <x v="3"/>
    <s v="CRO COIN LONG"/>
    <b v="1"/>
  </r>
  <r>
    <d v="2022-12-22T00:00:00"/>
    <s v="HUOBI"/>
    <x v="34"/>
    <s v="DASH"/>
    <n v="5.6119999999999998E-5"/>
    <n v="2.38621424514449E-3"/>
    <n v="42.519854688960997"/>
    <n v="0"/>
    <x v="3"/>
    <d v="2022-12-22T00:00:00"/>
    <n v="1"/>
    <x v="21"/>
    <n v="1"/>
    <n v="5.6119999999999998E-5"/>
    <n v="2.3862142451444909E-3"/>
    <n v="0"/>
    <s v="COIN"/>
    <s v="LONG"/>
    <s v="COIN LONG"/>
    <n v="2.38621424514449E-3"/>
    <n v="42.519854688960997"/>
    <n v="0"/>
    <n v="0"/>
    <x v="3"/>
    <s v="DASH COIN LONG"/>
    <b v="1"/>
  </r>
  <r>
    <d v="2022-12-22T00:00:00"/>
    <s v="HUOBI"/>
    <x v="34"/>
    <s v="DON"/>
    <n v="5.9800000000000001E-4"/>
    <n v="3.5882760801655899E-6"/>
    <n v="6.0004616725177103E-3"/>
    <n v="0"/>
    <x v="3"/>
    <d v="2022-12-22T00:00:00"/>
    <n v="1"/>
    <x v="91"/>
    <n v="1"/>
    <n v="5.9800000000000001E-4"/>
    <n v="3.5882760801655908E-6"/>
    <n v="0"/>
    <s v="COIN"/>
    <s v="LONG"/>
    <s v="COIN LONG"/>
    <n v="3.5882760801655899E-6"/>
    <n v="6.0004616725177103E-3"/>
    <n v="0"/>
    <n v="0"/>
    <x v="3"/>
    <s v="DON COIN LONG"/>
    <b v="1"/>
  </r>
  <r>
    <d v="2022-12-22T00:00:00"/>
    <s v="HUOBI"/>
    <x v="34"/>
    <s v="DOT"/>
    <n v="40162.758036849998"/>
    <n v="179935.04660669199"/>
    <n v="4.4801466682541804"/>
    <n v="0"/>
    <x v="3"/>
    <d v="2022-12-22T00:00:00"/>
    <n v="1"/>
    <x v="23"/>
    <n v="1"/>
    <n v="40162.758036849998"/>
    <n v="179935.04660669234"/>
    <n v="0"/>
    <s v="COIN"/>
    <s v="LONG"/>
    <s v="COIN LONG"/>
    <n v="179935.04660669199"/>
    <n v="4.4801466682541804"/>
    <n v="0"/>
    <n v="0"/>
    <x v="3"/>
    <s v="DOT COIN LONG"/>
    <b v="1"/>
  </r>
  <r>
    <d v="2022-12-22T00:00:00"/>
    <s v="HUOBI"/>
    <x v="34"/>
    <s v="ENJ"/>
    <n v="1E-8"/>
    <n v="2.5940330773194601E-9"/>
    <n v="0.25940330773194598"/>
    <n v="0"/>
    <x v="3"/>
    <d v="2022-12-22T00:00:00"/>
    <n v="1"/>
    <x v="24"/>
    <n v="1"/>
    <n v="1E-8"/>
    <n v="2.5940330773194597E-9"/>
    <n v="0"/>
    <s v="COIN"/>
    <s v="LONG"/>
    <s v="COIN LONG"/>
    <n v="2.5940330773194601E-9"/>
    <n v="0.25940330773194598"/>
    <n v="0"/>
    <n v="0"/>
    <x v="3"/>
    <s v="ENJ COIN LONG"/>
    <b v="1"/>
  </r>
  <r>
    <d v="2022-12-22T00:00:00"/>
    <s v="HUOBI"/>
    <x v="34"/>
    <s v="EOS"/>
    <n v="34913.989771799999"/>
    <n v="31001.9023183307"/>
    <n v="0.88795071892273303"/>
    <n v="0"/>
    <x v="3"/>
    <d v="2022-12-22T00:00:00"/>
    <n v="1"/>
    <x v="3"/>
    <n v="1"/>
    <n v="34913.989771799999"/>
    <n v="31001.902318330758"/>
    <n v="0"/>
    <s v="COIN"/>
    <s v="LONG"/>
    <s v="COIN LONG"/>
    <n v="31001.9023183307"/>
    <n v="0.88795071892273303"/>
    <n v="0"/>
    <n v="0"/>
    <x v="3"/>
    <s v="EOS COIN LONG"/>
    <b v="1"/>
  </r>
  <r>
    <d v="2022-12-22T00:00:00"/>
    <s v="HUOBI"/>
    <x v="34"/>
    <s v="ETC"/>
    <n v="9510.88746489"/>
    <n v="158081.86675342501"/>
    <n v="16.621147851553701"/>
    <n v="0"/>
    <x v="3"/>
    <d v="2022-12-22T00:00:00"/>
    <n v="1"/>
    <x v="5"/>
    <n v="1"/>
    <n v="9510.88746489"/>
    <n v="158081.86675342545"/>
    <n v="0"/>
    <s v="COIN"/>
    <s v="LONG"/>
    <s v="COIN LONG"/>
    <n v="158081.86675342501"/>
    <n v="16.621147851553701"/>
    <n v="0"/>
    <n v="0"/>
    <x v="3"/>
    <s v="ETC COIN LONG"/>
    <b v="1"/>
  </r>
  <r>
    <d v="2022-12-22T00:00:00"/>
    <s v="HUOBI"/>
    <x v="34"/>
    <s v="ETH"/>
    <n v="3624.0120978700002"/>
    <n v="4398101.0550834099"/>
    <n v="1213.5999925796"/>
    <n v="0"/>
    <x v="3"/>
    <d v="2022-12-22T00:00:00"/>
    <n v="1"/>
    <x v="1"/>
    <n v="1"/>
    <n v="3624.0120978700002"/>
    <n v="4398101.0550834127"/>
    <n v="0"/>
    <s v="COIN"/>
    <s v="LONG"/>
    <s v="COIN LONG"/>
    <n v="4398101.0550834099"/>
    <n v="1213.5999925796"/>
    <n v="0"/>
    <n v="0"/>
    <x v="3"/>
    <s v="ETH COIN LONG"/>
    <b v="1"/>
  </r>
  <r>
    <d v="2022-12-22T00:00:00"/>
    <s v="HUOBI"/>
    <x v="34"/>
    <s v="ETHF"/>
    <n v="9823.8364263999993"/>
    <n v="4293.9250223066902"/>
    <n v="0.43709247954978703"/>
    <n v="0"/>
    <x v="3"/>
    <d v="2022-12-22T00:00:00"/>
    <n v="1"/>
    <x v="79"/>
    <n v="1"/>
    <n v="9823.8364263999993"/>
    <n v="4293.9250223066947"/>
    <n v="0"/>
    <s v="COIN"/>
    <s v="LONG"/>
    <s v="COIN LONG"/>
    <n v="4293.9250223066902"/>
    <n v="0.43709247954978703"/>
    <n v="0"/>
    <n v="0"/>
    <x v="3"/>
    <s v="ETHF COIN LONG"/>
    <b v="1"/>
  </r>
  <r>
    <d v="2022-12-22T00:00:00"/>
    <s v="HUOBI"/>
    <x v="34"/>
    <s v="ETHW"/>
    <n v="3460.93190667"/>
    <n v="10178.611068693999"/>
    <n v="2.9410029850854702"/>
    <n v="0"/>
    <x v="3"/>
    <d v="2022-12-22T00:00:00"/>
    <n v="1"/>
    <x v="41"/>
    <n v="1"/>
    <n v="3460.93190667"/>
    <n v="10178.611068694017"/>
    <n v="0"/>
    <s v="COIN"/>
    <s v="LONG"/>
    <s v="COIN LONG"/>
    <n v="10178.611068693999"/>
    <n v="2.9410029850854702"/>
    <n v="0"/>
    <n v="0"/>
    <x v="3"/>
    <s v="ETHW COIN LONG"/>
    <b v="1"/>
  </r>
  <r>
    <d v="2022-12-22T00:00:00"/>
    <s v="HUOBI"/>
    <x v="34"/>
    <s v="EUROC"/>
    <n v="339238.34026720998"/>
    <n v="359851.355285117"/>
    <n v="1.0607626337331699"/>
    <n v="0"/>
    <x v="3"/>
    <d v="2022-12-22T00:00:00"/>
    <n v="1"/>
    <x v="92"/>
    <n v="1"/>
    <n v="339238.34026720998"/>
    <n v="359851.3552851149"/>
    <n v="0"/>
    <s v="COIN"/>
    <s v="LONG"/>
    <s v="COIN LONG"/>
    <n v="359851.355285117"/>
    <n v="1.0607626337331699"/>
    <n v="0"/>
    <n v="0"/>
    <x v="3"/>
    <s v="EUROC COIN LONG"/>
    <b v="1"/>
  </r>
  <r>
    <d v="2022-12-22T00:00:00"/>
    <s v="HUOBI"/>
    <x v="34"/>
    <s v="FIL"/>
    <n v="1.0244641699999999"/>
    <n v="3.0470653559187899"/>
    <n v="2.9743015374747501"/>
    <n v="0"/>
    <x v="3"/>
    <d v="2022-12-22T00:00:00"/>
    <n v="1"/>
    <x v="26"/>
    <n v="1"/>
    <n v="1.0244641699999999"/>
    <n v="3.0470653559187935"/>
    <n v="0"/>
    <s v="COIN"/>
    <s v="LONG"/>
    <s v="COIN LONG"/>
    <n v="3.0470653559187899"/>
    <n v="2.9743015374747501"/>
    <n v="0"/>
    <n v="0"/>
    <x v="3"/>
    <s v="FIL COIN LONG"/>
    <b v="1"/>
  </r>
  <r>
    <d v="2022-12-22T00:00:00"/>
    <s v="HUOBI"/>
    <x v="34"/>
    <s v="FTT"/>
    <n v="0.68557060000000003"/>
    <n v="0.59898577610188897"/>
    <n v="0.873704000874439"/>
    <n v="0"/>
    <x v="3"/>
    <d v="2022-12-22T00:00:00"/>
    <n v="1"/>
    <x v="93"/>
    <n v="1"/>
    <n v="0.68557060000000003"/>
    <n v="0.59898577610188974"/>
    <n v="0"/>
    <s v="COIN"/>
    <s v="LONG"/>
    <s v="COIN LONG"/>
    <n v="0.59898577610188897"/>
    <n v="0.873704000874439"/>
    <n v="0"/>
    <n v="0"/>
    <x v="3"/>
    <s v="FTT COIN LONG"/>
    <b v="1"/>
  </r>
  <r>
    <d v="2022-12-22T00:00:00"/>
    <s v="HUOBI"/>
    <x v="34"/>
    <s v="GAS"/>
    <n v="54.776400000000002"/>
    <n v="118.756497751495"/>
    <n v="2.1680230491871599"/>
    <n v="0"/>
    <x v="3"/>
    <d v="2022-12-22T00:00:00"/>
    <n v="1"/>
    <x v="94"/>
    <n v="1"/>
    <n v="54.776400000000002"/>
    <n v="118.75649775149556"/>
    <n v="0"/>
    <s v="COIN"/>
    <s v="LONG"/>
    <s v="COIN LONG"/>
    <n v="118.756497751495"/>
    <n v="2.1680230491871599"/>
    <n v="0"/>
    <n v="0"/>
    <x v="3"/>
    <s v="GAS COIN LONG"/>
    <b v="1"/>
  </r>
  <r>
    <d v="2022-12-22T00:00:00"/>
    <s v="HUOBI"/>
    <x v="34"/>
    <s v="HBAR"/>
    <n v="3.4060489999999999E-2"/>
    <n v="1.4526257390326E-3"/>
    <n v="4.26484099034573E-2"/>
    <n v="0"/>
    <x v="3"/>
    <d v="2022-12-22T00:00:00"/>
    <n v="1"/>
    <x v="29"/>
    <n v="1"/>
    <n v="3.4060489999999999E-2"/>
    <n v="1.4526257390326083E-3"/>
    <n v="0"/>
    <s v="COIN"/>
    <s v="LONG"/>
    <s v="COIN LONG"/>
    <n v="1.4526257390326E-3"/>
    <n v="4.26484099034573E-2"/>
    <n v="0"/>
    <n v="0"/>
    <x v="3"/>
    <s v="HBAR COIN LONG"/>
    <b v="1"/>
  </r>
  <r>
    <d v="2022-12-22T00:00:00"/>
    <s v="HUOBI"/>
    <x v="34"/>
    <s v="HPT"/>
    <n v="5337.6979873099999"/>
    <n v="5.3274217224737699"/>
    <n v="9.9807477589390495E-4"/>
    <n v="0"/>
    <x v="3"/>
    <d v="2022-12-22T00:00:00"/>
    <n v="1"/>
    <x v="95"/>
    <n v="1"/>
    <n v="5337.6979873099999"/>
    <n v="5.3274217224737761"/>
    <n v="0"/>
    <s v="COIN"/>
    <s v="LONG"/>
    <s v="COIN LONG"/>
    <n v="5.3274217224737699"/>
    <n v="9.9807477589390495E-4"/>
    <n v="0"/>
    <n v="0"/>
    <x v="3"/>
    <s v="HPT COIN LONG"/>
    <b v="1"/>
  </r>
  <r>
    <d v="2022-12-22T00:00:00"/>
    <s v="HUOBI"/>
    <x v="34"/>
    <s v="HT"/>
    <n v="1975.62525828"/>
    <n v="10382.292489395501"/>
    <n v="5.2551932335763203"/>
    <n v="0"/>
    <x v="3"/>
    <d v="2022-12-22T00:00:00"/>
    <n v="1"/>
    <x v="96"/>
    <n v="1"/>
    <n v="1975.62525828"/>
    <n v="10382.292489395526"/>
    <n v="0"/>
    <s v="COIN"/>
    <s v="LONG"/>
    <s v="COIN LONG"/>
    <n v="10382.292489395501"/>
    <n v="5.2551932335763203"/>
    <n v="0"/>
    <n v="0"/>
    <x v="3"/>
    <s v="HT COIN LONG"/>
    <b v="1"/>
  </r>
  <r>
    <d v="2022-12-22T00:00:00"/>
    <s v="HUOBI"/>
    <x v="34"/>
    <s v="IOST"/>
    <n v="14.785856219999999"/>
    <n v="0.105540737230273"/>
    <n v="7.1379523552728003E-3"/>
    <n v="0"/>
    <x v="3"/>
    <d v="2022-12-22T00:00:00"/>
    <n v="1"/>
    <x v="97"/>
    <n v="1"/>
    <n v="14.785856219999999"/>
    <n v="0.10554073723027398"/>
    <n v="0"/>
    <s v="COIN"/>
    <s v="LONG"/>
    <s v="COIN LONG"/>
    <n v="0.105540737230273"/>
    <n v="7.1379523552728003E-3"/>
    <n v="0"/>
    <n v="0"/>
    <x v="3"/>
    <s v="IOST COIN LONG"/>
    <b v="1"/>
  </r>
  <r>
    <d v="2022-12-22T00:00:00"/>
    <s v="HUOBI"/>
    <x v="34"/>
    <s v="IRIS"/>
    <n v="0.81765067999999996"/>
    <n v="1.04745048883375E-2"/>
    <n v="1.2810488812089699E-2"/>
    <n v="0"/>
    <x v="3"/>
    <d v="2022-12-22T00:00:00"/>
    <n v="1"/>
    <x v="98"/>
    <n v="1"/>
    <n v="0.81765067999999996"/>
    <n v="1.0474504888337535E-2"/>
    <n v="0"/>
    <s v="COIN"/>
    <s v="LONG"/>
    <s v="COIN LONG"/>
    <n v="1.04745048883375E-2"/>
    <n v="1.2810488812089699E-2"/>
    <n v="0"/>
    <n v="0"/>
    <x v="3"/>
    <s v="IRIS COIN LONG"/>
    <b v="1"/>
  </r>
  <r>
    <d v="2022-12-22T00:00:00"/>
    <s v="HUOBI"/>
    <x v="34"/>
    <s v="JST"/>
    <n v="9.1121815000000002"/>
    <n v="0.184545931882859"/>
    <n v="2.02526619869083E-2"/>
    <n v="0"/>
    <x v="3"/>
    <d v="2022-12-22T00:00:00"/>
    <n v="1"/>
    <x v="99"/>
    <n v="1"/>
    <n v="9.1121815000000002"/>
    <n v="0.18454593188285906"/>
    <n v="0"/>
    <s v="COIN"/>
    <s v="LONG"/>
    <s v="COIN LONG"/>
    <n v="0.184545931882859"/>
    <n v="2.02526619869083E-2"/>
    <n v="0"/>
    <n v="0"/>
    <x v="3"/>
    <s v="JST COIN LONG"/>
    <b v="1"/>
  </r>
  <r>
    <d v="2022-12-22T00:00:00"/>
    <s v="HUOBI"/>
    <x v="34"/>
    <s v="KSM"/>
    <n v="1.4966E-4"/>
    <n v="3.66036146866621E-3"/>
    <n v="24.4578475789537"/>
    <n v="0"/>
    <x v="3"/>
    <d v="2022-12-22T00:00:00"/>
    <n v="1"/>
    <x v="100"/>
    <n v="1"/>
    <n v="1.4966E-4"/>
    <n v="3.6603614686662109E-3"/>
    <n v="0"/>
    <s v="COIN"/>
    <s v="LONG"/>
    <s v="COIN LONG"/>
    <n v="3.66036146866621E-3"/>
    <n v="24.4578475789537"/>
    <n v="0"/>
    <n v="0"/>
    <x v="3"/>
    <s v="KSM COIN LONG"/>
    <b v="1"/>
  </r>
  <r>
    <d v="2022-12-22T00:00:00"/>
    <s v="HUOBI"/>
    <x v="34"/>
    <s v="LAMB"/>
    <n v="0.24234807999999999"/>
    <n v="2.7663987178027299E-4"/>
    <n v="1.1414980955503E-3"/>
    <n v="0"/>
    <x v="3"/>
    <d v="2022-12-22T00:00:00"/>
    <n v="1"/>
    <x v="101"/>
    <n v="1"/>
    <n v="0.24234807999999999"/>
    <n v="2.7663987178027174E-4"/>
    <n v="0"/>
    <s v="COIN"/>
    <s v="LONG"/>
    <s v="COIN LONG"/>
    <n v="2.7663987178027299E-4"/>
    <n v="1.1414980955503E-3"/>
    <n v="0"/>
    <n v="0"/>
    <x v="3"/>
    <s v="LAMB COIN LONG"/>
    <b v="1"/>
  </r>
  <r>
    <d v="2022-12-22T00:00:00"/>
    <s v="HUOBI"/>
    <x v="34"/>
    <s v="LEND"/>
    <n v="1E-8"/>
    <n v="0"/>
    <n v="0"/>
    <n v="0"/>
    <x v="3"/>
    <d v="2022-12-22T00:00:00"/>
    <n v="1"/>
    <x v="102"/>
    <n v="1"/>
    <n v="1E-8"/>
    <n v="0"/>
    <n v="0"/>
    <s v="COIN"/>
    <s v="SHORT"/>
    <s v="COIN SHORT"/>
    <n v="0"/>
    <n v="0"/>
    <n v="0"/>
    <n v="0"/>
    <x v="3"/>
    <s v="LEND COIN SHORT"/>
    <b v="1"/>
  </r>
  <r>
    <d v="2022-12-22T00:00:00"/>
    <s v="HUOBI"/>
    <x v="34"/>
    <s v="LINK"/>
    <n v="16934.454517819999"/>
    <n v="101289.326677962"/>
    <n v="5.9812571211772401"/>
    <n v="0"/>
    <x v="3"/>
    <d v="2022-12-22T00:00:00"/>
    <n v="1"/>
    <x v="10"/>
    <n v="1"/>
    <n v="16934.454517819999"/>
    <n v="101289.32667796295"/>
    <n v="0"/>
    <s v="COIN"/>
    <s v="LONG"/>
    <s v="COIN LONG"/>
    <n v="101289.326677962"/>
    <n v="5.9812571211772401"/>
    <n v="0"/>
    <n v="0"/>
    <x v="3"/>
    <s v="LINK COIN LONG"/>
    <b v="1"/>
  </r>
  <r>
    <d v="2022-12-22T00:00:00"/>
    <s v="HUOBI"/>
    <x v="34"/>
    <s v="LOL"/>
    <n v="4.3289484800000002"/>
    <n v="1.1648772423206899E-6"/>
    <n v="2.6909011453994001E-7"/>
    <n v="0"/>
    <x v="3"/>
    <d v="2022-12-22T00:00:00"/>
    <n v="1"/>
    <x v="103"/>
    <n v="1"/>
    <n v="4.3289484800000002"/>
    <n v="1.1648772423206993E-6"/>
    <n v="0"/>
    <s v="COIN"/>
    <s v="LONG"/>
    <s v="COIN LONG"/>
    <n v="1.1648772423206899E-6"/>
    <n v="2.6909011453994001E-7"/>
    <n v="0"/>
    <n v="0"/>
    <x v="3"/>
    <s v="LOL COIN LONG"/>
    <b v="1"/>
  </r>
  <r>
    <d v="2022-12-22T00:00:00"/>
    <s v="HUOBI"/>
    <x v="34"/>
    <s v="LTC"/>
    <n v="8998.7349473699996"/>
    <n v="588439.87309450295"/>
    <n v="65.391399628509205"/>
    <n v="0"/>
    <x v="3"/>
    <d v="2022-12-22T00:00:00"/>
    <n v="1"/>
    <x v="6"/>
    <n v="1"/>
    <n v="8998.7349473699996"/>
    <n v="588439.87309450342"/>
    <n v="0"/>
    <s v="COIN"/>
    <s v="LONG"/>
    <s v="COIN LONG"/>
    <n v="588439.87309450295"/>
    <n v="65.391399628509205"/>
    <n v="0"/>
    <n v="0"/>
    <x v="3"/>
    <s v="LTC COIN LONG"/>
    <b v="1"/>
  </r>
  <r>
    <d v="2022-12-22T00:00:00"/>
    <s v="HUOBI"/>
    <x v="34"/>
    <s v="LXT"/>
    <n v="0.66495972999999997"/>
    <n v="1.3566222270351201E-4"/>
    <n v="2.04015696865602E-4"/>
    <n v="0"/>
    <x v="3"/>
    <d v="2022-12-22T00:00:00"/>
    <n v="1"/>
    <x v="104"/>
    <n v="1"/>
    <n v="0.66495972999999997"/>
    <n v="1.3566222270351255E-4"/>
    <n v="0"/>
    <s v="COIN"/>
    <s v="LONG"/>
    <s v="COIN LONG"/>
    <n v="1.3566222270351201E-4"/>
    <n v="2.04015696865602E-4"/>
    <n v="0"/>
    <n v="0"/>
    <x v="3"/>
    <s v="LXT COIN LONG"/>
    <b v="1"/>
  </r>
  <r>
    <d v="2022-12-22T00:00:00"/>
    <s v="HUOBI"/>
    <x v="34"/>
    <s v="MANA"/>
    <n v="0.34"/>
    <n v="0.104028179613794"/>
    <n v="0.30596523415821703"/>
    <n v="0"/>
    <x v="3"/>
    <d v="2022-12-22T00:00:00"/>
    <n v="1"/>
    <x v="30"/>
    <n v="1"/>
    <n v="0.34"/>
    <n v="0.10402817961379379"/>
    <n v="0"/>
    <s v="COIN"/>
    <s v="LONG"/>
    <s v="COIN LONG"/>
    <n v="0.104028179613794"/>
    <n v="0.30596523415821703"/>
    <n v="0"/>
    <n v="0"/>
    <x v="3"/>
    <s v="MANA COIN LONG"/>
    <b v="1"/>
  </r>
  <r>
    <d v="2022-12-22T00:00:00"/>
    <s v="HUOBI"/>
    <x v="34"/>
    <s v="NEO"/>
    <n v="0.89105878000000005"/>
    <n v="5.7510113709875501"/>
    <n v="6.4541324321921296"/>
    <n v="0"/>
    <x v="3"/>
    <d v="2022-12-22T00:00:00"/>
    <n v="1"/>
    <x v="105"/>
    <n v="1"/>
    <n v="0.89105878000000005"/>
    <n v="5.7510113709875519"/>
    <n v="0"/>
    <s v="COIN"/>
    <s v="LONG"/>
    <s v="COIN LONG"/>
    <n v="5.7510113709875501"/>
    <n v="6.4541324321921296"/>
    <n v="0"/>
    <n v="0"/>
    <x v="3"/>
    <s v="NEO COIN LONG"/>
    <b v="1"/>
  </r>
  <r>
    <d v="2022-12-22T00:00:00"/>
    <s v="HUOBI"/>
    <x v="34"/>
    <s v="NEW"/>
    <n v="40.704174029999997"/>
    <n v="6.0897695126515003E-3"/>
    <n v="1.4961044310009001E-4"/>
    <n v="0"/>
    <x v="3"/>
    <d v="2022-12-22T00:00:00"/>
    <n v="1"/>
    <x v="106"/>
    <n v="1"/>
    <n v="40.704174029999997"/>
    <n v="6.089769512651476E-3"/>
    <n v="0"/>
    <s v="COIN"/>
    <s v="LONG"/>
    <s v="COIN LONG"/>
    <n v="6.0897695126515003E-3"/>
    <n v="1.4961044310009001E-4"/>
    <n v="0"/>
    <n v="0"/>
    <x v="3"/>
    <s v="NEW COIN LONG"/>
    <b v="1"/>
  </r>
  <r>
    <d v="2022-12-22T00:00:00"/>
    <s v="HUOBI"/>
    <x v="34"/>
    <s v="NFT"/>
    <n v="3045130004.3544402"/>
    <n v="1383.6270825444001"/>
    <n v="4.54373731356579E-7"/>
    <n v="0"/>
    <x v="3"/>
    <d v="2022-12-22T00:00:00"/>
    <n v="1"/>
    <x v="107"/>
    <n v="1"/>
    <n v="3045130004.3544402"/>
    <n v="1383.6270825444026"/>
    <n v="0"/>
    <s v="COIN"/>
    <s v="LONG"/>
    <s v="COIN LONG"/>
    <n v="1383.6270825444001"/>
    <n v="4.54373731356579E-7"/>
    <n v="0"/>
    <n v="0"/>
    <x v="3"/>
    <s v="NFT COIN LONG"/>
    <b v="1"/>
  </r>
  <r>
    <d v="2022-12-22T00:00:00"/>
    <s v="HUOBI"/>
    <x v="34"/>
    <s v="NULS"/>
    <n v="4.3068300000000002E-3"/>
    <n v="8.1580818934230302E-4"/>
    <n v="0.18942196217224799"/>
    <n v="0"/>
    <x v="3"/>
    <d v="2022-12-22T00:00:00"/>
    <n v="1"/>
    <x v="108"/>
    <n v="1"/>
    <n v="4.3068300000000002E-3"/>
    <n v="8.1580818934230291E-4"/>
    <n v="0"/>
    <s v="COIN"/>
    <s v="LONG"/>
    <s v="COIN LONG"/>
    <n v="8.1580818934230302E-4"/>
    <n v="0.18942196217224799"/>
    <n v="0"/>
    <n v="0"/>
    <x v="3"/>
    <s v="NULS COIN LONG"/>
    <b v="1"/>
  </r>
  <r>
    <d v="2022-12-22T00:00:00"/>
    <s v="HUOBI"/>
    <x v="34"/>
    <s v="ONG"/>
    <n v="0.34782034000000001"/>
    <n v="8.0145584849309698E-2"/>
    <n v="0.23042236359526799"/>
    <n v="0"/>
    <x v="3"/>
    <d v="2022-12-22T00:00:00"/>
    <n v="1"/>
    <x v="109"/>
    <n v="1"/>
    <n v="0.34782034000000001"/>
    <n v="8.0145584849309739E-2"/>
    <n v="0"/>
    <s v="COIN"/>
    <s v="LONG"/>
    <s v="COIN LONG"/>
    <n v="8.0145584849309698E-2"/>
    <n v="0.23042236359526799"/>
    <n v="0"/>
    <n v="0"/>
    <x v="3"/>
    <s v="ONG COIN LONG"/>
    <b v="1"/>
  </r>
  <r>
    <d v="2022-12-22T00:00:00"/>
    <s v="HUOBI"/>
    <x v="34"/>
    <s v="OXT"/>
    <n v="788357.42699174001"/>
    <n v="56469.734145475901"/>
    <n v="7.1629608870378003E-2"/>
    <n v="0"/>
    <x v="3"/>
    <d v="2022-12-22T00:00:00"/>
    <n v="1"/>
    <x v="33"/>
    <n v="1"/>
    <n v="788357.42699174001"/>
    <n v="56469.734145475843"/>
    <n v="0"/>
    <s v="COIN"/>
    <s v="LONG"/>
    <s v="COIN LONG"/>
    <n v="56469.734145475901"/>
    <n v="7.1629608870378003E-2"/>
    <n v="0"/>
    <n v="0"/>
    <x v="3"/>
    <s v="OXT COIN LONG"/>
    <b v="1"/>
  </r>
  <r>
    <d v="2022-12-22T00:00:00"/>
    <s v="HUOBI"/>
    <x v="34"/>
    <s v="QTUM"/>
    <n v="3.0962099999999998E-3"/>
    <n v="6.1239633745976104E-3"/>
    <n v="1.9778901865821801"/>
    <n v="0"/>
    <x v="3"/>
    <d v="2022-12-22T00:00:00"/>
    <n v="1"/>
    <x v="110"/>
    <n v="1"/>
    <n v="3.0962099999999998E-3"/>
    <n v="6.1239633745976112E-3"/>
    <n v="0"/>
    <s v="COIN"/>
    <s v="LONG"/>
    <s v="COIN LONG"/>
    <n v="6.1239633745976104E-3"/>
    <n v="1.9778901865821801"/>
    <n v="0"/>
    <n v="0"/>
    <x v="3"/>
    <s v="QTUM COIN LONG"/>
    <b v="1"/>
  </r>
  <r>
    <d v="2022-12-22T00:00:00"/>
    <s v="HUOBI"/>
    <x v="34"/>
    <s v="REI"/>
    <n v="2.6598900000000002E-2"/>
    <n v="5.8978057113517597E-4"/>
    <n v="2.2173118855861498E-2"/>
    <n v="0"/>
    <x v="3"/>
    <d v="2022-12-22T00:00:00"/>
    <n v="1"/>
    <x v="111"/>
    <n v="1"/>
    <n v="2.6598900000000002E-2"/>
    <n v="5.8978057113517445E-4"/>
    <n v="0"/>
    <s v="COIN"/>
    <s v="LONG"/>
    <s v="COIN LONG"/>
    <n v="5.8978057113517597E-4"/>
    <n v="2.2173118855861498E-2"/>
    <n v="0"/>
    <n v="0"/>
    <x v="3"/>
    <s v="REI COIN LONG"/>
    <b v="1"/>
  </r>
  <r>
    <d v="2022-12-22T00:00:00"/>
    <s v="HUOBI"/>
    <x v="34"/>
    <s v="SGB"/>
    <n v="1214222.2371159999"/>
    <n v="12583.6181575066"/>
    <n v="1.0363521415482401E-2"/>
    <n v="0"/>
    <x v="3"/>
    <d v="2022-12-22T00:00:00"/>
    <n v="1"/>
    <x v="44"/>
    <n v="1"/>
    <n v="1214222.2371159999"/>
    <n v="12583.618157506615"/>
    <n v="0"/>
    <s v="COIN"/>
    <s v="LONG"/>
    <s v="COIN LONG"/>
    <n v="12583.6181575066"/>
    <n v="1.0363521415482401E-2"/>
    <n v="0"/>
    <n v="0"/>
    <x v="3"/>
    <s v="SGB COIN LONG"/>
    <b v="1"/>
  </r>
  <r>
    <d v="2022-12-22T00:00:00"/>
    <s v="HUOBI"/>
    <x v="34"/>
    <s v="SHIB"/>
    <n v="0.30453922999999999"/>
    <n v="2.51163911708081E-6"/>
    <n v="8.2473417860839007E-6"/>
    <n v="0"/>
    <x v="3"/>
    <d v="2022-12-22T00:00:00"/>
    <n v="1"/>
    <x v="12"/>
    <n v="1"/>
    <n v="0.30453922999999999"/>
    <n v="2.511639117080816E-6"/>
    <n v="0"/>
    <s v="COIN"/>
    <s v="LONG"/>
    <s v="COIN LONG"/>
    <n v="2.51163911708081E-6"/>
    <n v="8.2473417860839007E-6"/>
    <n v="0"/>
    <n v="0"/>
    <x v="3"/>
    <s v="SHIB COIN LONG"/>
    <b v="1"/>
  </r>
  <r>
    <d v="2022-12-22T00:00:00"/>
    <s v="HUOBI"/>
    <x v="34"/>
    <s v="SOL"/>
    <n v="0.14106867000000001"/>
    <n v="1.7110197774188001"/>
    <n v="12.1289849646899"/>
    <n v="0"/>
    <x v="3"/>
    <d v="2022-12-22T00:00:00"/>
    <n v="1"/>
    <x v="34"/>
    <n v="1"/>
    <n v="0.14106867000000001"/>
    <n v="1.7110197774188014"/>
    <n v="0"/>
    <s v="COIN"/>
    <s v="LONG"/>
    <s v="COIN LONG"/>
    <n v="1.7110197774188001"/>
    <n v="12.1289849646899"/>
    <n v="0"/>
    <n v="0"/>
    <x v="3"/>
    <s v="SOL COIN LONG"/>
    <b v="1"/>
  </r>
  <r>
    <d v="2022-12-22T00:00:00"/>
    <s v="HUOBI"/>
    <x v="34"/>
    <s v="SOLO"/>
    <n v="38753.774400000002"/>
    <n v="6082.9410218338098"/>
    <n v="0.15696383425903901"/>
    <n v="0"/>
    <x v="3"/>
    <d v="2022-12-22T00:00:00"/>
    <n v="1"/>
    <x v="112"/>
    <n v="1"/>
    <n v="38753.774400000002"/>
    <n v="6082.9410218337889"/>
    <n v="0"/>
    <s v="COIN"/>
    <s v="LONG"/>
    <s v="COIN LONG"/>
    <n v="6082.9410218338098"/>
    <n v="0.15696383425903901"/>
    <n v="0"/>
    <n v="0"/>
    <x v="3"/>
    <s v="SOLO COIN LONG"/>
    <b v="1"/>
  </r>
  <r>
    <d v="2022-12-22T00:00:00"/>
    <s v="HUOBI"/>
    <x v="34"/>
    <s v="STORJ"/>
    <n v="29.76350429"/>
    <n v="7.9714002563749604"/>
    <n v="0.26782465460739402"/>
    <n v="0"/>
    <x v="3"/>
    <d v="2022-12-22T00:00:00"/>
    <n v="1"/>
    <x v="113"/>
    <n v="1"/>
    <n v="29.76350429"/>
    <n v="7.97140025637494"/>
    <n v="0"/>
    <s v="COIN"/>
    <s v="LONG"/>
    <s v="COIN LONG"/>
    <n v="7.9714002563749604"/>
    <n v="0.26782465460739402"/>
    <n v="0"/>
    <n v="0"/>
    <x v="3"/>
    <s v="STORJ COIN LONG"/>
    <b v="1"/>
  </r>
  <r>
    <d v="2022-12-22T00:00:00"/>
    <s v="HUOBI"/>
    <x v="34"/>
    <s v="TRX"/>
    <n v="44.266270740000003"/>
    <n v="2.4278801746459702"/>
    <n v="5.4847181252431203E-2"/>
    <n v="0"/>
    <x v="3"/>
    <d v="2022-12-22T00:00:00"/>
    <n v="1"/>
    <x v="78"/>
    <n v="1"/>
    <n v="44.266270740000003"/>
    <n v="2.4278801746459719"/>
    <n v="0"/>
    <s v="COIN"/>
    <s v="LONG"/>
    <s v="COIN LONG"/>
    <n v="2.4278801746459702"/>
    <n v="5.4847181252431203E-2"/>
    <n v="0"/>
    <n v="0"/>
    <x v="3"/>
    <s v="TRX COIN LONG"/>
    <b v="1"/>
  </r>
  <r>
    <d v="2022-12-22T00:00:00"/>
    <s v="HUOBI"/>
    <x v="34"/>
    <s v="TT"/>
    <n v="6.3152970000000003E-2"/>
    <n v="2.18941066022558E-4"/>
    <n v="3.46683720532158E-3"/>
    <n v="0"/>
    <x v="3"/>
    <d v="2022-12-22T00:00:00"/>
    <n v="1"/>
    <x v="114"/>
    <n v="1"/>
    <n v="6.3152970000000003E-2"/>
    <n v="2.189410660225576E-4"/>
    <n v="0"/>
    <s v="COIN"/>
    <s v="LONG"/>
    <s v="COIN LONG"/>
    <n v="2.18941066022558E-4"/>
    <n v="3.46683720532158E-3"/>
    <n v="0"/>
    <n v="0"/>
    <x v="3"/>
    <s v="TT COIN LONG"/>
    <b v="1"/>
  </r>
  <r>
    <d v="2022-12-22T00:00:00"/>
    <s v="HUOBI"/>
    <x v="34"/>
    <s v="TUSD"/>
    <n v="20"/>
    <n v="20.006974368426199"/>
    <n v="1.00034871842131"/>
    <n v="0"/>
    <x v="3"/>
    <d v="2022-12-22T00:00:00"/>
    <n v="1"/>
    <x v="115"/>
    <n v="1"/>
    <n v="20"/>
    <n v="20.006974368426199"/>
    <n v="0"/>
    <s v="COIN"/>
    <s v="LONG"/>
    <s v="COIN LONG"/>
    <n v="20.006974368426199"/>
    <n v="1.00034871842131"/>
    <n v="0"/>
    <n v="0"/>
    <x v="3"/>
    <s v="TUSD COIN LONG"/>
    <b v="1"/>
  </r>
  <r>
    <d v="2022-12-22T00:00:00"/>
    <s v="HUOBI"/>
    <x v="34"/>
    <s v="UNI"/>
    <n v="1E-8"/>
    <n v="5.3121040496272199E-8"/>
    <n v="5.3121040496272203"/>
    <n v="0"/>
    <x v="3"/>
    <d v="2022-12-22T00:00:00"/>
    <n v="1"/>
    <x v="36"/>
    <n v="1"/>
    <n v="1E-8"/>
    <n v="5.3121040496272206E-8"/>
    <n v="0"/>
    <s v="COIN"/>
    <s v="LONG"/>
    <s v="COIN LONG"/>
    <n v="5.3121040496272199E-8"/>
    <n v="5.3121040496272203"/>
    <n v="0"/>
    <n v="0"/>
    <x v="3"/>
    <s v="UNI COIN LONG"/>
    <b v="1"/>
  </r>
  <r>
    <d v="2022-12-22T00:00:00"/>
    <s v="HUOBI"/>
    <x v="34"/>
    <s v="USDC"/>
    <n v="5.6000000000000004E-7"/>
    <n v="5.6005358328080404E-7"/>
    <n v="1.00009568443"/>
    <n v="0"/>
    <x v="3"/>
    <d v="2022-12-22T00:00:00"/>
    <n v="1"/>
    <x v="46"/>
    <n v="1"/>
    <n v="5.6000000000000004E-7"/>
    <n v="5.6005358328080001E-7"/>
    <n v="0"/>
    <s v="COIN"/>
    <s v="LONG"/>
    <s v="COIN LONG"/>
    <n v="5.6005358328080404E-7"/>
    <n v="1.00009568443"/>
    <n v="0"/>
    <n v="0"/>
    <x v="3"/>
    <s v="USDC COIN LONG"/>
    <b v="1"/>
  </r>
  <r>
    <d v="2022-12-22T00:00:00"/>
    <s v="HUOBI"/>
    <x v="34"/>
    <s v="USDP"/>
    <n v="0.34680431"/>
    <n v="0.34831182438164598"/>
    <n v="1.0043468732601499"/>
    <n v="0"/>
    <x v="3"/>
    <d v="2022-12-22T00:00:00"/>
    <n v="1"/>
    <x v="116"/>
    <n v="1"/>
    <n v="0.34680431"/>
    <n v="0.34831182438164376"/>
    <n v="0"/>
    <s v="COIN"/>
    <s v="LONG"/>
    <s v="COIN LONG"/>
    <n v="0.34831182438164598"/>
    <n v="1.0043468732601499"/>
    <n v="0"/>
    <n v="0"/>
    <x v="3"/>
    <s v="USDP COIN LONG"/>
    <b v="1"/>
  </r>
  <r>
    <d v="2022-12-22T00:00:00"/>
    <s v="HUOBI"/>
    <x v="34"/>
    <s v="USDT"/>
    <n v="4724490.3507551299"/>
    <n v="4724853.8786476497"/>
    <n v="1.0000769454196099"/>
    <n v="0"/>
    <x v="3"/>
    <d v="2022-12-22T00:00:00"/>
    <n v="1"/>
    <x v="37"/>
    <n v="1"/>
    <n v="4724490.3507551299"/>
    <n v="4724853.8786476115"/>
    <n v="0"/>
    <s v="COIN"/>
    <s v="LONG"/>
    <s v="COIN LONG"/>
    <n v="4724853.8786476497"/>
    <n v="1.0000769454196099"/>
    <n v="0"/>
    <n v="0"/>
    <x v="3"/>
    <s v="USDT COIN LONG"/>
    <b v="1"/>
  </r>
  <r>
    <d v="2022-12-22T00:00:00"/>
    <s v="HUOBI"/>
    <x v="34"/>
    <s v="VET"/>
    <n v="25.959481520000001"/>
    <n v="0.42517100524691798"/>
    <n v="1.6378254893856501E-2"/>
    <n v="0"/>
    <x v="3"/>
    <d v="2022-12-22T00:00:00"/>
    <n v="1"/>
    <x v="117"/>
    <n v="1"/>
    <n v="25.959481520000001"/>
    <n v="0.42517100524691742"/>
    <n v="0"/>
    <s v="COIN"/>
    <s v="LONG"/>
    <s v="COIN LONG"/>
    <n v="0.42517100524691798"/>
    <n v="1.6378254893856501E-2"/>
    <n v="0"/>
    <n v="0"/>
    <x v="3"/>
    <s v="VET COIN LONG"/>
    <b v="1"/>
  </r>
  <r>
    <d v="2022-12-22T00:00:00"/>
    <s v="HUOBI"/>
    <x v="34"/>
    <s v="VSYS"/>
    <n v="0.20872535"/>
    <n v="2.0805303441697199E-4"/>
    <n v="9.9677894619399189E-4"/>
    <n v="0"/>
    <x v="3"/>
    <d v="2022-12-22T00:00:00"/>
    <n v="1"/>
    <x v="118"/>
    <n v="1"/>
    <n v="0.20872535"/>
    <n v="2.0805303441697213E-4"/>
    <n v="0"/>
    <s v="COIN"/>
    <s v="LONG"/>
    <s v="COIN LONG"/>
    <n v="2.0805303441697199E-4"/>
    <n v="9.9677894619399189E-4"/>
    <n v="0"/>
    <n v="0"/>
    <x v="3"/>
    <s v="VSYS COIN LONG"/>
    <b v="1"/>
  </r>
  <r>
    <d v="2022-12-22T00:00:00"/>
    <s v="HUOBI"/>
    <x v="34"/>
    <s v="XEC"/>
    <n v="97856389.900000006"/>
    <n v="2342.1770495778501"/>
    <n v="2.39348401465794E-5"/>
    <n v="0"/>
    <x v="3"/>
    <d v="2022-12-22T00:00:00"/>
    <n v="1"/>
    <x v="119"/>
    <n v="1"/>
    <n v="97856389.900000006"/>
    <n v="2342.1770495778469"/>
    <n v="0"/>
    <s v="COIN"/>
    <s v="LONG"/>
    <s v="COIN LONG"/>
    <n v="2342.1770495778501"/>
    <n v="2.39348401465794E-5"/>
    <n v="0"/>
    <n v="0"/>
    <x v="3"/>
    <s v="XEC COIN LONG"/>
    <b v="1"/>
  </r>
  <r>
    <d v="2022-12-22T00:00:00"/>
    <s v="HUOBI"/>
    <x v="34"/>
    <s v="XLM"/>
    <n v="0.55556267999999998"/>
    <n v="4.1718286838608697E-2"/>
    <n v="7.5091953330286204E-2"/>
    <n v="0"/>
    <x v="3"/>
    <d v="2022-12-22T00:00:00"/>
    <n v="1"/>
    <x v="38"/>
    <n v="1"/>
    <n v="0.55556267999999998"/>
    <n v="4.1718286838608724E-2"/>
    <n v="0"/>
    <s v="COIN"/>
    <s v="LONG"/>
    <s v="COIN LONG"/>
    <n v="4.1718286838608697E-2"/>
    <n v="7.5091953330286204E-2"/>
    <n v="0"/>
    <n v="0"/>
    <x v="3"/>
    <s v="XLM COIN LONG"/>
    <b v="1"/>
  </r>
  <r>
    <d v="2022-12-22T00:00:00"/>
    <s v="HUOBI"/>
    <x v="34"/>
    <s v="XRP"/>
    <n v="111.99592358"/>
    <n v="38.752791225638497"/>
    <n v="0.34601965845620197"/>
    <n v="0"/>
    <x v="3"/>
    <d v="2022-12-22T00:00:00"/>
    <n v="1"/>
    <x v="45"/>
    <n v="1"/>
    <n v="111.99592358"/>
    <n v="38.752791225638497"/>
    <n v="0"/>
    <s v="COIN"/>
    <s v="LONG"/>
    <s v="COIN LONG"/>
    <n v="38.752791225638497"/>
    <n v="0.34601965845620197"/>
    <n v="0"/>
    <n v="0"/>
    <x v="3"/>
    <s v="XRP COIN LONG"/>
    <b v="1"/>
  </r>
  <r>
    <d v="2022-12-22T00:00:00"/>
    <s v="HUOBI"/>
    <x v="34"/>
    <s v="XTZ"/>
    <n v="3.9304560899999998"/>
    <n v="3.1676001345412899"/>
    <n v="0.80591159448401095"/>
    <n v="0"/>
    <x v="3"/>
    <d v="2022-12-22T00:00:00"/>
    <n v="1"/>
    <x v="39"/>
    <n v="1"/>
    <n v="3.9304560899999998"/>
    <n v="3.1676001345412912"/>
    <n v="0"/>
    <s v="COIN"/>
    <s v="LONG"/>
    <s v="COIN LONG"/>
    <n v="3.1676001345412899"/>
    <n v="0.80591159448401095"/>
    <n v="0"/>
    <n v="0"/>
    <x v="3"/>
    <s v="XTZ COIN LONG"/>
    <b v="1"/>
  </r>
  <r>
    <d v="2022-12-22T00:00:00"/>
    <s v="HUOBI"/>
    <x v="34"/>
    <s v="YFII"/>
    <n v="1.329583E-2"/>
    <n v="16.188101837987698"/>
    <n v="1217.5322516900201"/>
    <n v="0"/>
    <x v="3"/>
    <d v="2022-12-22T00:00:00"/>
    <n v="1"/>
    <x v="81"/>
    <n v="1"/>
    <n v="1.329583E-2"/>
    <n v="16.18810183798772"/>
    <n v="0"/>
    <s v="COIN"/>
    <s v="LONG"/>
    <s v="COIN LONG"/>
    <n v="16.188101837987698"/>
    <n v="1217.5322516900201"/>
    <n v="0"/>
    <n v="0"/>
    <x v="3"/>
    <s v="YFII COIN LONG"/>
    <b v="1"/>
  </r>
  <r>
    <d v="2022-12-22T00:00:00"/>
    <s v="HUOBI"/>
    <x v="34"/>
    <s v="ZEC"/>
    <n v="2.173E-4"/>
    <n v="8.9827856611623402E-3"/>
    <n v="41.338176075298399"/>
    <n v="0"/>
    <x v="3"/>
    <d v="2022-12-22T00:00:00"/>
    <n v="1"/>
    <x v="120"/>
    <n v="1"/>
    <n v="2.173E-4"/>
    <n v="8.982785661162342E-3"/>
    <n v="0"/>
    <s v="COIN"/>
    <s v="LONG"/>
    <s v="COIN LONG"/>
    <n v="8.9827856611623402E-3"/>
    <n v="41.338176075298399"/>
    <n v="0"/>
    <n v="0"/>
    <x v="3"/>
    <s v="ZEC COIN LONG"/>
    <b v="1"/>
  </r>
  <r>
    <d v="2022-12-22T00:00:00"/>
    <s v="HUOBI"/>
    <x v="34"/>
    <s v="ZIL"/>
    <n v="18875502.372808699"/>
    <n v="336881.23006144702"/>
    <n v="1.7847537162599899E-2"/>
    <n v="0"/>
    <x v="3"/>
    <d v="2022-12-22T00:00:00"/>
    <n v="1"/>
    <x v="8"/>
    <n v="1"/>
    <n v="18875502.372808699"/>
    <n v="336881.23006144579"/>
    <n v="0"/>
    <s v="COIN"/>
    <s v="LONG"/>
    <s v="COIN LONG"/>
    <n v="336881.23006144702"/>
    <n v="1.7847537162599899E-2"/>
    <n v="0"/>
    <n v="0"/>
    <x v="3"/>
    <s v="ZIL COIN LONG"/>
    <b v="1"/>
  </r>
  <r>
    <d v="2022-12-22T00:00:00"/>
    <s v="HUOBI"/>
    <x v="35"/>
    <s v="BCH"/>
    <n v="0.10004001"/>
    <n v="10.038058222080799"/>
    <n v="100.34043601235901"/>
    <n v="0"/>
    <x v="3"/>
    <d v="2022-12-22T00:00:00"/>
    <n v="1"/>
    <x v="4"/>
    <n v="1"/>
    <n v="0.10004001"/>
    <n v="10.038058222080755"/>
    <n v="0"/>
    <s v="COIN"/>
    <s v="LONG"/>
    <s v="COIN LONG"/>
    <n v="10.038058222080799"/>
    <n v="100.34043601235901"/>
    <n v="0"/>
    <n v="0"/>
    <x v="3"/>
    <s v="BCH COIN LONG"/>
    <b v="1"/>
  </r>
  <r>
    <d v="2022-12-22T00:00:00"/>
    <s v="HUOBI"/>
    <x v="35"/>
    <s v="EOS"/>
    <n v="677233.58052464004"/>
    <n v="601350.04470547102"/>
    <n v="0.88795071892273303"/>
    <n v="0"/>
    <x v="3"/>
    <d v="2022-12-22T00:00:00"/>
    <n v="1"/>
    <x v="3"/>
    <n v="1"/>
    <n v="677233.58052464004"/>
    <n v="601350.04470547079"/>
    <n v="0"/>
    <s v="COIN"/>
    <s v="LONG"/>
    <s v="COIN LONG"/>
    <n v="601350.04470547102"/>
    <n v="0.88795071892273303"/>
    <n v="0"/>
    <n v="0"/>
    <x v="3"/>
    <s v="EOS COIN LONG"/>
    <b v="1"/>
  </r>
  <r>
    <d v="2022-12-22T00:00:00"/>
    <s v="HUOBI"/>
    <x v="35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3"/>
    <s v="ETC COIN LONG"/>
    <b v="1"/>
  </r>
  <r>
    <d v="2022-12-22T00:00:00"/>
    <s v="HUOBI"/>
    <x v="35"/>
    <s v="LTC"/>
    <n v="5161.7465073100002"/>
    <n v="337533.828640569"/>
    <n v="65.391399628509205"/>
    <n v="0"/>
    <x v="3"/>
    <d v="2022-12-22T00:00:00"/>
    <n v="1"/>
    <x v="6"/>
    <n v="1"/>
    <n v="5161.7465073100002"/>
    <n v="337533.82864056982"/>
    <n v="0"/>
    <s v="COIN"/>
    <s v="LONG"/>
    <s v="COIN LONG"/>
    <n v="337533.828640569"/>
    <n v="65.391399628509205"/>
    <n v="0"/>
    <n v="0"/>
    <x v="3"/>
    <s v="LTC COIN LONG"/>
    <b v="1"/>
  </r>
  <r>
    <d v="2022-12-22T00:00:00"/>
    <s v="HUOBI"/>
    <x v="35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3"/>
    <s v="TRX COIN LONG"/>
    <b v="1"/>
  </r>
  <r>
    <d v="2022-12-22T00:00:00"/>
    <s v="HUOBI"/>
    <x v="35"/>
    <s v="USDT"/>
    <n v="739269.45812615997"/>
    <n v="739326.34152482601"/>
    <n v="1.0000769454196099"/>
    <n v="0"/>
    <x v="3"/>
    <d v="2022-12-22T00:00:00"/>
    <n v="1"/>
    <x v="37"/>
    <n v="1"/>
    <n v="739269.45812615997"/>
    <n v="739326.34152482031"/>
    <n v="0"/>
    <s v="COIN"/>
    <s v="LONG"/>
    <s v="COIN LONG"/>
    <n v="739326.34152482601"/>
    <n v="1.0000769454196099"/>
    <n v="0"/>
    <n v="0"/>
    <x v="3"/>
    <s v="USDT COIN LONG"/>
    <b v="1"/>
  </r>
  <r>
    <d v="2022-12-22T00:00:00"/>
    <s v="HUOBI"/>
    <x v="35"/>
    <s v="XRP"/>
    <n v="7.6039999999999997E-5"/>
    <n v="2.63113348290096E-5"/>
    <n v="0.34601965845620197"/>
    <n v="0"/>
    <x v="3"/>
    <d v="2022-12-22T00:00:00"/>
    <n v="1"/>
    <x v="45"/>
    <n v="1"/>
    <n v="7.6039999999999997E-5"/>
    <n v="2.6311334829009597E-5"/>
    <n v="0"/>
    <s v="COIN"/>
    <s v="LONG"/>
    <s v="COIN LONG"/>
    <n v="2.63113348290096E-5"/>
    <n v="0.34601965845620197"/>
    <n v="0"/>
    <n v="0"/>
    <x v="3"/>
    <s v="XRP COIN LONG"/>
    <b v="1"/>
  </r>
  <r>
    <d v="2022-12-21T22:00:28"/>
    <s v="KRKE"/>
    <x v="36"/>
    <s v="ATOM"/>
    <n v="0.331542"/>
    <n v="2.9330101475780999"/>
    <n v="8.8465719202336501"/>
    <n v="0"/>
    <x v="3"/>
    <d v="2022-12-21T22:00:28"/>
    <n v="1"/>
    <x v="11"/>
    <n v="1"/>
    <n v="0.331542"/>
    <n v="2.9330101475781047"/>
    <n v="0"/>
    <s v="COIN"/>
    <s v="LONG"/>
    <s v="COIN LONG"/>
    <n v="2.9330101475780999"/>
    <n v="8.8465719202336501"/>
    <n v="0"/>
    <n v="0"/>
    <x v="13"/>
    <s v="ATOM COIN LONG"/>
    <b v="1"/>
  </r>
  <r>
    <d v="2022-12-21T22:00:28"/>
    <s v="KRKE"/>
    <x v="36"/>
    <s v="BCH"/>
    <n v="1.7695412699999999"/>
    <n v="177.55654257366399"/>
    <n v="100.34043601235901"/>
    <n v="0"/>
    <x v="3"/>
    <d v="2022-12-21T22:00:28"/>
    <n v="1"/>
    <x v="4"/>
    <n v="1"/>
    <n v="1.7695412699999999"/>
    <n v="177.55654257366348"/>
    <n v="0"/>
    <s v="COIN"/>
    <s v="LONG"/>
    <s v="COIN LONG"/>
    <n v="177.55654257366399"/>
    <n v="100.34043601235901"/>
    <n v="0"/>
    <n v="0"/>
    <x v="13"/>
    <s v="BCH COIN LONG"/>
    <b v="1"/>
  </r>
  <r>
    <d v="2022-12-21T22:00:28"/>
    <s v="KRKE"/>
    <x v="36"/>
    <s v="BTC"/>
    <n v="1.8847760000000002E-2"/>
    <n v="316.97285190946002"/>
    <n v="16817.534386550898"/>
    <n v="0"/>
    <x v="3"/>
    <d v="2022-12-21T22:00:28"/>
    <n v="1"/>
    <x v="0"/>
    <n v="1"/>
    <n v="1.8847760000000002E-2"/>
    <n v="316.9728519094586"/>
    <n v="0"/>
    <s v="COIN"/>
    <s v="LONG"/>
    <s v="COIN LONG"/>
    <n v="316.97285190946002"/>
    <n v="16817.534386550898"/>
    <n v="0"/>
    <n v="0"/>
    <x v="13"/>
    <s v="BTC COIN LONG"/>
    <b v="1"/>
  </r>
  <r>
    <d v="2022-12-21T22:00:28"/>
    <s v="KRKE"/>
    <x v="36"/>
    <s v="EOS"/>
    <n v="9.9499194400000004"/>
    <n v="8.83503811997128"/>
    <n v="0.88795071892273303"/>
    <n v="0"/>
    <x v="3"/>
    <d v="2022-12-21T22:00:28"/>
    <n v="1"/>
    <x v="3"/>
    <n v="1"/>
    <n v="9.9499194400000004"/>
    <n v="8.8350381199712782"/>
    <n v="0"/>
    <s v="COIN"/>
    <s v="LONG"/>
    <s v="COIN LONG"/>
    <n v="8.83503811997128"/>
    <n v="0.88795071892273303"/>
    <n v="0"/>
    <n v="0"/>
    <x v="13"/>
    <s v="EOS COIN LONG"/>
    <b v="1"/>
  </r>
  <r>
    <d v="2022-12-21T22:00:28"/>
    <s v="KRKE"/>
    <x v="36"/>
    <s v="ETHW"/>
    <n v="3.4037359"/>
    <n v="10.0103974423425"/>
    <n v="2.9410029850854702"/>
    <n v="0"/>
    <x v="3"/>
    <d v="2022-12-21T22:00:28"/>
    <n v="1"/>
    <x v="41"/>
    <n v="1"/>
    <n v="3.4037359"/>
    <n v="10.01039744234258"/>
    <n v="0"/>
    <s v="COIN"/>
    <s v="LONG"/>
    <s v="COIN LONG"/>
    <n v="10.0103974423425"/>
    <n v="2.9410029850854702"/>
    <n v="0"/>
    <n v="0"/>
    <x v="13"/>
    <s v="ETHW COIN LONG"/>
    <b v="1"/>
  </r>
  <r>
    <d v="2022-12-21T22:00:28"/>
    <s v="KRKE"/>
    <x v="36"/>
    <s v="LTC"/>
    <n v="9.1421368100000002"/>
    <n v="597.81712160121401"/>
    <n v="65.391399628509205"/>
    <n v="0"/>
    <x v="3"/>
    <d v="2022-12-21T22:00:28"/>
    <n v="1"/>
    <x v="6"/>
    <n v="1"/>
    <n v="9.1421368100000002"/>
    <n v="597.81712160121435"/>
    <n v="0"/>
    <s v="COIN"/>
    <s v="LONG"/>
    <s v="COIN LONG"/>
    <n v="597.81712160121401"/>
    <n v="65.391399628509205"/>
    <n v="0"/>
    <n v="0"/>
    <x v="13"/>
    <s v="LTC COIN LONG"/>
    <b v="1"/>
  </r>
  <r>
    <d v="2022-12-21T22:00:28"/>
    <s v="KRKE"/>
    <x v="36"/>
    <s v="OXT"/>
    <n v="590103.56042200001"/>
    <n v="42268.887226045299"/>
    <n v="7.1629608870378003E-2"/>
    <n v="0"/>
    <x v="3"/>
    <d v="2022-12-21T22:00:28"/>
    <n v="1"/>
    <x v="33"/>
    <n v="1"/>
    <n v="590103.56042200001"/>
    <n v="42268.887226045277"/>
    <n v="0"/>
    <s v="COIN"/>
    <s v="LONG"/>
    <s v="COIN LONG"/>
    <n v="42268.887226045299"/>
    <n v="7.1629608870378003E-2"/>
    <n v="0"/>
    <n v="0"/>
    <x v="13"/>
    <s v="OXT COIN LONG"/>
    <b v="1"/>
  </r>
  <r>
    <d v="2022-12-21T22:00:28"/>
    <s v="KRKE"/>
    <x v="36"/>
    <s v="SGB"/>
    <n v="0.10834547999999999"/>
    <n v="1.12284070225072E-3"/>
    <n v="1.0363521415482401E-2"/>
    <n v="0"/>
    <x v="3"/>
    <d v="2022-12-21T22:00:28"/>
    <n v="1"/>
    <x v="44"/>
    <n v="1"/>
    <n v="0.10834547999999999"/>
    <n v="1.12284070225072E-3"/>
    <n v="0"/>
    <s v="COIN"/>
    <s v="LONG"/>
    <s v="COIN LONG"/>
    <n v="1.12284070225072E-3"/>
    <n v="1.0363521415482401E-2"/>
    <n v="0"/>
    <n v="0"/>
    <x v="13"/>
    <s v="SGB COIN LONG"/>
    <b v="1"/>
  </r>
  <r>
    <d v="2022-12-21T22:00:28"/>
    <s v="KRKE"/>
    <x v="36"/>
    <s v="USD"/>
    <n v="135721.4351"/>
    <n v="135721.4351"/>
    <n v="1"/>
    <n v="0"/>
    <x v="3"/>
    <d v="2022-12-21T22:00:28"/>
    <n v="1"/>
    <x v="42"/>
    <n v="1"/>
    <n v="135721.4351"/>
    <n v="135721.4351"/>
    <n v="0"/>
    <s v="CASH"/>
    <s v="LONG"/>
    <s v="CASH LONG"/>
    <n v="135721.4351"/>
    <n v="1"/>
    <n v="0"/>
    <n v="0"/>
    <x v="13"/>
    <s v="USD CASH LONG"/>
    <b v="1"/>
  </r>
  <r>
    <d v="2022-12-21T22:00:28"/>
    <s v="KRKE"/>
    <x v="36"/>
    <s v="USDT"/>
    <n v="1.182861E-2"/>
    <n v="1.1829520157359901E-2"/>
    <n v="1.0000769454196099"/>
    <n v="0"/>
    <x v="3"/>
    <d v="2022-12-21T22:00:28"/>
    <n v="1"/>
    <x v="37"/>
    <n v="1"/>
    <n v="1.182861E-2"/>
    <n v="1.1829520157359852E-2"/>
    <n v="0"/>
    <s v="COIN"/>
    <s v="LONG"/>
    <s v="COIN LONG"/>
    <n v="1.1829520157359901E-2"/>
    <n v="1.0000769454196099"/>
    <n v="0"/>
    <n v="0"/>
    <x v="13"/>
    <s v="USDT COIN LONG"/>
    <b v="1"/>
  </r>
  <r>
    <d v="2022-12-21T22:00:28"/>
    <s v="KRKE"/>
    <x v="36"/>
    <s v="XLM"/>
    <n v="8.93329E-3"/>
    <n v="6.7081819576591205E-4"/>
    <n v="7.5091953330286204E-2"/>
    <n v="0"/>
    <x v="3"/>
    <d v="2022-12-21T22:00:28"/>
    <n v="1"/>
    <x v="38"/>
    <n v="1"/>
    <n v="8.93329E-3"/>
    <n v="6.7081819576591249E-4"/>
    <n v="0"/>
    <s v="COIN"/>
    <s v="LONG"/>
    <s v="COIN LONG"/>
    <n v="6.7081819576591205E-4"/>
    <n v="7.5091953330286204E-2"/>
    <n v="0"/>
    <n v="0"/>
    <x v="13"/>
    <s v="XLM COIN LONG"/>
    <b v="1"/>
  </r>
  <r>
    <d v="2022-12-21T22:00:28"/>
    <s v="KRKE"/>
    <x v="36"/>
    <s v="XRP"/>
    <n v="0.71704489000000005"/>
    <n v="0.24811162793556499"/>
    <n v="0.34601965845620197"/>
    <n v="0"/>
    <x v="3"/>
    <d v="2022-12-21T22:00:28"/>
    <n v="1"/>
    <x v="45"/>
    <n v="1"/>
    <n v="0.71704489000000005"/>
    <n v="0.24811162793556493"/>
    <n v="0"/>
    <s v="COIN"/>
    <s v="LONG"/>
    <s v="COIN LONG"/>
    <n v="0.24811162793556499"/>
    <n v="0.34601965845620197"/>
    <n v="0"/>
    <n v="0"/>
    <x v="13"/>
    <s v="XRP COIN LONG"/>
    <b v="1"/>
  </r>
  <r>
    <d v="2022-12-21T00:00:00"/>
    <s v="GALAXY"/>
    <x v="37"/>
    <s v="AAVE"/>
    <n v="300"/>
    <n v="16798.381914903999"/>
    <n v="55.994606383013597"/>
    <n v="0"/>
    <x v="3"/>
    <d v="2022-12-21T00:00:00"/>
    <n v="1"/>
    <x v="13"/>
    <n v="1"/>
    <n v="300"/>
    <n v="16798.381914904079"/>
    <n v="0"/>
    <s v="COIN"/>
    <s v="LONG"/>
    <s v="COIN LONG"/>
    <n v="16798.381914903999"/>
    <n v="55.994606383013597"/>
    <n v="0"/>
    <n v="0"/>
    <x v="14"/>
    <s v="AAVE COIN LONG"/>
    <b v="0"/>
  </r>
  <r>
    <d v="2022-12-21T00:00:00"/>
    <s v="GALAXY"/>
    <x v="37"/>
    <s v="ADA"/>
    <n v="150000"/>
    <n v="37973.102816721999"/>
    <n v="0.25315401877814703"/>
    <n v="0"/>
    <x v="3"/>
    <d v="2022-12-21T00:00:00"/>
    <n v="1"/>
    <x v="14"/>
    <n v="1"/>
    <n v="150000"/>
    <n v="37973.102816722057"/>
    <n v="0"/>
    <s v="COIN"/>
    <s v="LONG"/>
    <s v="COIN LONG"/>
    <n v="37973.102816721999"/>
    <n v="0.25315401877814703"/>
    <n v="0"/>
    <n v="0"/>
    <x v="14"/>
    <s v="ADA COIN LONG"/>
    <b v="0"/>
  </r>
  <r>
    <d v="2022-12-21T00:00:00"/>
    <s v="GALAXY"/>
    <x v="37"/>
    <s v="ALGO"/>
    <n v="35000"/>
    <n v="6015.8399169429003"/>
    <n v="0.17188114048408301"/>
    <n v="0"/>
    <x v="3"/>
    <d v="2022-12-21T00:00:00"/>
    <n v="1"/>
    <x v="15"/>
    <n v="1"/>
    <n v="35000"/>
    <n v="6015.8399169429058"/>
    <n v="0"/>
    <s v="COIN"/>
    <s v="LONG"/>
    <s v="COIN LONG"/>
    <n v="6015.8399169429003"/>
    <n v="0.17188114048408301"/>
    <n v="0"/>
    <n v="0"/>
    <x v="14"/>
    <s v="ALGO COIN LONG"/>
    <b v="0"/>
  </r>
  <r>
    <d v="2022-12-21T00:00:00"/>
    <s v="GALAXY"/>
    <x v="37"/>
    <s v="AVAX"/>
    <n v="3000"/>
    <n v="35089.310808384398"/>
    <n v="11.6964369361281"/>
    <n v="0"/>
    <x v="3"/>
    <d v="2022-12-21T00:00:00"/>
    <n v="1"/>
    <x v="16"/>
    <n v="1"/>
    <n v="3000"/>
    <n v="35089.310808384296"/>
    <n v="0"/>
    <s v="COIN"/>
    <s v="LONG"/>
    <s v="COIN LONG"/>
    <n v="35089.310808384398"/>
    <n v="11.6964369361281"/>
    <n v="0"/>
    <n v="0"/>
    <x v="14"/>
    <s v="AVAX COIN LONG"/>
    <b v="0"/>
  </r>
  <r>
    <d v="2022-12-21T00:00:00"/>
    <s v="GALAXY"/>
    <x v="37"/>
    <s v="BAT"/>
    <n v="100000"/>
    <n v="18793.757985794899"/>
    <n v="0.18793757985794901"/>
    <n v="0"/>
    <x v="3"/>
    <d v="2022-12-21T00:00:00"/>
    <n v="1"/>
    <x v="17"/>
    <n v="1"/>
    <n v="100000"/>
    <n v="18793.757985794902"/>
    <n v="0"/>
    <s v="COIN"/>
    <s v="LONG"/>
    <s v="COIN LONG"/>
    <n v="18793.757985794899"/>
    <n v="0.18793757985794901"/>
    <n v="0"/>
    <n v="0"/>
    <x v="14"/>
    <s v="BAT COIN LONG"/>
    <b v="0"/>
  </r>
  <r>
    <d v="2022-12-21T00:00:00"/>
    <s v="GALAXY"/>
    <x v="37"/>
    <s v="BCH"/>
    <n v="5627"/>
    <n v="564615.63344154798"/>
    <n v="100.34043601235901"/>
    <n v="0"/>
    <x v="3"/>
    <d v="2022-12-21T00:00:00"/>
    <n v="1"/>
    <x v="4"/>
    <n v="1"/>
    <n v="5627"/>
    <n v="564615.63344154414"/>
    <n v="0"/>
    <s v="COIN"/>
    <s v="LONG"/>
    <s v="COIN LONG"/>
    <n v="564615.63344154798"/>
    <n v="100.34043601235901"/>
    <n v="0"/>
    <n v="0"/>
    <x v="14"/>
    <s v="BCH COIN LONG"/>
    <b v="0"/>
  </r>
  <r>
    <d v="2022-12-21T00:00:00"/>
    <s v="GALAXY"/>
    <x v="37"/>
    <s v="COMP"/>
    <n v="5000"/>
    <n v="165772.74710343499"/>
    <n v="33.154549420687097"/>
    <n v="0"/>
    <x v="3"/>
    <d v="2022-12-21T00:00:00"/>
    <n v="1"/>
    <x v="9"/>
    <n v="1"/>
    <n v="5000"/>
    <n v="165772.74710343548"/>
    <n v="0"/>
    <s v="COIN"/>
    <s v="LONG"/>
    <s v="COIN LONG"/>
    <n v="165772.74710343499"/>
    <n v="33.154549420687097"/>
    <n v="0"/>
    <n v="0"/>
    <x v="14"/>
    <s v="COMP COIN LONG"/>
    <b v="0"/>
  </r>
  <r>
    <d v="2022-12-21T00:00:00"/>
    <s v="GALAXY"/>
    <x v="37"/>
    <s v="DASH"/>
    <n v="100"/>
    <n v="4251.9854688961004"/>
    <n v="42.519854688960997"/>
    <n v="0"/>
    <x v="3"/>
    <d v="2022-12-21T00:00:00"/>
    <n v="1"/>
    <x v="21"/>
    <n v="1"/>
    <n v="100"/>
    <n v="4251.9854688960995"/>
    <n v="0"/>
    <s v="COIN"/>
    <s v="LONG"/>
    <s v="COIN LONG"/>
    <n v="4251.9854688961004"/>
    <n v="42.519854688960997"/>
    <n v="0"/>
    <n v="0"/>
    <x v="14"/>
    <s v="DASH COIN LONG"/>
    <b v="0"/>
  </r>
  <r>
    <d v="2022-12-21T00:00:00"/>
    <s v="GALAXY"/>
    <x v="37"/>
    <s v="DOGE"/>
    <n v="600000"/>
    <n v="44207.464505222102"/>
    <n v="7.3679107508703601E-2"/>
    <n v="0"/>
    <x v="3"/>
    <d v="2022-12-21T00:00:00"/>
    <n v="1"/>
    <x v="22"/>
    <n v="1"/>
    <n v="600000"/>
    <n v="44207.46450522216"/>
    <n v="0"/>
    <s v="COIN"/>
    <s v="LONG"/>
    <s v="COIN LONG"/>
    <n v="44207.464505222102"/>
    <n v="7.3679107508703601E-2"/>
    <n v="0"/>
    <n v="0"/>
    <x v="14"/>
    <s v="DOGE COIN LONG"/>
    <b v="0"/>
  </r>
  <r>
    <d v="2022-12-21T00:00:00"/>
    <s v="GALAXY"/>
    <x v="37"/>
    <s v="DOT"/>
    <n v="5000"/>
    <n v="22400.733341270901"/>
    <n v="4.4801466682541804"/>
    <n v="0"/>
    <x v="3"/>
    <d v="2022-12-21T00:00:00"/>
    <n v="1"/>
    <x v="23"/>
    <n v="1"/>
    <n v="5000"/>
    <n v="22400.733341270901"/>
    <n v="0"/>
    <s v="COIN"/>
    <s v="LONG"/>
    <s v="COIN LONG"/>
    <n v="22400.733341270901"/>
    <n v="4.4801466682541804"/>
    <n v="0"/>
    <n v="0"/>
    <x v="14"/>
    <s v="DOT COIN LONG"/>
    <b v="0"/>
  </r>
  <r>
    <d v="2022-12-21T00:00:00"/>
    <s v="GALAXY"/>
    <x v="37"/>
    <s v="ENJ"/>
    <n v="15000"/>
    <n v="3891.0496159791901"/>
    <n v="0.25940330773194598"/>
    <n v="0"/>
    <x v="3"/>
    <d v="2022-12-21T00:00:00"/>
    <n v="1"/>
    <x v="24"/>
    <n v="1"/>
    <n v="15000"/>
    <n v="3891.0496159791896"/>
    <n v="0"/>
    <s v="COIN"/>
    <s v="LONG"/>
    <s v="COIN LONG"/>
    <n v="3891.0496159791901"/>
    <n v="0.25940330773194598"/>
    <n v="0"/>
    <n v="0"/>
    <x v="14"/>
    <s v="ENJ COIN LONG"/>
    <b v="0"/>
  </r>
  <r>
    <d v="2022-12-21T00:00:00"/>
    <s v="GALAXY"/>
    <x v="37"/>
    <s v="EOS"/>
    <n v="30000"/>
    <n v="26638.521567682001"/>
    <n v="0.88795071892273303"/>
    <n v="0"/>
    <x v="3"/>
    <d v="2022-12-21T00:00:00"/>
    <n v="1"/>
    <x v="3"/>
    <n v="1"/>
    <n v="30000"/>
    <n v="26638.52156768199"/>
    <n v="0"/>
    <s v="COIN"/>
    <s v="LONG"/>
    <s v="COIN LONG"/>
    <n v="26638.521567682001"/>
    <n v="0.88795071892273303"/>
    <n v="0"/>
    <n v="0"/>
    <x v="14"/>
    <s v="EOS COIN LONG"/>
    <b v="0"/>
  </r>
  <r>
    <d v="2022-12-21T00:00:00"/>
    <s v="GALAXY"/>
    <x v="37"/>
    <s v="ETC"/>
    <n v="98000"/>
    <n v="1628872.4894522601"/>
    <n v="16.621147851553701"/>
    <n v="0"/>
    <x v="3"/>
    <d v="2022-12-21T00:00:00"/>
    <n v="1"/>
    <x v="5"/>
    <n v="1"/>
    <n v="98000"/>
    <n v="1628872.4894522626"/>
    <n v="0"/>
    <s v="COIN"/>
    <s v="LONG"/>
    <s v="COIN LONG"/>
    <n v="1628872.4894522601"/>
    <n v="16.621147851553701"/>
    <n v="0"/>
    <n v="0"/>
    <x v="14"/>
    <s v="ETC COIN LONG"/>
    <b v="0"/>
  </r>
  <r>
    <d v="2022-12-21T00:00:00"/>
    <s v="GALAXY"/>
    <x v="37"/>
    <s v="FTM"/>
    <n v="30000"/>
    <n v="6058.8191183817798"/>
    <n v="0.20196063727939201"/>
    <n v="0"/>
    <x v="3"/>
    <d v="2022-12-21T00:00:00"/>
    <n v="1"/>
    <x v="27"/>
    <n v="1"/>
    <n v="30000"/>
    <n v="6058.8191183817598"/>
    <n v="0"/>
    <s v="COIN"/>
    <s v="LONG"/>
    <s v="COIN LONG"/>
    <n v="6058.8191183817798"/>
    <n v="0.20196063727939201"/>
    <n v="0"/>
    <n v="0"/>
    <x v="14"/>
    <s v="FTM COIN LONG"/>
    <b v="0"/>
  </r>
  <r>
    <d v="2022-12-21T00:00:00"/>
    <s v="GALAXY"/>
    <x v="37"/>
    <s v="GRT"/>
    <n v="50000"/>
    <n v="2864.8930592513002"/>
    <n v="5.7297861185026E-2"/>
    <n v="0"/>
    <x v="3"/>
    <d v="2022-12-21T00:00:00"/>
    <n v="1"/>
    <x v="28"/>
    <n v="1"/>
    <n v="50000"/>
    <n v="2864.8930592513002"/>
    <n v="0"/>
    <s v="COIN"/>
    <s v="LONG"/>
    <s v="COIN LONG"/>
    <n v="2864.8930592513002"/>
    <n v="5.7297861185026E-2"/>
    <n v="0"/>
    <n v="0"/>
    <x v="14"/>
    <s v="GRT COIN LONG"/>
    <b v="0"/>
  </r>
  <r>
    <d v="2022-12-21T00:00:00"/>
    <s v="GALAXY"/>
    <x v="37"/>
    <s v="HBAR"/>
    <n v="125000"/>
    <n v="5331.0512379321599"/>
    <n v="4.26484099034573E-2"/>
    <n v="0"/>
    <x v="3"/>
    <d v="2022-12-21T00:00:00"/>
    <n v="1"/>
    <x v="29"/>
    <n v="1"/>
    <n v="125000"/>
    <n v="5331.0512379321626"/>
    <n v="0"/>
    <s v="COIN"/>
    <s v="LONG"/>
    <s v="COIN LONG"/>
    <n v="5331.0512379321599"/>
    <n v="4.26484099034573E-2"/>
    <n v="0"/>
    <n v="0"/>
    <x v="14"/>
    <s v="HBAR COIN LONG"/>
    <b v="0"/>
  </r>
  <r>
    <d v="2022-12-21T00:00:00"/>
    <s v="GALAXY"/>
    <x v="37"/>
    <s v="LINK"/>
    <n v="7000"/>
    <n v="41868.799848240596"/>
    <n v="5.9812571211772401"/>
    <n v="0"/>
    <x v="3"/>
    <d v="2022-12-21T00:00:00"/>
    <n v="1"/>
    <x v="10"/>
    <n v="1"/>
    <n v="7000"/>
    <n v="41868.799848240684"/>
    <n v="0"/>
    <s v="COIN"/>
    <s v="LONG"/>
    <s v="COIN LONG"/>
    <n v="41868.799848240596"/>
    <n v="5.9812571211772401"/>
    <n v="0"/>
    <n v="0"/>
    <x v="14"/>
    <s v="LINK COIN LONG"/>
    <b v="0"/>
  </r>
  <r>
    <d v="2022-12-21T00:00:00"/>
    <s v="GALAXY"/>
    <x v="37"/>
    <s v="LTC"/>
    <n v="500"/>
    <n v="32695.6998142546"/>
    <n v="65.391399628509205"/>
    <n v="0"/>
    <x v="3"/>
    <d v="2022-12-21T00:00:00"/>
    <n v="1"/>
    <x v="6"/>
    <n v="1"/>
    <n v="500"/>
    <n v="32695.699814254604"/>
    <n v="0"/>
    <s v="COIN"/>
    <s v="LONG"/>
    <s v="COIN LONG"/>
    <n v="32695.6998142546"/>
    <n v="65.391399628509205"/>
    <n v="0"/>
    <n v="0"/>
    <x v="14"/>
    <s v="LTC COIN LONG"/>
    <b v="0"/>
  </r>
  <r>
    <d v="2022-12-21T00:00:00"/>
    <s v="GALAXY"/>
    <x v="37"/>
    <s v="MANA"/>
    <n v="45000"/>
    <n v="13768.4355371198"/>
    <n v="0.30596523415821703"/>
    <n v="0"/>
    <x v="3"/>
    <d v="2022-12-21T00:00:00"/>
    <n v="1"/>
    <x v="30"/>
    <n v="1"/>
    <n v="45000"/>
    <n v="13768.435537119765"/>
    <n v="0"/>
    <s v="COIN"/>
    <s v="LONG"/>
    <s v="COIN LONG"/>
    <n v="13768.4355371198"/>
    <n v="0.30596523415821703"/>
    <n v="0"/>
    <n v="0"/>
    <x v="14"/>
    <s v="MANA COIN LONG"/>
    <b v="0"/>
  </r>
  <r>
    <d v="2022-12-21T00:00:00"/>
    <s v="GALAXY"/>
    <x v="37"/>
    <s v="MATIC"/>
    <n v="50000"/>
    <n v="39649.797351217101"/>
    <n v="0.79299594702434395"/>
    <n v="0"/>
    <x v="3"/>
    <d v="2022-12-21T00:00:00"/>
    <n v="1"/>
    <x v="31"/>
    <n v="1"/>
    <n v="50000"/>
    <n v="39649.797351217196"/>
    <n v="0"/>
    <s v="COIN"/>
    <s v="LONG"/>
    <s v="COIN LONG"/>
    <n v="39649.797351217101"/>
    <n v="0.79299594702434395"/>
    <n v="0"/>
    <n v="0"/>
    <x v="14"/>
    <s v="MATIC COIN LONG"/>
    <b v="0"/>
  </r>
  <r>
    <d v="2022-12-21T00:00:00"/>
    <s v="GALAXY"/>
    <x v="37"/>
    <s v="OXT"/>
    <n v="80000"/>
    <n v="5730.3687096302401"/>
    <n v="7.1629608870378003E-2"/>
    <n v="0"/>
    <x v="3"/>
    <d v="2022-12-21T00:00:00"/>
    <n v="1"/>
    <x v="33"/>
    <n v="1"/>
    <n v="80000"/>
    <n v="5730.3687096302328"/>
    <n v="0"/>
    <s v="COIN"/>
    <s v="LONG"/>
    <s v="COIN LONG"/>
    <n v="5730.3687096302401"/>
    <n v="7.1629608870378003E-2"/>
    <n v="0"/>
    <n v="0"/>
    <x v="14"/>
    <s v="OXT COIN LONG"/>
    <b v="0"/>
  </r>
  <r>
    <d v="2022-12-21T00:00:00"/>
    <s v="GALAXY"/>
    <x v="37"/>
    <s v="SHIB"/>
    <n v="187000000000"/>
    <n v="1542252.9139976799"/>
    <n v="8.2473417860839007E-6"/>
    <n v="0"/>
    <x v="3"/>
    <d v="2022-12-21T00:00:00"/>
    <n v="1"/>
    <x v="12"/>
    <n v="1"/>
    <n v="187000000000"/>
    <n v="1542252.9139976895"/>
    <n v="0"/>
    <s v="COIN"/>
    <s v="LONG"/>
    <s v="COIN LONG"/>
    <n v="1542252.9139976799"/>
    <n v="8.2473417860839007E-6"/>
    <n v="0"/>
    <n v="0"/>
    <x v="14"/>
    <s v="SHIB COIN LONG"/>
    <b v="0"/>
  </r>
  <r>
    <d v="2022-12-21T00:00:00"/>
    <s v="GALAXY"/>
    <x v="37"/>
    <s v="SOL"/>
    <n v="3500"/>
    <n v="42451.447376414602"/>
    <n v="12.1289849646899"/>
    <n v="0"/>
    <x v="3"/>
    <d v="2022-12-21T00:00:00"/>
    <n v="1"/>
    <x v="34"/>
    <n v="1"/>
    <n v="3500"/>
    <n v="42451.447376414653"/>
    <n v="0"/>
    <s v="COIN"/>
    <s v="LONG"/>
    <s v="COIN LONG"/>
    <n v="42451.447376414602"/>
    <n v="12.1289849646899"/>
    <n v="0"/>
    <n v="0"/>
    <x v="14"/>
    <s v="SOL COIN LONG"/>
    <b v="0"/>
  </r>
  <r>
    <d v="2022-12-21T00:00:00"/>
    <s v="GALAXY"/>
    <x v="37"/>
    <s v="SUSHI"/>
    <n v="21600"/>
    <n v="20122.237641331401"/>
    <n v="0.93158507598756701"/>
    <n v="0"/>
    <x v="3"/>
    <d v="2022-12-21T00:00:00"/>
    <n v="1"/>
    <x v="35"/>
    <n v="1"/>
    <n v="21600"/>
    <n v="20122.237641331449"/>
    <n v="0"/>
    <s v="COIN"/>
    <s v="LONG"/>
    <s v="COIN LONG"/>
    <n v="20122.237641331401"/>
    <n v="0.93158507598756701"/>
    <n v="0"/>
    <n v="0"/>
    <x v="14"/>
    <s v="SUSHI COIN LONG"/>
    <b v="0"/>
  </r>
  <r>
    <d v="2022-12-21T00:00:00"/>
    <s v="GALAXY"/>
    <x v="37"/>
    <s v="UNI"/>
    <n v="6000"/>
    <n v="31872.624297763301"/>
    <n v="5.3121040496272203"/>
    <n v="0"/>
    <x v="3"/>
    <d v="2022-12-21T00:00:00"/>
    <n v="1"/>
    <x v="36"/>
    <n v="1"/>
    <n v="6000"/>
    <n v="31872.624297763323"/>
    <n v="0"/>
    <s v="COIN"/>
    <s v="LONG"/>
    <s v="COIN LONG"/>
    <n v="31872.624297763301"/>
    <n v="5.3121040496272203"/>
    <n v="0"/>
    <n v="0"/>
    <x v="14"/>
    <s v="UNI COIN LONG"/>
    <b v="0"/>
  </r>
  <r>
    <d v="2022-12-21T00:00:00"/>
    <s v="GALAXY"/>
    <x v="37"/>
    <s v="USDT"/>
    <n v="10000000"/>
    <n v="10000769.454196099"/>
    <n v="1.0000769454196099"/>
    <n v="0"/>
    <x v="3"/>
    <d v="2022-12-21T00:00:00"/>
    <n v="1"/>
    <x v="37"/>
    <n v="1"/>
    <n v="10000000"/>
    <n v="10000769.454196099"/>
    <n v="0"/>
    <s v="COIN"/>
    <s v="LONG"/>
    <s v="COIN LONG"/>
    <n v="10000769.454196099"/>
    <n v="1.0000769454196099"/>
    <n v="0"/>
    <n v="0"/>
    <x v="14"/>
    <s v="USDT COIN LONG"/>
    <b v="0"/>
  </r>
  <r>
    <d v="2022-12-21T00:00:00"/>
    <s v="GALAXY"/>
    <x v="37"/>
    <s v="XLM"/>
    <n v="100000"/>
    <n v="7509.1953330286196"/>
    <n v="7.5091953330286204E-2"/>
    <n v="0"/>
    <x v="3"/>
    <d v="2022-12-21T00:00:00"/>
    <n v="1"/>
    <x v="38"/>
    <n v="1"/>
    <n v="100000"/>
    <n v="7509.1953330286206"/>
    <n v="0"/>
    <s v="COIN"/>
    <s v="LONG"/>
    <s v="COIN LONG"/>
    <n v="7509.1953330286196"/>
    <n v="7.5091953330286204E-2"/>
    <n v="0"/>
    <n v="0"/>
    <x v="14"/>
    <s v="XLM COIN LONG"/>
    <b v="0"/>
  </r>
  <r>
    <d v="2022-12-21T00:00:00"/>
    <s v="GALAXY"/>
    <x v="37"/>
    <s v="XTZ"/>
    <n v="5000"/>
    <n v="4029.5579724200502"/>
    <n v="0.80591159448401095"/>
    <n v="0"/>
    <x v="3"/>
    <d v="2022-12-21T00:00:00"/>
    <n v="1"/>
    <x v="39"/>
    <n v="1"/>
    <n v="5000"/>
    <n v="4029.5579724200547"/>
    <n v="0"/>
    <s v="COIN"/>
    <s v="LONG"/>
    <s v="COIN LONG"/>
    <n v="4029.5579724200502"/>
    <n v="0.80591159448401095"/>
    <n v="0"/>
    <n v="0"/>
    <x v="14"/>
    <s v="XTZ COIN LONG"/>
    <b v="0"/>
  </r>
  <r>
    <d v="2022-12-21T00:00:00"/>
    <s v="GALAXY"/>
    <x v="37"/>
    <s v="YFI"/>
    <n v="4"/>
    <n v="22227.217984376599"/>
    <n v="5556.8044960941497"/>
    <n v="0"/>
    <x v="3"/>
    <d v="2022-12-21T00:00:00"/>
    <n v="1"/>
    <x v="40"/>
    <n v="1"/>
    <n v="4"/>
    <n v="22227.217984376599"/>
    <n v="0"/>
    <s v="COIN"/>
    <s v="LONG"/>
    <s v="COIN LONG"/>
    <n v="22227.217984376599"/>
    <n v="5556.8044960941497"/>
    <n v="0"/>
    <n v="0"/>
    <x v="14"/>
    <s v="YFI COIN LONG"/>
    <b v="0"/>
  </r>
  <r>
    <d v="2022-12-21T00:00:07"/>
    <s v="LMAC"/>
    <x v="38"/>
    <s v="ETH"/>
    <n v="5.0000000000000001E-4"/>
    <n v="0.60679999628979997"/>
    <n v="1213.5999925796"/>
    <n v="0"/>
    <x v="3"/>
    <d v="2022-12-21T00:00:07"/>
    <n v="1"/>
    <x v="1"/>
    <n v="1"/>
    <n v="5.0000000000000001E-4"/>
    <n v="0.60679999628979997"/>
    <n v="0"/>
    <s v="COIN"/>
    <s v="LONG"/>
    <s v="COIN LONG"/>
    <n v="0.60679999628979997"/>
    <n v="1213.5999925796"/>
    <n v="0"/>
    <n v="0"/>
    <x v="15"/>
    <s v="ETH COIN LONG"/>
    <b v="1"/>
  </r>
  <r>
    <d v="2022-12-21T00:00:07"/>
    <s v="LMAC"/>
    <x v="38"/>
    <s v="USD"/>
    <n v="2.63E-3"/>
    <n v="2.63E-3"/>
    <n v="1"/>
    <n v="0"/>
    <x v="3"/>
    <d v="2022-12-21T00:00:07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d v="2022-12-21T00:00:07"/>
    <s v="LMAX"/>
    <x v="39"/>
    <s v="USD"/>
    <n v="10139.065629999999"/>
    <n v="10139.065629999999"/>
    <n v="1"/>
    <n v="0"/>
    <x v="3"/>
    <d v="2022-12-21T00:00:07"/>
    <n v="1"/>
    <x v="42"/>
    <n v="1"/>
    <n v="10139.065629999999"/>
    <n v="10139.065629999999"/>
    <n v="0"/>
    <s v="CASH"/>
    <s v="LONG"/>
    <s v="CASH LONG"/>
    <n v="10139.065629999999"/>
    <n v="1"/>
    <n v="0"/>
    <n v="0"/>
    <x v="16"/>
    <s v="USD CASH LONG"/>
    <b v="1"/>
  </r>
  <r>
    <d v="2022-12-22T00:00:00"/>
    <s v="OKEX"/>
    <x v="8"/>
    <s v="BTC"/>
    <n v="4.9694074199999996"/>
    <n v="83573.180166631602"/>
    <n v="16817.534386550898"/>
    <n v="0"/>
    <x v="3"/>
    <d v="2022-12-22T00:00:00"/>
    <n v="1"/>
    <x v="0"/>
    <n v="1"/>
    <n v="4.9694074199999996"/>
    <n v="83573.18016663118"/>
    <n v="0"/>
    <s v="COIN"/>
    <s v="LONG"/>
    <s v="COIN LONG"/>
    <n v="83573.180166631602"/>
    <n v="16817.534386550898"/>
    <n v="0"/>
    <n v="0"/>
    <x v="4"/>
    <s v="BTC COIN LONG"/>
    <b v="1"/>
  </r>
  <r>
    <d v="2022-12-22T00:00:00"/>
    <s v="OKEX"/>
    <x v="8"/>
    <s v="BTC"/>
    <n v="5.5593549999999999E-2"/>
    <n v="934.94643879544105"/>
    <n v="16817.534386550898"/>
    <n v="0"/>
    <x v="4"/>
    <d v="2022-12-22T00:00:00"/>
    <n v="1"/>
    <x v="0"/>
    <n v="1"/>
    <n v="5.5593549999999999E-2"/>
    <n v="934.94643879543673"/>
    <n v="0"/>
    <s v="COIN"/>
    <s v="LONG"/>
    <s v="COIN LONG"/>
    <n v="934.94643879544105"/>
    <n v="16817.534386550898"/>
    <n v="0"/>
    <n v="0"/>
    <x v="4"/>
    <s v="BTC COIN LONG"/>
    <b v="1"/>
  </r>
  <r>
    <d v="2022-12-22T00:00:00"/>
    <s v="OKEX"/>
    <x v="8"/>
    <s v="ETH"/>
    <n v="14.51268655"/>
    <n v="17612.59628939"/>
    <n v="1213.5999925796"/>
    <n v="0"/>
    <x v="3"/>
    <d v="2022-12-22T00:00:00"/>
    <n v="1"/>
    <x v="1"/>
    <n v="1"/>
    <n v="14.51268655"/>
    <n v="17612.596289390061"/>
    <n v="0"/>
    <s v="COIN"/>
    <s v="LONG"/>
    <s v="COIN LONG"/>
    <n v="17612.59628939"/>
    <n v="1213.5999925796"/>
    <n v="0"/>
    <n v="0"/>
    <x v="4"/>
    <s v="ETH COIN LONG"/>
    <b v="1"/>
  </r>
  <r>
    <d v="2022-12-22T00:00:00"/>
    <s v="OKEX"/>
    <x v="8"/>
    <s v="ETH"/>
    <n v="1.183557E-2"/>
    <n v="14.3636476641753"/>
    <n v="1213.5999925796"/>
    <n v="0"/>
    <x v="4"/>
    <d v="2022-12-22T00:00:00"/>
    <n v="1"/>
    <x v="1"/>
    <n v="1"/>
    <n v="1.183557E-2"/>
    <n v="14.363647664175335"/>
    <n v="0"/>
    <s v="COIN"/>
    <s v="LONG"/>
    <s v="COIN LONG"/>
    <n v="14.3636476641753"/>
    <n v="1213.5999925796"/>
    <n v="0"/>
    <n v="0"/>
    <x v="4"/>
    <s v="ETH COIN LONG"/>
    <b v="1"/>
  </r>
  <r>
    <d v="2022-12-22T00:00:00"/>
    <s v="OKEX"/>
    <x v="8"/>
    <s v="XRP"/>
    <n v="0.44933625999999999"/>
    <n v="0.15547917921718701"/>
    <n v="0.34601965845620197"/>
    <n v="0"/>
    <x v="3"/>
    <d v="2022-12-22T00:00:00"/>
    <n v="1"/>
    <x v="45"/>
    <n v="1"/>
    <n v="0.44933625999999999"/>
    <n v="0.15547917921718715"/>
    <n v="0"/>
    <s v="COIN"/>
    <s v="LONG"/>
    <s v="COIN LONG"/>
    <n v="0.15547917921718701"/>
    <n v="0.34601965845620197"/>
    <n v="0"/>
    <n v="0"/>
    <x v="4"/>
    <s v="XRP COIN LONG"/>
    <b v="1"/>
  </r>
  <r>
    <d v="2022-12-22T00:00:00"/>
    <s v="OKEX"/>
    <x v="9"/>
    <s v="BTC"/>
    <n v="5.0953451200000002"/>
    <n v="85691.141766944696"/>
    <n v="16817.534386550898"/>
    <n v="0"/>
    <x v="3"/>
    <d v="2022-12-22T00:00:00"/>
    <n v="1"/>
    <x v="0"/>
    <n v="1"/>
    <n v="5.0953451200000002"/>
    <n v="85691.141766944318"/>
    <n v="0"/>
    <s v="COIN"/>
    <s v="LONG"/>
    <s v="COIN LONG"/>
    <n v="85691.141766944696"/>
    <n v="16817.534386550898"/>
    <n v="0"/>
    <n v="0"/>
    <x v="4"/>
    <s v="BTC COIN LONG"/>
    <b v="1"/>
  </r>
  <r>
    <d v="2022-12-22T00:00:00"/>
    <s v="OKEX"/>
    <x v="9"/>
    <s v="BTC"/>
    <n v="1.2124E-4"/>
    <n v="2.03895786902544"/>
    <n v="16817.534386550898"/>
    <n v="0"/>
    <x v="4"/>
    <d v="2022-12-22T00:00:00"/>
    <n v="1"/>
    <x v="0"/>
    <n v="1"/>
    <n v="1.2124E-4"/>
    <n v="2.0389578690254311"/>
    <n v="0"/>
    <s v="COIN"/>
    <s v="LONG"/>
    <s v="COIN LONG"/>
    <n v="2.03895786902544"/>
    <n v="16817.534386550898"/>
    <n v="0"/>
    <n v="0"/>
    <x v="4"/>
    <s v="BTC COIN LONG"/>
    <b v="1"/>
  </r>
  <r>
    <d v="2022-12-22T00:00:00"/>
    <s v="OKEX"/>
    <x v="9"/>
    <s v="ETH"/>
    <n v="10"/>
    <n v="12135.999925796001"/>
    <n v="1213.5999925796"/>
    <n v="0"/>
    <x v="3"/>
    <d v="2022-12-22T00:00:00"/>
    <n v="1"/>
    <x v="1"/>
    <n v="1"/>
    <n v="10"/>
    <n v="12135.999925796001"/>
    <n v="0"/>
    <s v="COIN"/>
    <s v="LONG"/>
    <s v="COIN LONG"/>
    <n v="12135.999925796001"/>
    <n v="1213.5999925796"/>
    <n v="0"/>
    <n v="0"/>
    <x v="4"/>
    <s v="ETH COIN LONG"/>
    <b v="1"/>
  </r>
  <r>
    <d v="2022-12-22T00:00:00"/>
    <s v="OKEX"/>
    <x v="9"/>
    <s v="USDT"/>
    <n v="106931.28972266"/>
    <n v="106939.517595618"/>
    <n v="1.0000769454196099"/>
    <n v="0"/>
    <x v="3"/>
    <d v="2022-12-22T00:00:00"/>
    <n v="1"/>
    <x v="37"/>
    <n v="1"/>
    <n v="106931.28972266"/>
    <n v="106939.51759561714"/>
    <n v="0"/>
    <s v="COIN"/>
    <s v="LONG"/>
    <s v="COIN LONG"/>
    <n v="106939.517595618"/>
    <n v="1.0000769454196099"/>
    <n v="0"/>
    <n v="0"/>
    <x v="4"/>
    <s v="USDT COIN LONG"/>
    <b v="1"/>
  </r>
  <r>
    <d v="2022-12-22T00:00:00"/>
    <s v="OKEX"/>
    <x v="9"/>
    <s v="USDT"/>
    <n v="-4648.6490687899995"/>
    <n v="-4649.0067610432498"/>
    <n v="1.0000769454196099"/>
    <n v="0"/>
    <x v="4"/>
    <d v="2022-12-22T00:00:00"/>
    <n v="1"/>
    <x v="37"/>
    <n v="1"/>
    <n v="-4648.6490687899995"/>
    <n v="-4649.006761043217"/>
    <n v="0"/>
    <s v="COIN"/>
    <s v="SHORT"/>
    <s v="COIN SHORT"/>
    <n v="-4649.0067610432498"/>
    <n v="1.0000769454196099"/>
    <n v="0"/>
    <n v="0"/>
    <x v="4"/>
    <s v="USDT COIN SHORT"/>
    <b v="1"/>
  </r>
  <r>
    <d v="2022-12-22T00:00:00"/>
    <s v="OKEX"/>
    <x v="10"/>
    <s v="BTC"/>
    <n v="4.3530155500000003"/>
    <n v="73206.988697316105"/>
    <n v="16817.534386550898"/>
    <n v="0"/>
    <x v="3"/>
    <d v="2022-12-22T00:00:00"/>
    <n v="1"/>
    <x v="0"/>
    <n v="1"/>
    <n v="4.3530155500000003"/>
    <n v="73206.98869731577"/>
    <n v="0"/>
    <s v="COIN"/>
    <s v="LONG"/>
    <s v="COIN LONG"/>
    <n v="73206.988697316105"/>
    <n v="16817.534386550898"/>
    <n v="0"/>
    <n v="0"/>
    <x v="4"/>
    <s v="BTC COIN LONG"/>
    <b v="1"/>
  </r>
  <r>
    <d v="2022-12-22T00:00:00"/>
    <s v="OKEX"/>
    <x v="10"/>
    <s v="USDT"/>
    <n v="-19605.050061800001"/>
    <n v="-19606.5585806036"/>
    <n v="1.0000769454196099"/>
    <n v="0"/>
    <x v="4"/>
    <d v="2022-12-22T00:00:00"/>
    <n v="1"/>
    <x v="37"/>
    <n v="1"/>
    <n v="-19605.050061800001"/>
    <n v="-19606.55858060348"/>
    <n v="0"/>
    <s v="COIN"/>
    <s v="SHORT"/>
    <s v="COIN SHORT"/>
    <n v="-19606.5585806036"/>
    <n v="1.0000769454196099"/>
    <n v="0"/>
    <n v="0"/>
    <x v="4"/>
    <s v="USDT COIN SHORT"/>
    <b v="1"/>
  </r>
  <r>
    <d v="2022-12-22T00:00:00"/>
    <s v="OKEX"/>
    <x v="7"/>
    <s v="BTC"/>
    <n v="997.86821132"/>
    <n v="16781682.957120199"/>
    <n v="16817.534386550898"/>
    <n v="0"/>
    <x v="3"/>
    <d v="2022-12-22T00:00:00"/>
    <n v="1"/>
    <x v="0"/>
    <n v="1"/>
    <n v="997.86821132"/>
    <n v="16781682.957120139"/>
    <n v="0"/>
    <s v="COIN"/>
    <s v="LONG"/>
    <s v="COIN LONG"/>
    <n v="16781682.957120199"/>
    <n v="16817.534386550898"/>
    <n v="0"/>
    <n v="0"/>
    <x v="4"/>
    <s v="BTC COIN LONG"/>
    <b v="1"/>
  </r>
  <r>
    <d v="2022-12-22T00:00:00"/>
    <s v="OKEX"/>
    <x v="7"/>
    <s v="BTC"/>
    <n v="1.6648493"/>
    <n v="27998.660351175298"/>
    <n v="16817.534386550898"/>
    <n v="0"/>
    <x v="4"/>
    <d v="2022-12-22T00:00:00"/>
    <n v="1"/>
    <x v="0"/>
    <n v="1"/>
    <n v="1.6648493"/>
    <n v="27998.660351175193"/>
    <n v="0"/>
    <s v="COIN"/>
    <s v="LONG"/>
    <s v="COIN LONG"/>
    <n v="27998.660351175298"/>
    <n v="16817.534386550898"/>
    <n v="0"/>
    <n v="0"/>
    <x v="4"/>
    <s v="BTC COIN LONG"/>
    <b v="1"/>
  </r>
  <r>
    <d v="2022-12-22T00:00:00"/>
    <s v="OKEX"/>
    <x v="7"/>
    <s v="EOS"/>
    <n v="18985.493277490001"/>
    <n v="16858.1824048499"/>
    <n v="0.88795071892273303"/>
    <n v="0"/>
    <x v="3"/>
    <d v="2022-12-22T00:00:00"/>
    <n v="1"/>
    <x v="3"/>
    <n v="1"/>
    <n v="18985.493277490001"/>
    <n v="16858.182404849962"/>
    <n v="0"/>
    <s v="COIN"/>
    <s v="LONG"/>
    <s v="COIN LONG"/>
    <n v="16858.1824048499"/>
    <n v="0.88795071892273303"/>
    <n v="0"/>
    <n v="0"/>
    <x v="4"/>
    <s v="EOS COIN LONG"/>
    <b v="1"/>
  </r>
  <r>
    <d v="2022-12-22T00:00:00"/>
    <s v="OKEX"/>
    <x v="7"/>
    <s v="ETH"/>
    <n v="2027.92493511"/>
    <n v="2461089.6862014802"/>
    <n v="1213.5999925796"/>
    <n v="0"/>
    <x v="3"/>
    <d v="2022-12-22T00:00:00"/>
    <n v="1"/>
    <x v="1"/>
    <n v="1"/>
    <n v="2027.92493511"/>
    <n v="2461089.6862014816"/>
    <n v="0"/>
    <s v="COIN"/>
    <s v="LONG"/>
    <s v="COIN LONG"/>
    <n v="2461089.6862014802"/>
    <n v="1213.5999925796"/>
    <n v="0"/>
    <n v="0"/>
    <x v="4"/>
    <s v="ETH COIN LONG"/>
    <b v="1"/>
  </r>
  <r>
    <d v="2022-12-22T00:00:00"/>
    <s v="OKEX"/>
    <x v="7"/>
    <s v="ETH"/>
    <n v="-20.13650638"/>
    <n v="-24437.663993347"/>
    <n v="1213.5999925796"/>
    <n v="0"/>
    <x v="4"/>
    <d v="2022-12-22T00:00:00"/>
    <n v="1"/>
    <x v="1"/>
    <n v="1"/>
    <n v="-20.13650638"/>
    <n v="-24437.663993347069"/>
    <n v="0"/>
    <s v="COIN"/>
    <s v="SHORT"/>
    <s v="COIN SHORT"/>
    <n v="-24437.663993347"/>
    <n v="1213.5999925796"/>
    <n v="0"/>
    <n v="0"/>
    <x v="4"/>
    <s v="ETH COIN SHORT"/>
    <b v="1"/>
  </r>
  <r>
    <d v="2022-12-22T00:00:00"/>
    <s v="OKEX"/>
    <x v="7"/>
    <s v="LTC"/>
    <n v="179.35514817999999"/>
    <n v="11728.2841700688"/>
    <n v="65.391399628509205"/>
    <n v="0"/>
    <x v="3"/>
    <d v="2022-12-22T00:00:00"/>
    <n v="1"/>
    <x v="6"/>
    <n v="1"/>
    <n v="179.35514817999999"/>
    <n v="11728.284170068864"/>
    <n v="0"/>
    <s v="COIN"/>
    <s v="LONG"/>
    <s v="COIN LONG"/>
    <n v="11728.2841700688"/>
    <n v="65.391399628509205"/>
    <n v="0"/>
    <n v="0"/>
    <x v="4"/>
    <s v="LTC COIN LONG"/>
    <b v="1"/>
  </r>
  <r>
    <d v="2022-12-22T00:00:00"/>
    <s v="OKEX"/>
    <x v="7"/>
    <s v="OXT"/>
    <n v="659459.19678298"/>
    <n v="47236.8043315385"/>
    <n v="7.1629608870378003E-2"/>
    <n v="0"/>
    <x v="3"/>
    <d v="2022-12-22T00:00:00"/>
    <n v="1"/>
    <x v="33"/>
    <n v="1"/>
    <n v="659459.19678298"/>
    <n v="47236.804331538435"/>
    <n v="0"/>
    <s v="COIN"/>
    <s v="LONG"/>
    <s v="COIN LONG"/>
    <n v="47236.8043315385"/>
    <n v="7.1629608870378003E-2"/>
    <n v="0"/>
    <n v="0"/>
    <x v="4"/>
    <s v="OXT COIN LONG"/>
    <b v="1"/>
  </r>
  <r>
    <d v="2022-12-22T00:00:00"/>
    <s v="OKEX"/>
    <x v="7"/>
    <s v="USDT"/>
    <n v="3379898.6759755602"/>
    <n v="3380158.74369745"/>
    <n v="1.0000769454196099"/>
    <n v="0"/>
    <x v="3"/>
    <d v="2022-12-22T00:00:00"/>
    <n v="1"/>
    <x v="37"/>
    <n v="1"/>
    <n v="3379898.6759755602"/>
    <n v="3380158.7436974221"/>
    <n v="0"/>
    <s v="COIN"/>
    <s v="LONG"/>
    <s v="COIN LONG"/>
    <n v="3380158.74369745"/>
    <n v="1.0000769454196099"/>
    <n v="0"/>
    <n v="0"/>
    <x v="4"/>
    <s v="USDT COIN LONG"/>
    <b v="1"/>
  </r>
  <r>
    <d v="2022-12-22T00:00:00"/>
    <s v="OKEX"/>
    <x v="7"/>
    <s v="USDT"/>
    <n v="230427.82502762001"/>
    <n v="230445.55539330799"/>
    <n v="1.0000769454196099"/>
    <n v="0"/>
    <x v="4"/>
    <d v="2022-12-22T00:00:00"/>
    <n v="1"/>
    <x v="37"/>
    <n v="1"/>
    <n v="230427.82502762001"/>
    <n v="230445.55539330657"/>
    <n v="0"/>
    <s v="COIN"/>
    <s v="LONG"/>
    <s v="COIN LONG"/>
    <n v="230445.55539330799"/>
    <n v="1.0000769454196099"/>
    <n v="0"/>
    <n v="0"/>
    <x v="4"/>
    <s v="USDT COIN LONG"/>
    <b v="1"/>
  </r>
  <r>
    <d v="2022-12-22T00:00:00"/>
    <s v="OKEX"/>
    <x v="7"/>
    <s v="XRP"/>
    <n v="4321.3683435700004"/>
    <n v="1495.2783983055299"/>
    <n v="0.34601965845620197"/>
    <n v="0"/>
    <x v="3"/>
    <d v="2022-12-22T00:00:00"/>
    <n v="1"/>
    <x v="45"/>
    <n v="1"/>
    <n v="4321.3683435700004"/>
    <n v="1495.2783983055349"/>
    <n v="0"/>
    <s v="COIN"/>
    <s v="LONG"/>
    <s v="COIN LONG"/>
    <n v="1495.2783983055299"/>
    <n v="0.34601965845620197"/>
    <n v="0"/>
    <n v="0"/>
    <x v="4"/>
    <s v="XRP COIN LONG"/>
    <b v="1"/>
  </r>
  <r>
    <d v="2022-12-22T00:00:00"/>
    <s v="OKEX"/>
    <x v="7"/>
    <s v="ZIL"/>
    <n v="1908223.7799058501"/>
    <n v="34057.094826426597"/>
    <n v="1.7847537162599899E-2"/>
    <n v="0"/>
    <x v="3"/>
    <d v="2022-12-22T00:00:00"/>
    <n v="1"/>
    <x v="8"/>
    <n v="1"/>
    <n v="1908223.7799058501"/>
    <n v="34057.09482642651"/>
    <n v="0"/>
    <s v="COIN"/>
    <s v="LONG"/>
    <s v="COIN LONG"/>
    <n v="34057.094826426597"/>
    <n v="1.7847537162599899E-2"/>
    <n v="0"/>
    <n v="0"/>
    <x v="4"/>
    <s v="ZIL COIN LONG"/>
    <b v="1"/>
  </r>
  <r>
    <d v="2022-12-22T00:00:00"/>
    <s v="OKEX"/>
    <x v="40"/>
    <s v="BCH"/>
    <n v="7.381E-5"/>
    <n v="7.4061275820722699E-3"/>
    <n v="100.34043601235901"/>
    <n v="0"/>
    <x v="3"/>
    <d v="2022-12-22T00:00:00"/>
    <n v="1"/>
    <x v="4"/>
    <n v="1"/>
    <n v="7.381E-5"/>
    <n v="7.4061275820722179E-3"/>
    <n v="0"/>
    <s v="COIN"/>
    <s v="LONG"/>
    <s v="COIN LONG"/>
    <n v="7.4061275820722699E-3"/>
    <n v="100.34043601235901"/>
    <n v="0"/>
    <n v="0"/>
    <x v="4"/>
    <s v="BCH COIN LONG"/>
    <b v="1"/>
  </r>
  <r>
    <d v="2022-12-22T00:00:00"/>
    <s v="OKEX"/>
    <x v="40"/>
    <s v="BSV"/>
    <n v="0.86729455"/>
    <n v="38.900594262538398"/>
    <n v="44.852806076710998"/>
    <n v="0"/>
    <x v="3"/>
    <d v="2022-12-22T00:00:00"/>
    <n v="1"/>
    <x v="77"/>
    <n v="1"/>
    <n v="0.86729455"/>
    <n v="38.900594262538327"/>
    <n v="0"/>
    <s v="COIN"/>
    <s v="LONG"/>
    <s v="COIN LONG"/>
    <n v="38.900594262538398"/>
    <n v="44.852806076710998"/>
    <n v="0"/>
    <n v="0"/>
    <x v="4"/>
    <s v="BSV COIN LONG"/>
    <b v="1"/>
  </r>
  <r>
    <d v="2022-12-22T00:00:00"/>
    <s v="OKEX"/>
    <x v="40"/>
    <s v="DOT"/>
    <n v="6.8575999999999999E-4"/>
    <n v="3.0723053792219802E-3"/>
    <n v="4.4801466682541804"/>
    <n v="0"/>
    <x v="3"/>
    <d v="2022-12-22T00:00:00"/>
    <n v="1"/>
    <x v="23"/>
    <n v="1"/>
    <n v="6.8575999999999999E-4"/>
    <n v="3.0723053792219867E-3"/>
    <n v="0"/>
    <s v="COIN"/>
    <s v="LONG"/>
    <s v="COIN LONG"/>
    <n v="3.0723053792219802E-3"/>
    <n v="4.4801466682541804"/>
    <n v="0"/>
    <n v="0"/>
    <x v="4"/>
    <s v="DOT COIN LONG"/>
    <b v="1"/>
  </r>
  <r>
    <d v="2022-12-22T00:00:00"/>
    <s v="OKEX"/>
    <x v="40"/>
    <s v="ETHW"/>
    <n v="8.7929999999999993E-5"/>
    <n v="2.5860239247856498E-4"/>
    <n v="2.9410029850854702"/>
    <n v="0"/>
    <x v="3"/>
    <d v="2022-12-22T00:00:00"/>
    <n v="1"/>
    <x v="41"/>
    <n v="1"/>
    <n v="8.7929999999999993E-5"/>
    <n v="2.5860239247856536E-4"/>
    <n v="0"/>
    <s v="COIN"/>
    <s v="LONG"/>
    <s v="COIN LONG"/>
    <n v="2.5860239247856498E-4"/>
    <n v="2.9410029850854702"/>
    <n v="0"/>
    <n v="0"/>
    <x v="4"/>
    <s v="ETHW COIN LONG"/>
    <b v="1"/>
  </r>
  <r>
    <d v="2022-12-22T00:00:00"/>
    <s v="OKEX"/>
    <x v="40"/>
    <s v="LINK"/>
    <n v="7.5870867500000001"/>
    <n v="45.380316652426899"/>
    <n v="5.9812571211772401"/>
    <n v="0"/>
    <x v="3"/>
    <d v="2022-12-22T00:00:00"/>
    <n v="1"/>
    <x v="10"/>
    <n v="1"/>
    <n v="7.5870867500000001"/>
    <n v="45.380316652426984"/>
    <n v="0"/>
    <s v="COIN"/>
    <s v="LONG"/>
    <s v="COIN LONG"/>
    <n v="45.380316652426899"/>
    <n v="5.9812571211772401"/>
    <n v="0"/>
    <n v="0"/>
    <x v="4"/>
    <s v="LINK COIN LONG"/>
    <b v="1"/>
  </r>
  <r>
    <d v="2022-12-22T00:00:00"/>
    <s v="OKEX"/>
    <x v="40"/>
    <s v="LTC"/>
    <n v="6.758E-5"/>
    <n v="4.4191507868946503E-3"/>
    <n v="65.391399628509205"/>
    <n v="0"/>
    <x v="3"/>
    <d v="2022-12-22T00:00:00"/>
    <n v="1"/>
    <x v="6"/>
    <n v="1"/>
    <n v="6.758E-5"/>
    <n v="4.419150786894652E-3"/>
    <n v="0"/>
    <s v="COIN"/>
    <s v="LONG"/>
    <s v="COIN LONG"/>
    <n v="4.4191507868946503E-3"/>
    <n v="65.391399628509205"/>
    <n v="0"/>
    <n v="0"/>
    <x v="4"/>
    <s v="LTC COIN LONG"/>
    <b v="1"/>
  </r>
  <r>
    <d v="2022-12-22T00:00:00"/>
    <s v="OKEX"/>
    <x v="40"/>
    <s v="SHIB"/>
    <n v="8.1457000000000003E-4"/>
    <n v="6.7180371986903601E-9"/>
    <n v="8.2473417860839007E-6"/>
    <n v="0"/>
    <x v="3"/>
    <d v="2022-12-22T00:00:00"/>
    <n v="1"/>
    <x v="12"/>
    <n v="1"/>
    <n v="8.1457000000000003E-4"/>
    <n v="6.7180371986903634E-9"/>
    <n v="0"/>
    <s v="COIN"/>
    <s v="LONG"/>
    <s v="COIN LONG"/>
    <n v="6.7180371986903601E-9"/>
    <n v="8.2473417860839007E-6"/>
    <n v="0"/>
    <n v="0"/>
    <x v="4"/>
    <s v="SHIB COIN LONG"/>
    <b v="1"/>
  </r>
  <r>
    <d v="2022-12-22T00:00:00"/>
    <s v="OKEX"/>
    <x v="40"/>
    <s v="XEC"/>
    <n v="5.47"/>
    <n v="1.3092357560178899E-4"/>
    <n v="2.39348401465794E-5"/>
    <n v="0"/>
    <x v="3"/>
    <d v="2022-12-22T00:00:00"/>
    <n v="1"/>
    <x v="119"/>
    <n v="1"/>
    <n v="5.47"/>
    <n v="1.3092357560178932E-4"/>
    <n v="0"/>
    <s v="COIN"/>
    <s v="LONG"/>
    <s v="COIN LONG"/>
    <n v="1.3092357560178899E-4"/>
    <n v="2.39348401465794E-5"/>
    <n v="0"/>
    <n v="0"/>
    <x v="4"/>
    <s v="XEC COIN LONG"/>
    <b v="1"/>
  </r>
  <r>
    <d v="2022-12-22T00:00:00"/>
    <s v="OKEX"/>
    <x v="40"/>
    <s v="XRP"/>
    <n v="6.9987000000000001E-4"/>
    <n v="2.4216877836374199E-4"/>
    <n v="0.34601965845620197"/>
    <n v="0"/>
    <x v="3"/>
    <d v="2022-12-22T00:00:00"/>
    <n v="1"/>
    <x v="45"/>
    <n v="1"/>
    <n v="6.9987000000000001E-4"/>
    <n v="2.4216877836374207E-4"/>
    <n v="0"/>
    <s v="COIN"/>
    <s v="LONG"/>
    <s v="COIN LONG"/>
    <n v="2.4216877836374199E-4"/>
    <n v="0.34601965845620197"/>
    <n v="0"/>
    <n v="0"/>
    <x v="4"/>
    <s v="XRP COIN LONG"/>
    <b v="1"/>
  </r>
  <r>
    <d v="2022-12-21T21:59:02"/>
    <s v="PITX"/>
    <x v="41"/>
    <s v="ETH"/>
    <n v="7.1361999999999999E-4"/>
    <n v="0.86604922670465501"/>
    <n v="1213.5999925796"/>
    <n v="0"/>
    <x v="3"/>
    <d v="2022-12-21T21:59:02"/>
    <n v="1"/>
    <x v="1"/>
    <n v="1"/>
    <n v="7.1361999999999999E-4"/>
    <n v="0.86604922670465412"/>
    <n v="0"/>
    <s v="COIN"/>
    <s v="LONG"/>
    <s v="COIN LONG"/>
    <n v="0.86604922670465501"/>
    <n v="1213.5999925796"/>
    <n v="0"/>
    <n v="0"/>
    <x v="17"/>
    <s v="ETH COIN LONG"/>
    <b v="1"/>
  </r>
  <r>
    <d v="2022-12-21T21:59:02"/>
    <s v="PITX"/>
    <x v="41"/>
    <s v="EUR"/>
    <n v="0.01"/>
    <n v="1.06048499999999E-2"/>
    <n v="1.0604849999999999"/>
    <n v="0"/>
    <x v="3"/>
    <d v="2022-12-21T21:59:02"/>
    <n v="1"/>
    <x v="25"/>
    <n v="1"/>
    <n v="0.01"/>
    <n v="1.0604849999999999E-2"/>
    <n v="0"/>
    <s v="CASH"/>
    <s v="LONG"/>
    <s v="CASH LONG"/>
    <n v="1.06048499999999E-2"/>
    <n v="1.0604849999999999"/>
    <n v="0"/>
    <n v="0"/>
    <x v="17"/>
    <s v="EUR CASH LONG"/>
    <b v="1"/>
  </r>
  <r>
    <d v="2022-12-21T21:59:02"/>
    <s v="PITX"/>
    <x v="41"/>
    <s v="GBP"/>
    <n v="0.01"/>
    <n v="1.208395E-2"/>
    <n v="1.2083950000000001"/>
    <n v="0"/>
    <x v="3"/>
    <d v="2022-12-21T21:59:02"/>
    <n v="1"/>
    <x v="121"/>
    <n v="1"/>
    <n v="0.01"/>
    <n v="1.2083950000000001E-2"/>
    <n v="0"/>
    <s v="COIN"/>
    <s v="LONG"/>
    <s v="COIN LONG"/>
    <n v="1.208395E-2"/>
    <n v="1.2083950000000001"/>
    <n v="0"/>
    <n v="0"/>
    <x v="17"/>
    <s v="GBP COIN LONG"/>
    <b v="1"/>
  </r>
  <r>
    <d v="2022-12-21T21:59:02"/>
    <s v="PITX"/>
    <x v="41"/>
    <s v="TRY"/>
    <n v="0.10983253"/>
    <n v="5.8165438144603702E-3"/>
    <n v="5.2958297641512601E-2"/>
    <n v="0"/>
    <x v="3"/>
    <d v="2022-12-21T21:59:02"/>
    <n v="1"/>
    <x v="122"/>
    <n v="1"/>
    <n v="0.10983253"/>
    <n v="5.8165438144603615E-3"/>
    <n v="0"/>
    <s v="COIN"/>
    <s v="LONG"/>
    <s v="COIN LONG"/>
    <n v="5.8165438144603702E-3"/>
    <n v="5.2958297641512601E-2"/>
    <n v="0"/>
    <n v="0"/>
    <x v="17"/>
    <s v="TRY COIN LONG"/>
    <b v="1"/>
  </r>
  <r>
    <d v="2022-12-21T21:59:02"/>
    <s v="PITX"/>
    <x v="41"/>
    <s v="USD"/>
    <n v="6.5778299999999998E-3"/>
    <n v="6.5778299999999998E-3"/>
    <n v="1"/>
    <n v="0"/>
    <x v="3"/>
    <d v="2022-12-21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d v="2022-12-21T21:59:02"/>
    <s v="PITX"/>
    <x v="41"/>
    <s v="USDT"/>
    <n v="9.9996000000000004E-4"/>
    <n v="1.0000369423418E-3"/>
    <n v="1.0000769454196099"/>
    <n v="0"/>
    <x v="3"/>
    <d v="2022-12-21T21:59:02"/>
    <n v="1"/>
    <x v="37"/>
    <n v="1"/>
    <n v="9.9996000000000004E-4"/>
    <n v="1.0000369423417931E-3"/>
    <n v="0"/>
    <s v="COIN"/>
    <s v="LONG"/>
    <s v="COIN LONG"/>
    <n v="1.0000369423418E-3"/>
    <n v="1.0000769454196099"/>
    <n v="0"/>
    <n v="0"/>
    <x v="17"/>
    <s v="USDT COIN LONG"/>
    <b v="1"/>
  </r>
  <r>
    <d v="2022-12-21T21:59:02"/>
    <s v="PITX"/>
    <x v="41"/>
    <s v="XLM"/>
    <n v="9.9999999999999995E-8"/>
    <n v="7.5091953330286194E-9"/>
    <n v="7.5091953330286204E-2"/>
    <n v="0"/>
    <x v="3"/>
    <d v="2022-12-21T21:59:02"/>
    <n v="1"/>
    <x v="38"/>
    <n v="1"/>
    <n v="9.9999999999999995E-8"/>
    <n v="7.5091953330286194E-9"/>
    <n v="0"/>
    <s v="COIN"/>
    <s v="LONG"/>
    <s v="COIN LONG"/>
    <n v="7.5091953330286194E-9"/>
    <n v="7.5091953330286204E-2"/>
    <n v="0"/>
    <n v="0"/>
    <x v="17"/>
    <s v="XLM COIN LONG"/>
    <b v="1"/>
  </r>
  <r>
    <d v="2022-12-22T00:00:00"/>
    <s v="SHFT WALLET"/>
    <x v="42"/>
    <s v="SHFT"/>
    <n v="3435616.15191971"/>
    <n v="22526.062960532199"/>
    <n v="6.5566297177714096E-3"/>
    <n v="0"/>
    <x v="3"/>
    <d v="2022-12-22T00:00:00"/>
    <n v="1"/>
    <x v="123"/>
    <n v="1"/>
    <n v="3435616.15191971"/>
    <n v="22526.062960532225"/>
    <n v="0"/>
    <s v="COIN"/>
    <s v="LONG"/>
    <s v="COIN LONG"/>
    <n v="22526.062960532199"/>
    <n v="6.5566297177714096E-3"/>
    <n v="0"/>
    <n v="0"/>
    <x v="18"/>
    <s v="SHFT COIN LONG"/>
    <b v="0"/>
  </r>
  <r>
    <d v="2022-12-22T00:00:00"/>
    <s v="WOOX"/>
    <x v="43"/>
    <s v="ADA"/>
    <n v="59"/>
    <n v="14.9360871079106"/>
    <n v="0.25315401877814703"/>
    <n v="0"/>
    <x v="3"/>
    <d v="2022-12-22T00:00:00"/>
    <n v="1"/>
    <x v="14"/>
    <n v="1"/>
    <n v="59"/>
    <n v="14.936087107910675"/>
    <n v="0"/>
    <s v="COIN"/>
    <s v="LONG"/>
    <s v="COIN LONG"/>
    <n v="14.9360871079106"/>
    <n v="0.25315401877814703"/>
    <n v="0"/>
    <n v="0"/>
    <x v="19"/>
    <s v="ADA COIN LONG"/>
    <b v="1"/>
  </r>
  <r>
    <d v="2022-12-22T00:00:00"/>
    <s v="WOOX"/>
    <x v="43"/>
    <s v="BTC"/>
    <n v="295.94021337999999"/>
    <n v="4976984.7148813801"/>
    <n v="16817.534386550898"/>
    <n v="0"/>
    <x v="3"/>
    <d v="2022-12-22T00:00:00"/>
    <n v="1"/>
    <x v="0"/>
    <n v="1"/>
    <n v="295.94021337999999"/>
    <n v="4976984.7148813605"/>
    <n v="0"/>
    <s v="COIN"/>
    <s v="LONG"/>
    <s v="COIN LONG"/>
    <n v="4976984.7148813801"/>
    <n v="16817.534386550898"/>
    <n v="0"/>
    <n v="0"/>
    <x v="19"/>
    <s v="BTC COIN LONG"/>
    <b v="1"/>
  </r>
  <r>
    <d v="2022-12-22T00:00:00"/>
    <s v="WOOX"/>
    <x v="43"/>
    <s v="ETHW"/>
    <n v="1267.7570125100001"/>
    <n v="3728.4771581549498"/>
    <n v="2.9410029850854702"/>
    <n v="0"/>
    <x v="3"/>
    <d v="2022-12-22T00:00:00"/>
    <n v="1"/>
    <x v="41"/>
    <n v="1"/>
    <n v="1267.7570125100001"/>
    <n v="3728.477158154948"/>
    <n v="0"/>
    <s v="COIN"/>
    <s v="LONG"/>
    <s v="COIN LONG"/>
    <n v="3728.4771581549498"/>
    <n v="2.9410029850854702"/>
    <n v="0"/>
    <n v="0"/>
    <x v="19"/>
    <s v="ETHW COIN LONG"/>
    <b v="1"/>
  </r>
  <r>
    <d v="2022-12-22T00:00:00"/>
    <s v="WOOX"/>
    <x v="43"/>
    <s v="WOO"/>
    <n v="1644286.05309931"/>
    <n v="190067.996374818"/>
    <n v="0.115593023498897"/>
    <n v="0"/>
    <x v="3"/>
    <d v="2022-12-22T00:00:00"/>
    <n v="1"/>
    <x v="124"/>
    <n v="1"/>
    <n v="1644286.05309931"/>
    <n v="190067.99637481713"/>
    <n v="0"/>
    <s v="COIN"/>
    <s v="LONG"/>
    <s v="COIN LONG"/>
    <n v="190067.996374818"/>
    <n v="0.115593023498897"/>
    <n v="0"/>
    <n v="0"/>
    <x v="19"/>
    <s v="WOO COIN LONG"/>
    <b v="1"/>
  </r>
  <r>
    <d v="2022-12-21T23:53:48"/>
    <s v="FBLK"/>
    <x v="44"/>
    <s v="AAVE"/>
    <n v="18.656396409999999"/>
    <n v="1044.65757350341"/>
    <n v="55.994606383013597"/>
    <n v="0"/>
    <x v="3"/>
    <d v="2022-12-21T23:53:48"/>
    <n v="1"/>
    <x v="13"/>
    <n v="1"/>
    <n v="18.656396409999999"/>
    <n v="1044.657573503418"/>
    <n v="0"/>
    <s v="COIN"/>
    <s v="LONG"/>
    <s v="COIN LONG"/>
    <n v="1044.65757350341"/>
    <n v="55.994606383013597"/>
    <n v="0"/>
    <n v="0"/>
    <x v="20"/>
    <s v="AAVE COIN LONG"/>
    <b v="0"/>
  </r>
  <r>
    <d v="2022-12-21T23:53:48"/>
    <s v="FBLK"/>
    <x v="44"/>
    <s v="ADA"/>
    <n v="67547.258092999997"/>
    <n v="17099.859843687598"/>
    <n v="0.25315401877814703"/>
    <n v="0"/>
    <x v="3"/>
    <d v="2022-12-21T23:53:48"/>
    <n v="1"/>
    <x v="14"/>
    <n v="1"/>
    <n v="67547.258092999997"/>
    <n v="17099.859843687664"/>
    <n v="0"/>
    <s v="COIN"/>
    <s v="LONG"/>
    <s v="COIN LONG"/>
    <n v="17099.859843687598"/>
    <n v="0.25315401877814703"/>
    <n v="0"/>
    <n v="0"/>
    <x v="20"/>
    <s v="ADA COIN LONG"/>
    <b v="0"/>
  </r>
  <r>
    <d v="2022-12-21T23:53:48"/>
    <s v="FBLK"/>
    <x v="44"/>
    <s v="ALGO"/>
    <n v="3077.6006819999998"/>
    <n v="528.98151517675205"/>
    <n v="0.17188114048408301"/>
    <n v="0"/>
    <x v="3"/>
    <d v="2022-12-21T23:53:48"/>
    <n v="1"/>
    <x v="15"/>
    <n v="1"/>
    <n v="3077.6006819999998"/>
    <n v="528.9815151767516"/>
    <n v="0"/>
    <s v="COIN"/>
    <s v="LONG"/>
    <s v="COIN LONG"/>
    <n v="528.98151517675205"/>
    <n v="0.17188114048408301"/>
    <n v="0"/>
    <n v="0"/>
    <x v="20"/>
    <s v="ALGO COIN LONG"/>
    <b v="0"/>
  </r>
  <r>
    <d v="2022-12-21T23:53:48"/>
    <s v="FBLK"/>
    <x v="44"/>
    <s v="AVAX"/>
    <n v="553.08230235999997"/>
    <n v="6469.0922700422998"/>
    <n v="11.6964369361281"/>
    <n v="0"/>
    <x v="3"/>
    <d v="2022-12-21T23:53:48"/>
    <n v="1"/>
    <x v="16"/>
    <n v="1"/>
    <n v="553.08230235999997"/>
    <n v="6469.0922700422734"/>
    <n v="0"/>
    <s v="COIN"/>
    <s v="LONG"/>
    <s v="COIN LONG"/>
    <n v="6469.0922700422998"/>
    <n v="11.6964369361281"/>
    <n v="0"/>
    <n v="0"/>
    <x v="20"/>
    <s v="AVAX COIN LONG"/>
    <b v="0"/>
  </r>
  <r>
    <d v="2022-12-21T23:53:48"/>
    <s v="FBLK"/>
    <x v="44"/>
    <s v="BAT"/>
    <n v="679.77950414999998"/>
    <n v="127.756114846988"/>
    <n v="0.18793757985794901"/>
    <n v="0"/>
    <x v="3"/>
    <d v="2022-12-21T23:53:48"/>
    <n v="1"/>
    <x v="17"/>
    <n v="1"/>
    <n v="679.77950414999998"/>
    <n v="127.7561148469876"/>
    <n v="0"/>
    <s v="COIN"/>
    <s v="LONG"/>
    <s v="COIN LONG"/>
    <n v="127.756114846988"/>
    <n v="0.18793757985794901"/>
    <n v="0"/>
    <n v="0"/>
    <x v="20"/>
    <s v="BAT COIN LONG"/>
    <b v="0"/>
  </r>
  <r>
    <d v="2022-12-21T23:53:48"/>
    <s v="FBLK"/>
    <x v="44"/>
    <s v="BCH"/>
    <n v="77.358673339999996"/>
    <n v="7762.2030122733004"/>
    <n v="100.34043601235901"/>
    <n v="0"/>
    <x v="3"/>
    <d v="2022-12-21T23:53:48"/>
    <n v="1"/>
    <x v="4"/>
    <n v="1"/>
    <n v="77.358673339999996"/>
    <n v="7762.2030122732522"/>
    <n v="0"/>
    <s v="COIN"/>
    <s v="LONG"/>
    <s v="COIN LONG"/>
    <n v="7762.2030122733004"/>
    <n v="100.34043601235901"/>
    <n v="0"/>
    <n v="0"/>
    <x v="20"/>
    <s v="BCH COIN LONG"/>
    <b v="0"/>
  </r>
  <r>
    <d v="2022-12-21T23:53:48"/>
    <s v="FBLK"/>
    <x v="44"/>
    <s v="BTC"/>
    <n v="85.481913280000001"/>
    <n v="1437595.0160145599"/>
    <n v="16817.534386550898"/>
    <n v="0"/>
    <x v="3"/>
    <d v="2022-12-21T23:53:48"/>
    <n v="1"/>
    <x v="0"/>
    <n v="1"/>
    <n v="85.481913280000001"/>
    <n v="1437595.016014562"/>
    <n v="0"/>
    <s v="COIN"/>
    <s v="LONG"/>
    <s v="COIN LONG"/>
    <n v="1437595.0160145599"/>
    <n v="16817.534386550898"/>
    <n v="0"/>
    <n v="0"/>
    <x v="20"/>
    <s v="BTC COIN LONG"/>
    <b v="0"/>
  </r>
  <r>
    <d v="2022-12-21T23:53:48"/>
    <s v="FBLK"/>
    <x v="44"/>
    <s v="COMP"/>
    <n v="7.0467473299999996"/>
    <n v="233.63173260758001"/>
    <n v="33.154549420687097"/>
    <n v="0"/>
    <x v="3"/>
    <d v="2022-12-21T23:53:48"/>
    <n v="1"/>
    <x v="9"/>
    <n v="1"/>
    <n v="7.0467473299999996"/>
    <n v="233.63173260757983"/>
    <n v="0"/>
    <s v="COIN"/>
    <s v="LONG"/>
    <s v="COIN LONG"/>
    <n v="233.63173260758001"/>
    <n v="33.154549420687097"/>
    <n v="0"/>
    <n v="0"/>
    <x v="20"/>
    <s v="COMP COIN LONG"/>
    <b v="0"/>
  </r>
  <r>
    <d v="2022-12-21T23:53:48"/>
    <s v="FBLK"/>
    <x v="44"/>
    <s v="DASH"/>
    <n v="7.3663894799999996"/>
    <n v="313.21781027189098"/>
    <n v="42.519854688960997"/>
    <n v="0"/>
    <x v="3"/>
    <d v="2022-12-21T23:53:48"/>
    <n v="1"/>
    <x v="21"/>
    <n v="1"/>
    <n v="7.3663894799999996"/>
    <n v="313.21781027189093"/>
    <n v="0"/>
    <s v="COIN"/>
    <s v="LONG"/>
    <s v="COIN LONG"/>
    <n v="313.21781027189098"/>
    <n v="42.519854688960997"/>
    <n v="0"/>
    <n v="0"/>
    <x v="20"/>
    <s v="DASH COIN LONG"/>
    <b v="0"/>
  </r>
  <r>
    <d v="2022-12-21T23:53:48"/>
    <s v="FBLK"/>
    <x v="44"/>
    <s v="DOGE"/>
    <n v="62166.379391999901"/>
    <n v="4580.36335065002"/>
    <n v="7.3679107508703601E-2"/>
    <n v="0"/>
    <x v="3"/>
    <d v="2022-12-21T23:53:48"/>
    <n v="1"/>
    <x v="22"/>
    <n v="1"/>
    <n v="62166.379391999901"/>
    <n v="4580.3633506500164"/>
    <n v="0"/>
    <s v="COIN"/>
    <s v="LONG"/>
    <s v="COIN LONG"/>
    <n v="4580.36335065002"/>
    <n v="7.3679107508703601E-2"/>
    <n v="0"/>
    <n v="0"/>
    <x v="20"/>
    <s v="DOGE COIN LONG"/>
    <b v="0"/>
  </r>
  <r>
    <d v="2022-12-21T23:53:48"/>
    <s v="FBLK"/>
    <x v="44"/>
    <s v="DOT"/>
    <n v="283.95036216"/>
    <n v="1272.1392689806901"/>
    <n v="4.4801466682541804"/>
    <n v="0"/>
    <x v="3"/>
    <d v="2022-12-21T23:53:48"/>
    <n v="1"/>
    <x v="23"/>
    <n v="1"/>
    <n v="283.95036216"/>
    <n v="1272.1392689806919"/>
    <n v="0"/>
    <s v="COIN"/>
    <s v="LONG"/>
    <s v="COIN LONG"/>
    <n v="1272.1392689806901"/>
    <n v="4.4801466682541804"/>
    <n v="0"/>
    <n v="0"/>
    <x v="20"/>
    <s v="DOT COIN LONG"/>
    <b v="0"/>
  </r>
  <r>
    <d v="2022-12-21T23:53:48"/>
    <s v="FBLK"/>
    <x v="44"/>
    <s v="ENJ"/>
    <n v="1829.0868798199999"/>
    <n v="474.47118675441197"/>
    <n v="0.25940330773194598"/>
    <n v="0"/>
    <x v="3"/>
    <d v="2022-12-21T23:53:48"/>
    <n v="1"/>
    <x v="24"/>
    <n v="1"/>
    <n v="1829.0868798199999"/>
    <n v="474.47118675441232"/>
    <n v="0"/>
    <s v="COIN"/>
    <s v="LONG"/>
    <s v="COIN LONG"/>
    <n v="474.47118675441197"/>
    <n v="0.25940330773194598"/>
    <n v="0"/>
    <n v="0"/>
    <x v="20"/>
    <s v="ENJ COIN LONG"/>
    <b v="0"/>
  </r>
  <r>
    <d v="2022-12-21T23:53:48"/>
    <s v="FBLK"/>
    <x v="44"/>
    <s v="EOS"/>
    <n v="885.05229999999995"/>
    <n v="785.88282606921803"/>
    <n v="0.88795071892273303"/>
    <n v="0"/>
    <x v="3"/>
    <d v="2022-12-21T23:53:48"/>
    <n v="1"/>
    <x v="3"/>
    <n v="1"/>
    <n v="885.05229999999995"/>
    <n v="785.88282606921837"/>
    <n v="0"/>
    <s v="COIN"/>
    <s v="LONG"/>
    <s v="COIN LONG"/>
    <n v="785.88282606921803"/>
    <n v="0.88795071892273303"/>
    <n v="0"/>
    <n v="0"/>
    <x v="20"/>
    <s v="EOS COIN LONG"/>
    <b v="0"/>
  </r>
  <r>
    <d v="2022-12-21T23:53:48"/>
    <s v="FBLK"/>
    <x v="44"/>
    <s v="ETC"/>
    <n v="5.8852999999999998E-4"/>
    <n v="9.7820441450749297E-3"/>
    <n v="16.621147851553701"/>
    <n v="0"/>
    <x v="3"/>
    <d v="2022-12-21T23:53:48"/>
    <n v="1"/>
    <x v="5"/>
    <n v="1"/>
    <n v="5.8852999999999998E-4"/>
    <n v="9.7820441450748984E-3"/>
    <n v="0"/>
    <s v="COIN"/>
    <s v="LONG"/>
    <s v="COIN LONG"/>
    <n v="9.7820441450749297E-3"/>
    <n v="16.621147851553701"/>
    <n v="0"/>
    <n v="0"/>
    <x v="20"/>
    <s v="ETC COIN LONG"/>
    <b v="0"/>
  </r>
  <r>
    <d v="2022-12-21T23:53:48"/>
    <s v="FBLK"/>
    <x v="44"/>
    <s v="ETH"/>
    <n v="762.81823271999997"/>
    <n v="925756.20156857604"/>
    <n v="1213.5999925796"/>
    <n v="0"/>
    <x v="3"/>
    <d v="2022-12-21T23:53:48"/>
    <n v="1"/>
    <x v="1"/>
    <n v="1"/>
    <n v="762.81823271999997"/>
    <n v="925756.20156857558"/>
    <n v="0"/>
    <s v="COIN"/>
    <s v="LONG"/>
    <s v="COIN LONG"/>
    <n v="925756.20156857604"/>
    <n v="1213.5999925796"/>
    <n v="0"/>
    <n v="0"/>
    <x v="20"/>
    <s v="ETH COIN LONG"/>
    <b v="0"/>
  </r>
  <r>
    <d v="2022-12-21T23:53:48"/>
    <s v="FBLK"/>
    <x v="44"/>
    <s v="ETHW"/>
    <n v="0.42501022999999999"/>
    <n v="1.24995635512186"/>
    <n v="2.9410029850854702"/>
    <n v="0"/>
    <x v="3"/>
    <d v="2022-12-21T23:53:48"/>
    <n v="1"/>
    <x v="41"/>
    <n v="1"/>
    <n v="0.42501022999999999"/>
    <n v="1.2499563551218622"/>
    <n v="0"/>
    <s v="COIN"/>
    <s v="LONG"/>
    <s v="COIN LONG"/>
    <n v="1.24995635512186"/>
    <n v="2.9410029850854702"/>
    <n v="0"/>
    <n v="0"/>
    <x v="20"/>
    <s v="ETHW COIN LONG"/>
    <b v="0"/>
  </r>
  <r>
    <d v="2022-12-21T23:53:48"/>
    <s v="FBLK"/>
    <x v="44"/>
    <s v="EUROC"/>
    <n v="5024"/>
    <n v="5329.2714718754796"/>
    <n v="1.0607626337331699"/>
    <n v="0"/>
    <x v="3"/>
    <d v="2022-12-21T23:53:48"/>
    <n v="1"/>
    <x v="92"/>
    <n v="1"/>
    <n v="5024"/>
    <n v="5329.271471875446"/>
    <n v="0"/>
    <s v="COIN"/>
    <s v="LONG"/>
    <s v="COIN LONG"/>
    <n v="5329.2714718754796"/>
    <n v="1.0607626337331699"/>
    <n v="0"/>
    <n v="0"/>
    <x v="20"/>
    <s v="EUROC COIN LONG"/>
    <b v="0"/>
  </r>
  <r>
    <d v="2022-12-21T23:53:48"/>
    <s v="FBLK"/>
    <x v="44"/>
    <s v="FTM"/>
    <n v="3082.8027381799998"/>
    <n v="622.60480560948997"/>
    <n v="0.20196063727939201"/>
    <n v="0"/>
    <x v="3"/>
    <d v="2022-12-21T23:53:48"/>
    <n v="1"/>
    <x v="27"/>
    <n v="1"/>
    <n v="3082.8027381799998"/>
    <n v="622.60480560948747"/>
    <n v="0"/>
    <s v="COIN"/>
    <s v="LONG"/>
    <s v="COIN LONG"/>
    <n v="622.60480560948997"/>
    <n v="0.20196063727939201"/>
    <n v="0"/>
    <n v="0"/>
    <x v="20"/>
    <s v="FTM COIN LONG"/>
    <b v="0"/>
  </r>
  <r>
    <d v="2022-12-21T23:53:48"/>
    <s v="FBLK"/>
    <x v="44"/>
    <s v="FTT"/>
    <n v="2.53888889"/>
    <n v="2.21823738096866"/>
    <n v="0.873704000874439"/>
    <n v="0"/>
    <x v="3"/>
    <d v="2022-12-21T23:53:48"/>
    <n v="1"/>
    <x v="93"/>
    <n v="1"/>
    <n v="2.53888889"/>
    <n v="2.2182373809686635"/>
    <n v="0"/>
    <s v="COIN"/>
    <s v="LONG"/>
    <s v="COIN LONG"/>
    <n v="2.21823738096866"/>
    <n v="0.873704000874439"/>
    <n v="0"/>
    <n v="0"/>
    <x v="20"/>
    <s v="FTT COIN LONG"/>
    <b v="0"/>
  </r>
  <r>
    <d v="2022-12-21T23:53:48"/>
    <s v="FBLK"/>
    <x v="44"/>
    <s v="GRT"/>
    <n v="13030.468783099999"/>
    <n v="746.61799150987895"/>
    <n v="5.7297861185026E-2"/>
    <n v="0"/>
    <x v="3"/>
    <d v="2022-12-21T23:53:48"/>
    <n v="1"/>
    <x v="28"/>
    <n v="1"/>
    <n v="13030.468783099999"/>
    <n v="746.61799150987838"/>
    <n v="0"/>
    <s v="COIN"/>
    <s v="LONG"/>
    <s v="COIN LONG"/>
    <n v="746.61799150987895"/>
    <n v="5.7297861185026E-2"/>
    <n v="0"/>
    <n v="0"/>
    <x v="20"/>
    <s v="GRT COIN LONG"/>
    <b v="0"/>
  </r>
  <r>
    <d v="2022-12-21T23:53:48"/>
    <s v="FBLK"/>
    <x v="44"/>
    <s v="HBAR"/>
    <n v="7644.3201764400001"/>
    <n v="326.01810031808202"/>
    <n v="4.26484099034573E-2"/>
    <n v="0"/>
    <x v="3"/>
    <d v="2022-12-21T23:53:48"/>
    <n v="1"/>
    <x v="29"/>
    <n v="1"/>
    <n v="7644.3201764400001"/>
    <n v="326.01810031808213"/>
    <n v="0"/>
    <s v="COIN"/>
    <s v="LONG"/>
    <s v="COIN LONG"/>
    <n v="326.01810031808202"/>
    <n v="4.26484099034573E-2"/>
    <n v="0"/>
    <n v="0"/>
    <x v="20"/>
    <s v="HBAR COIN LONG"/>
    <b v="0"/>
  </r>
  <r>
    <d v="2022-12-21T23:53:48"/>
    <s v="FBLK"/>
    <x v="44"/>
    <s v="KSM"/>
    <n v="9.2269799999999992E-3"/>
    <n v="0.22567207045405399"/>
    <n v="24.4578475789537"/>
    <n v="0"/>
    <x v="3"/>
    <d v="2022-12-21T23:53:48"/>
    <n v="1"/>
    <x v="100"/>
    <n v="1"/>
    <n v="9.2269799999999992E-3"/>
    <n v="0.22567207045405419"/>
    <n v="0"/>
    <s v="COIN"/>
    <s v="LONG"/>
    <s v="COIN LONG"/>
    <n v="0.22567207045405399"/>
    <n v="24.4578475789537"/>
    <n v="0"/>
    <n v="0"/>
    <x v="20"/>
    <s v="KSM COIN LONG"/>
    <b v="0"/>
  </r>
  <r>
    <d v="2022-12-21T23:53:48"/>
    <s v="FBLK"/>
    <x v="44"/>
    <s v="LINK"/>
    <n v="193.19679459"/>
    <n v="1155.5597034300499"/>
    <n v="5.9812571211772401"/>
    <n v="0"/>
    <x v="3"/>
    <d v="2022-12-21T23:53:48"/>
    <n v="1"/>
    <x v="10"/>
    <n v="1"/>
    <n v="193.19679459"/>
    <n v="1155.559703430054"/>
    <n v="0"/>
    <s v="COIN"/>
    <s v="LONG"/>
    <s v="COIN LONG"/>
    <n v="1155.5597034300499"/>
    <n v="5.9812571211772401"/>
    <n v="0"/>
    <n v="0"/>
    <x v="20"/>
    <s v="LINK COIN LONG"/>
    <b v="0"/>
  </r>
  <r>
    <d v="2022-12-21T23:53:48"/>
    <s v="FBLK"/>
    <x v="44"/>
    <s v="LTC"/>
    <n v="17.688212360000001"/>
    <n v="1156.65696314669"/>
    <n v="65.391399628509205"/>
    <n v="0"/>
    <x v="3"/>
    <d v="2022-12-21T23:53:48"/>
    <n v="1"/>
    <x v="6"/>
    <n v="1"/>
    <n v="17.688212360000001"/>
    <n v="1156.6569631466959"/>
    <n v="0"/>
    <s v="COIN"/>
    <s v="LONG"/>
    <s v="COIN LONG"/>
    <n v="1156.65696314669"/>
    <n v="65.391399628509205"/>
    <n v="0"/>
    <n v="0"/>
    <x v="20"/>
    <s v="LTC COIN LONG"/>
    <b v="0"/>
  </r>
  <r>
    <d v="2022-12-21T23:53:48"/>
    <s v="FBLK"/>
    <x v="44"/>
    <s v="MANA"/>
    <n v="3429.5551647100001"/>
    <n v="1049.3246490290201"/>
    <n v="0.30596523415821703"/>
    <n v="0"/>
    <x v="3"/>
    <d v="2022-12-21T23:53:48"/>
    <n v="1"/>
    <x v="30"/>
    <n v="1"/>
    <n v="3429.5551647100001"/>
    <n v="1049.3246490290178"/>
    <n v="0"/>
    <s v="COIN"/>
    <s v="LONG"/>
    <s v="COIN LONG"/>
    <n v="1049.3246490290201"/>
    <n v="0.30596523415821703"/>
    <n v="0"/>
    <n v="0"/>
    <x v="20"/>
    <s v="MANA COIN LONG"/>
    <b v="0"/>
  </r>
  <r>
    <d v="2022-12-21T23:53:48"/>
    <s v="FBLK"/>
    <x v="44"/>
    <s v="MATIC"/>
    <n v="7259.4623375299998"/>
    <n v="5756.7242112371596"/>
    <n v="0.79299594702434395"/>
    <n v="0"/>
    <x v="3"/>
    <d v="2022-12-21T23:53:48"/>
    <n v="1"/>
    <x v="31"/>
    <n v="1"/>
    <n v="7259.4623375299998"/>
    <n v="5756.7242112371596"/>
    <n v="0"/>
    <s v="COIN"/>
    <s v="LONG"/>
    <s v="COIN LONG"/>
    <n v="5756.7242112371596"/>
    <n v="0.79299594702434395"/>
    <n v="0"/>
    <n v="0"/>
    <x v="20"/>
    <s v="MATIC COIN LONG"/>
    <b v="0"/>
  </r>
  <r>
    <d v="2022-12-21T23:53:48"/>
    <s v="FBLK"/>
    <x v="44"/>
    <s v="MKR"/>
    <n v="3.0790081800000002"/>
    <n v="1697.13751386996"/>
    <n v="551.19616923848696"/>
    <n v="0"/>
    <x v="3"/>
    <d v="2022-12-21T23:53:48"/>
    <n v="1"/>
    <x v="32"/>
    <n v="1"/>
    <n v="3.0790081800000002"/>
    <n v="1697.1375138699659"/>
    <n v="0"/>
    <s v="COIN"/>
    <s v="LONG"/>
    <s v="COIN LONG"/>
    <n v="1697.13751386996"/>
    <n v="551.19616923848696"/>
    <n v="0"/>
    <n v="0"/>
    <x v="20"/>
    <s v="MKR COIN LONG"/>
    <b v="0"/>
  </r>
  <r>
    <d v="2022-12-21T23:53:48"/>
    <s v="FBLK"/>
    <x v="44"/>
    <s v="OMG"/>
    <n v="6.9710000000000001"/>
    <n v="7.0089374884989404"/>
    <n v="1.0054421874191499"/>
    <n v="0"/>
    <x v="3"/>
    <d v="2022-12-21T23:53:48"/>
    <n v="1"/>
    <x v="7"/>
    <n v="1"/>
    <n v="6.9710000000000001"/>
    <n v="7.0089374884988942"/>
    <n v="0"/>
    <s v="COIN"/>
    <s v="LONG"/>
    <s v="COIN LONG"/>
    <n v="7.0089374884989404"/>
    <n v="1.0054421874191499"/>
    <n v="0"/>
    <n v="0"/>
    <x v="20"/>
    <s v="OMG COIN LONG"/>
    <b v="0"/>
  </r>
  <r>
    <d v="2022-12-21T23:53:48"/>
    <s v="FBLK"/>
    <x v="44"/>
    <s v="OXT"/>
    <n v="944.56600000000003"/>
    <n v="67.658893132257404"/>
    <n v="7.1629608870378003E-2"/>
    <n v="0"/>
    <x v="3"/>
    <d v="2022-12-21T23:53:48"/>
    <n v="1"/>
    <x v="33"/>
    <n v="1"/>
    <n v="944.56600000000003"/>
    <n v="67.658893132257376"/>
    <n v="0"/>
    <s v="COIN"/>
    <s v="LONG"/>
    <s v="COIN LONG"/>
    <n v="67.658893132257404"/>
    <n v="7.1629608870378003E-2"/>
    <n v="0"/>
    <n v="0"/>
    <x v="20"/>
    <s v="OXT COIN LONG"/>
    <b v="0"/>
  </r>
  <r>
    <d v="2022-12-21T23:53:48"/>
    <s v="FBLK"/>
    <x v="44"/>
    <s v="SHIB"/>
    <n v="444378211.29299998"/>
    <n v="3664.93899082197"/>
    <n v="8.2473417860839007E-6"/>
    <n v="0"/>
    <x v="3"/>
    <d v="2022-12-21T23:53:48"/>
    <n v="1"/>
    <x v="12"/>
    <n v="1"/>
    <n v="444378211.29299998"/>
    <n v="3664.9389908219796"/>
    <n v="0"/>
    <s v="COIN"/>
    <s v="LONG"/>
    <s v="COIN LONG"/>
    <n v="3664.93899082197"/>
    <n v="8.2473417860839007E-6"/>
    <n v="0"/>
    <n v="0"/>
    <x v="20"/>
    <s v="SHIB COIN LONG"/>
    <b v="0"/>
  </r>
  <r>
    <d v="2022-12-21T23:53:48"/>
    <s v="FBLK"/>
    <x v="44"/>
    <s v="SOL"/>
    <n v="168.19191000000001"/>
    <n v="2039.9971475724701"/>
    <n v="12.1289849646899"/>
    <n v="0"/>
    <x v="3"/>
    <d v="2022-12-21T23:53:48"/>
    <n v="1"/>
    <x v="34"/>
    <n v="1"/>
    <n v="168.19191000000001"/>
    <n v="2039.9971475724769"/>
    <n v="0"/>
    <s v="COIN"/>
    <s v="LONG"/>
    <s v="COIN LONG"/>
    <n v="2039.9971475724701"/>
    <n v="12.1289849646899"/>
    <n v="0"/>
    <n v="0"/>
    <x v="20"/>
    <s v="SOL COIN LONG"/>
    <b v="0"/>
  </r>
  <r>
    <d v="2022-12-21T23:53:48"/>
    <s v="FBLK"/>
    <x v="44"/>
    <s v="SUSHI"/>
    <n v="2734.25767262"/>
    <n v="2547.1936417172901"/>
    <n v="0.93158507598756701"/>
    <n v="0"/>
    <x v="3"/>
    <d v="2022-12-21T23:53:48"/>
    <n v="1"/>
    <x v="35"/>
    <n v="1"/>
    <n v="2734.25767262"/>
    <n v="2547.193641717291"/>
    <n v="0"/>
    <s v="COIN"/>
    <s v="LONG"/>
    <s v="COIN LONG"/>
    <n v="2547.1936417172901"/>
    <n v="0.93158507598756701"/>
    <n v="0"/>
    <n v="0"/>
    <x v="20"/>
    <s v="SUSHI COIN LONG"/>
    <b v="0"/>
  </r>
  <r>
    <d v="2022-12-21T23:53:48"/>
    <s v="FBLK"/>
    <x v="44"/>
    <s v="UNI"/>
    <n v="398.44654965000001"/>
    <n v="2116.5895299557601"/>
    <n v="5.3121040496272203"/>
    <n v="0"/>
    <x v="3"/>
    <d v="2022-12-21T23:53:48"/>
    <n v="1"/>
    <x v="36"/>
    <n v="1"/>
    <n v="398.44654965000001"/>
    <n v="2116.5895299557583"/>
    <n v="0"/>
    <s v="COIN"/>
    <s v="LONG"/>
    <s v="COIN LONG"/>
    <n v="2116.5895299557601"/>
    <n v="5.3121040496272203"/>
    <n v="0"/>
    <n v="0"/>
    <x v="20"/>
    <s v="UNI COIN LONG"/>
    <b v="0"/>
  </r>
  <r>
    <d v="2022-12-21T23:53:48"/>
    <s v="FBLK"/>
    <x v="44"/>
    <s v="USDC"/>
    <n v="7549491.6908459999"/>
    <n v="7550214.0596552799"/>
    <n v="1.00009568443"/>
    <n v="0"/>
    <x v="3"/>
    <d v="2022-12-21T23:53:48"/>
    <n v="1"/>
    <x v="46"/>
    <n v="1"/>
    <n v="7549491.6908459999"/>
    <n v="7550214.0596552277"/>
    <n v="0"/>
    <s v="COIN"/>
    <s v="LONG"/>
    <s v="COIN LONG"/>
    <n v="7550214.0596552799"/>
    <n v="1.00009568443"/>
    <n v="0"/>
    <n v="0"/>
    <x v="20"/>
    <s v="USDC COIN LONG"/>
    <b v="0"/>
  </r>
  <r>
    <d v="2022-12-21T23:53:48"/>
    <s v="FBLK"/>
    <x v="44"/>
    <s v="USDT"/>
    <n v="42141.068077000004"/>
    <n v="42144.310639166302"/>
    <n v="1.0000769454196099"/>
    <n v="0"/>
    <x v="3"/>
    <d v="2022-12-21T23:53:48"/>
    <n v="1"/>
    <x v="37"/>
    <n v="1"/>
    <n v="42141.068077000004"/>
    <n v="42144.310639165997"/>
    <n v="0"/>
    <s v="COIN"/>
    <s v="LONG"/>
    <s v="COIN LONG"/>
    <n v="42144.310639166302"/>
    <n v="1.0000769454196099"/>
    <n v="0"/>
    <n v="0"/>
    <x v="20"/>
    <s v="USDT COIN LONG"/>
    <b v="0"/>
  </r>
  <r>
    <d v="2022-12-21T23:53:48"/>
    <s v="FBLK"/>
    <x v="44"/>
    <s v="XLM"/>
    <n v="18499.5401809"/>
    <n v="1389.1666078958899"/>
    <n v="7.5091953330286204E-2"/>
    <n v="0"/>
    <x v="3"/>
    <d v="2022-12-21T23:53:48"/>
    <n v="1"/>
    <x v="38"/>
    <n v="1"/>
    <n v="18499.5401809"/>
    <n v="1389.1666078958972"/>
    <n v="0"/>
    <s v="COIN"/>
    <s v="LONG"/>
    <s v="COIN LONG"/>
    <n v="1389.1666078958899"/>
    <n v="7.5091953330286204E-2"/>
    <n v="0"/>
    <n v="0"/>
    <x v="20"/>
    <s v="XLM COIN LONG"/>
    <b v="0"/>
  </r>
  <r>
    <d v="2022-12-21T23:53:48"/>
    <s v="FBLK"/>
    <x v="44"/>
    <s v="XRP"/>
    <n v="313.68986200000001"/>
    <n v="108.542858910413"/>
    <n v="0.34601965845620197"/>
    <n v="0"/>
    <x v="3"/>
    <d v="2022-12-21T23:53:48"/>
    <n v="1"/>
    <x v="45"/>
    <n v="1"/>
    <n v="313.68986200000001"/>
    <n v="108.54285891041313"/>
    <n v="0"/>
    <s v="COIN"/>
    <s v="LONG"/>
    <s v="COIN LONG"/>
    <n v="108.542858910413"/>
    <n v="0.34601965845620197"/>
    <n v="0"/>
    <n v="0"/>
    <x v="20"/>
    <s v="XRP COIN LONG"/>
    <b v="0"/>
  </r>
  <r>
    <d v="2022-12-21T23:53:48"/>
    <s v="FBLK"/>
    <x v="44"/>
    <s v="XTZ"/>
    <n v="3068.3506000000002"/>
    <n v="2472.8193244819699"/>
    <n v="0.80591159448401095"/>
    <n v="0"/>
    <x v="3"/>
    <d v="2022-12-21T23:53:48"/>
    <n v="1"/>
    <x v="39"/>
    <n v="1"/>
    <n v="3068.3506000000002"/>
    <n v="2472.8193244819718"/>
    <n v="0"/>
    <s v="COIN"/>
    <s v="LONG"/>
    <s v="COIN LONG"/>
    <n v="2472.8193244819699"/>
    <n v="0.80591159448401095"/>
    <n v="0"/>
    <n v="0"/>
    <x v="20"/>
    <s v="XTZ COIN LONG"/>
    <b v="0"/>
  </r>
  <r>
    <d v="2022-12-21T23:53:48"/>
    <s v="FBLK"/>
    <x v="44"/>
    <s v="YFI"/>
    <n v="5.7539109999999997E-2"/>
    <n v="319.73358514925502"/>
    <n v="5556.8044960941497"/>
    <n v="0"/>
    <x v="3"/>
    <d v="2022-12-21T23:53:48"/>
    <n v="1"/>
    <x v="40"/>
    <n v="1"/>
    <n v="5.7539109999999997E-2"/>
    <n v="319.73358514925582"/>
    <n v="0"/>
    <s v="COIN"/>
    <s v="LONG"/>
    <s v="COIN LONG"/>
    <n v="319.73358514925502"/>
    <n v="5556.8044960941497"/>
    <n v="0"/>
    <n v="0"/>
    <x v="20"/>
    <s v="YFI COIN LONG"/>
    <b v="0"/>
  </r>
  <r>
    <d v="2022-12-22T00:00:00"/>
    <s v="BINANCE"/>
    <x v="45"/>
    <s v="AAVE"/>
    <n v="-900"/>
    <n v="-50395.145744712201"/>
    <n v="55.994606383013597"/>
    <n v="0"/>
    <x v="5"/>
    <d v="2022-12-22T00:00:00"/>
    <n v="1"/>
    <x v="13"/>
    <n v="1"/>
    <n v="-900"/>
    <n v="-50395.145744712238"/>
    <n v="0"/>
    <s v="COIN"/>
    <s v="SHORT"/>
    <s v="COIN SHORT"/>
    <n v="-50395.145744712201"/>
    <n v="55.994606383013597"/>
    <n v="0"/>
    <n v="0"/>
    <x v="0"/>
    <s v="AAVE COIN SHORT"/>
    <b v="1"/>
  </r>
  <r>
    <d v="2022-12-22T00:00:00"/>
    <s v="BINANCE"/>
    <x v="45"/>
    <s v="ADA"/>
    <n v="-450000"/>
    <n v="-113919.30845016601"/>
    <n v="0.25315401877814703"/>
    <n v="0"/>
    <x v="5"/>
    <d v="2022-12-22T00:00:00"/>
    <n v="1"/>
    <x v="14"/>
    <n v="1"/>
    <n v="-450000"/>
    <n v="-113919.30845016617"/>
    <n v="0"/>
    <s v="COIN"/>
    <s v="SHORT"/>
    <s v="COIN SHORT"/>
    <n v="-113919.30845016601"/>
    <n v="0.25315401877814703"/>
    <n v="0"/>
    <n v="0"/>
    <x v="0"/>
    <s v="ADA COIN SHORT"/>
    <b v="1"/>
  </r>
  <r>
    <d v="2022-12-22T00:00:00"/>
    <s v="BINANCE"/>
    <x v="45"/>
    <s v="ALGO"/>
    <n v="-244800"/>
    <n v="-42076.503190503499"/>
    <n v="0.17188114048408301"/>
    <n v="0"/>
    <x v="5"/>
    <d v="2022-12-22T00:00:00"/>
    <n v="1"/>
    <x v="15"/>
    <n v="1"/>
    <n v="-244800"/>
    <n v="-42076.503190503521"/>
    <n v="0"/>
    <s v="COIN"/>
    <s v="SHORT"/>
    <s v="COIN SHORT"/>
    <n v="-42076.503190503499"/>
    <n v="0.17188114048408301"/>
    <n v="0"/>
    <n v="0"/>
    <x v="0"/>
    <s v="ALGO COIN SHORT"/>
    <b v="1"/>
  </r>
  <r>
    <d v="2022-12-22T00:00:00"/>
    <s v="BINANCE"/>
    <x v="45"/>
    <s v="AVAX"/>
    <n v="-6000"/>
    <n v="-70178.621616768898"/>
    <n v="11.6964369361281"/>
    <n v="0"/>
    <x v="5"/>
    <d v="2022-12-22T00:00:00"/>
    <n v="1"/>
    <x v="16"/>
    <n v="1"/>
    <n v="-6000"/>
    <n v="-70178.621616768593"/>
    <n v="0"/>
    <s v="COIN"/>
    <s v="SHORT"/>
    <s v="COIN SHORT"/>
    <n v="-70178.621616768898"/>
    <n v="11.6964369361281"/>
    <n v="0"/>
    <n v="0"/>
    <x v="0"/>
    <s v="AVAX COIN SHORT"/>
    <b v="1"/>
  </r>
  <r>
    <d v="2022-12-22T00:00:00"/>
    <s v="BINANCE"/>
    <x v="45"/>
    <s v="BAT"/>
    <n v="-200000"/>
    <n v="-37587.515971589899"/>
    <n v="0.18793757985794901"/>
    <n v="0"/>
    <x v="5"/>
    <d v="2022-12-22T00:00:00"/>
    <n v="1"/>
    <x v="17"/>
    <n v="1"/>
    <n v="-200000"/>
    <n v="-37587.515971589804"/>
    <n v="0"/>
    <s v="COIN"/>
    <s v="SHORT"/>
    <s v="COIN SHORT"/>
    <n v="-37587.515971589899"/>
    <n v="0.18793757985794901"/>
    <n v="0"/>
    <n v="0"/>
    <x v="0"/>
    <s v="BAT COIN SHORT"/>
    <b v="1"/>
  </r>
  <r>
    <d v="2022-12-22T00:00:00"/>
    <s v="BINANCE"/>
    <x v="45"/>
    <s v="BCH"/>
    <n v="-90"/>
    <n v="-9030.6392411123707"/>
    <n v="100.34043601235901"/>
    <n v="0"/>
    <x v="5"/>
    <d v="2022-12-22T00:00:00"/>
    <n v="1"/>
    <x v="4"/>
    <n v="1"/>
    <n v="-90"/>
    <n v="-9030.6392411123106"/>
    <n v="0"/>
    <s v="COIN"/>
    <s v="SHORT"/>
    <s v="COIN SHORT"/>
    <n v="-9030.6392411123707"/>
    <n v="100.34043601235901"/>
    <n v="0"/>
    <n v="0"/>
    <x v="0"/>
    <s v="BCH COIN SHORT"/>
    <b v="1"/>
  </r>
  <r>
    <d v="2022-12-22T00:00:00"/>
    <s v="BINANCE"/>
    <x v="45"/>
    <s v="COMP"/>
    <n v="-4800"/>
    <n v="-159141.837219298"/>
    <n v="33.154549420687097"/>
    <n v="0"/>
    <x v="5"/>
    <d v="2022-12-22T00:00:00"/>
    <n v="1"/>
    <x v="9"/>
    <n v="1"/>
    <n v="-4800"/>
    <n v="-159141.83721929806"/>
    <n v="0"/>
    <s v="COIN"/>
    <s v="SHORT"/>
    <s v="COIN SHORT"/>
    <n v="-159141.837219298"/>
    <n v="33.154549420687097"/>
    <n v="0"/>
    <n v="0"/>
    <x v="0"/>
    <s v="COMP COIN SHORT"/>
    <b v="1"/>
  </r>
  <r>
    <d v="2022-12-22T00:00:00"/>
    <s v="BINANCE"/>
    <x v="45"/>
    <s v="DASH"/>
    <n v="-1000"/>
    <n v="-42519.854688961001"/>
    <n v="42.519854688960997"/>
    <n v="0"/>
    <x v="5"/>
    <d v="2022-12-22T00:00:00"/>
    <n v="1"/>
    <x v="21"/>
    <n v="1"/>
    <n v="-1000"/>
    <n v="-42519.854688961001"/>
    <n v="0"/>
    <s v="COIN"/>
    <s v="SHORT"/>
    <s v="COIN SHORT"/>
    <n v="-42519.854688961001"/>
    <n v="42.519854688960997"/>
    <n v="0"/>
    <n v="0"/>
    <x v="0"/>
    <s v="DASH COIN SHORT"/>
    <b v="1"/>
  </r>
  <r>
    <d v="2022-12-22T00:00:00"/>
    <s v="BINANCE"/>
    <x v="45"/>
    <s v="DOGE"/>
    <n v="-1100000"/>
    <n v="-81047.018259574004"/>
    <n v="7.3679107508703601E-2"/>
    <n v="0"/>
    <x v="5"/>
    <d v="2022-12-22T00:00:00"/>
    <n v="1"/>
    <x v="22"/>
    <n v="1"/>
    <n v="-1100000"/>
    <n v="-81047.018259573961"/>
    <n v="0"/>
    <s v="COIN"/>
    <s v="SHORT"/>
    <s v="COIN SHORT"/>
    <n v="-81047.018259574004"/>
    <n v="7.3679107508703601E-2"/>
    <n v="0"/>
    <n v="0"/>
    <x v="0"/>
    <s v="DOGE COIN SHORT"/>
    <b v="1"/>
  </r>
  <r>
    <d v="2022-12-22T00:00:00"/>
    <s v="BINANCE"/>
    <x v="45"/>
    <s v="DOT"/>
    <n v="-10000"/>
    <n v="-44801.466682541803"/>
    <n v="4.4801466682541804"/>
    <n v="0"/>
    <x v="5"/>
    <d v="2022-12-22T00:00:00"/>
    <n v="1"/>
    <x v="23"/>
    <n v="1"/>
    <n v="-10000"/>
    <n v="-44801.466682541803"/>
    <n v="0"/>
    <s v="COIN"/>
    <s v="SHORT"/>
    <s v="COIN SHORT"/>
    <n v="-44801.466682541803"/>
    <n v="4.4801466682541804"/>
    <n v="0"/>
    <n v="0"/>
    <x v="0"/>
    <s v="DOT COIN SHORT"/>
    <b v="1"/>
  </r>
  <r>
    <d v="2022-12-22T00:00:00"/>
    <s v="BINANCE"/>
    <x v="45"/>
    <s v="ENJ"/>
    <n v="-60000"/>
    <n v="-15564.1984639167"/>
    <n v="0.25940330773194598"/>
    <n v="0"/>
    <x v="5"/>
    <d v="2022-12-22T00:00:00"/>
    <n v="1"/>
    <x v="24"/>
    <n v="1"/>
    <n v="-60000"/>
    <n v="-15564.198463916759"/>
    <n v="0"/>
    <s v="COIN"/>
    <s v="SHORT"/>
    <s v="COIN SHORT"/>
    <n v="-15564.1984639167"/>
    <n v="0.25940330773194598"/>
    <n v="0"/>
    <n v="0"/>
    <x v="0"/>
    <s v="ENJ COIN SHORT"/>
    <b v="1"/>
  </r>
  <r>
    <d v="2022-12-22T00:00:00"/>
    <s v="BINANCE"/>
    <x v="45"/>
    <s v="EOS"/>
    <n v="-43232.5"/>
    <n v="-38388.329455826999"/>
    <n v="0.88795071892273303"/>
    <n v="0"/>
    <x v="5"/>
    <d v="2022-12-22T00:00:00"/>
    <n v="1"/>
    <x v="3"/>
    <n v="1"/>
    <n v="-43232.5"/>
    <n v="-38388.329455827057"/>
    <n v="0"/>
    <s v="COIN"/>
    <s v="SHORT"/>
    <s v="COIN SHORT"/>
    <n v="-38388.329455826999"/>
    <n v="0.88795071892273303"/>
    <n v="0"/>
    <n v="0"/>
    <x v="0"/>
    <s v="EOS COIN SHORT"/>
    <b v="1"/>
  </r>
  <r>
    <d v="2022-12-22T00:00:00"/>
    <s v="BINANCE"/>
    <x v="45"/>
    <s v="FTM"/>
    <n v="-300000"/>
    <n v="-60588.191183817798"/>
    <n v="0.20196063727939201"/>
    <n v="0"/>
    <x v="5"/>
    <d v="2022-12-22T00:00:00"/>
    <n v="1"/>
    <x v="27"/>
    <n v="1"/>
    <n v="-300000"/>
    <n v="-60588.191183817602"/>
    <n v="0"/>
    <s v="COIN"/>
    <s v="SHORT"/>
    <s v="COIN SHORT"/>
    <n v="-60588.191183817798"/>
    <n v="0.20196063727939201"/>
    <n v="0"/>
    <n v="0"/>
    <x v="0"/>
    <s v="FTM COIN SHORT"/>
    <b v="1"/>
  </r>
  <r>
    <d v="2022-12-22T00:00:00"/>
    <s v="BINANCE"/>
    <x v="45"/>
    <s v="GRT"/>
    <n v="-240000"/>
    <n v="-13751.4866844062"/>
    <n v="5.7297861185026E-2"/>
    <n v="0"/>
    <x v="5"/>
    <d v="2022-12-22T00:00:00"/>
    <n v="1"/>
    <x v="28"/>
    <n v="1"/>
    <n v="-240000"/>
    <n v="-13751.48668440624"/>
    <n v="0"/>
    <s v="COIN"/>
    <s v="SHORT"/>
    <s v="COIN SHORT"/>
    <n v="-13751.4866844062"/>
    <n v="5.7297861185026E-2"/>
    <n v="0"/>
    <n v="0"/>
    <x v="0"/>
    <s v="GRT COIN SHORT"/>
    <b v="1"/>
  </r>
  <r>
    <d v="2022-12-22T00:00:00"/>
    <s v="BINANCE"/>
    <x v="45"/>
    <s v="HBAR"/>
    <n v="-628800"/>
    <n v="-26817.3201472939"/>
    <n v="4.26484099034573E-2"/>
    <n v="0"/>
    <x v="5"/>
    <d v="2022-12-22T00:00:00"/>
    <n v="1"/>
    <x v="29"/>
    <n v="1"/>
    <n v="-628800"/>
    <n v="-26817.320147293951"/>
    <n v="0"/>
    <s v="COIN"/>
    <s v="SHORT"/>
    <s v="COIN SHORT"/>
    <n v="-26817.3201472939"/>
    <n v="4.26484099034573E-2"/>
    <n v="0"/>
    <n v="0"/>
    <x v="0"/>
    <s v="HBAR COIN SHORT"/>
    <b v="1"/>
  </r>
  <r>
    <d v="2022-12-22T00:00:00"/>
    <s v="BINANCE"/>
    <x v="45"/>
    <s v="LINK"/>
    <n v="-20713.599999999999"/>
    <n v="-123893.367505216"/>
    <n v="5.9812571211772401"/>
    <n v="0"/>
    <x v="5"/>
    <d v="2022-12-22T00:00:00"/>
    <n v="1"/>
    <x v="10"/>
    <n v="1"/>
    <n v="-20713.599999999999"/>
    <n v="-123893.36750521687"/>
    <n v="0"/>
    <s v="COIN"/>
    <s v="SHORT"/>
    <s v="COIN SHORT"/>
    <n v="-123893.367505216"/>
    <n v="5.9812571211772401"/>
    <n v="0"/>
    <n v="0"/>
    <x v="0"/>
    <s v="LINK COIN SHORT"/>
    <b v="1"/>
  </r>
  <r>
    <d v="2022-12-22T00:00:00"/>
    <s v="BINANCE"/>
    <x v="45"/>
    <s v="LTC"/>
    <n v="-1494.8409999999999"/>
    <n v="-97749.745212080306"/>
    <n v="65.391399628509205"/>
    <n v="0"/>
    <x v="5"/>
    <d v="2022-12-22T00:00:00"/>
    <n v="1"/>
    <x v="6"/>
    <n v="1"/>
    <n v="-1494.8409999999999"/>
    <n v="-97749.745212080321"/>
    <n v="0"/>
    <s v="COIN"/>
    <s v="SHORT"/>
    <s v="COIN SHORT"/>
    <n v="-97749.745212080306"/>
    <n v="65.391399628509205"/>
    <n v="0"/>
    <n v="0"/>
    <x v="0"/>
    <s v="LTC COIN SHORT"/>
    <b v="1"/>
  </r>
  <r>
    <d v="2022-12-22T00:00:00"/>
    <s v="BINANCE"/>
    <x v="45"/>
    <s v="MANA"/>
    <n v="-90000"/>
    <n v="-27536.8710742396"/>
    <n v="0.30596523415821703"/>
    <n v="0"/>
    <x v="5"/>
    <d v="2022-12-22T00:00:00"/>
    <n v="1"/>
    <x v="30"/>
    <n v="1"/>
    <n v="-90000"/>
    <n v="-27536.871074239531"/>
    <n v="0"/>
    <s v="COIN"/>
    <s v="SHORT"/>
    <s v="COIN SHORT"/>
    <n v="-27536.8710742396"/>
    <n v="0.30596523415821703"/>
    <n v="0"/>
    <n v="0"/>
    <x v="0"/>
    <s v="MANA COIN SHORT"/>
    <b v="1"/>
  </r>
  <r>
    <d v="2022-12-22T00:00:00"/>
    <s v="BINANCE"/>
    <x v="45"/>
    <s v="MATIC"/>
    <n v="-100000"/>
    <n v="-79299.594702434304"/>
    <n v="0.79299594702434395"/>
    <n v="0"/>
    <x v="5"/>
    <d v="2022-12-22T00:00:00"/>
    <n v="1"/>
    <x v="31"/>
    <n v="1"/>
    <n v="-100000"/>
    <n v="-79299.594702434391"/>
    <n v="0"/>
    <s v="COIN"/>
    <s v="SHORT"/>
    <s v="COIN SHORT"/>
    <n v="-79299.594702434304"/>
    <n v="0.79299594702434395"/>
    <n v="0"/>
    <n v="0"/>
    <x v="0"/>
    <s v="MATIC COIN SHORT"/>
    <b v="1"/>
  </r>
  <r>
    <d v="2022-12-22T00:00:00"/>
    <s v="BINANCE"/>
    <x v="45"/>
    <s v="MKR"/>
    <n v="-14"/>
    <n v="-7716.7463693388199"/>
    <n v="551.19616923848696"/>
    <n v="0"/>
    <x v="5"/>
    <d v="2022-12-22T00:00:00"/>
    <n v="1"/>
    <x v="32"/>
    <n v="1"/>
    <n v="-14"/>
    <n v="-7716.7463693388172"/>
    <n v="0"/>
    <s v="COIN"/>
    <s v="SHORT"/>
    <s v="COIN SHORT"/>
    <n v="-7716.7463693388199"/>
    <n v="551.19616923848696"/>
    <n v="0"/>
    <n v="0"/>
    <x v="0"/>
    <s v="MKR COIN SHORT"/>
    <b v="1"/>
  </r>
  <r>
    <d v="2022-12-22T00:00:00"/>
    <s v="BINANCE"/>
    <x v="45"/>
    <s v="SHIB"/>
    <n v="-6000000000"/>
    <n v="-49484.0507165034"/>
    <n v="8.2473417860839007E-6"/>
    <n v="0"/>
    <x v="5"/>
    <d v="2022-12-22T00:00:00"/>
    <n v="1"/>
    <x v="12"/>
    <n v="1"/>
    <n v="-6000000000"/>
    <n v="-49484.050716503407"/>
    <n v="0"/>
    <s v="COIN"/>
    <s v="SHORT"/>
    <s v="COIN SHORT"/>
    <n v="-49484.0507165034"/>
    <n v="8.2473417860839007E-6"/>
    <n v="0"/>
    <n v="0"/>
    <x v="0"/>
    <s v="SHIB COIN SHORT"/>
    <b v="1"/>
  </r>
  <r>
    <d v="2022-12-22T00:00:00"/>
    <s v="BINANCE"/>
    <x v="45"/>
    <s v="SOL"/>
    <n v="-8500"/>
    <n v="-103096.372199864"/>
    <n v="12.1289849646899"/>
    <n v="0"/>
    <x v="5"/>
    <d v="2022-12-22T00:00:00"/>
    <n v="1"/>
    <x v="34"/>
    <n v="1"/>
    <n v="-8500"/>
    <n v="-103096.37219986416"/>
    <n v="0"/>
    <s v="COIN"/>
    <s v="SHORT"/>
    <s v="COIN SHORT"/>
    <n v="-103096.372199864"/>
    <n v="12.1289849646899"/>
    <n v="0"/>
    <n v="0"/>
    <x v="0"/>
    <s v="SOL COIN SHORT"/>
    <b v="1"/>
  </r>
  <r>
    <d v="2022-12-22T00:00:00"/>
    <s v="BINANCE"/>
    <x v="45"/>
    <s v="SUSHI"/>
    <n v="-43200"/>
    <n v="-40244.475282662897"/>
    <n v="0.93158507598756701"/>
    <n v="0"/>
    <x v="5"/>
    <d v="2022-12-22T00:00:00"/>
    <n v="1"/>
    <x v="35"/>
    <n v="1"/>
    <n v="-43200"/>
    <n v="-40244.475282662897"/>
    <n v="0"/>
    <s v="COIN"/>
    <s v="SHORT"/>
    <s v="COIN SHORT"/>
    <n v="-40244.475282662897"/>
    <n v="0.93158507598756701"/>
    <n v="0"/>
    <n v="0"/>
    <x v="0"/>
    <s v="SUSHI COIN SHORT"/>
    <b v="1"/>
  </r>
  <r>
    <d v="2022-12-22T00:00:00"/>
    <s v="BINANCE"/>
    <x v="45"/>
    <s v="UNI"/>
    <n v="-12000"/>
    <n v="-63745.248595526697"/>
    <n v="5.3121040496272203"/>
    <n v="0"/>
    <x v="5"/>
    <d v="2022-12-22T00:00:00"/>
    <n v="1"/>
    <x v="36"/>
    <n v="1"/>
    <n v="-12000"/>
    <n v="-63745.248595526646"/>
    <n v="0"/>
    <s v="COIN"/>
    <s v="SHORT"/>
    <s v="COIN SHORT"/>
    <n v="-63745.248595526697"/>
    <n v="5.3121040496272203"/>
    <n v="0"/>
    <n v="0"/>
    <x v="0"/>
    <s v="UNI COIN SHORT"/>
    <b v="1"/>
  </r>
  <r>
    <d v="2022-12-22T00:00:00"/>
    <s v="BINANCE"/>
    <x v="45"/>
    <s v="VET"/>
    <n v="-100"/>
    <n v="-1.6378254893856501"/>
    <n v="1.6378254893856501E-2"/>
    <n v="0"/>
    <x v="5"/>
    <d v="2022-12-22T00:00:00"/>
    <n v="1"/>
    <x v="117"/>
    <n v="1"/>
    <n v="-100"/>
    <n v="-1.6378254893856501"/>
    <n v="0"/>
    <s v="COIN"/>
    <s v="SHORT"/>
    <s v="COIN SHORT"/>
    <n v="-1.6378254893856501"/>
    <n v="1.6378254893856501E-2"/>
    <n v="0"/>
    <n v="0"/>
    <x v="0"/>
    <s v="VET COIN SHORT"/>
    <b v="1"/>
  </r>
  <r>
    <d v="2022-12-22T00:00:00"/>
    <s v="BINANCE"/>
    <x v="45"/>
    <s v="XLM"/>
    <n v="-1000000"/>
    <n v="-75091.953330286196"/>
    <n v="7.5091953330286204E-2"/>
    <n v="0"/>
    <x v="5"/>
    <d v="2022-12-22T00:00:00"/>
    <n v="1"/>
    <x v="38"/>
    <n v="1"/>
    <n v="-1000000"/>
    <n v="-75091.953330286211"/>
    <n v="0"/>
    <s v="COIN"/>
    <s v="SHORT"/>
    <s v="COIN SHORT"/>
    <n v="-75091.953330286196"/>
    <n v="7.5091953330286204E-2"/>
    <n v="0"/>
    <n v="0"/>
    <x v="0"/>
    <s v="XLM COIN SHORT"/>
    <b v="1"/>
  </r>
  <r>
    <d v="2022-12-22T00:00:00"/>
    <s v="BINANCE"/>
    <x v="45"/>
    <s v="XTZ"/>
    <n v="-68160"/>
    <n v="-54930.934280030197"/>
    <n v="0.80591159448401095"/>
    <n v="0"/>
    <x v="5"/>
    <d v="2022-12-22T00:00:00"/>
    <n v="1"/>
    <x v="39"/>
    <n v="1"/>
    <n v="-68160"/>
    <n v="-54930.934280030189"/>
    <n v="0"/>
    <s v="COIN"/>
    <s v="SHORT"/>
    <s v="COIN SHORT"/>
    <n v="-54930.934280030197"/>
    <n v="0.80591159448401095"/>
    <n v="0"/>
    <n v="0"/>
    <x v="0"/>
    <s v="XTZ COIN SHORT"/>
    <b v="1"/>
  </r>
  <r>
    <d v="2022-12-22T00:00:00"/>
    <s v="DEFI"/>
    <x v="46"/>
    <s v="USDT"/>
    <n v="-10008495.157313"/>
    <n v="-10009265.265172601"/>
    <n v="1.0000769454196099"/>
    <n v="0"/>
    <x v="5"/>
    <d v="2022-12-22T00:00:00"/>
    <n v="1"/>
    <x v="37"/>
    <n v="1"/>
    <n v="-10008495.157313"/>
    <n v="-10009265.265172543"/>
    <n v="0"/>
    <s v="COIN"/>
    <s v="SHORT"/>
    <s v="COIN SHORT"/>
    <n v="-10009265.265172601"/>
    <n v="1.0000769454196099"/>
    <n v="0"/>
    <n v="0"/>
    <x v="9"/>
    <s v="USDT COIN SHORT"/>
    <b v="0"/>
  </r>
  <r>
    <d v="2022-12-22T00:00:00"/>
    <s v="HUOBI"/>
    <x v="47"/>
    <s v="EOS"/>
    <n v="-457203"/>
    <n v="-405973.73254363"/>
    <n v="0.88795071892273303"/>
    <n v="0"/>
    <x v="5"/>
    <d v="2022-12-22T00:00:00"/>
    <n v="1"/>
    <x v="3"/>
    <n v="1"/>
    <n v="-457203"/>
    <n v="-405973.73254363029"/>
    <n v="0"/>
    <s v="COIN"/>
    <s v="SHORT"/>
    <s v="COIN SHORT"/>
    <n v="-405973.73254363"/>
    <n v="0.88795071892273303"/>
    <n v="0"/>
    <n v="0"/>
    <x v="3"/>
    <s v="EOS COIN SHORT"/>
    <b v="1"/>
  </r>
  <r>
    <d v="2022-12-22T00:00:00"/>
    <s v="HUOBI"/>
    <x v="47"/>
    <s v="LINK"/>
    <n v="-2073"/>
    <n v="-12399.146012200399"/>
    <n v="5.9812571211772401"/>
    <n v="0"/>
    <x v="5"/>
    <d v="2022-12-22T00:00:00"/>
    <n v="1"/>
    <x v="10"/>
    <n v="1"/>
    <n v="-2073"/>
    <n v="-12399.146012200419"/>
    <n v="0"/>
    <s v="COIN"/>
    <s v="SHORT"/>
    <s v="COIN SHORT"/>
    <n v="-12399.146012200399"/>
    <n v="5.9812571211772401"/>
    <n v="0"/>
    <n v="0"/>
    <x v="3"/>
    <s v="LINK COIN SHORT"/>
    <b v="1"/>
  </r>
  <r>
    <d v="2022-12-22T00:00:00"/>
    <s v="HUOBI"/>
    <x v="47"/>
    <s v="LTC"/>
    <n v="-6100"/>
    <n v="-398887.53773390601"/>
    <n v="65.391399628509205"/>
    <n v="0"/>
    <x v="5"/>
    <d v="2022-12-22T00:00:00"/>
    <n v="1"/>
    <x v="6"/>
    <n v="1"/>
    <n v="-6100"/>
    <n v="-398887.53773390618"/>
    <n v="0"/>
    <s v="COIN"/>
    <s v="SHORT"/>
    <s v="COIN SHORT"/>
    <n v="-398887.53773390601"/>
    <n v="65.391399628509205"/>
    <n v="0"/>
    <n v="0"/>
    <x v="3"/>
    <s v="LTC COIN SHORT"/>
    <b v="1"/>
  </r>
  <r>
    <d v="2022-12-22T00:00:00"/>
    <s v="HUOBI"/>
    <x v="47"/>
    <s v="USDT"/>
    <n v="-200000"/>
    <n v="-200015.38908392299"/>
    <n v="1.0000769454196099"/>
    <n v="0"/>
    <x v="5"/>
    <d v="2022-12-22T00:00:00"/>
    <n v="1"/>
    <x v="37"/>
    <n v="1"/>
    <n v="-200000"/>
    <n v="-200015.38908392197"/>
    <n v="0"/>
    <s v="COIN"/>
    <s v="SHORT"/>
    <s v="COIN SHORT"/>
    <n v="-200015.38908392299"/>
    <n v="1.0000769454196099"/>
    <n v="0"/>
    <n v="0"/>
    <x v="3"/>
    <s v="USDT COIN SHORT"/>
    <b v="1"/>
  </r>
  <r>
    <d v="2022-12-21T00:00:00"/>
    <s v="BULL"/>
    <x v="48"/>
    <s v="BTC"/>
    <n v="-3350"/>
    <n v="-56338740.194945797"/>
    <n v="16817.534386550898"/>
    <n v="0"/>
    <x v="6"/>
    <d v="2022-12-21T00:00:00"/>
    <n v="1"/>
    <x v="0"/>
    <n v="1"/>
    <n v="-3350"/>
    <n v="-56338740.194945507"/>
    <n v="0"/>
    <s v="COIN"/>
    <s v="SHORT"/>
    <s v="COIN SHORT"/>
    <n v="-56338740.194945797"/>
    <n v="16817.534386550898"/>
    <n v="0"/>
    <n v="0"/>
    <x v="14"/>
    <s v="BTC COIN SHORT"/>
    <b v="0"/>
  </r>
  <r>
    <d v="2022-12-21T00:00:00"/>
    <s v="BULL"/>
    <x v="48"/>
    <s v="EOS"/>
    <n v="-4350822.18"/>
    <n v="-3863315.6826359699"/>
    <n v="0.88795071892273303"/>
    <n v="0"/>
    <x v="6"/>
    <d v="2022-12-21T00:00:00"/>
    <n v="1"/>
    <x v="3"/>
    <n v="1"/>
    <n v="-4350822.18"/>
    <n v="-3863315.6826359723"/>
    <n v="0"/>
    <s v="COIN"/>
    <s v="SHORT"/>
    <s v="COIN SHORT"/>
    <n v="-3863315.6826359699"/>
    <n v="0.88795071892273303"/>
    <n v="0"/>
    <n v="0"/>
    <x v="14"/>
    <s v="EOS COIN SHORT"/>
    <b v="0"/>
  </r>
  <r>
    <d v="2022-12-21T00:00:00"/>
    <s v="BULL"/>
    <x v="48"/>
    <s v="ETH"/>
    <n v="-6499.9949999999999"/>
    <n v="-7888393.88376744"/>
    <n v="1213.5999925796"/>
    <n v="0"/>
    <x v="6"/>
    <d v="2022-12-21T00:00:00"/>
    <n v="1"/>
    <x v="1"/>
    <n v="1"/>
    <n v="-6499.9949999999999"/>
    <n v="-7888393.8837674372"/>
    <n v="0"/>
    <s v="COIN"/>
    <s v="SHORT"/>
    <s v="COIN SHORT"/>
    <n v="-7888393.88376744"/>
    <n v="1213.5999925796"/>
    <n v="0"/>
    <n v="0"/>
    <x v="14"/>
    <s v="ETH COIN SHORT"/>
    <b v="0"/>
  </r>
  <r>
    <d v="2022-12-21T00:00:00"/>
    <s v="GALAXY"/>
    <x v="37"/>
    <s v="BTC"/>
    <n v="-1340.01684679"/>
    <n v="-22535779.399448399"/>
    <n v="16817.534386550898"/>
    <n v="0"/>
    <x v="7"/>
    <d v="2022-12-21T00:00:00"/>
    <n v="1"/>
    <x v="0"/>
    <n v="1"/>
    <n v="-1340.01684679"/>
    <n v="-22535779.399448331"/>
    <n v="0"/>
    <s v="COIN"/>
    <s v="SHORT"/>
    <s v="COIN SHORT"/>
    <n v="-22535779.399448399"/>
    <n v="16817.534386550898"/>
    <n v="0"/>
    <n v="0"/>
    <x v="14"/>
    <s v="BTC COIN SHORT"/>
    <b v="0"/>
  </r>
  <r>
    <d v="2022-12-21T00:00:00"/>
    <s v="GALAXY"/>
    <x v="37"/>
    <s v="ETH"/>
    <n v="-25855"/>
    <n v="-31377627.808145501"/>
    <n v="1213.5999925796"/>
    <n v="0"/>
    <x v="7"/>
    <d v="2022-12-21T00:00:00"/>
    <n v="1"/>
    <x v="1"/>
    <n v="1"/>
    <n v="-25855"/>
    <n v="-31377627.808145557"/>
    <n v="0"/>
    <s v="COIN"/>
    <s v="SHORT"/>
    <s v="COIN SHORT"/>
    <n v="-31377627.808145501"/>
    <n v="1213.5999925796"/>
    <n v="0"/>
    <n v="0"/>
    <x v="14"/>
    <s v="ETH COIN SHORT"/>
    <b v="0"/>
  </r>
  <r>
    <d v="2022-12-21T00:00:00"/>
    <s v="GALAXY"/>
    <x v="37"/>
    <s v="EUR"/>
    <n v="-20000000"/>
    <n v="-21209699.999999899"/>
    <n v="1.0604849999999999"/>
    <n v="0"/>
    <x v="7"/>
    <d v="2022-12-21T00:00:00"/>
    <n v="1"/>
    <x v="25"/>
    <n v="1"/>
    <n v="-20000000"/>
    <n v="-21209699.999999996"/>
    <n v="0"/>
    <s v="CASH"/>
    <s v="SHORT"/>
    <s v="CASH SHORT"/>
    <n v="-21209699.999999899"/>
    <n v="1.0604849999999999"/>
    <n v="0"/>
    <n v="0"/>
    <x v="14"/>
    <s v="EUR CASH SHORT"/>
    <b v="0"/>
  </r>
  <r>
    <d v="2022-12-21T00:00:00"/>
    <s v="GALAXY"/>
    <x v="37"/>
    <s v="EUROC"/>
    <n v="-15000000"/>
    <n v="-15911439.5059976"/>
    <n v="1.0607626337331699"/>
    <n v="0"/>
    <x v="7"/>
    <d v="2022-12-21T00:00:00"/>
    <n v="1"/>
    <x v="92"/>
    <n v="1"/>
    <n v="-15000000"/>
    <n v="-15911439.50599755"/>
    <n v="0"/>
    <s v="COIN"/>
    <s v="SHORT"/>
    <s v="COIN SHORT"/>
    <n v="-15911439.5059976"/>
    <n v="1.0607626337331699"/>
    <n v="0"/>
    <n v="0"/>
    <x v="14"/>
    <s v="EUROC COIN SHORT"/>
    <b v="0"/>
  </r>
  <r>
    <d v="2022-12-21T00:00:00"/>
    <s v="GALAXY"/>
    <x v="37"/>
    <s v="USD"/>
    <n v="-42800000"/>
    <n v="-42800000"/>
    <n v="1"/>
    <n v="0"/>
    <x v="7"/>
    <d v="2022-12-21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d v="2022-12-21T00:00:00"/>
    <s v="GALAXY"/>
    <x v="37"/>
    <s v="USDC"/>
    <n v="-68500000"/>
    <n v="-68506554.3834555"/>
    <n v="1.00009568443"/>
    <n v="0"/>
    <x v="7"/>
    <d v="2022-12-21T00:00:00"/>
    <n v="1"/>
    <x v="46"/>
    <n v="1"/>
    <n v="-68500000"/>
    <n v="-68506554.383454993"/>
    <n v="0"/>
    <s v="COIN"/>
    <s v="SHORT"/>
    <s v="COIN SHORT"/>
    <n v="-68506554.3834555"/>
    <n v="1.00009568443"/>
    <n v="0"/>
    <n v="0"/>
    <x v="14"/>
    <s v="USDC COIN SHORT"/>
    <b v="0"/>
  </r>
  <r>
    <d v="2022-12-21T00:00:00"/>
    <s v="GALAXY"/>
    <x v="37"/>
    <s v="ZIL"/>
    <n v="-20000000"/>
    <n v="-356950.74325199903"/>
    <n v="1.7847537162599899E-2"/>
    <n v="0"/>
    <x v="7"/>
    <d v="2022-12-21T00:00:00"/>
    <n v="1"/>
    <x v="8"/>
    <n v="1"/>
    <n v="-20000000"/>
    <n v="-356950.74325199798"/>
    <n v="0"/>
    <s v="COIN"/>
    <s v="SHORT"/>
    <s v="COIN SHORT"/>
    <n v="-356950.74325199903"/>
    <n v="1.7847537162599899E-2"/>
    <n v="0"/>
    <n v="0"/>
    <x v="14"/>
    <s v="ZIL COIN SHORT"/>
    <b v="0"/>
  </r>
  <r>
    <d v="2022-12-21T00:00:00"/>
    <s v="HUOBI"/>
    <x v="49"/>
    <s v="BCH"/>
    <n v="-5000"/>
    <n v="-501702.18006179802"/>
    <n v="100.34043601235901"/>
    <n v="0"/>
    <x v="6"/>
    <d v="2022-12-21T00:00:00"/>
    <n v="1"/>
    <x v="4"/>
    <n v="1"/>
    <n v="-5000"/>
    <n v="-501702.18006179505"/>
    <n v="0"/>
    <s v="COIN"/>
    <s v="SHORT"/>
    <s v="COIN SHORT"/>
    <n v="-501702.18006179802"/>
    <n v="100.34043601235901"/>
    <n v="0"/>
    <n v="0"/>
    <x v="14"/>
    <s v="BCH COIN SHORT"/>
    <b v="0"/>
  </r>
  <r>
    <d v="2022-12-21T00:00:00"/>
    <s v="HUOBI"/>
    <x v="49"/>
    <s v="DOT"/>
    <n v="-40000"/>
    <n v="-179205.86673016701"/>
    <n v="4.4801466682541804"/>
    <n v="0"/>
    <x v="6"/>
    <d v="2022-12-21T00:00:00"/>
    <n v="1"/>
    <x v="23"/>
    <n v="1"/>
    <n v="-40000"/>
    <n v="-179205.86673016721"/>
    <n v="0"/>
    <s v="COIN"/>
    <s v="SHORT"/>
    <s v="COIN SHORT"/>
    <n v="-179205.86673016701"/>
    <n v="4.4801466682541804"/>
    <n v="0"/>
    <n v="0"/>
    <x v="14"/>
    <s v="DOT COIN SHORT"/>
    <b v="0"/>
  </r>
  <r>
    <d v="2022-12-21T00:00:00"/>
    <s v="HUOBI"/>
    <x v="49"/>
    <s v="EOS"/>
    <n v="-160000"/>
    <n v="-142072.11502763699"/>
    <n v="0.88795071892273303"/>
    <n v="0"/>
    <x v="6"/>
    <d v="2022-12-21T00:00:00"/>
    <n v="1"/>
    <x v="3"/>
    <n v="1"/>
    <n v="-160000"/>
    <n v="-142072.11502763728"/>
    <n v="0"/>
    <s v="COIN"/>
    <s v="SHORT"/>
    <s v="COIN SHORT"/>
    <n v="-142072.11502763699"/>
    <n v="0.88795071892273303"/>
    <n v="0"/>
    <n v="0"/>
    <x v="14"/>
    <s v="EOS COIN SHORT"/>
    <b v="0"/>
  </r>
  <r>
    <d v="2022-12-21T00:00:00"/>
    <s v="HUOBI"/>
    <x v="49"/>
    <s v="ETC"/>
    <n v="-108000"/>
    <n v="-1795083.9679678001"/>
    <n v="16.621147851553701"/>
    <n v="0"/>
    <x v="6"/>
    <d v="2022-12-21T00:00:00"/>
    <n v="1"/>
    <x v="5"/>
    <n v="1"/>
    <n v="-108000"/>
    <n v="-1795083.9679677996"/>
    <n v="0"/>
    <s v="COIN"/>
    <s v="SHORT"/>
    <s v="COIN SHORT"/>
    <n v="-1795083.9679678001"/>
    <n v="16.621147851553701"/>
    <n v="0"/>
    <n v="0"/>
    <x v="14"/>
    <s v="ETC COIN SHORT"/>
    <b v="0"/>
  </r>
  <r>
    <d v="2022-12-21T00:00:00"/>
    <s v="HUOBI"/>
    <x v="49"/>
    <s v="ETH"/>
    <n v="-4600"/>
    <n v="-5582559.9658661596"/>
    <n v="1213.5999925796"/>
    <n v="0"/>
    <x v="6"/>
    <d v="2022-12-21T00:00:00"/>
    <n v="1"/>
    <x v="1"/>
    <n v="1"/>
    <n v="-4600"/>
    <n v="-5582559.9658661596"/>
    <n v="0"/>
    <s v="COIN"/>
    <s v="SHORT"/>
    <s v="COIN SHORT"/>
    <n v="-5582559.9658661596"/>
    <n v="1213.5999925796"/>
    <n v="0"/>
    <n v="0"/>
    <x v="14"/>
    <s v="ETH COIN SHORT"/>
    <b v="0"/>
  </r>
  <r>
    <d v="2022-12-21T00:00:00"/>
    <s v="HUOBI"/>
    <x v="49"/>
    <s v="LINK"/>
    <n v="-17000"/>
    <n v="-101681.371060013"/>
    <n v="5.9812571211772401"/>
    <n v="0"/>
    <x v="6"/>
    <d v="2022-12-21T00:00:00"/>
    <n v="1"/>
    <x v="10"/>
    <n v="1"/>
    <n v="-17000"/>
    <n v="-101681.37106001309"/>
    <n v="0"/>
    <s v="COIN"/>
    <s v="SHORT"/>
    <s v="COIN SHORT"/>
    <n v="-101681.371060013"/>
    <n v="5.9812571211772401"/>
    <n v="0"/>
    <n v="0"/>
    <x v="14"/>
    <s v="LINK COIN SHORT"/>
    <b v="0"/>
  </r>
  <r>
    <d v="2022-12-21T00:00:00"/>
    <s v="HUOBI"/>
    <x v="49"/>
    <s v="LTC"/>
    <n v="-11800"/>
    <n v="-771618.51561640797"/>
    <n v="65.391399628509205"/>
    <n v="0"/>
    <x v="6"/>
    <d v="2022-12-21T00:00:00"/>
    <n v="1"/>
    <x v="6"/>
    <n v="1"/>
    <n v="-11800"/>
    <n v="-771618.51561640867"/>
    <n v="0"/>
    <s v="COIN"/>
    <s v="SHORT"/>
    <s v="COIN SHORT"/>
    <n v="-771618.51561640797"/>
    <n v="65.391399628509205"/>
    <n v="0"/>
    <n v="0"/>
    <x v="14"/>
    <s v="LTC COIN SHORT"/>
    <b v="0"/>
  </r>
  <r>
    <d v="2022-12-21T00:00:00"/>
    <s v="ORCHID"/>
    <x v="50"/>
    <s v="OXT"/>
    <n v="-2600208"/>
    <n v="-186251.88202162701"/>
    <n v="7.1629608870378003E-2"/>
    <n v="0"/>
    <x v="8"/>
    <d v="2022-12-21T00:00:00"/>
    <n v="1"/>
    <x v="33"/>
    <n v="1"/>
    <n v="-2600208"/>
    <n v="-186251.88202162759"/>
    <n v="0"/>
    <s v="COIN"/>
    <s v="SHORT"/>
    <s v="COIN SHORT"/>
    <n v="-186251.88202162701"/>
    <n v="7.1629608870378003E-2"/>
    <n v="0"/>
    <n v="0"/>
    <x v="14"/>
    <s v="OXT COIN SHORT"/>
    <b v="0"/>
  </r>
  <r>
    <d v="2022-12-21T00:00:00"/>
    <s v="ORCHID"/>
    <x v="50"/>
    <s v="USDC"/>
    <n v="-1000000"/>
    <n v="-1000095.68443"/>
    <n v="1.00009568443"/>
    <n v="0"/>
    <x v="8"/>
    <d v="2022-12-21T00:00:00"/>
    <n v="1"/>
    <x v="46"/>
    <n v="1"/>
    <n v="-1000000"/>
    <n v="-1000095.68443"/>
    <n v="0"/>
    <s v="COIN"/>
    <s v="SHORT"/>
    <s v="COIN SHORT"/>
    <n v="-1000095.68443"/>
    <n v="1.00009568443"/>
    <n v="0"/>
    <n v="0"/>
    <x v="14"/>
    <s v="USDC COIN SHORT"/>
    <b v="0"/>
  </r>
  <r>
    <d v="2022-12-21T00:00:00"/>
    <s v="RIPPLE"/>
    <x v="51"/>
    <s v="XRP"/>
    <n v="-201.17"/>
    <n v="-69.608774691634196"/>
    <n v="0.34601965845620197"/>
    <n v="0"/>
    <x v="8"/>
    <d v="2022-12-21T00:00:00"/>
    <n v="1"/>
    <x v="45"/>
    <n v="1"/>
    <n v="-201.17"/>
    <n v="-69.608774691634153"/>
    <n v="0"/>
    <s v="COIN"/>
    <s v="SHORT"/>
    <s v="COIN SHORT"/>
    <n v="-69.608774691634196"/>
    <n v="0.34601965845620197"/>
    <n v="0"/>
    <n v="0"/>
    <x v="14"/>
    <s v="XRP COIN SHORT"/>
    <b v="0"/>
  </r>
  <r>
    <d v="2022-12-22T00:00:00"/>
    <s v="OKEX"/>
    <x v="52"/>
    <s v="USDT"/>
    <n v="-24269.12938971"/>
    <n v="-24270.996788054599"/>
    <n v="1.0000769454196099"/>
    <n v="0"/>
    <x v="5"/>
    <d v="2022-12-22T00:00:00"/>
    <n v="1"/>
    <x v="37"/>
    <n v="1"/>
    <n v="-24269.12938971"/>
    <n v="-24270.996788054457"/>
    <n v="0"/>
    <s v="COIN"/>
    <s v="SHORT"/>
    <s v="COIN SHORT"/>
    <n v="-24270.996788054599"/>
    <n v="1.0000769454196099"/>
    <n v="0"/>
    <n v="0"/>
    <x v="4"/>
    <s v="USDT COIN SHORT"/>
    <b v="1"/>
  </r>
  <r>
    <d v="2022-12-22T00:00:00"/>
    <s v="OKEX"/>
    <x v="53"/>
    <s v="BCH"/>
    <n v="-0.99381403999999995"/>
    <n v="-99.719734088804699"/>
    <n v="100.34043601235901"/>
    <n v="0"/>
    <x v="5"/>
    <d v="2022-12-22T00:00:00"/>
    <n v="1"/>
    <x v="4"/>
    <n v="1"/>
    <n v="-0.99381403999999995"/>
    <n v="-99.719734088803989"/>
    <n v="0"/>
    <s v="COIN"/>
    <s v="SHORT"/>
    <s v="COIN SHORT"/>
    <n v="-99.719734088804699"/>
    <n v="100.34043601235901"/>
    <n v="0"/>
    <n v="0"/>
    <x v="4"/>
    <s v="BCH COIN SHORT"/>
    <b v="1"/>
  </r>
  <r>
    <d v="2022-12-22T00:00:00"/>
    <s v="OKEX"/>
    <x v="53"/>
    <s v="DOT"/>
    <n v="-33.06481368"/>
    <n v="-148.13521484489701"/>
    <n v="4.4801466682541804"/>
    <n v="0"/>
    <x v="5"/>
    <d v="2022-12-22T00:00:00"/>
    <n v="1"/>
    <x v="23"/>
    <n v="1"/>
    <n v="-33.06481368"/>
    <n v="-148.13521484489723"/>
    <n v="0"/>
    <s v="COIN"/>
    <s v="SHORT"/>
    <s v="COIN SHORT"/>
    <n v="-148.13521484489701"/>
    <n v="4.4801466682541804"/>
    <n v="0"/>
    <n v="0"/>
    <x v="4"/>
    <s v="DOT COIN SHORT"/>
    <b v="1"/>
  </r>
  <r>
    <d v="2022-12-22T00:00:00"/>
    <s v="OKEX"/>
    <x v="53"/>
    <s v="ETC"/>
    <n v="-0.40750188999999998"/>
    <n v="-6.7731491634775898"/>
    <n v="16.621147851553701"/>
    <n v="0"/>
    <x v="5"/>
    <d v="2022-12-22T00:00:00"/>
    <n v="1"/>
    <x v="5"/>
    <n v="1"/>
    <n v="-0.40750188999999998"/>
    <n v="-6.773149163477572"/>
    <n v="0"/>
    <s v="COIN"/>
    <s v="SHORT"/>
    <s v="COIN SHORT"/>
    <n v="-6.7731491634775898"/>
    <n v="16.621147851553701"/>
    <n v="0"/>
    <n v="0"/>
    <x v="4"/>
    <s v="ETC COIN SHORT"/>
    <b v="1"/>
  </r>
  <r>
    <d v="2022-12-22T00:00:00"/>
    <s v="OKEX"/>
    <x v="53"/>
    <s v="FIL"/>
    <n v="-3.6938909999999998E-2"/>
    <n v="-0.109867456805641"/>
    <n v="2.9743015374747501"/>
    <n v="0"/>
    <x v="5"/>
    <d v="2022-12-22T00:00:00"/>
    <n v="1"/>
    <x v="26"/>
    <n v="1"/>
    <n v="-3.6938909999999998E-2"/>
    <n v="-0.10986745680564142"/>
    <n v="0"/>
    <s v="COIN"/>
    <s v="SHORT"/>
    <s v="COIN SHORT"/>
    <n v="-0.109867456805641"/>
    <n v="2.9743015374747501"/>
    <n v="0"/>
    <n v="0"/>
    <x v="4"/>
    <s v="FIL COIN SHORT"/>
    <b v="1"/>
  </r>
  <r>
    <d v="2022-12-22T00:00:00"/>
    <s v="OKEX"/>
    <x v="53"/>
    <s v="SHIB"/>
    <n v="-10040934362.452999"/>
    <n v="-82811.017538784901"/>
    <n v="8.2473417860839007E-6"/>
    <n v="0"/>
    <x v="5"/>
    <d v="2022-12-22T00:00:00"/>
    <n v="1"/>
    <x v="12"/>
    <n v="1"/>
    <n v="-10040934362.452999"/>
    <n v="-82811.017538784334"/>
    <n v="0"/>
    <s v="COIN"/>
    <s v="SHORT"/>
    <s v="COIN SHORT"/>
    <n v="-82811.017538784901"/>
    <n v="8.2473417860839007E-6"/>
    <n v="0"/>
    <n v="0"/>
    <x v="4"/>
    <s v="SHIB COIN SHORT"/>
    <b v="1"/>
  </r>
  <r>
    <d v="2022-12-22T00:00:00"/>
    <s v="OKEX"/>
    <x v="53"/>
    <s v="USDC"/>
    <n v="-66903.697613290002"/>
    <n v="-66910.099255461493"/>
    <n v="1.00009568443"/>
    <n v="0"/>
    <x v="5"/>
    <d v="2022-12-22T00:00:00"/>
    <n v="1"/>
    <x v="46"/>
    <n v="1"/>
    <n v="-66903.697613290002"/>
    <n v="-66910.099255461013"/>
    <n v="0"/>
    <s v="COIN"/>
    <s v="SHORT"/>
    <s v="COIN SHORT"/>
    <n v="-66910.099255461493"/>
    <n v="1.00009568443"/>
    <n v="0"/>
    <n v="0"/>
    <x v="4"/>
    <s v="USDC COIN SHORT"/>
    <b v="1"/>
  </r>
  <r>
    <d v="2022-12-22T00:00:00"/>
    <s v="WOOX"/>
    <x v="54"/>
    <s v="ETH"/>
    <n v="-148.11554434999999"/>
    <n v="-179753.02352408299"/>
    <n v="1213.5999925796"/>
    <n v="0"/>
    <x v="5"/>
    <d v="2022-12-22T00:00:00"/>
    <n v="1"/>
    <x v="1"/>
    <n v="1"/>
    <n v="-148.11554434999999"/>
    <n v="-179753.0235240834"/>
    <n v="0"/>
    <s v="COIN"/>
    <s v="SHORT"/>
    <s v="COIN SHORT"/>
    <n v="-179753.02352408299"/>
    <n v="1213.5999925796"/>
    <n v="0"/>
    <n v="0"/>
    <x v="19"/>
    <s v="ETH COIN SHORT"/>
    <b v="1"/>
  </r>
  <r>
    <d v="2022-12-22T00:00:00"/>
    <s v="WOOX"/>
    <x v="54"/>
    <s v="USDT"/>
    <n v="-2196673.9563195799"/>
    <n v="-2196842.98031891"/>
    <n v="1.0000769454196099"/>
    <n v="0"/>
    <x v="5"/>
    <d v="2022-12-22T00:00:00"/>
    <n v="1"/>
    <x v="37"/>
    <n v="1"/>
    <n v="-2196673.9563195799"/>
    <n v="-2196842.9803188951"/>
    <n v="0"/>
    <s v="COIN"/>
    <s v="SHORT"/>
    <s v="COIN SHORT"/>
    <n v="-2196842.98031891"/>
    <n v="1.0000769454196099"/>
    <n v="0"/>
    <n v="0"/>
    <x v="19"/>
    <s v="USDT COIN SHORT"/>
    <b v="1"/>
  </r>
  <r>
    <d v="2022-12-22T00:00:00"/>
    <s v="WEDBUSH"/>
    <x v="55"/>
    <s v="USD"/>
    <n v="79941.919999999998"/>
    <n v="79941.919999999998"/>
    <n v="1"/>
    <n v="0"/>
    <x v="9"/>
    <d v="2022-12-22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d v="2022-12-22T00:00:00"/>
    <s v="CASH"/>
    <x v="56"/>
    <s v="USD"/>
    <n v="125429.87"/>
    <n v="125429.87"/>
    <n v="1"/>
    <n v="0"/>
    <x v="3"/>
    <d v="2022-12-22T00:00:00"/>
    <n v="1"/>
    <x v="42"/>
    <n v="1"/>
    <n v="125429.87"/>
    <n v="125429.87"/>
    <n v="0"/>
    <s v="CASH"/>
    <s v="LONG"/>
    <s v="CASH LONG"/>
    <n v="125429.87"/>
    <n v="1"/>
    <n v="0"/>
    <n v="0"/>
    <x v="22"/>
    <s v="USD CASH LONG"/>
    <b v="0"/>
  </r>
  <r>
    <d v="2022-12-22T00:00:00"/>
    <s v="ED&amp;F"/>
    <x v="57"/>
    <s v="USD"/>
    <n v="36053520.460000001"/>
    <n v="36053520.460000001"/>
    <n v="1"/>
    <n v="0"/>
    <x v="9"/>
    <d v="2022-12-22T00:00:00"/>
    <n v="1"/>
    <x v="42"/>
    <n v="1"/>
    <n v="36053520.460000001"/>
    <n v="36053520.460000001"/>
    <n v="0"/>
    <s v="CASH"/>
    <s v="LONG"/>
    <s v="CASH LONG"/>
    <n v="36053520.460000001"/>
    <n v="1"/>
    <n v="0"/>
    <n v="0"/>
    <x v="5"/>
    <s v="USD CASH LONG"/>
    <b v="1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m/>
    <m/>
    <m/>
    <m/>
    <m/>
    <m/>
    <m/>
    <m/>
    <m/>
    <m/>
    <m/>
    <x v="24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s v="BINANCE"/>
    <x v="0"/>
    <s v="B_F_BTC-USD_230331"/>
    <n v="680"/>
    <n v="68000"/>
    <n v="16571.152173809998"/>
    <n v="-7.1098060000000005E-2"/>
    <x v="0"/>
    <d v="2023-03-31T08:00:00"/>
    <n v="0"/>
    <x v="0"/>
    <n v="100"/>
    <n v="4.1035167191012292"/>
    <n v="67923.754864909308"/>
    <n v="92"/>
    <s v="Mar 23"/>
    <s v="LONG"/>
    <s v="Mar 23 LONG"/>
    <n v="68680"/>
    <n v="16736.863695548098"/>
    <n v="0.01"/>
    <n v="680"/>
    <x v="0"/>
    <s v="BTC Mar 23 LONG"/>
    <b v="1"/>
  </r>
  <r>
    <s v="BINANCE"/>
    <x v="0"/>
    <s v="B_P_BTC-USD-SWAP"/>
    <n v="-19708"/>
    <n v="-1970800"/>
    <n v="16594.694178490001"/>
    <n v="0.99459677999999996"/>
    <x v="1"/>
    <d v="2099-12-31T08:00:00"/>
    <n v="0"/>
    <x v="0"/>
    <n v="100"/>
    <n v="-118.76085083595851"/>
    <n v="-1965797.5029516895"/>
    <n v="28126"/>
    <s v="PERP"/>
    <s v="SHORT"/>
    <s v="PERP SHORT"/>
    <n v="-1970800"/>
    <n v="16594.694178490001"/>
    <n v="0"/>
    <n v="0"/>
    <x v="0"/>
    <s v="BTC PERP SHORT"/>
    <b v="1"/>
  </r>
  <r>
    <s v="BINANCE"/>
    <x v="0"/>
    <s v="B_P_ETH-USD-SWAP"/>
    <n v="-145296"/>
    <n v="-1452960"/>
    <n v="1190.70041659"/>
    <n v="16.82783165"/>
    <x v="1"/>
    <d v="2099-12-31T08:00:00"/>
    <n v="0"/>
    <x v="1"/>
    <n v="10"/>
    <n v="-1220.256564754613"/>
    <n v="-1452088.3014992925"/>
    <n v="28126"/>
    <s v="PERP"/>
    <s v="SHORT"/>
    <s v="PERP SHORT"/>
    <n v="-1452960"/>
    <n v="1190.70041659"/>
    <n v="0"/>
    <n v="0"/>
    <x v="0"/>
    <s v="ETH PERP SHORT"/>
    <b v="1"/>
  </r>
  <r>
    <s v="BINANCE"/>
    <x v="0"/>
    <s v="B_F_BTC-USD_221230"/>
    <n v="-124566"/>
    <n v="-12456600"/>
    <n v="16636.713105030001"/>
    <n v="31.478609089999999"/>
    <x v="0"/>
    <d v="2022-12-30T08:00:00"/>
    <n v="0"/>
    <x v="0"/>
    <n v="100"/>
    <n v="-748.74164874754183"/>
    <n v="-12393599.853009755"/>
    <n v="1"/>
    <s v="Dec 22"/>
    <s v="SHORT"/>
    <s v="Dec 22 SHORT"/>
    <n v="-12581166"/>
    <n v="16803.080236080303"/>
    <n v="0.01"/>
    <n v="-124566"/>
    <x v="0"/>
    <s v="BTC Dec 22 SHORT"/>
    <b v="1"/>
  </r>
  <r>
    <s v="BINANCE"/>
    <x v="0"/>
    <s v="B_F_ETH-USD_221230"/>
    <n v="-718113"/>
    <n v="-7181130"/>
    <n v="1193.73436139"/>
    <n v="261.24223746000001"/>
    <x v="0"/>
    <d v="2022-12-30T08:00:00"/>
    <n v="0"/>
    <x v="1"/>
    <n v="10"/>
    <n v="-6015.6850906412692"/>
    <n v="-7158581.3983148048"/>
    <n v="1"/>
    <s v="Dec 22"/>
    <s v="SHORT"/>
    <s v="Dec 22 SHORT"/>
    <n v="-7252941.2999999998"/>
    <n v="1205.6717050039001"/>
    <n v="0.01"/>
    <n v="-71811.299999999814"/>
    <x v="0"/>
    <s v="ETH Dec 22 SHORT"/>
    <b v="1"/>
  </r>
  <r>
    <s v="BINANCE"/>
    <x v="1"/>
    <s v="BAXSUSDT"/>
    <n v="6000"/>
    <n v="38016"/>
    <n v="6.3360000000000003"/>
    <n v="-28640.307659999999"/>
    <x v="1"/>
    <d v="2099-12-31T08:00:00"/>
    <n v="1"/>
    <x v="2"/>
    <n v="1"/>
    <n v="6000"/>
    <n v="38016"/>
    <n v="28126"/>
    <s v="PERP"/>
    <s v="LONG"/>
    <s v="PERP LONG"/>
    <n v="38016"/>
    <n v="6.3360000000000003"/>
    <n v="0"/>
    <n v="0"/>
    <x v="0"/>
    <s v="AXS PERP LONG"/>
    <b v="1"/>
  </r>
  <r>
    <s v="BINANCE"/>
    <x v="1"/>
    <s v="BEOSUSDT"/>
    <n v="523400.3"/>
    <n v="459848.18766551401"/>
    <n v="0.87857837999999999"/>
    <n v="-6180.1066162799998"/>
    <x v="1"/>
    <d v="2099-12-31T08:00:00"/>
    <n v="1"/>
    <x v="3"/>
    <n v="1"/>
    <n v="523400.3"/>
    <n v="455911.06271359912"/>
    <n v="28126"/>
    <s v="PERP"/>
    <s v="LONG"/>
    <s v="PERP LONG"/>
    <n v="459848.18766551401"/>
    <n v="0.87857837999999999"/>
    <n v="0"/>
    <n v="0"/>
    <x v="0"/>
    <s v="EOS PERP LONG"/>
    <b v="1"/>
  </r>
  <r>
    <s v="BINANCE"/>
    <x v="1"/>
    <s v="B_F_ETH-USDT_221230"/>
    <n v="458.69900000000001"/>
    <n v="546881.88385901996"/>
    <n v="1192.2456422600001"/>
    <n v="4330.6832505700004"/>
    <x v="0"/>
    <d v="2022-12-30T08:00:00"/>
    <n v="1"/>
    <x v="1"/>
    <n v="1"/>
    <n v="458.69900000000001"/>
    <n v="545845.41566745623"/>
    <n v="1"/>
    <s v="Dec 22"/>
    <s v="LONG"/>
    <s v="Dec 22 LONG"/>
    <n v="552350.70269761013"/>
    <n v="1204.1680986826"/>
    <n v="0.01"/>
    <n v="5468.818838590174"/>
    <x v="0"/>
    <s v="ETH Dec 22 LONG"/>
    <b v="1"/>
  </r>
  <r>
    <s v="BINANCE"/>
    <x v="1"/>
    <s v="BBCHUSDT"/>
    <n v="-913.74099999999999"/>
    <n v="-91656.114436353004"/>
    <n v="100.30863717"/>
    <n v="1949.47098306"/>
    <x v="1"/>
    <d v="2099-12-31T08:00:00"/>
    <n v="1"/>
    <x v="4"/>
    <n v="1"/>
    <n v="-913.74099999999999"/>
    <n v="-90621.879249129794"/>
    <n v="28126"/>
    <s v="PERP"/>
    <s v="SHORT"/>
    <s v="PERP SHORT"/>
    <n v="-91656.114436353004"/>
    <n v="100.30863717"/>
    <n v="0"/>
    <n v="0"/>
    <x v="0"/>
    <s v="BCH PERP SHORT"/>
    <b v="1"/>
  </r>
  <r>
    <s v="BINANCE"/>
    <x v="1"/>
    <s v="BBTCUSDT"/>
    <n v="-963.36099999999999"/>
    <n v="-15984977.080974599"/>
    <n v="16592.925269939999"/>
    <n v="76166.777623140006"/>
    <x v="1"/>
    <d v="2099-12-31T08:00:00"/>
    <n v="1"/>
    <x v="0"/>
    <n v="1"/>
    <n v="-963.36099999999999"/>
    <n v="-15946102.06066025"/>
    <n v="28126"/>
    <s v="PERP"/>
    <s v="SHORT"/>
    <s v="PERP SHORT"/>
    <n v="-15984977.080974599"/>
    <n v="16592.925269939999"/>
    <n v="0"/>
    <n v="0"/>
    <x v="0"/>
    <s v="BTC PERP SHORT"/>
    <b v="1"/>
  </r>
  <r>
    <s v="BINANCE"/>
    <x v="1"/>
    <s v="BETHUSDT"/>
    <n v="-14185.616"/>
    <n v="-16889581.749100499"/>
    <n v="1190.6132063"/>
    <n v="230279.22615872"/>
    <x v="1"/>
    <d v="2099-12-31T08:00:00"/>
    <n v="1"/>
    <x v="1"/>
    <n v="1"/>
    <n v="-14185.616"/>
    <n v="-16880685.290395048"/>
    <n v="28126"/>
    <s v="PERP"/>
    <s v="SHORT"/>
    <s v="PERP SHORT"/>
    <n v="-16889581.749100499"/>
    <n v="1190.6132063"/>
    <n v="0"/>
    <n v="0"/>
    <x v="0"/>
    <s v="ETH PERP SHORT"/>
    <b v="1"/>
  </r>
  <r>
    <s v="BINANCE"/>
    <x v="1"/>
    <s v="BLTCUSDT"/>
    <n v="-1628.4359999999999"/>
    <n v="-110037.533884199"/>
    <n v="67.572525959999993"/>
    <n v="613.86899484000003"/>
    <x v="1"/>
    <d v="2099-12-31T08:00:00"/>
    <n v="1"/>
    <x v="5"/>
    <n v="1"/>
    <n v="-1628.4359999999999"/>
    <n v="-108028.92040172688"/>
    <n v="28126"/>
    <s v="PERP"/>
    <s v="SHORT"/>
    <s v="PERP SHORT"/>
    <n v="-110037.533884199"/>
    <n v="67.572525959999993"/>
    <n v="0"/>
    <n v="0"/>
    <x v="0"/>
    <s v="LTC PERP SHORT"/>
    <b v="1"/>
  </r>
  <r>
    <s v="BINANCE"/>
    <x v="1"/>
    <s v="BOMGUSDT"/>
    <n v="-24000"/>
    <n v="-24325.605599999999"/>
    <n v="1.0135669"/>
    <n v="3537.6943200000001"/>
    <x v="1"/>
    <d v="2099-12-31T08:00:00"/>
    <n v="1"/>
    <x v="6"/>
    <n v="1"/>
    <n v="-24000"/>
    <n v="-24334.674535100399"/>
    <n v="28126"/>
    <s v="PERP"/>
    <s v="SHORT"/>
    <s v="PERP SHORT"/>
    <n v="-24325.605599999999"/>
    <n v="1.0135669"/>
    <n v="0"/>
    <n v="0"/>
    <x v="0"/>
    <s v="OMG PERP SHORT"/>
    <b v="1"/>
  </r>
  <r>
    <s v="BINANCE"/>
    <x v="1"/>
    <s v="BZILUSDT"/>
    <n v="-825003"/>
    <n v="-13505.29911"/>
    <n v="1.6369999999999999E-2"/>
    <n v="4070.4163014599999"/>
    <x v="1"/>
    <d v="2099-12-31T08:00:00"/>
    <n v="1"/>
    <x v="7"/>
    <n v="1"/>
    <n v="-825003"/>
    <n v="-13470.212916269422"/>
    <n v="28126"/>
    <s v="PERP"/>
    <s v="SHORT"/>
    <s v="PERP SHORT"/>
    <n v="-13505.29911"/>
    <n v="1.6369999999999999E-2"/>
    <n v="0"/>
    <n v="0"/>
    <x v="0"/>
    <s v="ZIL PERP SHORT"/>
    <b v="1"/>
  </r>
  <r>
    <s v="BINANCE"/>
    <x v="1"/>
    <s v="BCOMPUSDT"/>
    <n v="-200.97900000000001"/>
    <n v="-6572.0132999999996"/>
    <n v="32.700000000000003"/>
    <n v="3389.0230690100002"/>
    <x v="1"/>
    <d v="2099-12-31T08:00:00"/>
    <n v="1"/>
    <x v="8"/>
    <n v="1"/>
    <n v="-200.97900000000001"/>
    <n v="-6422.1810862570892"/>
    <n v="28126"/>
    <s v="PERP"/>
    <s v="SHORT"/>
    <s v="PERP SHORT"/>
    <n v="-6572.0132999999996"/>
    <n v="32.700000000000003"/>
    <n v="0"/>
    <n v="0"/>
    <x v="0"/>
    <s v="COMP PERP SHORT"/>
    <b v="1"/>
  </r>
  <r>
    <s v="BINANCE"/>
    <x v="1"/>
    <s v="BLINKUSDT"/>
    <n v="-33268.910000000003"/>
    <n v="-190805.12184091701"/>
    <n v="5.7352381499999998"/>
    <n v="2652.0803986300002"/>
    <x v="1"/>
    <d v="2099-12-31T08:00:00"/>
    <n v="1"/>
    <x v="9"/>
    <n v="1"/>
    <n v="-33268.910000000003"/>
    <n v="-188865.48483107757"/>
    <n v="28126"/>
    <s v="PERP"/>
    <s v="SHORT"/>
    <s v="PERP SHORT"/>
    <n v="-190805.12184091701"/>
    <n v="5.7352381499999998"/>
    <n v="0"/>
    <n v="0"/>
    <x v="0"/>
    <s v="LINK PERP SHORT"/>
    <b v="1"/>
  </r>
  <r>
    <s v="BINANCE"/>
    <x v="1"/>
    <s v="B_F_BTC-USDT_221230"/>
    <n v="-256.69200000000001"/>
    <n v="-4264559.5710021704"/>
    <n v="16613.527383019999"/>
    <n v="179945.12033686001"/>
    <x v="0"/>
    <d v="2022-12-30T08:00:00"/>
    <n v="1"/>
    <x v="0"/>
    <n v="1"/>
    <n v="-256.69200000000001"/>
    <n v="-4248912.7441893546"/>
    <n v="1"/>
    <s v="Dec 22"/>
    <s v="SHORT"/>
    <s v="Dec 22 SHORT"/>
    <n v="-4307205.1667121919"/>
    <n v="16779.6626568502"/>
    <n v="0.01"/>
    <n v="-42645.595710021444"/>
    <x v="0"/>
    <s v="BTC Dec 22 SHORT"/>
    <b v="1"/>
  </r>
  <r>
    <s v="BINANCE"/>
    <x v="2"/>
    <s v="BBTCUSDT"/>
    <n v="73.903000000000006"/>
    <n v="1225677.8888654099"/>
    <n v="16584.954451990001"/>
    <n v="-9096.4315294999997"/>
    <x v="1"/>
    <d v="2099-12-31T08:00:00"/>
    <n v="1"/>
    <x v="0"/>
    <n v="1"/>
    <n v="73.903000000000006"/>
    <n v="1223284.7090436239"/>
    <n v="28126"/>
    <s v="PERP"/>
    <s v="LONG"/>
    <s v="PERP LONG"/>
    <n v="1225677.8888654099"/>
    <n v="16584.954451990001"/>
    <n v="0"/>
    <n v="0"/>
    <x v="0"/>
    <s v="BTC PERP LONG"/>
    <b v="1"/>
  </r>
  <r>
    <s v="DYDX"/>
    <x v="3"/>
    <s v="D_T_BTC_USDC_SWAP"/>
    <n v="-1.4123000000000001"/>
    <n v="-23470.936464843999"/>
    <n v="16618.9453125"/>
    <n v="4136.744987"/>
    <x v="1"/>
    <d v="2099-12-31T08:00:00"/>
    <n v="1"/>
    <x v="0"/>
    <n v="1"/>
    <n v="-1.4123000000000001"/>
    <n v="-23377.197063479289"/>
    <n v="28126"/>
    <s v="PERP"/>
    <s v="SHORT"/>
    <s v="PERP SHORT"/>
    <n v="-23470.936464843999"/>
    <n v="16618.9453125"/>
    <n v="0"/>
    <n v="0"/>
    <x v="1"/>
    <s v="BTC PERP SHORT"/>
    <b v="1"/>
  </r>
  <r>
    <s v="DYDX"/>
    <x v="3"/>
    <s v="D_T_ATOM_USDC_SWAP"/>
    <n v="-426.6"/>
    <n v="-3885.899487877"/>
    <n v="9.1090002059999993"/>
    <n v="5494.941812"/>
    <x v="1"/>
    <d v="2099-12-31T08:00:00"/>
    <n v="1"/>
    <x v="10"/>
    <n v="1"/>
    <n v="-426.6"/>
    <n v="-3891.0282678393041"/>
    <n v="28126"/>
    <s v="PERP"/>
    <s v="SHORT"/>
    <s v="PERP SHORT"/>
    <n v="-3885.899487877"/>
    <n v="9.1090002059999993"/>
    <n v="0"/>
    <n v="0"/>
    <x v="1"/>
    <s v="ATOM PERP SHORT"/>
    <b v="1"/>
  </r>
  <r>
    <s v="HUOBI"/>
    <x v="4"/>
    <s v="H_P_BTC-USD-SWAP"/>
    <n v="-113"/>
    <n v="-11300"/>
    <n v="16593.2"/>
    <n v="4.1642376000000002E-2"/>
    <x v="1"/>
    <d v="2099-12-31T08:00:00"/>
    <n v="0"/>
    <x v="0"/>
    <n v="100"/>
    <n v="-0.68100185618205045"/>
    <n v="-11272.332077152852"/>
    <n v="28126"/>
    <s v="PERP"/>
    <s v="SHORT"/>
    <s v="PERP SHORT"/>
    <n v="-11300"/>
    <n v="16593.2"/>
    <n v="0"/>
    <n v="0"/>
    <x v="2"/>
    <s v="BTC PERP SHORT"/>
    <b v="1"/>
  </r>
  <r>
    <s v="HUOBI"/>
    <x v="4"/>
    <s v="H_P_ETH-USD-SWAP"/>
    <n v="-44901"/>
    <n v="-449010"/>
    <n v="1189.3399999999999"/>
    <n v="1.959265002"/>
    <x v="1"/>
    <d v="2099-12-31T08:00:00"/>
    <n v="0"/>
    <x v="1"/>
    <n v="10"/>
    <n v="-377.52871340407285"/>
    <n v="-449253.90614421683"/>
    <n v="28126"/>
    <s v="PERP"/>
    <s v="SHORT"/>
    <s v="PERP SHORT"/>
    <n v="-449010"/>
    <n v="1189.3399999999999"/>
    <n v="0"/>
    <n v="0"/>
    <x v="2"/>
    <s v="ETH PERP SHORT"/>
    <b v="1"/>
  </r>
  <r>
    <s v="HUOBI"/>
    <x v="5"/>
    <s v="H_T_BTC_USDT_SWAP"/>
    <n v="4.2939999999999996"/>
    <n v="71276.964800000002"/>
    <n v="16599.2"/>
    <n v="-15.317"/>
    <x v="1"/>
    <d v="2099-12-31T08:00:00"/>
    <n v="1"/>
    <x v="0"/>
    <n v="1"/>
    <n v="4.2939999999999996"/>
    <n v="71076.74303659283"/>
    <n v="28126"/>
    <s v="PERP"/>
    <s v="LONG"/>
    <s v="PERP LONG"/>
    <n v="71276.964800000002"/>
    <n v="16599.2"/>
    <n v="0"/>
    <n v="0"/>
    <x v="2"/>
    <s v="BTC PERP LONG"/>
    <b v="1"/>
  </r>
  <r>
    <s v="HUOBI"/>
    <x v="5"/>
    <s v="H_T_ETH_USDT_SWAP"/>
    <n v="-98.46"/>
    <n v="-117353.48940000001"/>
    <n v="1191.8900000000001"/>
    <n v="963.19421632499996"/>
    <x v="1"/>
    <d v="2099-12-31T08:00:00"/>
    <n v="1"/>
    <x v="1"/>
    <n v="1"/>
    <n v="-98.46"/>
    <n v="-117166.02745289991"/>
    <n v="28126"/>
    <s v="PERP"/>
    <s v="SHORT"/>
    <s v="PERP SHORT"/>
    <n v="-117353.48940000001"/>
    <n v="1191.8900000000001"/>
    <n v="0"/>
    <n v="0"/>
    <x v="2"/>
    <s v="ETH PERP SHORT"/>
    <b v="1"/>
  </r>
  <r>
    <s v="OKEX"/>
    <x v="6"/>
    <s v="O_P_EOS-USDT-SWAP"/>
    <n v="232"/>
    <n v="2037.8879999999999"/>
    <n v="0.87839999999999996"/>
    <n v="-187.44560840400001"/>
    <x v="1"/>
    <d v="2099-12-31T08:00:00"/>
    <n v="1"/>
    <x v="3"/>
    <n v="10"/>
    <n v="2320"/>
    <n v="2020.8503233482097"/>
    <n v="28126"/>
    <s v="PERP"/>
    <s v="LONG"/>
    <s v="PERP LONG"/>
    <n v="2037.8879999999999"/>
    <n v="0.87839999999999996"/>
    <n v="0"/>
    <n v="0"/>
    <x v="3"/>
    <s v="EOS PERP LONG"/>
    <b v="1"/>
  </r>
  <r>
    <s v="OKEX"/>
    <x v="6"/>
    <s v="O_P_BTC-USD-SWAP"/>
    <n v="-19164"/>
    <n v="-1916400"/>
    <n v="16599.8"/>
    <n v="0.67072552699999999"/>
    <x v="1"/>
    <d v="2099-12-31T08:00:00"/>
    <n v="0"/>
    <x v="0"/>
    <n v="100"/>
    <n v="-115.44717406233811"/>
    <n v="-1910947.6304447162"/>
    <n v="28126"/>
    <s v="PERP"/>
    <s v="SHORT"/>
    <s v="PERP SHORT"/>
    <n v="-1916400"/>
    <n v="16599.8"/>
    <n v="0"/>
    <n v="0"/>
    <x v="3"/>
    <s v="BTC PERP SHORT"/>
    <b v="1"/>
  </r>
  <r>
    <s v="OKEX"/>
    <x v="6"/>
    <s v="O_P_ETH-USD-SWAP"/>
    <n v="-132933"/>
    <n v="-1329330"/>
    <n v="1191.24"/>
    <n v="12.730748101"/>
    <x v="1"/>
    <d v="2099-12-31T08:00:00"/>
    <n v="0"/>
    <x v="1"/>
    <n v="10"/>
    <n v="-1115.9212249420771"/>
    <n v="-1327930.7015725891"/>
    <n v="28126"/>
    <s v="PERP"/>
    <s v="SHORT"/>
    <s v="PERP SHORT"/>
    <n v="-1329330"/>
    <n v="1191.24"/>
    <n v="0"/>
    <n v="0"/>
    <x v="3"/>
    <s v="ETH PERP SHORT"/>
    <b v="1"/>
  </r>
  <r>
    <s v="OKEX"/>
    <x v="6"/>
    <s v="O_P_BTC-USDT-SWAP"/>
    <n v="-61728"/>
    <n v="-10245551.482993999"/>
    <n v="16597.900000000001"/>
    <n v="46670.270967748998"/>
    <x v="1"/>
    <d v="2099-12-31T08:00:00"/>
    <n v="1"/>
    <x v="0"/>
    <n v="0.01"/>
    <n v="-617.28"/>
    <n v="-10217571.481515609"/>
    <n v="28126"/>
    <s v="PERP"/>
    <s v="SHORT"/>
    <s v="PERP SHORT"/>
    <n v="-10245551.482993999"/>
    <n v="16597.900000000001"/>
    <n v="0"/>
    <n v="0"/>
    <x v="3"/>
    <s v="BTC PERP SHORT"/>
    <b v="1"/>
  </r>
  <r>
    <s v="OKEX"/>
    <x v="6"/>
    <s v="O_P_ETH-USDT-SWAP"/>
    <n v="-49867"/>
    <n v="-5939508.8575055702"/>
    <n v="1191.07"/>
    <n v="76888.425612255"/>
    <x v="1"/>
    <d v="2099-12-31T08:00:00"/>
    <n v="1"/>
    <x v="1"/>
    <n v="0.1"/>
    <n v="-4986.7000000000007"/>
    <n v="-5934103.4846574869"/>
    <n v="28126"/>
    <s v="PERP"/>
    <s v="SHORT"/>
    <s v="PERP SHORT"/>
    <n v="-5939508.8575055702"/>
    <n v="1191.07"/>
    <n v="0"/>
    <n v="0"/>
    <x v="3"/>
    <s v="ETH PERP SHORT"/>
    <b v="1"/>
  </r>
  <r>
    <s v="OKEX"/>
    <x v="6"/>
    <s v="O_F_BTC-USD_221230"/>
    <n v="-18887"/>
    <n v="-1888700"/>
    <n v="16619.2"/>
    <n v="2.157471481"/>
    <x v="0"/>
    <d v="2022-12-30T08:00:00"/>
    <n v="0"/>
    <x v="0"/>
    <n v="100"/>
    <n v="-113.6456628477905"/>
    <n v="-1881127.9868317819"/>
    <n v="1"/>
    <s v="Dec 22"/>
    <s v="SHORT"/>
    <s v="Dec 22 SHORT"/>
    <n v="-1907587"/>
    <n v="16785.392"/>
    <n v="0.01"/>
    <n v="-18887"/>
    <x v="3"/>
    <s v="BTC Dec 22 SHORT"/>
    <b v="1"/>
  </r>
  <r>
    <s v="OKEX"/>
    <x v="6"/>
    <s v="O_F_ETH-USD_221230"/>
    <n v="-94582"/>
    <n v="-945820"/>
    <n v="1192.68"/>
    <n v="12.944460131"/>
    <x v="0"/>
    <d v="2022-12-30T08:00:00"/>
    <n v="0"/>
    <x v="1"/>
    <n v="10"/>
    <n v="-793.02075996914505"/>
    <n v="-943683.64953549067"/>
    <n v="1"/>
    <s v="Dec 22"/>
    <s v="SHORT"/>
    <s v="Dec 22 SHORT"/>
    <n v="-955278.2"/>
    <n v="1204.6068"/>
    <n v="0.01"/>
    <n v="-9458.1999999999534"/>
    <x v="3"/>
    <s v="ETH Dec 22 SHORT"/>
    <b v="1"/>
  </r>
  <r>
    <s v="OKEX"/>
    <x v="6"/>
    <s v="O_P_LINK-USDT-SWAP"/>
    <n v="-18446"/>
    <n v="-105806.25599999999"/>
    <n v="5.7359999999999998"/>
    <n v="899.95518479500004"/>
    <x v="1"/>
    <d v="2099-12-31T08:00:00"/>
    <n v="1"/>
    <x v="9"/>
    <n v="1"/>
    <n v="-18446"/>
    <n v="-104716.76809351605"/>
    <n v="28126"/>
    <s v="PERP"/>
    <s v="SHORT"/>
    <s v="PERP SHORT"/>
    <n v="-105806.25599999999"/>
    <n v="5.7359999999999998"/>
    <n v="0"/>
    <n v="0"/>
    <x v="3"/>
    <s v="LINK PERP SHORT"/>
    <b v="1"/>
  </r>
  <r>
    <s v="OKEX"/>
    <x v="6"/>
    <s v="O_P_SHIB-USDT-SWAP"/>
    <n v="-89029"/>
    <n v="-709561.13"/>
    <n v="7.9699999999999999E-6"/>
    <n v="223349.27587049801"/>
    <x v="1"/>
    <d v="2099-12-31T08:00:00"/>
    <n v="1"/>
    <x v="11"/>
    <n v="1000000"/>
    <n v="-89029000000"/>
    <n v="-705178.94784080447"/>
    <n v="28126"/>
    <s v="PERP"/>
    <s v="SHORT"/>
    <s v="PERP SHORT"/>
    <n v="-709561.13"/>
    <n v="7.9699999999999999E-6"/>
    <n v="0"/>
    <n v="0"/>
    <x v="3"/>
    <s v="SHIB PERP SHORT"/>
    <b v="1"/>
  </r>
  <r>
    <s v="OKEX"/>
    <x v="6"/>
    <s v="O_F_BTC-USDT_221230"/>
    <n v="-3658"/>
    <n v="-607487.70442159101"/>
    <n v="16607.099999999999"/>
    <n v="39139.564977636001"/>
    <x v="0"/>
    <d v="2022-12-30T08:00:00"/>
    <n v="1"/>
    <x v="0"/>
    <n v="0.01"/>
    <n v="-36.58"/>
    <n v="-605493.07412169676"/>
    <n v="1"/>
    <s v="Dec 22"/>
    <s v="SHORT"/>
    <s v="Dec 22 SHORT"/>
    <n v="-613562.58146580693"/>
    <n v="16773.170999999998"/>
    <n v="0.01"/>
    <n v="-6074.8770442159148"/>
    <x v="3"/>
    <s v="BTC Dec 22 SHORT"/>
    <b v="1"/>
  </r>
  <r>
    <s v="OKEX"/>
    <x v="7"/>
    <s v="O_P_AXS-USDT-SWAP"/>
    <n v="17440"/>
    <n v="11022.080164241999"/>
    <n v="6.32"/>
    <n v="-20511.930061800998"/>
    <x v="1"/>
    <d v="2099-12-31T08:00:00"/>
    <n v="1"/>
    <x v="2"/>
    <n v="0.1"/>
    <n v="1744"/>
    <n v="11022.08"/>
    <n v="28126"/>
    <s v="PERP"/>
    <s v="LONG"/>
    <s v="PERP LONG"/>
    <n v="11022.080164241999"/>
    <n v="6.32"/>
    <n v="0"/>
    <n v="0"/>
    <x v="3"/>
    <s v="AXS PERP LONG"/>
    <b v="1"/>
  </r>
  <r>
    <s v="ED&amp;F"/>
    <x v="8"/>
    <s v="ETHZ2"/>
    <n v="398"/>
    <n v="23750650"/>
    <n v="1193.5"/>
    <n v="0"/>
    <x v="2"/>
    <d v="2022-12-30T00:00:00"/>
    <n v="1"/>
    <x v="1"/>
    <n v="50"/>
    <n v="19900"/>
    <n v="23680722.591028929"/>
    <n v="1"/>
    <s v="CME Dec 22"/>
    <s v="LONG"/>
    <s v="CME Dec 22 LONG"/>
    <n v="23988156.5"/>
    <n v="1205.4349999999999"/>
    <n v="0.01"/>
    <n v="237506.5"/>
    <x v="4"/>
    <s v="ETH CME Dec 22 LONG"/>
    <b v="1"/>
  </r>
  <r>
    <s v="ED&amp;F"/>
    <x v="8"/>
    <s v="BTCZ2"/>
    <n v="531"/>
    <n v="43993350"/>
    <n v="16570"/>
    <n v="0"/>
    <x v="2"/>
    <d v="2022-12-30T00:00:00"/>
    <n v="1"/>
    <x v="0"/>
    <n v="5"/>
    <n v="2655"/>
    <n v="43947077.960445732"/>
    <n v="1"/>
    <s v="CME Dec 22"/>
    <s v="LONG"/>
    <s v="CME Dec 22 LONG"/>
    <n v="44433283.5"/>
    <n v="16735.7"/>
    <n v="0.01"/>
    <n v="439933.5"/>
    <x v="4"/>
    <s v="BTC CME Dec 22 LONG"/>
    <b v="1"/>
  </r>
  <r>
    <s v="BINANCE"/>
    <x v="9"/>
    <s v="AAVE"/>
    <n v="595.81389897999998"/>
    <n v="32023.3624496132"/>
    <n v="53.747256491389997"/>
    <n v="0"/>
    <x v="3"/>
    <d v="2022-12-29T00:00:00"/>
    <n v="1"/>
    <x v="12"/>
    <n v="1"/>
    <n v="595.81389897999998"/>
    <n v="32023.362449613189"/>
    <n v="0"/>
    <s v="COIN"/>
    <s v="LONG"/>
    <s v="COIN LONG"/>
    <n v="32023.3624496132"/>
    <n v="53.747256491389997"/>
    <n v="0"/>
    <n v="0"/>
    <x v="0"/>
    <s v="AAVE COIN LONG"/>
    <b v="1"/>
  </r>
  <r>
    <s v="BINANCE"/>
    <x v="9"/>
    <s v="ADA"/>
    <n v="279555.80494599999"/>
    <n v="69435.481308139293"/>
    <n v="0.248377891210492"/>
    <n v="0"/>
    <x v="3"/>
    <d v="2022-12-29T00:00:00"/>
    <n v="1"/>
    <x v="13"/>
    <n v="1"/>
    <n v="279555.80494599999"/>
    <n v="69435.481308139104"/>
    <n v="0"/>
    <s v="COIN"/>
    <s v="LONG"/>
    <s v="COIN LONG"/>
    <n v="69435.481308139293"/>
    <n v="0.248377891210492"/>
    <n v="0"/>
    <n v="0"/>
    <x v="0"/>
    <s v="ADA COIN LONG"/>
    <b v="1"/>
  </r>
  <r>
    <s v="BINANCE"/>
    <x v="9"/>
    <s v="ALGO"/>
    <n v="200965.84540699999"/>
    <n v="33609.665158779499"/>
    <n v="0.167240682568287"/>
    <n v="0"/>
    <x v="3"/>
    <d v="2022-12-29T00:00:00"/>
    <n v="1"/>
    <x v="14"/>
    <n v="1"/>
    <n v="200965.84540699999"/>
    <n v="33609.66515877952"/>
    <n v="0"/>
    <s v="COIN"/>
    <s v="LONG"/>
    <s v="COIN LONG"/>
    <n v="33609.665158779499"/>
    <n v="0.167240682568287"/>
    <n v="0"/>
    <n v="0"/>
    <x v="0"/>
    <s v="ALGO COIN LONG"/>
    <b v="1"/>
  </r>
  <r>
    <s v="BINANCE"/>
    <x v="9"/>
    <s v="ATOM"/>
    <n v="4.2548999999999998E-3"/>
    <n v="3.8809039326838803E-2"/>
    <n v="9.1210226625393904"/>
    <n v="0"/>
    <x v="3"/>
    <d v="2022-12-29T00:00:00"/>
    <n v="1"/>
    <x v="10"/>
    <n v="1"/>
    <n v="4.2548999999999998E-3"/>
    <n v="3.8809039326838851E-2"/>
    <n v="0"/>
    <s v="COIN"/>
    <s v="LONG"/>
    <s v="COIN LONG"/>
    <n v="3.8809039326838803E-2"/>
    <n v="9.1210226625393904"/>
    <n v="0"/>
    <n v="0"/>
    <x v="0"/>
    <s v="ATOM COIN LONG"/>
    <b v="1"/>
  </r>
  <r>
    <s v="BINANCE"/>
    <x v="9"/>
    <s v="AVAX"/>
    <n v="2978.6775884799999"/>
    <n v="33369.8677835259"/>
    <n v="11.2029136394564"/>
    <n v="0"/>
    <x v="3"/>
    <d v="2022-12-29T00:00:00"/>
    <n v="1"/>
    <x v="15"/>
    <n v="1"/>
    <n v="2978.6775884799999"/>
    <n v="33369.867783525689"/>
    <n v="0"/>
    <s v="COIN"/>
    <s v="LONG"/>
    <s v="COIN LONG"/>
    <n v="33369.8677835259"/>
    <n v="11.2029136394564"/>
    <n v="0"/>
    <n v="0"/>
    <x v="0"/>
    <s v="AVAX COIN LONG"/>
    <b v="1"/>
  </r>
  <r>
    <s v="BINANCE"/>
    <x v="9"/>
    <s v="BAT"/>
    <n v="94693.628395320004"/>
    <n v="15902.428717335401"/>
    <n v="0.16793557271823101"/>
    <n v="0"/>
    <x v="3"/>
    <d v="2022-12-29T00:00:00"/>
    <n v="1"/>
    <x v="16"/>
    <n v="1"/>
    <n v="94693.628395320004"/>
    <n v="15902.428717335408"/>
    <n v="0"/>
    <s v="COIN"/>
    <s v="LONG"/>
    <s v="COIN LONG"/>
    <n v="15902.428717335401"/>
    <n v="0.16793557271823101"/>
    <n v="0"/>
    <n v="0"/>
    <x v="0"/>
    <s v="BAT COIN LONG"/>
    <b v="1"/>
  </r>
  <r>
    <s v="BINANCE"/>
    <x v="9"/>
    <s v="BCH"/>
    <n v="337.93161430999999"/>
    <n v="33514.965341890398"/>
    <n v="99.176768087597907"/>
    <n v="0"/>
    <x v="3"/>
    <d v="2022-12-29T00:00:00"/>
    <n v="1"/>
    <x v="4"/>
    <n v="1"/>
    <n v="337.93161430999999"/>
    <n v="33514.965341890449"/>
    <n v="0"/>
    <s v="COIN"/>
    <s v="LONG"/>
    <s v="COIN LONG"/>
    <n v="33514.965341890398"/>
    <n v="99.176768087597907"/>
    <n v="0"/>
    <n v="0"/>
    <x v="0"/>
    <s v="BCH COIN LONG"/>
    <b v="1"/>
  </r>
  <r>
    <s v="BINANCE"/>
    <x v="9"/>
    <s v="BNB"/>
    <n v="108.08486877"/>
    <n v="26388.0480828937"/>
    <n v="244.14192646193899"/>
    <n v="0"/>
    <x v="3"/>
    <d v="2022-12-29T00:00:00"/>
    <n v="1"/>
    <x v="17"/>
    <n v="1"/>
    <n v="108.08486877"/>
    <n v="26388.048082893667"/>
    <n v="0"/>
    <s v="COIN"/>
    <s v="LONG"/>
    <s v="COIN LONG"/>
    <n v="26388.0480828937"/>
    <n v="244.14192646193899"/>
    <n v="0"/>
    <n v="0"/>
    <x v="0"/>
    <s v="BNB COIN LONG"/>
    <b v="1"/>
  </r>
  <r>
    <s v="BINANCE"/>
    <x v="9"/>
    <s v="BTC"/>
    <n v="11.93753259"/>
    <n v="197596.86455295401"/>
    <n v="16552.571736514401"/>
    <n v="0"/>
    <x v="3"/>
    <d v="2022-12-29T00:00:00"/>
    <n v="1"/>
    <x v="0"/>
    <n v="1"/>
    <n v="11.93753259"/>
    <n v="197596.86455295354"/>
    <n v="0"/>
    <s v="COIN"/>
    <s v="LONG"/>
    <s v="COIN LONG"/>
    <n v="197596.86455295401"/>
    <n v="16552.571736514401"/>
    <n v="0"/>
    <n v="0"/>
    <x v="0"/>
    <s v="BTC COIN LONG"/>
    <b v="1"/>
  </r>
  <r>
    <s v="BINANCE"/>
    <x v="9"/>
    <s v="BUSD"/>
    <n v="186.56748021000001"/>
    <n v="186.60363595563899"/>
    <n v="1.0001937944683501"/>
    <n v="0"/>
    <x v="3"/>
    <d v="2022-12-29T00:00:00"/>
    <n v="1"/>
    <x v="18"/>
    <n v="1"/>
    <n v="186.56748021000001"/>
    <n v="186.60363595563874"/>
    <n v="0"/>
    <s v="COIN"/>
    <s v="LONG"/>
    <s v="COIN LONG"/>
    <n v="186.60363595563899"/>
    <n v="1.0001937944683501"/>
    <n v="0"/>
    <n v="0"/>
    <x v="0"/>
    <s v="BUSD COIN LONG"/>
    <b v="1"/>
  </r>
  <r>
    <s v="BINANCE"/>
    <x v="9"/>
    <s v="COMP"/>
    <n v="17.823653029999999"/>
    <n v="569.54571063282697"/>
    <n v="31.954488211490201"/>
    <n v="0"/>
    <x v="3"/>
    <d v="2022-12-29T00:00:00"/>
    <n v="1"/>
    <x v="8"/>
    <n v="1"/>
    <n v="17.823653029999999"/>
    <n v="569.54571063282663"/>
    <n v="0"/>
    <s v="COIN"/>
    <s v="LONG"/>
    <s v="COIN LONG"/>
    <n v="569.54571063282697"/>
    <n v="31.954488211490201"/>
    <n v="0"/>
    <n v="0"/>
    <x v="0"/>
    <s v="COMP COIN LONG"/>
    <b v="1"/>
  </r>
  <r>
    <s v="BINANCE"/>
    <x v="9"/>
    <s v="CRV"/>
    <n v="1.5637979999999999E-2"/>
    <n v="7.9698944961912807E-3"/>
    <n v="0.50964987141506002"/>
    <n v="0"/>
    <x v="3"/>
    <d v="2022-12-29T00:00:00"/>
    <n v="1"/>
    <x v="19"/>
    <n v="1"/>
    <n v="1.5637979999999999E-2"/>
    <n v="7.9698944961912807E-3"/>
    <n v="0"/>
    <s v="COIN"/>
    <s v="LONG"/>
    <s v="COIN LONG"/>
    <n v="7.9698944961912807E-3"/>
    <n v="0.50964987141506002"/>
    <n v="0"/>
    <n v="0"/>
    <x v="0"/>
    <s v="CRV COIN LONG"/>
    <b v="1"/>
  </r>
  <r>
    <s v="BINANCE"/>
    <x v="9"/>
    <s v="DASH"/>
    <n v="892.54768000000001"/>
    <n v="38342.453289720499"/>
    <n v="42.9584370100211"/>
    <n v="0"/>
    <x v="3"/>
    <d v="2022-12-29T00:00:00"/>
    <n v="1"/>
    <x v="20"/>
    <n v="1"/>
    <n v="892.54768000000001"/>
    <n v="38342.45328972047"/>
    <n v="0"/>
    <s v="COIN"/>
    <s v="LONG"/>
    <s v="COIN LONG"/>
    <n v="38342.453289720499"/>
    <n v="42.9584370100211"/>
    <n v="0"/>
    <n v="0"/>
    <x v="0"/>
    <s v="DASH COIN LONG"/>
    <b v="1"/>
  </r>
  <r>
    <s v="BINANCE"/>
    <x v="9"/>
    <s v="DOGE"/>
    <n v="499066.33806078002"/>
    <n v="35124.937109751299"/>
    <n v="7.0381298899533401E-2"/>
    <n v="0"/>
    <x v="3"/>
    <d v="2022-12-29T00:00:00"/>
    <n v="1"/>
    <x v="21"/>
    <n v="1"/>
    <n v="499066.33806078002"/>
    <n v="35124.937109751343"/>
    <n v="0"/>
    <s v="COIN"/>
    <s v="LONG"/>
    <s v="COIN LONG"/>
    <n v="35124.937109751299"/>
    <n v="7.0381298899533401E-2"/>
    <n v="0"/>
    <n v="0"/>
    <x v="0"/>
    <s v="DOGE COIN LONG"/>
    <b v="1"/>
  </r>
  <r>
    <s v="BINANCE"/>
    <x v="9"/>
    <s v="DOT"/>
    <n v="4436.5587049599999"/>
    <n v="18999.379555645901"/>
    <n v="4.2824587296466801"/>
    <n v="0"/>
    <x v="3"/>
    <d v="2022-12-29T00:00:00"/>
    <n v="1"/>
    <x v="22"/>
    <n v="1"/>
    <n v="4436.5587049599999"/>
    <n v="18999.379555645923"/>
    <n v="0"/>
    <s v="COIN"/>
    <s v="LONG"/>
    <s v="COIN LONG"/>
    <n v="18999.379555645901"/>
    <n v="4.2824587296466801"/>
    <n v="0"/>
    <n v="0"/>
    <x v="0"/>
    <s v="DOT COIN LONG"/>
    <b v="1"/>
  </r>
  <r>
    <s v="BINANCE"/>
    <x v="9"/>
    <s v="ENJ"/>
    <n v="41513.324699999997"/>
    <n v="10097.0387157438"/>
    <n v="0.24322404405599901"/>
    <n v="0"/>
    <x v="3"/>
    <d v="2022-12-29T00:00:00"/>
    <n v="1"/>
    <x v="23"/>
    <n v="1"/>
    <n v="41513.324699999997"/>
    <n v="10097.038715743791"/>
    <n v="0"/>
    <s v="COIN"/>
    <s v="LONG"/>
    <s v="COIN LONG"/>
    <n v="10097.0387157438"/>
    <n v="0.24322404405599901"/>
    <n v="0"/>
    <n v="0"/>
    <x v="0"/>
    <s v="ENJ COIN LONG"/>
    <b v="1"/>
  </r>
  <r>
    <s v="BINANCE"/>
    <x v="9"/>
    <s v="EOS"/>
    <n v="77781.546300000002"/>
    <n v="67752.096116758097"/>
    <n v="0.87105617385698697"/>
    <n v="0"/>
    <x v="3"/>
    <d v="2022-12-29T00:00:00"/>
    <n v="1"/>
    <x v="3"/>
    <n v="1"/>
    <n v="77781.546300000002"/>
    <n v="67752.096116758083"/>
    <n v="0"/>
    <s v="COIN"/>
    <s v="LONG"/>
    <s v="COIN LONG"/>
    <n v="67752.096116758097"/>
    <n v="0.87105617385698697"/>
    <n v="0"/>
    <n v="0"/>
    <x v="0"/>
    <s v="EOS COIN LONG"/>
    <b v="1"/>
  </r>
  <r>
    <s v="BINANCE"/>
    <x v="9"/>
    <s v="ETH"/>
    <n v="163.6191"/>
    <n v="194704.44812531699"/>
    <n v="1189.9860598507"/>
    <n v="0"/>
    <x v="3"/>
    <d v="2022-12-29T00:00:00"/>
    <n v="1"/>
    <x v="1"/>
    <n v="1"/>
    <n v="163.6191"/>
    <n v="194704.44812531766"/>
    <n v="0"/>
    <s v="COIN"/>
    <s v="LONG"/>
    <s v="COIN LONG"/>
    <n v="194704.44812531699"/>
    <n v="1189.9860598507"/>
    <n v="0"/>
    <n v="0"/>
    <x v="0"/>
    <s v="ETH COIN LONG"/>
    <b v="1"/>
  </r>
  <r>
    <s v="BINANCE"/>
    <x v="9"/>
    <s v="EUR"/>
    <n v="797877.17334312003"/>
    <n v="846731.19266691897"/>
    <n v="1.0612299999999999"/>
    <n v="0"/>
    <x v="3"/>
    <d v="2022-12-29T00:00:00"/>
    <n v="1"/>
    <x v="24"/>
    <n v="1"/>
    <n v="797877.17334312003"/>
    <n v="846731.1926669192"/>
    <n v="0"/>
    <s v="CASH"/>
    <s v="LONG"/>
    <s v="CASH LONG"/>
    <n v="846731.19266691897"/>
    <n v="1.0612299999999999"/>
    <n v="0"/>
    <n v="0"/>
    <x v="0"/>
    <s v="EUR CASH LONG"/>
    <b v="1"/>
  </r>
  <r>
    <s v="BINANCE"/>
    <x v="9"/>
    <s v="FIL"/>
    <n v="0.19800000000000001"/>
    <n v="0.59277955978943497"/>
    <n v="2.9938361605527"/>
    <n v="0"/>
    <x v="3"/>
    <d v="2022-12-29T00:00:00"/>
    <n v="1"/>
    <x v="25"/>
    <n v="1"/>
    <n v="0.19800000000000001"/>
    <n v="0.59277955978943464"/>
    <n v="0"/>
    <s v="COIN"/>
    <s v="LONG"/>
    <s v="COIN LONG"/>
    <n v="0.59277955978943497"/>
    <n v="2.9938361605527"/>
    <n v="0"/>
    <n v="0"/>
    <x v="0"/>
    <s v="FIL COIN LONG"/>
    <b v="1"/>
  </r>
  <r>
    <s v="BINANCE"/>
    <x v="9"/>
    <s v="FTM"/>
    <n v="268338.3196095"/>
    <n v="53154.455982853797"/>
    <n v="0.198087459369228"/>
    <n v="0"/>
    <x v="3"/>
    <d v="2022-12-29T00:00:00"/>
    <n v="1"/>
    <x v="26"/>
    <n v="1"/>
    <n v="268338.3196095"/>
    <n v="53154.455982853753"/>
    <n v="0"/>
    <s v="COIN"/>
    <s v="LONG"/>
    <s v="COIN LONG"/>
    <n v="53154.455982853797"/>
    <n v="0.198087459369228"/>
    <n v="0"/>
    <n v="0"/>
    <x v="0"/>
    <s v="FTM COIN LONG"/>
    <b v="1"/>
  </r>
  <r>
    <s v="BINANCE"/>
    <x v="9"/>
    <s v="GRT"/>
    <n v="197745.44699999999"/>
    <n v="11058.3095508275"/>
    <n v="5.5921942672225201E-2"/>
    <n v="0"/>
    <x v="3"/>
    <d v="2022-12-29T00:00:00"/>
    <n v="1"/>
    <x v="27"/>
    <n v="1"/>
    <n v="197745.44699999999"/>
    <n v="11058.309550827546"/>
    <n v="0"/>
    <s v="COIN"/>
    <s v="LONG"/>
    <s v="COIN LONG"/>
    <n v="11058.3095508275"/>
    <n v="5.5921942672225201E-2"/>
    <n v="0"/>
    <n v="0"/>
    <x v="0"/>
    <s v="GRT COIN LONG"/>
    <b v="1"/>
  </r>
  <r>
    <s v="BINANCE"/>
    <x v="9"/>
    <s v="HBAR"/>
    <n v="494255.60076897999"/>
    <n v="20078.489704022901"/>
    <n v="4.06236968742167E-2"/>
    <n v="0"/>
    <x v="3"/>
    <d v="2022-12-29T00:00:00"/>
    <n v="1"/>
    <x v="28"/>
    <n v="1"/>
    <n v="494255.60076897999"/>
    <n v="20078.489704022908"/>
    <n v="0"/>
    <s v="COIN"/>
    <s v="LONG"/>
    <s v="COIN LONG"/>
    <n v="20078.489704022901"/>
    <n v="4.06236968742167E-2"/>
    <n v="0"/>
    <n v="0"/>
    <x v="0"/>
    <s v="HBAR COIN LONG"/>
    <b v="1"/>
  </r>
  <r>
    <s v="BINANCE"/>
    <x v="9"/>
    <s v="LINK"/>
    <n v="10288.20733503"/>
    <n v="58405.498297752798"/>
    <n v="5.67693635983498"/>
    <n v="0"/>
    <x v="3"/>
    <d v="2022-12-29T00:00:00"/>
    <n v="1"/>
    <x v="9"/>
    <n v="1"/>
    <n v="10288.20733503"/>
    <n v="58405.498297752747"/>
    <n v="0"/>
    <s v="COIN"/>
    <s v="LONG"/>
    <s v="COIN LONG"/>
    <n v="58405.498297752798"/>
    <n v="5.67693635983498"/>
    <n v="0"/>
    <n v="0"/>
    <x v="0"/>
    <s v="LINK COIN LONG"/>
    <b v="1"/>
  </r>
  <r>
    <s v="BINANCE"/>
    <x v="9"/>
    <s v="LTC"/>
    <n v="585.52920128000005"/>
    <n v="38843.459293434797"/>
    <n v="66.339064232015801"/>
    <n v="0"/>
    <x v="3"/>
    <d v="2022-12-29T00:00:00"/>
    <n v="1"/>
    <x v="5"/>
    <n v="1"/>
    <n v="585.52920128000005"/>
    <n v="38843.459293434833"/>
    <n v="0"/>
    <s v="COIN"/>
    <s v="LONG"/>
    <s v="COIN LONG"/>
    <n v="38843.459293434797"/>
    <n v="66.339064232015801"/>
    <n v="0"/>
    <n v="0"/>
    <x v="0"/>
    <s v="LTC COIN LONG"/>
    <b v="1"/>
  </r>
  <r>
    <s v="BINANCE"/>
    <x v="9"/>
    <s v="MANA"/>
    <n v="53876.847193989997"/>
    <n v="16439.731254666702"/>
    <n v="0.30513536167908101"/>
    <n v="0"/>
    <x v="3"/>
    <d v="2022-12-29T00:00:00"/>
    <n v="1"/>
    <x v="29"/>
    <n v="1"/>
    <n v="53876.847193989997"/>
    <n v="16439.73125466672"/>
    <n v="0"/>
    <s v="COIN"/>
    <s v="LONG"/>
    <s v="COIN LONG"/>
    <n v="16439.731254666702"/>
    <n v="0.30513536167908101"/>
    <n v="0"/>
    <n v="0"/>
    <x v="0"/>
    <s v="MANA COIN LONG"/>
    <b v="1"/>
  </r>
  <r>
    <s v="BINANCE"/>
    <x v="9"/>
    <s v="MATIC"/>
    <n v="49394.932291249999"/>
    <n v="38667.876181345702"/>
    <n v="0.78283083684265897"/>
    <n v="0"/>
    <x v="3"/>
    <d v="2022-12-29T00:00:00"/>
    <n v="1"/>
    <x v="30"/>
    <n v="1"/>
    <n v="49394.932291249999"/>
    <n v="38667.876181345717"/>
    <n v="0"/>
    <s v="COIN"/>
    <s v="LONG"/>
    <s v="COIN LONG"/>
    <n v="38667.876181345702"/>
    <n v="0.78283083684265897"/>
    <n v="0"/>
    <n v="0"/>
    <x v="0"/>
    <s v="MATIC COIN LONG"/>
    <b v="1"/>
  </r>
  <r>
    <s v="BINANCE"/>
    <x v="9"/>
    <s v="MKR"/>
    <n v="13.94579233"/>
    <n v="7226.20072017044"/>
    <n v="518.16351119939804"/>
    <n v="0"/>
    <x v="3"/>
    <d v="2022-12-29T00:00:00"/>
    <n v="1"/>
    <x v="31"/>
    <n v="1"/>
    <n v="13.94579233"/>
    <n v="7226.2007201704346"/>
    <n v="0"/>
    <s v="COIN"/>
    <s v="LONG"/>
    <s v="COIN LONG"/>
    <n v="7226.20072017044"/>
    <n v="518.16351119939804"/>
    <n v="0"/>
    <n v="0"/>
    <x v="0"/>
    <s v="MKR COIN LONG"/>
    <b v="1"/>
  </r>
  <r>
    <s v="BINANCE"/>
    <x v="9"/>
    <s v="OMG"/>
    <n v="24379.849819300001"/>
    <n v="24719.821273637201"/>
    <n v="1.0139447722958499"/>
    <n v="0"/>
    <x v="3"/>
    <d v="2022-12-29T00:00:00"/>
    <n v="1"/>
    <x v="6"/>
    <n v="1"/>
    <n v="24379.849819300001"/>
    <n v="24719.821273637157"/>
    <n v="0"/>
    <s v="COIN"/>
    <s v="LONG"/>
    <s v="COIN LONG"/>
    <n v="24719.821273637201"/>
    <n v="1.0139447722958499"/>
    <n v="0"/>
    <n v="0"/>
    <x v="0"/>
    <s v="OMG COIN LONG"/>
    <b v="1"/>
  </r>
  <r>
    <s v="BINANCE"/>
    <x v="9"/>
    <s v="OXT"/>
    <n v="490005.75941951998"/>
    <n v="34145.282761336799"/>
    <n v="6.9683431480043495E-2"/>
    <n v="0"/>
    <x v="3"/>
    <d v="2022-12-29T00:00:00"/>
    <n v="1"/>
    <x v="32"/>
    <n v="1"/>
    <n v="490005.75941951998"/>
    <n v="34145.282761336799"/>
    <n v="0"/>
    <s v="COIN"/>
    <s v="LONG"/>
    <s v="COIN LONG"/>
    <n v="34145.282761336799"/>
    <n v="6.9683431480043495E-2"/>
    <n v="0"/>
    <n v="0"/>
    <x v="0"/>
    <s v="OXT COIN LONG"/>
    <b v="1"/>
  </r>
  <r>
    <s v="BINANCE"/>
    <x v="9"/>
    <s v="SHIB"/>
    <n v="3817444774.3699999"/>
    <n v="30237.132725635602"/>
    <n v="7.9207780368284999E-6"/>
    <n v="0"/>
    <x v="3"/>
    <d v="2022-12-29T00:00:00"/>
    <n v="1"/>
    <x v="11"/>
    <n v="1"/>
    <n v="3817444774.3699999"/>
    <n v="30237.132725635624"/>
    <n v="0"/>
    <s v="COIN"/>
    <s v="LONG"/>
    <s v="COIN LONG"/>
    <n v="30237.132725635602"/>
    <n v="7.9207780368284999E-6"/>
    <n v="0"/>
    <n v="0"/>
    <x v="0"/>
    <s v="SHIB COIN LONG"/>
    <b v="1"/>
  </r>
  <r>
    <s v="BINANCE"/>
    <x v="9"/>
    <s v="SOL"/>
    <n v="5029.6837698099998"/>
    <n v="49069.1228400443"/>
    <n v="9.7559061534991791"/>
    <n v="0"/>
    <x v="3"/>
    <d v="2022-12-29T00:00:00"/>
    <n v="1"/>
    <x v="33"/>
    <n v="1"/>
    <n v="5029.6837698099998"/>
    <n v="49069.122840044329"/>
    <n v="0"/>
    <s v="COIN"/>
    <s v="LONG"/>
    <s v="COIN LONG"/>
    <n v="49069.1228400443"/>
    <n v="9.7559061534991791"/>
    <n v="0"/>
    <n v="0"/>
    <x v="0"/>
    <s v="SOL COIN LONG"/>
    <b v="1"/>
  </r>
  <r>
    <s v="BINANCE"/>
    <x v="9"/>
    <s v="SUSHI"/>
    <n v="19927.472019789999"/>
    <n v="19018.916589441102"/>
    <n v="0.95440688967237697"/>
    <n v="0"/>
    <x v="3"/>
    <d v="2022-12-29T00:00:00"/>
    <n v="1"/>
    <x v="34"/>
    <n v="1"/>
    <n v="19927.472019789999"/>
    <n v="19018.916589441091"/>
    <n v="0"/>
    <s v="COIN"/>
    <s v="LONG"/>
    <s v="COIN LONG"/>
    <n v="19018.916589441102"/>
    <n v="0.95440688967237697"/>
    <n v="0"/>
    <n v="0"/>
    <x v="0"/>
    <s v="SUSHI COIN LONG"/>
    <b v="1"/>
  </r>
  <r>
    <s v="BINANCE"/>
    <x v="9"/>
    <s v="UNI"/>
    <n v="5111.6053681599997"/>
    <n v="25438.575776613499"/>
    <n v="4.9766313994169904"/>
    <n v="0"/>
    <x v="3"/>
    <d v="2022-12-29T00:00:00"/>
    <n v="1"/>
    <x v="35"/>
    <n v="1"/>
    <n v="5111.6053681599997"/>
    <n v="25438.575776613499"/>
    <n v="0"/>
    <s v="COIN"/>
    <s v="LONG"/>
    <s v="COIN LONG"/>
    <n v="25438.575776613499"/>
    <n v="4.9766313994169904"/>
    <n v="0"/>
    <n v="0"/>
    <x v="0"/>
    <s v="UNI COIN LONG"/>
    <b v="1"/>
  </r>
  <r>
    <s v="BINANCE"/>
    <x v="9"/>
    <s v="USDT"/>
    <n v="500999.62422191998"/>
    <n v="500842.07544880803"/>
    <n v="0.99968553115512604"/>
    <n v="0"/>
    <x v="3"/>
    <d v="2022-12-29T00:00:00"/>
    <n v="1"/>
    <x v="36"/>
    <n v="1"/>
    <n v="500999.62422191998"/>
    <n v="500842.07544880861"/>
    <n v="0"/>
    <s v="COIN"/>
    <s v="LONG"/>
    <s v="COIN LONG"/>
    <n v="500842.07544880803"/>
    <n v="0.99968553115512604"/>
    <n v="0"/>
    <n v="0"/>
    <x v="0"/>
    <s v="USDT COIN LONG"/>
    <b v="1"/>
  </r>
  <r>
    <s v="BINANCE"/>
    <x v="9"/>
    <s v="XLM"/>
    <n v="878824.08497730002"/>
    <n v="63081.408332069601"/>
    <n v="7.1779334920820906E-2"/>
    <n v="0"/>
    <x v="3"/>
    <d v="2022-12-29T00:00:00"/>
    <n v="1"/>
    <x v="37"/>
    <n v="1"/>
    <n v="878824.08497730002"/>
    <n v="63081.408332069594"/>
    <n v="0"/>
    <s v="COIN"/>
    <s v="LONG"/>
    <s v="COIN LONG"/>
    <n v="63081.408332069601"/>
    <n v="7.1779334920820906E-2"/>
    <n v="0"/>
    <n v="0"/>
    <x v="0"/>
    <s v="XLM COIN LONG"/>
    <b v="1"/>
  </r>
  <r>
    <s v="BINANCE"/>
    <x v="9"/>
    <s v="XTZ"/>
    <n v="63087.228199999998"/>
    <n v="46516.108013771802"/>
    <n v="0.73733003241647999"/>
    <n v="0"/>
    <x v="3"/>
    <d v="2022-12-29T00:00:00"/>
    <n v="1"/>
    <x v="38"/>
    <n v="1"/>
    <n v="63087.228199999998"/>
    <n v="46516.108013771867"/>
    <n v="0"/>
    <s v="COIN"/>
    <s v="LONG"/>
    <s v="COIN LONG"/>
    <n v="46516.108013771802"/>
    <n v="0.73733003241647999"/>
    <n v="0"/>
    <n v="0"/>
    <x v="0"/>
    <s v="XTZ COIN LONG"/>
    <b v="1"/>
  </r>
  <r>
    <s v="BINANCE"/>
    <x v="9"/>
    <s v="YFI"/>
    <n v="4.7879999999999999E-2"/>
    <n v="250.54797377785999"/>
    <n v="5232.8315325367603"/>
    <n v="0"/>
    <x v="3"/>
    <d v="2022-12-29T00:00:00"/>
    <n v="1"/>
    <x v="39"/>
    <n v="1"/>
    <n v="4.7879999999999999E-2"/>
    <n v="250.54797377786008"/>
    <n v="0"/>
    <s v="COIN"/>
    <s v="LONG"/>
    <s v="COIN LONG"/>
    <n v="250.54797377785999"/>
    <n v="5232.8315325367603"/>
    <n v="0"/>
    <n v="0"/>
    <x v="0"/>
    <s v="YFI COIN LONG"/>
    <b v="1"/>
  </r>
  <r>
    <s v="BINANCE"/>
    <x v="0"/>
    <s v="BTC"/>
    <n v="831.09033343999999"/>
    <n v="13756682.3637893"/>
    <n v="16552.571736514401"/>
    <n v="0"/>
    <x v="3"/>
    <d v="2022-12-29T00:00:00"/>
    <n v="1"/>
    <x v="0"/>
    <n v="1"/>
    <n v="831.09033343999999"/>
    <n v="13756682.363789273"/>
    <n v="0"/>
    <s v="COIN"/>
    <s v="LONG"/>
    <s v="COIN LONG"/>
    <n v="13756682.3637893"/>
    <n v="16552.571736514401"/>
    <n v="0"/>
    <n v="0"/>
    <x v="0"/>
    <s v="BTC COIN LONG"/>
    <b v="1"/>
  </r>
  <r>
    <s v="BINANCE"/>
    <x v="0"/>
    <s v="BTC"/>
    <n v="33.211465330000003"/>
    <n v="549735.162349588"/>
    <n v="16552.571736514401"/>
    <n v="0"/>
    <x v="4"/>
    <d v="2022-12-29T00:00:00"/>
    <n v="1"/>
    <x v="0"/>
    <n v="1"/>
    <n v="33.211465330000003"/>
    <n v="549735.16234958603"/>
    <n v="0"/>
    <s v="COIN"/>
    <s v="LONG"/>
    <s v="COIN LONG"/>
    <n v="549735.162349588"/>
    <n v="16552.571736514401"/>
    <n v="0"/>
    <n v="0"/>
    <x v="0"/>
    <s v="BTC COIN LONG"/>
    <b v="1"/>
  </r>
  <r>
    <s v="BINANCE"/>
    <x v="0"/>
    <s v="ETH"/>
    <n v="6998.1760528799996"/>
    <n v="8327731.9473081902"/>
    <n v="1189.9860598507"/>
    <n v="0"/>
    <x v="3"/>
    <d v="2022-12-29T00:00:00"/>
    <n v="1"/>
    <x v="1"/>
    <n v="1"/>
    <n v="6998.1760528799996"/>
    <n v="8327731.9473081948"/>
    <n v="0"/>
    <s v="COIN"/>
    <s v="LONG"/>
    <s v="COIN LONG"/>
    <n v="8327731.9473081902"/>
    <n v="1189.9860598507"/>
    <n v="0"/>
    <n v="0"/>
    <x v="0"/>
    <s v="ETH COIN LONG"/>
    <b v="1"/>
  </r>
  <r>
    <s v="BINANCE"/>
    <x v="0"/>
    <s v="ETH"/>
    <n v="238.68175088999999"/>
    <n v="284027.956299857"/>
    <n v="1189.9860598507"/>
    <n v="0"/>
    <x v="4"/>
    <d v="2022-12-29T00:00:00"/>
    <n v="1"/>
    <x v="1"/>
    <n v="1"/>
    <n v="238.68175088999999"/>
    <n v="284027.95629985741"/>
    <n v="0"/>
    <s v="COIN"/>
    <s v="LONG"/>
    <s v="COIN LONG"/>
    <n v="284027.956299857"/>
    <n v="1189.9860598507"/>
    <n v="0"/>
    <n v="0"/>
    <x v="0"/>
    <s v="ETH COIN LONG"/>
    <b v="1"/>
  </r>
  <r>
    <s v="BINANCE"/>
    <x v="10"/>
    <s v="BNB"/>
    <n v="2399.8395297299999"/>
    <n v="585901.44598779804"/>
    <n v="244.14192646193899"/>
    <n v="0"/>
    <x v="3"/>
    <d v="2022-12-29T00:00:00"/>
    <n v="1"/>
    <x v="17"/>
    <n v="1"/>
    <n v="2399.8395297299999"/>
    <n v="585901.44598779583"/>
    <n v="0"/>
    <s v="COIN"/>
    <s v="LONG"/>
    <s v="COIN LONG"/>
    <n v="585901.44598779804"/>
    <n v="244.14192646193899"/>
    <n v="0"/>
    <n v="0"/>
    <x v="0"/>
    <s v="BNB COIN LONG"/>
    <b v="1"/>
  </r>
  <r>
    <s v="BINANCE"/>
    <x v="10"/>
    <s v="ETC"/>
    <n v="0.15721859999999999"/>
    <n v="2.3763658959916198"/>
    <n v="15.115042978322"/>
    <n v="0"/>
    <x v="3"/>
    <d v="2022-12-29T00:00:00"/>
    <n v="1"/>
    <x v="40"/>
    <n v="1"/>
    <n v="0.15721859999999999"/>
    <n v="2.376365895991615"/>
    <n v="0"/>
    <s v="COIN"/>
    <s v="LONG"/>
    <s v="COIN LONG"/>
    <n v="2.3763658959916198"/>
    <n v="15.115042978322"/>
    <n v="0"/>
    <n v="0"/>
    <x v="0"/>
    <s v="ETC COIN LONG"/>
    <b v="1"/>
  </r>
  <r>
    <s v="BINANCE"/>
    <x v="10"/>
    <s v="ETH"/>
    <n v="7574.2115000000003"/>
    <n v="9013206.0993608609"/>
    <n v="1189.9860598507"/>
    <n v="0"/>
    <x v="3"/>
    <d v="2022-12-29T00:00:00"/>
    <n v="1"/>
    <x v="1"/>
    <n v="1"/>
    <n v="7574.2115000000003"/>
    <n v="9013206.0993608609"/>
    <n v="0"/>
    <s v="COIN"/>
    <s v="LONG"/>
    <s v="COIN LONG"/>
    <n v="9013206.0993608609"/>
    <n v="1189.9860598507"/>
    <n v="0"/>
    <n v="0"/>
    <x v="0"/>
    <s v="ETH COIN LONG"/>
    <b v="1"/>
  </r>
  <r>
    <s v="BINANCE"/>
    <x v="10"/>
    <s v="USDT"/>
    <n v="6761187.5402121898"/>
    <n v="6759061.3573764404"/>
    <n v="0.99968553115512604"/>
    <n v="0"/>
    <x v="3"/>
    <d v="2022-12-29T00:00:00"/>
    <n v="1"/>
    <x v="36"/>
    <n v="1"/>
    <n v="6761187.5402121898"/>
    <n v="6759061.3573764432"/>
    <n v="0"/>
    <s v="COIN"/>
    <s v="LONG"/>
    <s v="COIN LONG"/>
    <n v="6759061.3573764404"/>
    <n v="0.99968553115512604"/>
    <n v="0"/>
    <n v="0"/>
    <x v="0"/>
    <s v="USDT COIN LONG"/>
    <b v="1"/>
  </r>
  <r>
    <s v="BINANCE"/>
    <x v="1"/>
    <s v="BNB"/>
    <n v="61.951416739999999"/>
    <n v="15124.938229949999"/>
    <n v="244.14192646193899"/>
    <n v="0"/>
    <x v="3"/>
    <d v="2022-12-29T00:00:00"/>
    <n v="1"/>
    <x v="17"/>
    <n v="1"/>
    <n v="61.951416739999999"/>
    <n v="15124.938229950016"/>
    <n v="0"/>
    <s v="COIN"/>
    <s v="LONG"/>
    <s v="COIN LONG"/>
    <n v="15124.938229949999"/>
    <n v="244.14192646193899"/>
    <n v="0"/>
    <n v="0"/>
    <x v="0"/>
    <s v="BNB COIN LONG"/>
    <b v="1"/>
  </r>
  <r>
    <s v="BINANCE"/>
    <x v="1"/>
    <s v="BUSD"/>
    <n v="21276000"/>
    <n v="21280123.1711087"/>
    <n v="1.0001937944683501"/>
    <n v="0"/>
    <x v="3"/>
    <d v="2022-12-29T00:00:00"/>
    <n v="1"/>
    <x v="18"/>
    <n v="1"/>
    <n v="21276000"/>
    <n v="21280123.171108618"/>
    <n v="0"/>
    <s v="COIN"/>
    <s v="LONG"/>
    <s v="COIN LONG"/>
    <n v="21280123.1711087"/>
    <n v="1.0001937944683501"/>
    <n v="0"/>
    <n v="0"/>
    <x v="0"/>
    <s v="BUSD COIN LONG"/>
    <b v="1"/>
  </r>
  <r>
    <s v="BINANCE"/>
    <x v="1"/>
    <s v="USDT"/>
    <n v="17830119.693761799"/>
    <n v="17824512.676617801"/>
    <n v="0.99968553115512604"/>
    <n v="0"/>
    <x v="3"/>
    <d v="2022-12-29T00:00:00"/>
    <n v="1"/>
    <x v="36"/>
    <n v="1"/>
    <n v="17830119.693761799"/>
    <n v="17824512.676617738"/>
    <n v="0"/>
    <s v="COIN"/>
    <s v="LONG"/>
    <s v="COIN LONG"/>
    <n v="17824512.676617801"/>
    <n v="0.99968553115512604"/>
    <n v="0"/>
    <n v="0"/>
    <x v="0"/>
    <s v="USDT COIN LONG"/>
    <b v="1"/>
  </r>
  <r>
    <s v="BINANCE"/>
    <x v="1"/>
    <s v="USDT"/>
    <n v="386107.45201524999"/>
    <n v="385986.03325081698"/>
    <n v="0.99968553115512604"/>
    <n v="0"/>
    <x v="4"/>
    <d v="2022-12-29T00:00:00"/>
    <n v="1"/>
    <x v="36"/>
    <n v="1"/>
    <n v="386107.45201524999"/>
    <n v="385986.03325081751"/>
    <n v="0"/>
    <s v="COIN"/>
    <s v="LONG"/>
    <s v="COIN LONG"/>
    <n v="385986.03325081698"/>
    <n v="0.99968553115512604"/>
    <n v="0"/>
    <n v="0"/>
    <x v="0"/>
    <s v="USDT COIN LONG"/>
    <b v="1"/>
  </r>
  <r>
    <s v="BINANCE"/>
    <x v="2"/>
    <s v="USDT"/>
    <n v="2013866.04534641"/>
    <n v="2013232.7472174"/>
    <n v="0.99968553115512604"/>
    <n v="0"/>
    <x v="3"/>
    <d v="2022-12-29T00:00:00"/>
    <n v="1"/>
    <x v="36"/>
    <n v="1"/>
    <n v="2013866.04534641"/>
    <n v="2013232.7472173991"/>
    <n v="0"/>
    <s v="COIN"/>
    <s v="LONG"/>
    <s v="COIN LONG"/>
    <n v="2013232.7472174"/>
    <n v="0.99968553115512604"/>
    <n v="0"/>
    <n v="0"/>
    <x v="0"/>
    <s v="USDT COIN LONG"/>
    <b v="1"/>
  </r>
  <r>
    <s v="BINANCE"/>
    <x v="2"/>
    <s v="USDT"/>
    <n v="-7731.80453313"/>
    <n v="-7729.3731214896798"/>
    <n v="0.99968553115512604"/>
    <n v="0"/>
    <x v="4"/>
    <d v="2022-12-29T00:00:00"/>
    <n v="1"/>
    <x v="36"/>
    <n v="1"/>
    <n v="-7731.80453313"/>
    <n v="-7729.3731214896752"/>
    <n v="0"/>
    <s v="COIN"/>
    <s v="SHORT"/>
    <s v="COIN SHORT"/>
    <n v="-7729.3731214896798"/>
    <n v="0.99968553115512604"/>
    <n v="0"/>
    <n v="0"/>
    <x v="0"/>
    <s v="USDT COIN SHORT"/>
    <b v="1"/>
  </r>
  <r>
    <s v="BTFX"/>
    <x v="11"/>
    <s v="BTC"/>
    <n v="7.9996000000000008E-3"/>
    <n v="132.413952863421"/>
    <n v="16552.571736514401"/>
    <n v="0"/>
    <x v="3"/>
    <d v="2022-12-29T00:00:00"/>
    <n v="1"/>
    <x v="0"/>
    <n v="1"/>
    <n v="7.9996000000000008E-3"/>
    <n v="132.4139528634206"/>
    <n v="0"/>
    <s v="COIN"/>
    <s v="LONG"/>
    <s v="COIN LONG"/>
    <n v="132.413952863421"/>
    <n v="16552.571736514401"/>
    <n v="0"/>
    <n v="0"/>
    <x v="5"/>
    <s v="BTC COIN LONG"/>
    <b v="0"/>
  </r>
  <r>
    <s v="BTFX"/>
    <x v="11"/>
    <s v="ETH"/>
    <n v="0.02"/>
    <n v="23.799721197014001"/>
    <n v="1189.9860598507"/>
    <n v="0"/>
    <x v="3"/>
    <d v="2022-12-29T00:00:00"/>
    <n v="1"/>
    <x v="1"/>
    <n v="1"/>
    <n v="0.02"/>
    <n v="23.799721197014001"/>
    <n v="0"/>
    <s v="COIN"/>
    <s v="LONG"/>
    <s v="COIN LONG"/>
    <n v="23.799721197014001"/>
    <n v="1189.9860598507"/>
    <n v="0"/>
    <n v="0"/>
    <x v="5"/>
    <s v="ETH COIN LONG"/>
    <b v="0"/>
  </r>
  <r>
    <s v="BTFX"/>
    <x v="11"/>
    <s v="ETHW"/>
    <n v="0.02"/>
    <n v="5.9188231869449902E-2"/>
    <n v="2.9594115934724901"/>
    <n v="0"/>
    <x v="3"/>
    <d v="2022-12-29T00:00:00"/>
    <n v="1"/>
    <x v="41"/>
    <n v="1"/>
    <n v="0.02"/>
    <n v="5.9188231869449805E-2"/>
    <n v="0"/>
    <s v="COIN"/>
    <s v="LONG"/>
    <s v="COIN LONG"/>
    <n v="5.9188231869449902E-2"/>
    <n v="2.9594115934724901"/>
    <n v="0"/>
    <n v="0"/>
    <x v="5"/>
    <s v="ETHW COIN LONG"/>
    <b v="0"/>
  </r>
  <r>
    <s v="BTFX"/>
    <x v="11"/>
    <s v="USD"/>
    <n v="2.755467E-2"/>
    <n v="2.755467E-2"/>
    <n v="1"/>
    <n v="0"/>
    <x v="3"/>
    <d v="2022-12-29T00:00:00"/>
    <n v="1"/>
    <x v="42"/>
    <n v="1"/>
    <n v="2.755467E-2"/>
    <n v="2.755467E-2"/>
    <n v="0"/>
    <s v="CASH"/>
    <s v="LONG"/>
    <s v="CASH LONG"/>
    <n v="2.755467E-2"/>
    <n v="1"/>
    <n v="0"/>
    <n v="0"/>
    <x v="5"/>
    <s v="USD CASH LONG"/>
    <b v="0"/>
  </r>
  <r>
    <s v="BTFX"/>
    <x v="11"/>
    <s v="UST"/>
    <n v="29.9885932"/>
    <n v="0"/>
    <n v="0"/>
    <n v="0"/>
    <x v="3"/>
    <d v="2022-12-29T00:00:00"/>
    <n v="1"/>
    <x v="43"/>
    <n v="1"/>
    <n v="29.9885932"/>
    <n v="0"/>
    <n v="0"/>
    <s v="COIN"/>
    <s v="SHORT"/>
    <s v="COIN SHORT"/>
    <n v="0"/>
    <n v="0"/>
    <n v="0"/>
    <n v="0"/>
    <x v="5"/>
    <s v="UST COIN SHORT"/>
    <b v="0"/>
  </r>
  <r>
    <s v="BTSE"/>
    <x v="12"/>
    <s v="BCH"/>
    <n v="0.21932823000000001"/>
    <n v="21.752265001773299"/>
    <n v="99.176768087597907"/>
    <n v="0"/>
    <x v="3"/>
    <d v="2022-12-28T00:05:26"/>
    <n v="1"/>
    <x v="4"/>
    <n v="1"/>
    <n v="0.21932823000000001"/>
    <n v="21.752265001773335"/>
    <n v="0"/>
    <s v="COIN"/>
    <s v="LONG"/>
    <s v="COIN LONG"/>
    <n v="21.752265001773299"/>
    <n v="99.176768087597907"/>
    <n v="0"/>
    <n v="0"/>
    <x v="6"/>
    <s v="BCH COIN LONG"/>
    <b v="1"/>
  </r>
  <r>
    <s v="BTSE"/>
    <x v="12"/>
    <s v="BTC"/>
    <n v="5.7861299999999997E-2"/>
    <n v="957.75331901798404"/>
    <n v="16552.571736514401"/>
    <n v="0"/>
    <x v="3"/>
    <d v="2022-12-28T00:05:27"/>
    <n v="1"/>
    <x v="0"/>
    <n v="1"/>
    <n v="5.7861299999999997E-2"/>
    <n v="957.75331901798063"/>
    <n v="0"/>
    <s v="COIN"/>
    <s v="LONG"/>
    <s v="COIN LONG"/>
    <n v="957.75331901798404"/>
    <n v="16552.571736514401"/>
    <n v="0"/>
    <n v="0"/>
    <x v="6"/>
    <s v="BTC COIN LONG"/>
    <b v="1"/>
  </r>
  <r>
    <s v="BTSE"/>
    <x v="12"/>
    <s v="ETH"/>
    <n v="0.73541904000000002"/>
    <n v="875.13840574878395"/>
    <n v="1189.9860598507"/>
    <n v="0"/>
    <x v="3"/>
    <d v="2022-12-28T00:05:27"/>
    <n v="1"/>
    <x v="1"/>
    <n v="1"/>
    <n v="0.73541904000000002"/>
    <n v="875.13840574878441"/>
    <n v="0"/>
    <s v="COIN"/>
    <s v="LONG"/>
    <s v="COIN LONG"/>
    <n v="875.13840574878395"/>
    <n v="1189.9860598507"/>
    <n v="0"/>
    <n v="0"/>
    <x v="6"/>
    <s v="ETH COIN LONG"/>
    <b v="1"/>
  </r>
  <r>
    <s v="BTSE"/>
    <x v="12"/>
    <s v="SGB"/>
    <n v="22277.5319929"/>
    <n v="223.81408498233"/>
    <n v="1.0046628372194E-2"/>
    <n v="0"/>
    <x v="3"/>
    <d v="2022-12-28T00:05:28"/>
    <n v="1"/>
    <x v="44"/>
    <n v="1"/>
    <n v="22277.5319929"/>
    <n v="223.81408498232867"/>
    <n v="0"/>
    <s v="COIN"/>
    <s v="LONG"/>
    <s v="COIN LONG"/>
    <n v="223.81408498233"/>
    <n v="1.0046628372194E-2"/>
    <n v="0"/>
    <n v="0"/>
    <x v="6"/>
    <s v="SGB COIN LONG"/>
    <b v="1"/>
  </r>
  <r>
    <s v="BTSE"/>
    <x v="12"/>
    <s v="USD"/>
    <n v="114736.84"/>
    <n v="114736.84"/>
    <n v="1"/>
    <n v="0"/>
    <x v="3"/>
    <d v="2022-12-28T00:05:29"/>
    <n v="1"/>
    <x v="42"/>
    <n v="1"/>
    <n v="114736.84"/>
    <n v="114736.84"/>
    <n v="0"/>
    <s v="CASH"/>
    <s v="LONG"/>
    <s v="CASH LONG"/>
    <n v="114736.84"/>
    <n v="1"/>
    <n v="0"/>
    <n v="0"/>
    <x v="6"/>
    <s v="USD CASH LONG"/>
    <b v="1"/>
  </r>
  <r>
    <s v="BTSE"/>
    <x v="12"/>
    <s v="XRP"/>
    <n v="116647.68407285"/>
    <n v="41588.477415008201"/>
    <n v="0.35653067393121102"/>
    <n v="0"/>
    <x v="3"/>
    <d v="2022-12-28T00:05:30"/>
    <n v="1"/>
    <x v="45"/>
    <n v="1"/>
    <n v="116647.68407285"/>
    <n v="41588.477415008201"/>
    <n v="0"/>
    <s v="COIN"/>
    <s v="LONG"/>
    <s v="COIN LONG"/>
    <n v="41588.477415008201"/>
    <n v="0.35653067393121102"/>
    <n v="0"/>
    <n v="0"/>
    <x v="6"/>
    <s v="XRP COIN LONG"/>
    <b v="1"/>
  </r>
  <r>
    <s v="BULL"/>
    <x v="13"/>
    <s v="BTC"/>
    <n v="2289.3328295599999"/>
    <n v="37894345.890049502"/>
    <n v="16552.571736514401"/>
    <n v="0"/>
    <x v="3"/>
    <d v="2022-12-29T00:00:00"/>
    <n v="1"/>
    <x v="0"/>
    <n v="1"/>
    <n v="2289.3328295599999"/>
    <n v="37894345.890049398"/>
    <n v="0"/>
    <s v="COIN"/>
    <s v="LONG"/>
    <s v="COIN LONG"/>
    <n v="37894345.890049502"/>
    <n v="16552.571736514401"/>
    <n v="0"/>
    <n v="0"/>
    <x v="7"/>
    <s v="BTC COIN LONG"/>
    <b v="1"/>
  </r>
  <r>
    <s v="BULL"/>
    <x v="13"/>
    <s v="USD"/>
    <n v="40996230.723200001"/>
    <n v="40996230.723200001"/>
    <n v="1"/>
    <n v="0"/>
    <x v="3"/>
    <d v="2022-12-29T00:00:00"/>
    <n v="1"/>
    <x v="42"/>
    <n v="1"/>
    <n v="40996230.723200001"/>
    <n v="40996230.723200001"/>
    <n v="0"/>
    <s v="CASH"/>
    <s v="LONG"/>
    <s v="CASH LONG"/>
    <n v="40996230.723200001"/>
    <n v="1"/>
    <n v="0"/>
    <n v="0"/>
    <x v="7"/>
    <s v="USD CASH LONG"/>
    <b v="1"/>
  </r>
  <r>
    <s v="BULL"/>
    <x v="13"/>
    <s v="USDC"/>
    <n v="111.8"/>
    <n v="111.82070447760201"/>
    <n v="1.0001851921073499"/>
    <n v="0"/>
    <x v="3"/>
    <d v="2022-12-29T00:00:00"/>
    <n v="1"/>
    <x v="46"/>
    <n v="1"/>
    <n v="111.8"/>
    <n v="111.82070447760172"/>
    <n v="0"/>
    <s v="COIN"/>
    <s v="LONG"/>
    <s v="COIN LONG"/>
    <n v="111.82070447760201"/>
    <n v="1.0001851921073499"/>
    <n v="0"/>
    <n v="0"/>
    <x v="7"/>
    <s v="USDC COIN LONG"/>
    <b v="1"/>
  </r>
  <r>
    <s v="BULL"/>
    <x v="14"/>
    <s v="EOS"/>
    <n v="3751023.9454999999"/>
    <n v="3267352.5660131699"/>
    <n v="0.87105617385698697"/>
    <n v="0"/>
    <x v="3"/>
    <d v="2022-12-29T00:00:00"/>
    <n v="1"/>
    <x v="3"/>
    <n v="1"/>
    <n v="3751023.9454999999"/>
    <n v="3267352.566013169"/>
    <n v="0"/>
    <s v="COIN"/>
    <s v="LONG"/>
    <s v="COIN LONG"/>
    <n v="3267352.5660131699"/>
    <n v="0.87105617385698697"/>
    <n v="0"/>
    <n v="0"/>
    <x v="7"/>
    <s v="EOS COIN LONG"/>
    <b v="1"/>
  </r>
  <r>
    <s v="BULL"/>
    <x v="14"/>
    <s v="LINK"/>
    <n v="80893.328767839994"/>
    <n v="459226.279350236"/>
    <n v="5.67693635983498"/>
    <n v="0"/>
    <x v="3"/>
    <d v="2022-12-29T00:00:00"/>
    <n v="1"/>
    <x v="9"/>
    <n v="1"/>
    <n v="80893.328767839994"/>
    <n v="459226.27935023583"/>
    <n v="0"/>
    <s v="COIN"/>
    <s v="LONG"/>
    <s v="COIN LONG"/>
    <n v="459226.279350236"/>
    <n v="5.67693635983498"/>
    <n v="0"/>
    <n v="0"/>
    <x v="7"/>
    <s v="LINK COIN LONG"/>
    <b v="1"/>
  </r>
  <r>
    <s v="BULL"/>
    <x v="14"/>
    <s v="LTC"/>
    <n v="5451.4804892000002"/>
    <n v="361646.11433261901"/>
    <n v="66.339064232015801"/>
    <n v="0"/>
    <x v="3"/>
    <d v="2022-12-29T00:00:00"/>
    <n v="1"/>
    <x v="5"/>
    <n v="1"/>
    <n v="5451.4804892000002"/>
    <n v="361646.11433261971"/>
    <n v="0"/>
    <s v="COIN"/>
    <s v="LONG"/>
    <s v="COIN LONG"/>
    <n v="361646.11433261901"/>
    <n v="66.339064232015801"/>
    <n v="0"/>
    <n v="0"/>
    <x v="7"/>
    <s v="LTC COIN LONG"/>
    <b v="1"/>
  </r>
  <r>
    <s v="BULL"/>
    <x v="14"/>
    <s v="USD"/>
    <n v="4601230.3028999995"/>
    <n v="4601230.3028999995"/>
    <n v="1"/>
    <n v="0"/>
    <x v="3"/>
    <d v="2022-12-29T00:00:00"/>
    <n v="1"/>
    <x v="42"/>
    <n v="1"/>
    <n v="4601230.3028999995"/>
    <n v="4601230.3028999995"/>
    <n v="0"/>
    <s v="CASH"/>
    <s v="LONG"/>
    <s v="CASH LONG"/>
    <n v="4601230.3028999995"/>
    <n v="1"/>
    <n v="0"/>
    <n v="0"/>
    <x v="7"/>
    <s v="USD CASH LONG"/>
    <b v="1"/>
  </r>
  <r>
    <s v="BULL"/>
    <x v="14"/>
    <s v="USDC"/>
    <n v="10.7"/>
    <n v="10.7019815555487"/>
    <n v="1.0001851921073499"/>
    <n v="0"/>
    <x v="3"/>
    <d v="2022-12-29T00:00:00"/>
    <n v="1"/>
    <x v="46"/>
    <n v="1"/>
    <n v="10.7"/>
    <n v="10.701981555548643"/>
    <n v="0"/>
    <s v="COIN"/>
    <s v="LONG"/>
    <s v="COIN LONG"/>
    <n v="10.7019815555487"/>
    <n v="1.0001851921073499"/>
    <n v="0"/>
    <n v="0"/>
    <x v="7"/>
    <s v="USDC COIN LONG"/>
    <b v="1"/>
  </r>
  <r>
    <s v="BULL"/>
    <x v="15"/>
    <s v="ETH"/>
    <n v="16074.66658442"/>
    <n v="19128629.152207602"/>
    <n v="1189.9860598507"/>
    <n v="0"/>
    <x v="3"/>
    <d v="2022-12-29T00:00:00"/>
    <n v="1"/>
    <x v="1"/>
    <n v="1"/>
    <n v="16074.66658442"/>
    <n v="19128629.152207665"/>
    <n v="0"/>
    <s v="COIN"/>
    <s v="LONG"/>
    <s v="COIN LONG"/>
    <n v="19128629.152207602"/>
    <n v="1189.9860598507"/>
    <n v="0"/>
    <n v="0"/>
    <x v="7"/>
    <s v="ETH COIN LONG"/>
    <b v="1"/>
  </r>
  <r>
    <s v="BULL"/>
    <x v="15"/>
    <s v="USD"/>
    <n v="7012148.6149000004"/>
    <n v="7012148.6149000004"/>
    <n v="1"/>
    <n v="0"/>
    <x v="3"/>
    <d v="2022-12-29T00:00:00"/>
    <n v="1"/>
    <x v="42"/>
    <n v="1"/>
    <n v="7012148.6149000004"/>
    <n v="7012148.6149000004"/>
    <n v="0"/>
    <s v="CASH"/>
    <s v="LONG"/>
    <s v="CASH LONG"/>
    <n v="7012148.6149000004"/>
    <n v="1"/>
    <n v="0"/>
    <n v="0"/>
    <x v="7"/>
    <s v="USD CASH LONG"/>
    <b v="1"/>
  </r>
  <r>
    <s v="BULL"/>
    <x v="15"/>
    <s v="USDC"/>
    <n v="10.6"/>
    <n v="10.601963036338001"/>
    <n v="1.0001851921073499"/>
    <n v="0"/>
    <x v="3"/>
    <d v="2022-12-29T00:00:00"/>
    <n v="1"/>
    <x v="46"/>
    <n v="1"/>
    <n v="10.6"/>
    <n v="10.601963036337908"/>
    <n v="0"/>
    <s v="COIN"/>
    <s v="LONG"/>
    <s v="COIN LONG"/>
    <n v="10.601963036338001"/>
    <n v="1.0001851921073499"/>
    <n v="0"/>
    <n v="0"/>
    <x v="7"/>
    <s v="USDC COIN LONG"/>
    <b v="1"/>
  </r>
  <r>
    <s v="BULL"/>
    <x v="16"/>
    <s v="BTC"/>
    <n v="68.343843379999996"/>
    <n v="1131266.37029655"/>
    <n v="16552.571736514401"/>
    <n v="0"/>
    <x v="3"/>
    <d v="2022-12-29T00:00:00"/>
    <n v="1"/>
    <x v="0"/>
    <n v="1"/>
    <n v="68.343843379999996"/>
    <n v="1131266.3702965549"/>
    <n v="0"/>
    <s v="COIN"/>
    <s v="LONG"/>
    <s v="COIN LONG"/>
    <n v="1131266.37029655"/>
    <n v="16552.571736514401"/>
    <n v="0"/>
    <n v="0"/>
    <x v="7"/>
    <s v="BTC COIN LONG"/>
    <b v="1"/>
  </r>
  <r>
    <s v="BULL"/>
    <x v="16"/>
    <s v="ETH"/>
    <n v="1068.9380113899999"/>
    <n v="1272021.33239862"/>
    <n v="1189.9860598507"/>
    <n v="0"/>
    <x v="3"/>
    <d v="2022-12-29T00:00:00"/>
    <n v="1"/>
    <x v="1"/>
    <n v="1"/>
    <n v="1068.9380113899999"/>
    <n v="1272021.3323986288"/>
    <n v="0"/>
    <s v="COIN"/>
    <s v="LONG"/>
    <s v="COIN LONG"/>
    <n v="1272021.33239862"/>
    <n v="1189.9860598507"/>
    <n v="0"/>
    <n v="0"/>
    <x v="7"/>
    <s v="ETH COIN LONG"/>
    <b v="1"/>
  </r>
  <r>
    <s v="BULL"/>
    <x v="16"/>
    <s v="USDC"/>
    <n v="0.5"/>
    <n v="0.50009259605367895"/>
    <n v="1.0001851921073499"/>
    <n v="0"/>
    <x v="3"/>
    <d v="2022-12-29T00:00:00"/>
    <n v="1"/>
    <x v="46"/>
    <n v="1"/>
    <n v="0.5"/>
    <n v="0.50009259605367495"/>
    <n v="0"/>
    <s v="COIN"/>
    <s v="LONG"/>
    <s v="COIN LONG"/>
    <n v="0.50009259605367895"/>
    <n v="1.0001851921073499"/>
    <n v="0"/>
    <n v="0"/>
    <x v="7"/>
    <s v="USDC COIN LONG"/>
    <b v="1"/>
  </r>
  <r>
    <s v="DEFI"/>
    <x v="17"/>
    <s v="CRV"/>
    <n v="0.26739257999999999"/>
    <n v="0.136276594014341"/>
    <n v="0.50964987141506002"/>
    <n v="0"/>
    <x v="3"/>
    <d v="2022-12-29T00:00:00"/>
    <n v="1"/>
    <x v="19"/>
    <n v="1"/>
    <n v="0.26739257999999999"/>
    <n v="0.13627659401434114"/>
    <n v="0"/>
    <s v="COIN"/>
    <s v="LONG"/>
    <s v="COIN LONG"/>
    <n v="0.136276594014341"/>
    <n v="0.50964987141506002"/>
    <n v="0"/>
    <n v="0"/>
    <x v="8"/>
    <s v="CRV COIN LONG"/>
    <b v="0"/>
  </r>
  <r>
    <s v="DEFI"/>
    <x v="17"/>
    <s v="CRV"/>
    <n v="9.7777784299999997"/>
    <n v="4.98324351957445"/>
    <n v="0.50964987141506002"/>
    <n v="0"/>
    <x v="3"/>
    <d v="2022-12-29T00:00:00"/>
    <n v="1"/>
    <x v="19"/>
    <n v="1"/>
    <n v="9.7777784299999997"/>
    <n v="4.9832435195744473"/>
    <n v="0"/>
    <s v="COIN"/>
    <s v="LONG"/>
    <s v="COIN LONG"/>
    <n v="4.98324351957445"/>
    <n v="0.50964987141506002"/>
    <n v="0"/>
    <n v="0"/>
    <x v="8"/>
    <s v="CRV COIN LONG"/>
    <b v="0"/>
  </r>
  <r>
    <s v="DEFI"/>
    <x v="17"/>
    <s v="CVX"/>
    <n v="2.861884E-2"/>
    <n v="9.1589557850763004E-2"/>
    <n v="3.2003239072849499"/>
    <n v="0"/>
    <x v="3"/>
    <d v="2022-12-29T00:00:00"/>
    <n v="1"/>
    <x v="47"/>
    <n v="1"/>
    <n v="2.861884E-2"/>
    <n v="9.1589557850762809E-2"/>
    <n v="0"/>
    <s v="COIN"/>
    <s v="LONG"/>
    <s v="COIN LONG"/>
    <n v="9.1589557850763004E-2"/>
    <n v="3.2003239072849499"/>
    <n v="0"/>
    <n v="0"/>
    <x v="8"/>
    <s v="CVX COIN LONG"/>
    <b v="0"/>
  </r>
  <r>
    <s v="DEFI"/>
    <x v="17"/>
    <s v="ETH"/>
    <n v="3.67060545"/>
    <n v="4367.9693167120004"/>
    <n v="1189.9860598507"/>
    <n v="0"/>
    <x v="3"/>
    <d v="2022-12-29T00:00:00"/>
    <n v="1"/>
    <x v="1"/>
    <n v="1"/>
    <n v="3.67060545"/>
    <n v="4367.9693167120058"/>
    <n v="0"/>
    <s v="COIN"/>
    <s v="LONG"/>
    <s v="COIN LONG"/>
    <n v="4367.9693167120004"/>
    <n v="1189.9860598507"/>
    <n v="0"/>
    <n v="0"/>
    <x v="8"/>
    <s v="ETH COIN LONG"/>
    <b v="0"/>
  </r>
  <r>
    <s v="DEFI"/>
    <x v="17"/>
    <s v="USDC"/>
    <n v="13972.219738"/>
    <n v="13974.807282817699"/>
    <n v="1.0001851921073499"/>
    <n v="0"/>
    <x v="3"/>
    <d v="2022-12-29T00:00:00"/>
    <n v="1"/>
    <x v="46"/>
    <n v="1"/>
    <n v="13972.219738"/>
    <n v="13974.807282817635"/>
    <n v="0"/>
    <s v="COIN"/>
    <s v="LONG"/>
    <s v="COIN LONG"/>
    <n v="13974.807282817699"/>
    <n v="1.0001851921073499"/>
    <n v="0"/>
    <n v="0"/>
    <x v="8"/>
    <s v="USDC COIN LONG"/>
    <b v="0"/>
  </r>
  <r>
    <s v="DEFI"/>
    <x v="18"/>
    <s v="$ PLEASE VISIT ACADY.SITE TO RECEIVE REWARD."/>
    <n v="180000"/>
    <n v="0"/>
    <n v="0"/>
    <n v="0"/>
    <x v="3"/>
    <d v="2022-12-29T00:00:00"/>
    <n v="1"/>
    <x v="48"/>
    <n v="1"/>
    <n v="180000"/>
    <n v="0"/>
    <n v="0"/>
    <s v="COIN"/>
    <s v="SHORT"/>
    <s v="COIN SHORT"/>
    <n v="0"/>
    <n v="0"/>
    <n v="0"/>
    <n v="0"/>
    <x v="8"/>
    <s v="$ PLEASE VISIT ACADY.SITE TO RECEIVE REWARD. COIN SHORT"/>
    <b v="0"/>
  </r>
  <r>
    <s v="DEFI"/>
    <x v="18"/>
    <s v="$ USDCBONUS.COM &lt;- VISIT TO CLAIM BONUS"/>
    <n v="7000"/>
    <n v="0"/>
    <n v="0"/>
    <n v="0"/>
    <x v="3"/>
    <d v="2022-12-29T00:00:00"/>
    <n v="1"/>
    <x v="49"/>
    <n v="1"/>
    <n v="7000"/>
    <n v="0"/>
    <n v="0"/>
    <s v="COIN"/>
    <s v="SHORT"/>
    <s v="COIN SHORT"/>
    <n v="0"/>
    <n v="0"/>
    <n v="0"/>
    <n v="0"/>
    <x v="8"/>
    <s v="$ USDCBONUS.COM &lt;- VISIT TO CLAIM BONUS COIN SHORT"/>
    <b v="0"/>
  </r>
  <r>
    <s v="DEFI"/>
    <x v="18"/>
    <s v="$ USDCGIFT.COM &lt;- VISIT TO CLAIM BONUS"/>
    <n v="7000"/>
    <n v="0"/>
    <n v="0"/>
    <n v="0"/>
    <x v="3"/>
    <d v="2022-12-29T00:00:00"/>
    <n v="1"/>
    <x v="50"/>
    <n v="1"/>
    <n v="7000"/>
    <n v="0"/>
    <n v="0"/>
    <s v="COIN"/>
    <s v="SHORT"/>
    <s v="COIN SHORT"/>
    <n v="0"/>
    <n v="0"/>
    <n v="0"/>
    <n v="0"/>
    <x v="8"/>
    <s v="$ USDCGIFT.COM &lt;- VISIT TO CLAIM BONUS COIN SHORT"/>
    <b v="0"/>
  </r>
  <r>
    <s v="DEFI"/>
    <x v="18"/>
    <s v="$ USDCXMAS.COM &lt;- VISIT TO CLAIM GIFT"/>
    <n v="7000"/>
    <n v="0"/>
    <n v="0"/>
    <n v="0"/>
    <x v="3"/>
    <d v="2022-12-29T00:00:00"/>
    <n v="1"/>
    <x v="51"/>
    <n v="1"/>
    <n v="7000"/>
    <n v="0"/>
    <n v="0"/>
    <s v="COIN"/>
    <s v="SHORT"/>
    <s v="COIN SHORT"/>
    <n v="0"/>
    <n v="0"/>
    <n v="0"/>
    <n v="0"/>
    <x v="8"/>
    <s v="$ USDCXMAS.COM &lt;- VISIT TO CLAIM GIFT COIN SHORT"/>
    <b v="0"/>
  </r>
  <r>
    <s v="DEFI"/>
    <x v="18"/>
    <s v="927$ VISIT AUSDBONUS.COM TO CLAIM"/>
    <n v="8"/>
    <n v="0"/>
    <n v="0"/>
    <n v="0"/>
    <x v="3"/>
    <d v="2022-12-29T00:00:00"/>
    <n v="1"/>
    <x v="52"/>
    <n v="1"/>
    <n v="8"/>
    <n v="0"/>
    <n v="0"/>
    <s v="COIN"/>
    <s v="SHORT"/>
    <s v="COIN SHORT"/>
    <n v="0"/>
    <n v="0"/>
    <n v="0"/>
    <n v="0"/>
    <x v="8"/>
    <s v="927$ VISIT AUSDBONUS.COM TO CLAIM COIN SHORT"/>
    <b v="0"/>
  </r>
  <r>
    <s v="DEFI"/>
    <x v="18"/>
    <s v="AAVE"/>
    <n v="230.62351240000001"/>
    <n v="12395.381073908"/>
    <n v="53.747256491389997"/>
    <n v="0"/>
    <x v="3"/>
    <d v="2022-12-29T00:00:00"/>
    <n v="1"/>
    <x v="12"/>
    <n v="1"/>
    <n v="230.62351240000001"/>
    <n v="12395.381073908062"/>
    <n v="0"/>
    <s v="COIN"/>
    <s v="LONG"/>
    <s v="COIN LONG"/>
    <n v="12395.381073908"/>
    <n v="53.747256491389997"/>
    <n v="0"/>
    <n v="0"/>
    <x v="8"/>
    <s v="AAVE COIN LONG"/>
    <b v="0"/>
  </r>
  <r>
    <s v="DEFI"/>
    <x v="18"/>
    <s v="AVAX"/>
    <n v="69.006194350000001"/>
    <n v="773.07043589060004"/>
    <n v="11.2029136394564"/>
    <n v="0"/>
    <x v="3"/>
    <d v="2022-12-29T00:00:00"/>
    <n v="1"/>
    <x v="15"/>
    <n v="1"/>
    <n v="69.006194350000001"/>
    <n v="773.07043589059413"/>
    <n v="0"/>
    <s v="COIN"/>
    <s v="LONG"/>
    <s v="COIN LONG"/>
    <n v="773.07043589060004"/>
    <n v="11.2029136394564"/>
    <n v="0"/>
    <n v="0"/>
    <x v="8"/>
    <s v="AVAX COIN LONG"/>
    <b v="0"/>
  </r>
  <r>
    <s v="DEFI"/>
    <x v="18"/>
    <s v="BONUS. VISIT HTTPS://BITBONUS.TECH TO CLAIM REWARD."/>
    <n v="25"/>
    <n v="0"/>
    <n v="0"/>
    <n v="0"/>
    <x v="3"/>
    <d v="2022-12-29T00:00:00"/>
    <n v="1"/>
    <x v="53"/>
    <n v="1"/>
    <n v="25"/>
    <n v="0"/>
    <n v="0"/>
    <s v="COIN"/>
    <s v="SHORT"/>
    <s v="COIN SHORT"/>
    <n v="0"/>
    <n v="0"/>
    <n v="0"/>
    <n v="0"/>
    <x v="8"/>
    <s v="BONUS. VISIT HTTPS://BITBONUS.TECH TO CLAIM REWARD. COIN SHORT"/>
    <b v="0"/>
  </r>
  <r>
    <s v="DEFI"/>
    <x v="18"/>
    <s v="ETH"/>
    <n v="16.8835707"/>
    <n v="20091.213773503699"/>
    <n v="1189.9860598507"/>
    <n v="0"/>
    <x v="3"/>
    <d v="2022-12-29T00:00:00"/>
    <n v="1"/>
    <x v="1"/>
    <n v="1"/>
    <n v="16.8835707"/>
    <n v="20091.213773503725"/>
    <n v="0"/>
    <s v="COIN"/>
    <s v="LONG"/>
    <s v="COIN LONG"/>
    <n v="20091.213773503699"/>
    <n v="1189.9860598507"/>
    <n v="0"/>
    <n v="0"/>
    <x v="8"/>
    <s v="ETH COIN LONG"/>
    <b v="0"/>
  </r>
  <r>
    <s v="DEFI"/>
    <x v="18"/>
    <s v="INVITATION TOKEN. PLEASE VISIT HTTPS://AAKER.SITE AND CLAIM REWARDS."/>
    <n v="480000"/>
    <n v="0"/>
    <n v="0"/>
    <n v="0"/>
    <x v="3"/>
    <d v="2022-12-29T00:00:00"/>
    <n v="1"/>
    <x v="54"/>
    <n v="1"/>
    <n v="480000"/>
    <n v="0"/>
    <n v="0"/>
    <s v="COIN"/>
    <s v="SHORT"/>
    <s v="COIN SHORT"/>
    <n v="0"/>
    <n v="0"/>
    <n v="0"/>
    <n v="0"/>
    <x v="8"/>
    <s v="INVITATION TOKEN. PLEASE VISIT HTTPS://AAKER.SITE AND CLAIM REWARDS. COIN SHORT"/>
    <b v="0"/>
  </r>
  <r>
    <s v="DEFI"/>
    <x v="18"/>
    <s v="OAAVEUSDC/AAVE-02DEC22-67.5C"/>
    <n v="34311.93215886"/>
    <n v="0"/>
    <n v="0"/>
    <n v="0"/>
    <x v="3"/>
    <d v="2022-12-29T00:00:00"/>
    <n v="1"/>
    <x v="55"/>
    <n v="1"/>
    <n v="34311.93215886"/>
    <n v="0"/>
    <n v="0"/>
    <s v="COIN"/>
    <s v="SHORT"/>
    <s v="COIN SHORT"/>
    <n v="0"/>
    <n v="0"/>
    <n v="0"/>
    <n v="0"/>
    <x v="8"/>
    <s v="OAAVEUSDC/AAVE-02DEC22-67.5C COIN SHORT"/>
    <b v="0"/>
  </r>
  <r>
    <s v="DEFI"/>
    <x v="18"/>
    <s v="OAAVEUSDC/AAVE-16DEC22-72.5C"/>
    <n v="33793.379334129997"/>
    <n v="0"/>
    <n v="0"/>
    <n v="0"/>
    <x v="3"/>
    <d v="2022-12-29T00:00:00"/>
    <n v="1"/>
    <x v="56"/>
    <n v="1"/>
    <n v="33793.379334129997"/>
    <n v="0"/>
    <n v="0"/>
    <s v="COIN"/>
    <s v="SHORT"/>
    <s v="COIN SHORT"/>
    <n v="0"/>
    <n v="0"/>
    <n v="0"/>
    <n v="0"/>
    <x v="8"/>
    <s v="OAAVEUSDC/AAVE-16DEC22-72.5C COIN SHORT"/>
    <b v="0"/>
  </r>
  <r>
    <s v="DEFI"/>
    <x v="18"/>
    <s v="OAAVEUSDC/AAVE-25NOV22-72.5C"/>
    <n v="33991.374100820001"/>
    <n v="0"/>
    <n v="0"/>
    <n v="0"/>
    <x v="3"/>
    <d v="2022-12-29T00:00:00"/>
    <n v="1"/>
    <x v="57"/>
    <n v="1"/>
    <n v="33991.374100820001"/>
    <n v="0"/>
    <n v="0"/>
    <s v="COIN"/>
    <s v="SHORT"/>
    <s v="COIN SHORT"/>
    <n v="0"/>
    <n v="0"/>
    <n v="0"/>
    <n v="0"/>
    <x v="8"/>
    <s v="OAAVEUSDC/AAVE-25NOV22-72.5C COIN SHORT"/>
    <b v="0"/>
  </r>
  <r>
    <s v="DEFI"/>
    <x v="18"/>
    <s v="OWAVAXUSDC.E/WAVAX-09DEC22-15.5C"/>
    <n v="29214.150499390002"/>
    <n v="0"/>
    <n v="0"/>
    <n v="0"/>
    <x v="3"/>
    <d v="2022-12-29T00:00:00"/>
    <n v="1"/>
    <x v="58"/>
    <n v="1"/>
    <n v="29214.150499390002"/>
    <n v="0"/>
    <n v="0"/>
    <s v="COIN"/>
    <s v="SHORT"/>
    <s v="COIN SHORT"/>
    <n v="0"/>
    <n v="0"/>
    <n v="0"/>
    <n v="0"/>
    <x v="8"/>
    <s v="OWAVAXUSDC.E/WAVAX-09DEC22-15.5C COIN SHORT"/>
    <b v="0"/>
  </r>
  <r>
    <s v="DEFI"/>
    <x v="18"/>
    <s v="OWAVAXUSDC.E/WAVAX-16DEC22-15.25C"/>
    <n v="20213.414599259999"/>
    <n v="0"/>
    <n v="0"/>
    <n v="0"/>
    <x v="3"/>
    <d v="2022-12-29T00:00:00"/>
    <n v="1"/>
    <x v="59"/>
    <n v="1"/>
    <n v="20213.414599259999"/>
    <n v="0"/>
    <n v="0"/>
    <s v="COIN"/>
    <s v="SHORT"/>
    <s v="COIN SHORT"/>
    <n v="0"/>
    <n v="0"/>
    <n v="0"/>
    <n v="0"/>
    <x v="8"/>
    <s v="OWAVAXUSDC.E/WAVAX-16DEC22-15.25C COIN SHORT"/>
    <b v="0"/>
  </r>
  <r>
    <s v="DEFI"/>
    <x v="18"/>
    <s v="OWAVAXUSDC.E/WAVAX-25NOV22-15.5C"/>
    <n v="31925.004081070001"/>
    <n v="0"/>
    <n v="0"/>
    <n v="0"/>
    <x v="3"/>
    <d v="2022-12-29T00:00:00"/>
    <n v="1"/>
    <x v="60"/>
    <n v="1"/>
    <n v="31925.004081070001"/>
    <n v="0"/>
    <n v="0"/>
    <s v="COIN"/>
    <s v="SHORT"/>
    <s v="COIN SHORT"/>
    <n v="0"/>
    <n v="0"/>
    <n v="0"/>
    <n v="0"/>
    <x v="8"/>
    <s v="OWAVAXUSDC.E/WAVAX-25NOV22-15.5C COIN SHORT"/>
    <b v="0"/>
  </r>
  <r>
    <s v="DEFI"/>
    <x v="18"/>
    <s v="OWAVAXUSDC.E/WAVAX-30DEC22-13.25C"/>
    <n v="17599.94336709"/>
    <n v="0"/>
    <n v="0"/>
    <n v="0"/>
    <x v="3"/>
    <d v="2022-12-29T00:00:00"/>
    <n v="1"/>
    <x v="61"/>
    <n v="1"/>
    <n v="17599.94336709"/>
    <n v="0"/>
    <n v="0"/>
    <s v="COIN"/>
    <s v="SHORT"/>
    <s v="COIN SHORT"/>
    <n v="0"/>
    <n v="0"/>
    <n v="0"/>
    <n v="0"/>
    <x v="8"/>
    <s v="OWAVAXUSDC.E/WAVAX-30DEC22-13.25C COIN SHORT"/>
    <b v="0"/>
  </r>
  <r>
    <s v="DEFI"/>
    <x v="18"/>
    <s v="OWETHUSDC/WETH-09DEC22-1450C"/>
    <n v="2698"/>
    <n v="0"/>
    <n v="0"/>
    <n v="0"/>
    <x v="3"/>
    <d v="2022-12-29T00:00:00"/>
    <n v="1"/>
    <x v="62"/>
    <n v="1"/>
    <n v="2698"/>
    <n v="0"/>
    <n v="0"/>
    <s v="COIN"/>
    <s v="SHORT"/>
    <s v="COIN SHORT"/>
    <n v="0"/>
    <n v="0"/>
    <n v="0"/>
    <n v="0"/>
    <x v="8"/>
    <s v="OWETHUSDC/WETH-09DEC22-1450C COIN SHORT"/>
    <b v="0"/>
  </r>
  <r>
    <s v="DEFI"/>
    <x v="18"/>
    <s v="OWETHUSDC/WETH-16DEC22-1450C"/>
    <n v="2891"/>
    <n v="0"/>
    <n v="0"/>
    <n v="0"/>
    <x v="3"/>
    <d v="2022-12-29T00:00:00"/>
    <n v="1"/>
    <x v="63"/>
    <n v="1"/>
    <n v="2891"/>
    <n v="0"/>
    <n v="0"/>
    <s v="COIN"/>
    <s v="SHORT"/>
    <s v="COIN SHORT"/>
    <n v="0"/>
    <n v="0"/>
    <n v="0"/>
    <n v="0"/>
    <x v="8"/>
    <s v="OWETHUSDC/WETH-16DEC22-1450C COIN SHORT"/>
    <b v="0"/>
  </r>
  <r>
    <s v="DEFI"/>
    <x v="18"/>
    <s v="OWETHUSDC/WETH-25NOV22-1400C"/>
    <n v="2904"/>
    <n v="0"/>
    <n v="0"/>
    <n v="0"/>
    <x v="3"/>
    <d v="2022-12-29T00:00:00"/>
    <n v="1"/>
    <x v="64"/>
    <n v="1"/>
    <n v="2904"/>
    <n v="0"/>
    <n v="0"/>
    <s v="COIN"/>
    <s v="SHORT"/>
    <s v="COIN SHORT"/>
    <n v="0"/>
    <n v="0"/>
    <n v="0"/>
    <n v="0"/>
    <x v="8"/>
    <s v="OWETHUSDC/WETH-25NOV22-1400C COIN SHORT"/>
    <b v="0"/>
  </r>
  <r>
    <s v="DEFI"/>
    <x v="18"/>
    <s v="OWETHUSDC/WETH-30DEC22-1350C"/>
    <n v="3047"/>
    <n v="0"/>
    <n v="0"/>
    <n v="0"/>
    <x v="3"/>
    <d v="2022-12-29T00:00:00"/>
    <n v="1"/>
    <x v="65"/>
    <n v="1"/>
    <n v="3047"/>
    <n v="0"/>
    <n v="0"/>
    <s v="COIN"/>
    <s v="SHORT"/>
    <s v="COIN SHORT"/>
    <n v="0"/>
    <n v="0"/>
    <n v="0"/>
    <n v="0"/>
    <x v="8"/>
    <s v="OWETHUSDC/WETH-30DEC22-1350C COIN SHORT"/>
    <b v="0"/>
  </r>
  <r>
    <s v="DEFI"/>
    <x v="18"/>
    <s v="OWETHUSDC/WSTETH-02DEC22-1350C"/>
    <n v="9472.1338239899997"/>
    <n v="0"/>
    <n v="0"/>
    <n v="0"/>
    <x v="3"/>
    <d v="2022-12-29T00:00:00"/>
    <n v="1"/>
    <x v="66"/>
    <n v="1"/>
    <n v="9472.1338239899997"/>
    <n v="0"/>
    <n v="0"/>
    <s v="COIN"/>
    <s v="SHORT"/>
    <s v="COIN SHORT"/>
    <n v="0"/>
    <n v="0"/>
    <n v="0"/>
    <n v="0"/>
    <x v="8"/>
    <s v="OWETHUSDC/WSTETH-02DEC22-1350C COIN SHORT"/>
    <b v="0"/>
  </r>
  <r>
    <s v="DEFI"/>
    <x v="18"/>
    <s v="OWETHUSDC/WSTETH-04NOV22-1700C"/>
    <n v="5625.02729593"/>
    <n v="0"/>
    <n v="0"/>
    <n v="0"/>
    <x v="3"/>
    <d v="2022-12-29T00:00:00"/>
    <n v="1"/>
    <x v="67"/>
    <n v="1"/>
    <n v="5625.02729593"/>
    <n v="0"/>
    <n v="0"/>
    <s v="COIN"/>
    <s v="SHORT"/>
    <s v="COIN SHORT"/>
    <n v="0"/>
    <n v="0"/>
    <n v="0"/>
    <n v="0"/>
    <x v="8"/>
    <s v="OWETHUSDC/WSTETH-04NOV22-1700C COIN SHORT"/>
    <b v="0"/>
  </r>
  <r>
    <s v="DEFI"/>
    <x v="18"/>
    <s v="OWETHUSDC/WSTETH-09SEP22-1900C"/>
    <n v="5968"/>
    <n v="0"/>
    <n v="0"/>
    <n v="0"/>
    <x v="3"/>
    <d v="2022-12-29T00:00:00"/>
    <n v="1"/>
    <x v="68"/>
    <n v="1"/>
    <n v="5968"/>
    <n v="0"/>
    <n v="0"/>
    <s v="COIN"/>
    <s v="SHORT"/>
    <s v="COIN SHORT"/>
    <n v="0"/>
    <n v="0"/>
    <n v="0"/>
    <n v="0"/>
    <x v="8"/>
    <s v="OWETHUSDC/WSTETH-09SEP22-1900C COIN SHORT"/>
    <b v="0"/>
  </r>
  <r>
    <s v="DEFI"/>
    <x v="18"/>
    <s v="OWETHUSDC/WSTETH-30DEC22-1350C"/>
    <n v="4006"/>
    <n v="0"/>
    <n v="0"/>
    <n v="0"/>
    <x v="3"/>
    <d v="2022-12-29T00:00:00"/>
    <n v="1"/>
    <x v="69"/>
    <n v="1"/>
    <n v="4006"/>
    <n v="0"/>
    <n v="0"/>
    <s v="COIN"/>
    <s v="SHORT"/>
    <s v="COIN SHORT"/>
    <n v="0"/>
    <n v="0"/>
    <n v="0"/>
    <n v="0"/>
    <x v="8"/>
    <s v="OWETHUSDC/WSTETH-30DEC22-1350C COIN SHORT"/>
    <b v="0"/>
  </r>
  <r>
    <s v="DEFI"/>
    <x v="18"/>
    <s v="USDC"/>
    <n v="60000"/>
    <n v="60011.111526441498"/>
    <n v="1.0001851921073499"/>
    <n v="0"/>
    <x v="3"/>
    <d v="2022-12-29T00:00:00"/>
    <n v="1"/>
    <x v="46"/>
    <n v="1"/>
    <n v="60000"/>
    <n v="60011.111526440996"/>
    <n v="0"/>
    <s v="COIN"/>
    <s v="LONG"/>
    <s v="COIN LONG"/>
    <n v="60011.111526441498"/>
    <n v="1.0001851921073499"/>
    <n v="0"/>
    <n v="0"/>
    <x v="8"/>
    <s v="USDC COIN LONG"/>
    <b v="0"/>
  </r>
  <r>
    <s v="DEFI"/>
    <x v="18"/>
    <s v="WAVAX"/>
    <n v="114.12301664"/>
    <n v="1276.8465949670899"/>
    <n v="11.1883354695652"/>
    <n v="0"/>
    <x v="3"/>
    <d v="2022-12-29T00:00:00"/>
    <n v="1"/>
    <x v="70"/>
    <n v="1"/>
    <n v="114.12301664"/>
    <n v="1276.8465949670915"/>
    <n v="0"/>
    <s v="COIN"/>
    <s v="LONG"/>
    <s v="COIN LONG"/>
    <n v="1276.8465949670899"/>
    <n v="11.1883354695652"/>
    <n v="0"/>
    <n v="0"/>
    <x v="8"/>
    <s v="WAVAX COIN LONG"/>
    <b v="0"/>
  </r>
  <r>
    <s v="DEFI"/>
    <x v="18"/>
    <s v="WETH"/>
    <n v="136.77629367"/>
    <n v="162734.33005632099"/>
    <n v="1189.7846161042301"/>
    <n v="0"/>
    <x v="3"/>
    <d v="2022-12-29T00:00:00"/>
    <n v="1"/>
    <x v="71"/>
    <n v="1"/>
    <n v="136.77629367"/>
    <n v="162734.33005632038"/>
    <n v="0"/>
    <s v="COIN"/>
    <s v="LONG"/>
    <s v="COIN LONG"/>
    <n v="162734.33005632099"/>
    <n v="1189.7846161042301"/>
    <n v="0"/>
    <n v="0"/>
    <x v="8"/>
    <s v="WETH COIN LONG"/>
    <b v="0"/>
  </r>
  <r>
    <s v="DEFI"/>
    <x v="19"/>
    <s v="CRV"/>
    <n v="476.20216979999998"/>
    <n v="242.696374606142"/>
    <n v="0.50964987141506002"/>
    <n v="0"/>
    <x v="3"/>
    <d v="2022-12-29T00:00:00"/>
    <n v="1"/>
    <x v="19"/>
    <n v="1"/>
    <n v="476.20216979999998"/>
    <n v="242.69637460614257"/>
    <n v="0"/>
    <s v="COIN"/>
    <s v="LONG"/>
    <s v="COIN LONG"/>
    <n v="242.696374606142"/>
    <n v="0.50964987141506002"/>
    <n v="0"/>
    <n v="0"/>
    <x v="8"/>
    <s v="CRV COIN LONG"/>
    <b v="0"/>
  </r>
  <r>
    <s v="DEFI"/>
    <x v="19"/>
    <s v="CRV"/>
    <n v="4430.1716789800003"/>
    <n v="2257.83642653879"/>
    <n v="0.50964987141506002"/>
    <n v="0"/>
    <x v="3"/>
    <d v="2022-12-29T00:00:00"/>
    <n v="1"/>
    <x v="19"/>
    <n v="1"/>
    <n v="4430.1716789800003"/>
    <n v="2257.8364265387977"/>
    <n v="0"/>
    <s v="COIN"/>
    <s v="LONG"/>
    <s v="COIN LONG"/>
    <n v="2257.83642653879"/>
    <n v="0.50964987141506002"/>
    <n v="0"/>
    <n v="0"/>
    <x v="8"/>
    <s v="CRV COIN LONG"/>
    <b v="0"/>
  </r>
  <r>
    <s v="DEFI"/>
    <x v="19"/>
    <s v="CVX"/>
    <n v="16.304168019999999"/>
    <n v="52.178618702796797"/>
    <n v="3.2003239072849499"/>
    <n v="0"/>
    <x v="3"/>
    <d v="2022-12-29T00:00:00"/>
    <n v="1"/>
    <x v="47"/>
    <n v="1"/>
    <n v="16.304168019999999"/>
    <n v="52.178618702796719"/>
    <n v="0"/>
    <s v="COIN"/>
    <s v="LONG"/>
    <s v="COIN LONG"/>
    <n v="52.178618702796797"/>
    <n v="3.2003239072849499"/>
    <n v="0"/>
    <n v="0"/>
    <x v="8"/>
    <s v="CVX COIN LONG"/>
    <b v="0"/>
  </r>
  <r>
    <s v="DEFI"/>
    <x v="19"/>
    <s v="DAI"/>
    <n v="127741.16973301"/>
    <n v="127745.19504049599"/>
    <n v="1.0000315114343701"/>
    <n v="0"/>
    <x v="3"/>
    <d v="2022-12-29T00:00:00"/>
    <n v="1"/>
    <x v="72"/>
    <n v="1"/>
    <n v="127741.16973301"/>
    <n v="127745.1950404964"/>
    <n v="0"/>
    <s v="COIN"/>
    <s v="LONG"/>
    <s v="COIN LONG"/>
    <n v="127745.19504049599"/>
    <n v="1.0000315114343701"/>
    <n v="0"/>
    <n v="0"/>
    <x v="8"/>
    <s v="DAI COIN LONG"/>
    <b v="0"/>
  </r>
  <r>
    <s v="DEFI"/>
    <x v="19"/>
    <s v="ETH"/>
    <n v="0.55668739"/>
    <n v="662.45023379467"/>
    <n v="1189.9860598507"/>
    <n v="0"/>
    <x v="3"/>
    <d v="2022-12-29T00:00:00"/>
    <n v="1"/>
    <x v="1"/>
    <n v="1"/>
    <n v="0.55668739"/>
    <n v="662.45023379467"/>
    <n v="0"/>
    <s v="COIN"/>
    <s v="LONG"/>
    <s v="COIN LONG"/>
    <n v="662.45023379467"/>
    <n v="1189.9860598507"/>
    <n v="0"/>
    <n v="0"/>
    <x v="8"/>
    <s v="ETH COIN LONG"/>
    <b v="0"/>
  </r>
  <r>
    <s v="DEFI"/>
    <x v="19"/>
    <s v="MIM"/>
    <n v="497873.03434188"/>
    <n v="497470.25402106199"/>
    <n v="0.99919099791907695"/>
    <n v="0"/>
    <x v="3"/>
    <d v="2022-12-29T00:00:00"/>
    <n v="1"/>
    <x v="73"/>
    <n v="1"/>
    <n v="497873.03434188"/>
    <n v="497470.25402106193"/>
    <n v="0"/>
    <s v="COIN"/>
    <s v="LONG"/>
    <s v="COIN LONG"/>
    <n v="497470.25402106199"/>
    <n v="0.99919099791907695"/>
    <n v="0"/>
    <n v="0"/>
    <x v="8"/>
    <s v="MIM COIN LONG"/>
    <b v="0"/>
  </r>
  <r>
    <s v="DEFI"/>
    <x v="19"/>
    <s v="USDC"/>
    <n v="127568.1192903"/>
    <n v="127591.743899143"/>
    <n v="1.0001851921073499"/>
    <n v="0"/>
    <x v="3"/>
    <d v="2022-12-29T00:00:00"/>
    <n v="1"/>
    <x v="46"/>
    <n v="1"/>
    <n v="127568.1192903"/>
    <n v="127591.74389914203"/>
    <n v="0"/>
    <s v="COIN"/>
    <s v="LONG"/>
    <s v="COIN LONG"/>
    <n v="127591.743899143"/>
    <n v="1.0001851921073499"/>
    <n v="0"/>
    <n v="0"/>
    <x v="8"/>
    <s v="USDC COIN LONG"/>
    <b v="0"/>
  </r>
  <r>
    <s v="DEFI"/>
    <x v="19"/>
    <s v="USDC"/>
    <n v="538.74281099999996"/>
    <n v="538.84258191649303"/>
    <n v="1.0001851921073499"/>
    <n v="0"/>
    <x v="3"/>
    <d v="2022-12-29T00:00:00"/>
    <n v="1"/>
    <x v="46"/>
    <n v="1"/>
    <n v="538.74281099999996"/>
    <n v="538.84258191648871"/>
    <n v="0"/>
    <s v="COIN"/>
    <s v="LONG"/>
    <s v="COIN LONG"/>
    <n v="538.84258191649303"/>
    <n v="1.0001851921073499"/>
    <n v="0"/>
    <n v="0"/>
    <x v="8"/>
    <s v="USDC COIN LONG"/>
    <b v="0"/>
  </r>
  <r>
    <s v="DEFI"/>
    <x v="19"/>
    <s v="USDT"/>
    <n v="253222.66899936"/>
    <n v="253143.038359144"/>
    <n v="0.99968553115512604"/>
    <n v="0"/>
    <x v="3"/>
    <d v="2022-12-29T00:00:00"/>
    <n v="1"/>
    <x v="36"/>
    <n v="1"/>
    <n v="253222.66899936"/>
    <n v="253143.03835914386"/>
    <n v="0"/>
    <s v="COIN"/>
    <s v="LONG"/>
    <s v="COIN LONG"/>
    <n v="253143.038359144"/>
    <n v="0.99968553115512604"/>
    <n v="0"/>
    <n v="0"/>
    <x v="8"/>
    <s v="USDT COIN LONG"/>
    <b v="0"/>
  </r>
  <r>
    <s v="DEFI"/>
    <x v="20"/>
    <s v="ETH"/>
    <n v="2.34866376"/>
    <n v="2794.8771336765299"/>
    <n v="1189.9860598507"/>
    <n v="0"/>
    <x v="3"/>
    <d v="2022-12-29T00:00:00"/>
    <n v="1"/>
    <x v="1"/>
    <n v="1"/>
    <n v="2.34866376"/>
    <n v="2794.8771336765303"/>
    <n v="0"/>
    <s v="COIN"/>
    <s v="LONG"/>
    <s v="COIN LONG"/>
    <n v="2794.8771336765299"/>
    <n v="1189.9860598507"/>
    <n v="0"/>
    <n v="0"/>
    <x v="8"/>
    <s v="ETH COIN LONG"/>
    <b v="0"/>
  </r>
  <r>
    <s v="DEFI"/>
    <x v="21"/>
    <s v="ETH"/>
    <n v="9.8779060000000002E-2"/>
    <n v="117.54570440515501"/>
    <n v="1189.9860598507"/>
    <n v="0"/>
    <x v="3"/>
    <d v="2022-12-29T00:00:00"/>
    <n v="1"/>
    <x v="1"/>
    <n v="1"/>
    <n v="9.8779060000000002E-2"/>
    <n v="117.54570440515589"/>
    <n v="0"/>
    <s v="COIN"/>
    <s v="LONG"/>
    <s v="COIN LONG"/>
    <n v="117.54570440515501"/>
    <n v="1189.9860598507"/>
    <n v="0"/>
    <n v="0"/>
    <x v="8"/>
    <s v="ETH COIN LONG"/>
    <b v="0"/>
  </r>
  <r>
    <s v="DEFI"/>
    <x v="21"/>
    <s v="OBALUSDC/BAL-30DEC22-7.6C"/>
    <n v="196525.25441796001"/>
    <n v="0"/>
    <n v="0"/>
    <n v="0"/>
    <x v="3"/>
    <d v="2022-12-29T00:00:00"/>
    <n v="1"/>
    <x v="74"/>
    <n v="1"/>
    <n v="196525.25441796001"/>
    <n v="0"/>
    <n v="0"/>
    <s v="COIN"/>
    <s v="SHORT"/>
    <s v="COIN SHORT"/>
    <n v="0"/>
    <n v="0"/>
    <n v="0"/>
    <n v="0"/>
    <x v="8"/>
    <s v="OBALUSDC/BAL-30DEC22-7.6C COIN SHORT"/>
    <b v="0"/>
  </r>
  <r>
    <s v="DEFI"/>
    <x v="21"/>
    <s v="OPERPUSDC/PERP-30DEC22-0.54C"/>
    <n v="201000.92417708001"/>
    <n v="0"/>
    <n v="0"/>
    <n v="0"/>
    <x v="3"/>
    <d v="2022-12-29T00:00:00"/>
    <n v="1"/>
    <x v="75"/>
    <n v="1"/>
    <n v="201000.92417708001"/>
    <n v="0"/>
    <n v="0"/>
    <s v="COIN"/>
    <s v="SHORT"/>
    <s v="COIN SHORT"/>
    <n v="0"/>
    <n v="0"/>
    <n v="0"/>
    <n v="0"/>
    <x v="8"/>
    <s v="OPERPUSDC/PERP-30DEC22-0.54C COIN SHORT"/>
    <b v="0"/>
  </r>
  <r>
    <s v="DEFI"/>
    <x v="21"/>
    <s v="OSPELLUSDC/SPELL-30DEC22-0.00079C"/>
    <n v="100050250.667"/>
    <n v="0"/>
    <n v="0"/>
    <n v="0"/>
    <x v="3"/>
    <d v="2022-12-29T00:00:00"/>
    <n v="1"/>
    <x v="76"/>
    <n v="1"/>
    <n v="100050250.667"/>
    <n v="0"/>
    <n v="0"/>
    <s v="COIN"/>
    <s v="SHORT"/>
    <s v="COIN SHORT"/>
    <n v="0"/>
    <n v="0"/>
    <n v="0"/>
    <n v="0"/>
    <x v="8"/>
    <s v="OSPELLUSDC/SPELL-30DEC22-0.00079C COIN SHORT"/>
    <b v="0"/>
  </r>
  <r>
    <s v="DEFI"/>
    <x v="22"/>
    <s v="CRV"/>
    <n v="395.08932167"/>
    <n v="201.357221986578"/>
    <n v="0.50964987141506002"/>
    <n v="0"/>
    <x v="3"/>
    <d v="2022-12-29T00:00:00"/>
    <n v="1"/>
    <x v="19"/>
    <n v="1"/>
    <n v="395.08932167"/>
    <n v="201.35722198657879"/>
    <n v="0"/>
    <s v="COIN"/>
    <s v="LONG"/>
    <s v="COIN LONG"/>
    <n v="201.357221986578"/>
    <n v="0.50964987141506002"/>
    <n v="0"/>
    <n v="0"/>
    <x v="8"/>
    <s v="CRV COIN LONG"/>
    <b v="0"/>
  </r>
  <r>
    <s v="DEFI"/>
    <x v="22"/>
    <s v="CRV"/>
    <n v="4191.2598645099997"/>
    <n v="2136.0750510146199"/>
    <n v="0.50964987141506002"/>
    <n v="0"/>
    <x v="3"/>
    <d v="2022-12-29T00:00:00"/>
    <n v="1"/>
    <x v="19"/>
    <n v="1"/>
    <n v="4191.2598645099997"/>
    <n v="2136.0750510146231"/>
    <n v="0"/>
    <s v="COIN"/>
    <s v="LONG"/>
    <s v="COIN LONG"/>
    <n v="2136.0750510146199"/>
    <n v="0.50964987141506002"/>
    <n v="0"/>
    <n v="0"/>
    <x v="8"/>
    <s v="CRV COIN LONG"/>
    <b v="0"/>
  </r>
  <r>
    <s v="DEFI"/>
    <x v="22"/>
    <s v="CVX"/>
    <n v="25.49761144"/>
    <n v="81.600615470094397"/>
    <n v="3.2003239072849499"/>
    <n v="0"/>
    <x v="3"/>
    <d v="2022-12-29T00:00:00"/>
    <n v="1"/>
    <x v="47"/>
    <n v="1"/>
    <n v="25.49761144"/>
    <n v="81.60061547009424"/>
    <n v="0"/>
    <s v="COIN"/>
    <s v="LONG"/>
    <s v="COIN LONG"/>
    <n v="81.600615470094397"/>
    <n v="3.2003239072849499"/>
    <n v="0"/>
    <n v="0"/>
    <x v="8"/>
    <s v="CVX COIN LONG"/>
    <b v="0"/>
  </r>
  <r>
    <s v="DEFI"/>
    <x v="22"/>
    <s v="CVX"/>
    <n v="149.91908660999999"/>
    <n v="479.789637036307"/>
    <n v="3.2003239072849499"/>
    <n v="0"/>
    <x v="3"/>
    <d v="2022-12-28T16:00:00"/>
    <n v="1"/>
    <x v="47"/>
    <n v="1"/>
    <n v="149.91908660999999"/>
    <n v="479.78963703630598"/>
    <n v="0"/>
    <s v="COIN"/>
    <s v="LONG"/>
    <s v="COIN LONG"/>
    <n v="479.789637036307"/>
    <n v="3.2003239072849499"/>
    <n v="0"/>
    <n v="0"/>
    <x v="8"/>
    <s v="CVX COIN LONG"/>
    <b v="0"/>
  </r>
  <r>
    <s v="DEFI"/>
    <x v="22"/>
    <s v="ETH"/>
    <n v="866.44719166000004"/>
    <n v="1031060.07967218"/>
    <n v="1189.9860598507"/>
    <n v="0"/>
    <x v="3"/>
    <d v="2022-12-29T00:00:00"/>
    <n v="1"/>
    <x v="1"/>
    <n v="1"/>
    <n v="866.44719166000004"/>
    <n v="1031060.0796721878"/>
    <n v="0"/>
    <s v="COIN"/>
    <s v="LONG"/>
    <s v="COIN LONG"/>
    <n v="1031060.07967218"/>
    <n v="1189.9860598507"/>
    <n v="0"/>
    <n v="0"/>
    <x v="8"/>
    <s v="ETH COIN LONG"/>
    <b v="0"/>
  </r>
  <r>
    <s v="DEFI"/>
    <x v="22"/>
    <s v="ETH"/>
    <n v="3.3424618599999998"/>
    <n v="3977.4830189826398"/>
    <n v="1189.9860598507"/>
    <n v="0"/>
    <x v="3"/>
    <d v="2022-12-29T00:00:00"/>
    <n v="1"/>
    <x v="1"/>
    <n v="1"/>
    <n v="3.3424618599999998"/>
    <n v="3977.4830189826421"/>
    <n v="0"/>
    <s v="COIN"/>
    <s v="LONG"/>
    <s v="COIN LONG"/>
    <n v="3977.4830189826398"/>
    <n v="1189.9860598507"/>
    <n v="0"/>
    <n v="0"/>
    <x v="8"/>
    <s v="ETH COIN LONG"/>
    <b v="0"/>
  </r>
  <r>
    <s v="DEFI"/>
    <x v="22"/>
    <s v="ETH"/>
    <n v="1128.0908940100001"/>
    <n v="1342412.43811641"/>
    <n v="1189.9860598507"/>
    <n v="0"/>
    <x v="3"/>
    <d v="2022-12-29T00:00:00"/>
    <n v="1"/>
    <x v="1"/>
    <n v="1"/>
    <n v="1128.0908940100001"/>
    <n v="1342412.4381164135"/>
    <n v="0"/>
    <s v="COIN"/>
    <s v="LONG"/>
    <s v="COIN LONG"/>
    <n v="1342412.43811641"/>
    <n v="1189.9860598507"/>
    <n v="0"/>
    <n v="0"/>
    <x v="8"/>
    <s v="ETH COIN LONG"/>
    <b v="0"/>
  </r>
  <r>
    <s v="DEFI"/>
    <x v="22"/>
    <s v="FXS"/>
    <n v="35.99397398"/>
    <n v="154.95413519253901"/>
    <n v="4.3050021450434901"/>
    <n v="0"/>
    <x v="3"/>
    <d v="2022-12-29T00:00:00"/>
    <n v="1"/>
    <x v="77"/>
    <n v="1"/>
    <n v="35.99397398"/>
    <n v="154.95413519253958"/>
    <n v="0"/>
    <s v="COIN"/>
    <s v="LONG"/>
    <s v="COIN LONG"/>
    <n v="154.95413519253901"/>
    <n v="4.3050021450434901"/>
    <n v="0"/>
    <n v="0"/>
    <x v="8"/>
    <s v="FXS COIN LONG"/>
    <b v="0"/>
  </r>
  <r>
    <s v="DEFI"/>
    <x v="22"/>
    <s v="FXS"/>
    <n v="296.85191938999998"/>
    <n v="1277.9481497342199"/>
    <n v="4.3050021450434901"/>
    <n v="0"/>
    <x v="3"/>
    <d v="2022-12-29T00:00:00"/>
    <n v="1"/>
    <x v="77"/>
    <n v="1"/>
    <n v="296.85191938999998"/>
    <n v="1277.9481497342272"/>
    <n v="0"/>
    <s v="COIN"/>
    <s v="LONG"/>
    <s v="COIN LONG"/>
    <n v="1277.9481497342199"/>
    <n v="4.3050021450434901"/>
    <n v="0"/>
    <n v="0"/>
    <x v="8"/>
    <s v="FXS COIN LONG"/>
    <b v="0"/>
  </r>
  <r>
    <s v="DEFI"/>
    <x v="23"/>
    <s v="USDC"/>
    <n v="12003888.248129001"/>
    <n v="12006111.273490099"/>
    <n v="1.0001851921073499"/>
    <n v="0"/>
    <x v="3"/>
    <d v="2022-12-29T00:00:00"/>
    <n v="1"/>
    <x v="46"/>
    <n v="1"/>
    <n v="12003888.248129001"/>
    <n v="12006111.273490064"/>
    <n v="0"/>
    <s v="COIN"/>
    <s v="LONG"/>
    <s v="COIN LONG"/>
    <n v="12006111.273490099"/>
    <n v="1.0001851921073499"/>
    <n v="0"/>
    <n v="0"/>
    <x v="8"/>
    <s v="USDC COIN LONG"/>
    <b v="0"/>
  </r>
  <r>
    <s v="DYDX"/>
    <x v="3"/>
    <s v="USDC"/>
    <n v="20282.812747"/>
    <n v="20286.5689638357"/>
    <n v="1.0001851921073499"/>
    <n v="0"/>
    <x v="3"/>
    <d v="2022-12-29T00:00:00"/>
    <n v="1"/>
    <x v="46"/>
    <n v="1"/>
    <n v="20282.812747"/>
    <n v="20286.568963835602"/>
    <n v="0"/>
    <s v="COIN"/>
    <s v="LONG"/>
    <s v="COIN LONG"/>
    <n v="20286.5689638357"/>
    <n v="1.0001851921073499"/>
    <n v="0"/>
    <n v="0"/>
    <x v="1"/>
    <s v="USDC COIN LONG"/>
    <b v="1"/>
  </r>
  <r>
    <s v="HUOBI"/>
    <x v="24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9"/>
    <s v="ADA COIN LONG"/>
    <b v="0"/>
  </r>
  <r>
    <s v="HUOBI"/>
    <x v="24"/>
    <s v="BCH"/>
    <n v="4.9999999999999998E-8"/>
    <n v="4.9588384043798899E-6"/>
    <n v="99.176768087597907"/>
    <n v="0"/>
    <x v="3"/>
    <d v="2022-12-29T00:00:00"/>
    <n v="1"/>
    <x v="4"/>
    <n v="1"/>
    <n v="4.9999999999999998E-8"/>
    <n v="4.958838404379895E-6"/>
    <n v="0"/>
    <s v="COIN"/>
    <s v="LONG"/>
    <s v="COIN LONG"/>
    <n v="4.9588384043798899E-6"/>
    <n v="99.176768087597907"/>
    <n v="0"/>
    <n v="0"/>
    <x v="9"/>
    <s v="BCH COIN LONG"/>
    <b v="0"/>
  </r>
  <r>
    <s v="HUOBI"/>
    <x v="24"/>
    <s v="BSV"/>
    <n v="0.47315189000000002"/>
    <n v="19.166778415005101"/>
    <n v="40.508722082892"/>
    <n v="0"/>
    <x v="3"/>
    <d v="2022-12-29T00:00:00"/>
    <n v="1"/>
    <x v="78"/>
    <n v="1"/>
    <n v="0.47315189000000002"/>
    <n v="19.166778415005087"/>
    <n v="0"/>
    <s v="COIN"/>
    <s v="LONG"/>
    <s v="COIN LONG"/>
    <n v="19.166778415005101"/>
    <n v="40.508722082892"/>
    <n v="0"/>
    <n v="0"/>
    <x v="9"/>
    <s v="BSV COIN LONG"/>
    <b v="0"/>
  </r>
  <r>
    <s v="HUOBI"/>
    <x v="24"/>
    <s v="BTC"/>
    <n v="4.0000000000000001E-8"/>
    <n v="6.6210286946057897E-4"/>
    <n v="16552.571736514401"/>
    <n v="0"/>
    <x v="3"/>
    <d v="2022-12-29T00:00:00"/>
    <n v="1"/>
    <x v="0"/>
    <n v="1"/>
    <n v="4.0000000000000001E-8"/>
    <n v="6.6210286946057604E-4"/>
    <n v="0"/>
    <s v="COIN"/>
    <s v="LONG"/>
    <s v="COIN LONG"/>
    <n v="6.6210286946057897E-4"/>
    <n v="16552.571736514401"/>
    <n v="0"/>
    <n v="0"/>
    <x v="9"/>
    <s v="BTC COIN LONG"/>
    <b v="0"/>
  </r>
  <r>
    <s v="HUOBI"/>
    <x v="24"/>
    <s v="EOS"/>
    <n v="2.9999999999999997E-8"/>
    <n v="2.61316852157096E-8"/>
    <n v="0.87105617385698697"/>
    <n v="0"/>
    <x v="3"/>
    <d v="2022-12-29T00:00:00"/>
    <n v="1"/>
    <x v="3"/>
    <n v="1"/>
    <n v="2.9999999999999997E-8"/>
    <n v="2.6131685215709607E-8"/>
    <n v="0"/>
    <s v="COIN"/>
    <s v="LONG"/>
    <s v="COIN LONG"/>
    <n v="2.61316852157096E-8"/>
    <n v="0.87105617385698697"/>
    <n v="0"/>
    <n v="0"/>
    <x v="9"/>
    <s v="EOS COIN LONG"/>
    <b v="0"/>
  </r>
  <r>
    <s v="HUOBI"/>
    <x v="24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9"/>
    <s v="ETC COIN LONG"/>
    <b v="0"/>
  </r>
  <r>
    <s v="HUOBI"/>
    <x v="24"/>
    <s v="ETH"/>
    <n v="2.9999999999999997E-8"/>
    <n v="3.5699581795520999E-5"/>
    <n v="1189.9860598507"/>
    <n v="0"/>
    <x v="3"/>
    <d v="2022-12-29T00:00:00"/>
    <n v="1"/>
    <x v="1"/>
    <n v="1"/>
    <n v="2.9999999999999997E-8"/>
    <n v="3.5699581795520999E-5"/>
    <n v="0"/>
    <s v="COIN"/>
    <s v="LONG"/>
    <s v="COIN LONG"/>
    <n v="3.5699581795520999E-5"/>
    <n v="1189.9860598507"/>
    <n v="0"/>
    <n v="0"/>
    <x v="9"/>
    <s v="ETH COIN LONG"/>
    <b v="0"/>
  </r>
  <r>
    <s v="HUOBI"/>
    <x v="24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9"/>
    <s v="LTC COIN LONG"/>
    <b v="0"/>
  </r>
  <r>
    <s v="HUOBI"/>
    <x v="24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9"/>
    <s v="TRX COIN LONG"/>
    <b v="0"/>
  </r>
  <r>
    <s v="HUOBI"/>
    <x v="24"/>
    <s v="XRP"/>
    <n v="9.9999999999999995E-8"/>
    <n v="3.56530673931211E-8"/>
    <n v="0.35653067393121102"/>
    <n v="0"/>
    <x v="3"/>
    <d v="2022-12-29T00:00:00"/>
    <n v="1"/>
    <x v="45"/>
    <n v="1"/>
    <n v="9.9999999999999995E-8"/>
    <n v="3.56530673931211E-8"/>
    <n v="0"/>
    <s v="COIN"/>
    <s v="LONG"/>
    <s v="COIN LONG"/>
    <n v="3.56530673931211E-8"/>
    <n v="0.35653067393121102"/>
    <n v="0"/>
    <n v="0"/>
    <x v="9"/>
    <s v="XRP COIN LONG"/>
    <b v="0"/>
  </r>
  <r>
    <s v="HUOBI"/>
    <x v="25"/>
    <s v="ADA"/>
    <n v="5.7406599999999999E-3"/>
    <n v="1.4258530249564201E-3"/>
    <n v="0.248377891210492"/>
    <n v="0"/>
    <x v="3"/>
    <d v="2022-12-29T00:00:00"/>
    <n v="1"/>
    <x v="13"/>
    <n v="1"/>
    <n v="5.7406599999999999E-3"/>
    <n v="1.4258530249564229E-3"/>
    <n v="0"/>
    <s v="COIN"/>
    <s v="LONG"/>
    <s v="COIN LONG"/>
    <n v="1.4258530249564201E-3"/>
    <n v="0.248377891210492"/>
    <n v="0"/>
    <n v="0"/>
    <x v="10"/>
    <s v="ADA COIN LONG"/>
    <b v="1"/>
  </r>
  <r>
    <s v="HUOBI"/>
    <x v="25"/>
    <s v="BCH"/>
    <n v="0.72885027999999996"/>
    <n v="72.285015190140797"/>
    <n v="99.176768087597907"/>
    <n v="0"/>
    <x v="3"/>
    <d v="2022-12-29T00:00:00"/>
    <n v="1"/>
    <x v="4"/>
    <n v="1"/>
    <n v="0.72885027999999996"/>
    <n v="72.285015190140797"/>
    <n v="0"/>
    <s v="COIN"/>
    <s v="LONG"/>
    <s v="COIN LONG"/>
    <n v="72.285015190140797"/>
    <n v="99.176768087597907"/>
    <n v="0"/>
    <n v="0"/>
    <x v="10"/>
    <s v="BCH COIN LONG"/>
    <b v="1"/>
  </r>
  <r>
    <s v="HUOBI"/>
    <x v="25"/>
    <s v="BSV"/>
    <n v="0.11285791000000001"/>
    <n v="4.5717297110460402"/>
    <n v="40.508722082892"/>
    <n v="0"/>
    <x v="3"/>
    <d v="2022-12-29T00:00:00"/>
    <n v="1"/>
    <x v="78"/>
    <n v="1"/>
    <n v="0.11285791000000001"/>
    <n v="4.5717297110460384"/>
    <n v="0"/>
    <s v="COIN"/>
    <s v="LONG"/>
    <s v="COIN LONG"/>
    <n v="4.5717297110460402"/>
    <n v="40.508722082892"/>
    <n v="0"/>
    <n v="0"/>
    <x v="10"/>
    <s v="BSV COIN LONG"/>
    <b v="1"/>
  </r>
  <r>
    <s v="HUOBI"/>
    <x v="25"/>
    <s v="BTC"/>
    <n v="6.4747141299999997"/>
    <n v="107173.170110248"/>
    <n v="16552.571736514401"/>
    <n v="0"/>
    <x v="3"/>
    <d v="2022-12-29T00:00:00"/>
    <n v="1"/>
    <x v="0"/>
    <n v="1"/>
    <n v="6.4747141299999997"/>
    <n v="107173.17011024842"/>
    <n v="0"/>
    <s v="COIN"/>
    <s v="LONG"/>
    <s v="COIN LONG"/>
    <n v="107173.170110248"/>
    <n v="16552.571736514401"/>
    <n v="0"/>
    <n v="0"/>
    <x v="10"/>
    <s v="BTC COIN LONG"/>
    <b v="1"/>
  </r>
  <r>
    <s v="HUOBI"/>
    <x v="25"/>
    <s v="DOT"/>
    <n v="0.97764076"/>
    <n v="4.1867062071204204"/>
    <n v="4.2824587296466801"/>
    <n v="0"/>
    <x v="3"/>
    <d v="2022-12-29T00:00:00"/>
    <n v="1"/>
    <x v="22"/>
    <n v="1"/>
    <n v="0.97764076"/>
    <n v="4.1867062071204151"/>
    <n v="0"/>
    <s v="COIN"/>
    <s v="LONG"/>
    <s v="COIN LONG"/>
    <n v="4.1867062071204204"/>
    <n v="4.2824587296466801"/>
    <n v="0"/>
    <n v="0"/>
    <x v="10"/>
    <s v="DOT COIN LONG"/>
    <b v="1"/>
  </r>
  <r>
    <s v="HUOBI"/>
    <x v="25"/>
    <s v="EOS"/>
    <n v="3.7085149999999997E-2"/>
    <n v="3.2303248865912397E-2"/>
    <n v="0.87105617385698697"/>
    <n v="0"/>
    <x v="3"/>
    <d v="2022-12-29T00:00:00"/>
    <n v="1"/>
    <x v="3"/>
    <n v="1"/>
    <n v="3.7085149999999997E-2"/>
    <n v="3.2303248865912439E-2"/>
    <n v="0"/>
    <s v="COIN"/>
    <s v="LONG"/>
    <s v="COIN LONG"/>
    <n v="3.2303248865912397E-2"/>
    <n v="0.87105617385698697"/>
    <n v="0"/>
    <n v="0"/>
    <x v="10"/>
    <s v="EOS COIN LONG"/>
    <b v="1"/>
  </r>
  <r>
    <s v="HUOBI"/>
    <x v="25"/>
    <s v="ETC"/>
    <n v="0.70701212999999996"/>
    <n v="10.686518731145"/>
    <n v="15.115042978322"/>
    <n v="0"/>
    <x v="3"/>
    <d v="2022-12-29T00:00:00"/>
    <n v="1"/>
    <x v="40"/>
    <n v="1"/>
    <n v="0.70701212999999996"/>
    <n v="10.686518731144981"/>
    <n v="0"/>
    <s v="COIN"/>
    <s v="LONG"/>
    <s v="COIN LONG"/>
    <n v="10.686518731145"/>
    <n v="15.115042978322"/>
    <n v="0"/>
    <n v="0"/>
    <x v="10"/>
    <s v="ETC COIN LONG"/>
    <b v="1"/>
  </r>
  <r>
    <s v="HUOBI"/>
    <x v="25"/>
    <s v="ETH"/>
    <n v="514.46100463000005"/>
    <n v="612201.42384648602"/>
    <n v="1189.9860598507"/>
    <n v="0"/>
    <x v="3"/>
    <d v="2022-12-29T00:00:00"/>
    <n v="1"/>
    <x v="1"/>
    <n v="1"/>
    <n v="514.46100463000005"/>
    <n v="612201.42384648649"/>
    <n v="0"/>
    <s v="COIN"/>
    <s v="LONG"/>
    <s v="COIN LONG"/>
    <n v="612201.42384648602"/>
    <n v="1189.9860598507"/>
    <n v="0"/>
    <n v="0"/>
    <x v="10"/>
    <s v="ETH COIN LONG"/>
    <b v="1"/>
  </r>
  <r>
    <s v="HUOBI"/>
    <x v="25"/>
    <s v="LINK"/>
    <n v="6.244243E-2"/>
    <n v="0.35448170126345002"/>
    <n v="5.67693635983498"/>
    <n v="0"/>
    <x v="3"/>
    <d v="2022-12-29T00:00:00"/>
    <n v="1"/>
    <x v="9"/>
    <n v="1"/>
    <n v="6.244243E-2"/>
    <n v="0.35448170126345058"/>
    <n v="0"/>
    <s v="COIN"/>
    <s v="LONG"/>
    <s v="COIN LONG"/>
    <n v="0.35448170126345002"/>
    <n v="5.67693635983498"/>
    <n v="0"/>
    <n v="0"/>
    <x v="10"/>
    <s v="LINK COIN LONG"/>
    <b v="1"/>
  </r>
  <r>
    <s v="HUOBI"/>
    <x v="25"/>
    <s v="LTC"/>
    <n v="7.1564416099999999"/>
    <n v="474.75163963846001"/>
    <n v="66.339064232015801"/>
    <n v="0"/>
    <x v="3"/>
    <d v="2022-12-29T00:00:00"/>
    <n v="1"/>
    <x v="5"/>
    <n v="1"/>
    <n v="7.1564416099999999"/>
    <n v="474.75163963846057"/>
    <n v="0"/>
    <s v="COIN"/>
    <s v="LONG"/>
    <s v="COIN LONG"/>
    <n v="474.75163963846001"/>
    <n v="66.339064232015801"/>
    <n v="0"/>
    <n v="0"/>
    <x v="10"/>
    <s v="LTC COIN LONG"/>
    <b v="1"/>
  </r>
  <r>
    <s v="HUOBI"/>
    <x v="25"/>
    <s v="TRX"/>
    <n v="0.95766242000000001"/>
    <n v="5.1852750333152398E-2"/>
    <n v="5.4145123845574301E-2"/>
    <n v="0"/>
    <x v="3"/>
    <d v="2022-12-29T00:00:00"/>
    <n v="1"/>
    <x v="79"/>
    <n v="1"/>
    <n v="0.95766242000000001"/>
    <n v="5.1852750333152391E-2"/>
    <n v="0"/>
    <s v="COIN"/>
    <s v="LONG"/>
    <s v="COIN LONG"/>
    <n v="5.1852750333152398E-2"/>
    <n v="5.4145123845574301E-2"/>
    <n v="0"/>
    <n v="0"/>
    <x v="10"/>
    <s v="TRX COIN LONG"/>
    <b v="1"/>
  </r>
  <r>
    <s v="HUOBI"/>
    <x v="25"/>
    <s v="XRP"/>
    <n v="0.54364484000000002"/>
    <n v="0.193826061184425"/>
    <n v="0.35653067393121102"/>
    <n v="0"/>
    <x v="3"/>
    <d v="2022-12-29T00:00:00"/>
    <n v="1"/>
    <x v="45"/>
    <n v="1"/>
    <n v="0.54364484000000002"/>
    <n v="0.19382606118442539"/>
    <n v="0"/>
    <s v="COIN"/>
    <s v="LONG"/>
    <s v="COIN LONG"/>
    <n v="0.193826061184425"/>
    <n v="0.35653067393121102"/>
    <n v="0"/>
    <n v="0"/>
    <x v="10"/>
    <s v="XRP COIN LONG"/>
    <b v="1"/>
  </r>
  <r>
    <s v="GATE"/>
    <x v="26"/>
    <s v="BTC"/>
    <n v="9.9829999999999998E-5"/>
    <n v="1.65244323645623"/>
    <n v="16552.571736514401"/>
    <n v="0"/>
    <x v="3"/>
    <d v="2022-12-29T00:00:00"/>
    <n v="1"/>
    <x v="0"/>
    <n v="1"/>
    <n v="9.9829999999999998E-5"/>
    <n v="1.6524432364562327"/>
    <n v="0"/>
    <s v="COIN"/>
    <s v="LONG"/>
    <s v="COIN LONG"/>
    <n v="1.65244323645623"/>
    <n v="16552.571736514401"/>
    <n v="0"/>
    <n v="0"/>
    <x v="11"/>
    <s v="BTC COIN LONG"/>
    <b v="1"/>
  </r>
  <r>
    <s v="GATE"/>
    <x v="26"/>
    <s v="USDT"/>
    <n v="10195.045913530001"/>
    <n v="10191.839889218099"/>
    <n v="0.99968553115512604"/>
    <n v="0"/>
    <x v="3"/>
    <d v="2022-12-29T00:00:00"/>
    <n v="1"/>
    <x v="36"/>
    <n v="1"/>
    <n v="10195.045913530001"/>
    <n v="10191.839889218136"/>
    <n v="0"/>
    <s v="COIN"/>
    <s v="LONG"/>
    <s v="COIN LONG"/>
    <n v="10191.839889218099"/>
    <n v="0.99968553115512604"/>
    <n v="0"/>
    <n v="0"/>
    <x v="11"/>
    <s v="USDT COIN LONG"/>
    <b v="1"/>
  </r>
  <r>
    <s v="GATE"/>
    <x v="27"/>
    <s v="BTC"/>
    <n v="1.899957E-2"/>
    <n v="314.49174538792801"/>
    <n v="16552.571736514401"/>
    <n v="0"/>
    <x v="3"/>
    <d v="2022-12-29T00:00:00"/>
    <n v="1"/>
    <x v="0"/>
    <n v="1"/>
    <n v="1.899957E-2"/>
    <n v="314.49174538792693"/>
    <n v="0"/>
    <s v="COIN"/>
    <s v="LONG"/>
    <s v="COIN LONG"/>
    <n v="314.49174538792801"/>
    <n v="16552.571736514401"/>
    <n v="0"/>
    <n v="0"/>
    <x v="11"/>
    <s v="BTC COIN LONG"/>
    <b v="1"/>
  </r>
  <r>
    <s v="GATE"/>
    <x v="27"/>
    <s v="ETHF"/>
    <n v="9.9825000000000001E-4"/>
    <n v="4.0618243322621E-4"/>
    <n v="0.40689449859875798"/>
    <n v="0"/>
    <x v="3"/>
    <d v="2022-12-29T00:00:00"/>
    <n v="1"/>
    <x v="80"/>
    <n v="1"/>
    <n v="9.9825000000000001E-4"/>
    <n v="4.0618243322621016E-4"/>
    <n v="0"/>
    <s v="COIN"/>
    <s v="LONG"/>
    <s v="COIN LONG"/>
    <n v="4.0618243322621E-4"/>
    <n v="0.40689449859875798"/>
    <n v="0"/>
    <n v="0"/>
    <x v="11"/>
    <s v="ETHF COIN LONG"/>
    <b v="1"/>
  </r>
  <r>
    <s v="GATE"/>
    <x v="27"/>
    <s v="ETHW"/>
    <n v="9.9825000000000001E-4"/>
    <n v="2.95423262318392E-3"/>
    <n v="2.9594115934724901"/>
    <n v="0"/>
    <x v="3"/>
    <d v="2022-12-29T00:00:00"/>
    <n v="1"/>
    <x v="41"/>
    <n v="1"/>
    <n v="9.9825000000000001E-4"/>
    <n v="2.9542326231839131E-3"/>
    <n v="0"/>
    <s v="COIN"/>
    <s v="LONG"/>
    <s v="COIN LONG"/>
    <n v="2.95423262318392E-3"/>
    <n v="2.9594115934724901"/>
    <n v="0"/>
    <n v="0"/>
    <x v="11"/>
    <s v="ETHW COIN LONG"/>
    <b v="1"/>
  </r>
  <r>
    <s v="GATE"/>
    <x v="27"/>
    <s v="ROSE"/>
    <n v="9.5929999999999998E-5"/>
    <n v="3.4188947817455E-6"/>
    <n v="3.5639474426618301E-2"/>
    <n v="0"/>
    <x v="3"/>
    <d v="2022-12-29T00:00:00"/>
    <n v="1"/>
    <x v="81"/>
    <n v="1"/>
    <n v="9.5929999999999998E-5"/>
    <n v="3.4188947817454936E-6"/>
    <n v="0"/>
    <s v="COIN"/>
    <s v="LONG"/>
    <s v="COIN LONG"/>
    <n v="3.4188947817455E-6"/>
    <n v="3.5639474426618301E-2"/>
    <n v="0"/>
    <n v="0"/>
    <x v="11"/>
    <s v="ROSE COIN LONG"/>
    <b v="1"/>
  </r>
  <r>
    <s v="GATE"/>
    <x v="27"/>
    <s v="USDT"/>
    <n v="27.162898349999999"/>
    <n v="27.154356464732398"/>
    <n v="0.99968553115512604"/>
    <n v="0"/>
    <x v="3"/>
    <d v="2022-12-29T00:00:00"/>
    <n v="1"/>
    <x v="36"/>
    <n v="1"/>
    <n v="27.162898349999999"/>
    <n v="27.154356464732444"/>
    <n v="0"/>
    <s v="COIN"/>
    <s v="LONG"/>
    <s v="COIN LONG"/>
    <n v="27.154356464732398"/>
    <n v="0.99968553115512604"/>
    <n v="0"/>
    <n v="0"/>
    <x v="11"/>
    <s v="USDT COIN LONG"/>
    <b v="1"/>
  </r>
  <r>
    <s v="GATE"/>
    <x v="28"/>
    <s v="BTC"/>
    <n v="1.995E-4"/>
    <n v="3.3022380614346298"/>
    <n v="16552.571736514401"/>
    <n v="0"/>
    <x v="3"/>
    <d v="2022-12-29T00:00:00"/>
    <n v="1"/>
    <x v="0"/>
    <n v="1"/>
    <n v="1.995E-4"/>
    <n v="3.3022380614346232"/>
    <n v="0"/>
    <s v="COIN"/>
    <s v="LONG"/>
    <s v="COIN LONG"/>
    <n v="3.3022380614346298"/>
    <n v="16552.571736514401"/>
    <n v="0"/>
    <n v="0"/>
    <x v="11"/>
    <s v="BTC COIN LONG"/>
    <b v="1"/>
  </r>
  <r>
    <s v="GATE"/>
    <x v="28"/>
    <s v="ETH"/>
    <n v="9.9825000000000001E-4"/>
    <n v="1.18790358424596"/>
    <n v="1189.9860598507"/>
    <n v="0"/>
    <x v="3"/>
    <d v="2022-12-29T00:00:00"/>
    <n v="1"/>
    <x v="1"/>
    <n v="1"/>
    <n v="9.9825000000000001E-4"/>
    <n v="1.1879035842459613"/>
    <n v="0"/>
    <s v="COIN"/>
    <s v="LONG"/>
    <s v="COIN LONG"/>
    <n v="1.18790358424596"/>
    <n v="1189.9860598507"/>
    <n v="0"/>
    <n v="0"/>
    <x v="11"/>
    <s v="ETH COIN LONG"/>
    <b v="1"/>
  </r>
  <r>
    <s v="GATE"/>
    <x v="28"/>
    <s v="USDT"/>
    <n v="59.393906000000001"/>
    <n v="59.3752284669876"/>
    <n v="0.99968553115512604"/>
    <n v="0"/>
    <x v="3"/>
    <d v="2022-12-29T00:00:00"/>
    <n v="1"/>
    <x v="36"/>
    <n v="1"/>
    <n v="59.393906000000001"/>
    <n v="59.375228466987629"/>
    <n v="0"/>
    <s v="COIN"/>
    <s v="LONG"/>
    <s v="COIN LONG"/>
    <n v="59.3752284669876"/>
    <n v="0.99968553115512604"/>
    <n v="0"/>
    <n v="0"/>
    <x v="11"/>
    <s v="USDT COIN LONG"/>
    <b v="1"/>
  </r>
  <r>
    <s v="GATE"/>
    <x v="29"/>
    <s v="USDT"/>
    <n v="10045.194971999999"/>
    <n v="10042.036071140599"/>
    <n v="0.99968553115512604"/>
    <n v="0"/>
    <x v="3"/>
    <d v="2022-12-29T00:00:00"/>
    <n v="1"/>
    <x v="36"/>
    <n v="1"/>
    <n v="10045.194971999999"/>
    <n v="10042.036071140621"/>
    <n v="0"/>
    <s v="COIN"/>
    <s v="LONG"/>
    <s v="COIN LONG"/>
    <n v="10042.036071140599"/>
    <n v="0.99968553115512604"/>
    <n v="0"/>
    <n v="0"/>
    <x v="11"/>
    <s v="USDT COIN LONG"/>
    <b v="1"/>
  </r>
  <r>
    <s v="HUOBI"/>
    <x v="30"/>
    <s v="USDT"/>
    <n v="1E-8"/>
    <n v="9.9968553115512599E-9"/>
    <n v="0.99968553115512604"/>
    <n v="0"/>
    <x v="3"/>
    <d v="2022-12-28T00:00:00"/>
    <n v="1"/>
    <x v="36"/>
    <n v="1"/>
    <n v="1E-8"/>
    <n v="9.9968553115512599E-9"/>
    <n v="0"/>
    <s v="COIN"/>
    <s v="LONG"/>
    <s v="COIN LONG"/>
    <n v="9.9968553115512599E-9"/>
    <n v="0.99968553115512604"/>
    <n v="0"/>
    <n v="0"/>
    <x v="12"/>
    <s v="USDT COIN LONG"/>
    <b v="0"/>
  </r>
  <r>
    <s v="HUOBI"/>
    <x v="30"/>
    <s v="XRP"/>
    <n v="7.4209999999999996E-5"/>
    <n v="2.64581413124352E-5"/>
    <n v="0.35653067393121102"/>
    <n v="0"/>
    <x v="3"/>
    <d v="2022-12-28T00:00:00"/>
    <n v="1"/>
    <x v="45"/>
    <n v="1"/>
    <n v="7.4209999999999996E-5"/>
    <n v="2.6458141312435169E-5"/>
    <n v="0"/>
    <s v="COIN"/>
    <s v="LONG"/>
    <s v="COIN LONG"/>
    <n v="2.64581413124352E-5"/>
    <n v="0.35653067393121102"/>
    <n v="0"/>
    <n v="0"/>
    <x v="12"/>
    <s v="XRP COIN LONG"/>
    <b v="0"/>
  </r>
  <r>
    <s v="HUOBI"/>
    <x v="31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12"/>
    <s v="ADA COIN LONG"/>
    <b v="0"/>
  </r>
  <r>
    <s v="HUOBI"/>
    <x v="31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12"/>
    <s v="BCH COIN LONG"/>
    <b v="0"/>
  </r>
  <r>
    <s v="HUOBI"/>
    <x v="31"/>
    <s v="BSV"/>
    <n v="1E-8"/>
    <n v="4.0508722082892E-7"/>
    <n v="40.508722082892"/>
    <n v="0"/>
    <x v="3"/>
    <d v="2022-12-29T00:00:00"/>
    <n v="1"/>
    <x v="78"/>
    <n v="1"/>
    <n v="1E-8"/>
    <n v="4.0508722082892E-7"/>
    <n v="0"/>
    <s v="COIN"/>
    <s v="LONG"/>
    <s v="COIN LONG"/>
    <n v="4.0508722082892E-7"/>
    <n v="40.508722082892"/>
    <n v="0"/>
    <n v="0"/>
    <x v="12"/>
    <s v="BSV COIN LONG"/>
    <b v="0"/>
  </r>
  <r>
    <s v="HUOBI"/>
    <x v="31"/>
    <s v="EOS"/>
    <n v="1E-8"/>
    <n v="8.7105617385698705E-9"/>
    <n v="0.87105617385698697"/>
    <n v="0"/>
    <x v="3"/>
    <d v="2022-12-29T00:00:00"/>
    <n v="1"/>
    <x v="3"/>
    <n v="1"/>
    <n v="1E-8"/>
    <n v="8.7105617385698705E-9"/>
    <n v="0"/>
    <s v="COIN"/>
    <s v="LONG"/>
    <s v="COIN LONG"/>
    <n v="8.7105617385698705E-9"/>
    <n v="0.87105617385698697"/>
    <n v="0"/>
    <n v="0"/>
    <x v="12"/>
    <s v="EOS COIN LONG"/>
    <b v="0"/>
  </r>
  <r>
    <s v="HUOBI"/>
    <x v="31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12"/>
    <s v="ETC COIN LONG"/>
    <b v="0"/>
  </r>
  <r>
    <s v="HUOBI"/>
    <x v="31"/>
    <s v="ETH"/>
    <n v="1E-8"/>
    <n v="1.1899860598507001E-5"/>
    <n v="1189.9860598507"/>
    <n v="0"/>
    <x v="3"/>
    <d v="2022-12-29T00:00:00"/>
    <n v="1"/>
    <x v="1"/>
    <n v="1"/>
    <n v="1E-8"/>
    <n v="1.1899860598507001E-5"/>
    <n v="0"/>
    <s v="COIN"/>
    <s v="LONG"/>
    <s v="COIN LONG"/>
    <n v="1.1899860598507001E-5"/>
    <n v="1189.9860598507"/>
    <n v="0"/>
    <n v="0"/>
    <x v="12"/>
    <s v="ETH COIN LONG"/>
    <b v="0"/>
  </r>
  <r>
    <s v="HUOBI"/>
    <x v="31"/>
    <s v="LINK"/>
    <n v="1E-8"/>
    <n v="5.6769363598349802E-8"/>
    <n v="5.67693635983498"/>
    <n v="0"/>
    <x v="3"/>
    <d v="2022-12-29T00:00:00"/>
    <n v="1"/>
    <x v="9"/>
    <n v="1"/>
    <n v="1E-8"/>
    <n v="5.6769363598349802E-8"/>
    <n v="0"/>
    <s v="COIN"/>
    <s v="LONG"/>
    <s v="COIN LONG"/>
    <n v="5.6769363598349802E-8"/>
    <n v="5.67693635983498"/>
    <n v="0"/>
    <n v="0"/>
    <x v="12"/>
    <s v="LINK COIN LONG"/>
    <b v="0"/>
  </r>
  <r>
    <s v="HUOBI"/>
    <x v="31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12"/>
    <s v="LTC COIN LONG"/>
    <b v="0"/>
  </r>
  <r>
    <s v="HUOBI"/>
    <x v="31"/>
    <s v="USDT"/>
    <n v="3.2621029500000001"/>
    <n v="3.2610771202534501"/>
    <n v="0.99968553115512604"/>
    <n v="0"/>
    <x v="3"/>
    <d v="2022-12-29T00:00:00"/>
    <n v="1"/>
    <x v="36"/>
    <n v="1"/>
    <n v="3.2621029500000001"/>
    <n v="3.2610771202534536"/>
    <n v="0"/>
    <s v="COIN"/>
    <s v="LONG"/>
    <s v="COIN LONG"/>
    <n v="3.2610771202534501"/>
    <n v="0.99968553115512604"/>
    <n v="0"/>
    <n v="0"/>
    <x v="12"/>
    <s v="USDT COIN LONG"/>
    <b v="0"/>
  </r>
  <r>
    <s v="HUOBI"/>
    <x v="31"/>
    <s v="XRP"/>
    <n v="6.4869999999999994E-5"/>
    <n v="2.3128144817917599E-5"/>
    <n v="0.35653067393121102"/>
    <n v="0"/>
    <x v="3"/>
    <d v="2022-12-29T00:00:00"/>
    <n v="1"/>
    <x v="45"/>
    <n v="1"/>
    <n v="6.4869999999999994E-5"/>
    <n v="2.3128144817917657E-5"/>
    <n v="0"/>
    <s v="COIN"/>
    <s v="LONG"/>
    <s v="COIN LONG"/>
    <n v="2.3128144817917599E-5"/>
    <n v="0.35653067393121102"/>
    <n v="0"/>
    <n v="0"/>
    <x v="12"/>
    <s v="XRP COIN LONG"/>
    <b v="0"/>
  </r>
  <r>
    <s v="HUOBI"/>
    <x v="4"/>
    <s v="AAVE"/>
    <n v="0.10014646000000001"/>
    <n v="5.3825974723247301"/>
    <n v="53.747256491389997"/>
    <n v="0"/>
    <x v="3"/>
    <d v="2022-12-29T00:00:00"/>
    <n v="1"/>
    <x v="12"/>
    <n v="1"/>
    <n v="0.10014646000000001"/>
    <n v="5.3825974723247292"/>
    <n v="0"/>
    <s v="COIN"/>
    <s v="LONG"/>
    <s v="COIN LONG"/>
    <n v="5.3825974723247301"/>
    <n v="53.747256491389997"/>
    <n v="0"/>
    <n v="0"/>
    <x v="2"/>
    <s v="AAVE COIN LONG"/>
    <b v="1"/>
  </r>
  <r>
    <s v="HUOBI"/>
    <x v="4"/>
    <s v="ADA"/>
    <n v="3.2091999999999998E-4"/>
    <n v="7.9709432847271296E-5"/>
    <n v="0.248377891210492"/>
    <n v="0"/>
    <x v="3"/>
    <d v="2022-12-29T00:00:00"/>
    <n v="1"/>
    <x v="13"/>
    <n v="1"/>
    <n v="3.2091999999999998E-4"/>
    <n v="7.9709432847271093E-5"/>
    <n v="0"/>
    <s v="COIN"/>
    <s v="LONG"/>
    <s v="COIN LONG"/>
    <n v="7.9709432847271296E-5"/>
    <n v="0.248377891210492"/>
    <n v="0"/>
    <n v="0"/>
    <x v="2"/>
    <s v="ADA COIN LONG"/>
    <b v="1"/>
  </r>
  <r>
    <s v="HUOBI"/>
    <x v="4"/>
    <s v="BCH"/>
    <n v="5.3552000000000005E-4"/>
    <n v="5.3111142846270401E-2"/>
    <n v="99.176768087597907"/>
    <n v="0"/>
    <x v="3"/>
    <d v="2022-12-29T00:00:00"/>
    <n v="1"/>
    <x v="4"/>
    <n v="1"/>
    <n v="5.3552000000000005E-4"/>
    <n v="5.3111142846270436E-2"/>
    <n v="0"/>
    <s v="COIN"/>
    <s v="LONG"/>
    <s v="COIN LONG"/>
    <n v="5.3111142846270401E-2"/>
    <n v="99.176768087597907"/>
    <n v="0"/>
    <n v="0"/>
    <x v="2"/>
    <s v="BCH COIN LONG"/>
    <b v="1"/>
  </r>
  <r>
    <s v="HUOBI"/>
    <x v="4"/>
    <s v="BSV"/>
    <n v="2.9999999999999997E-8"/>
    <n v="1.2152616624867601E-6"/>
    <n v="40.508722082892"/>
    <n v="0"/>
    <x v="3"/>
    <d v="2022-12-29T00:00:00"/>
    <n v="1"/>
    <x v="78"/>
    <n v="1"/>
    <n v="2.9999999999999997E-8"/>
    <n v="1.2152616624867599E-6"/>
    <n v="0"/>
    <s v="COIN"/>
    <s v="LONG"/>
    <s v="COIN LONG"/>
    <n v="1.2152616624867601E-6"/>
    <n v="40.508722082892"/>
    <n v="0"/>
    <n v="0"/>
    <x v="2"/>
    <s v="BSV COIN LONG"/>
    <b v="1"/>
  </r>
  <r>
    <s v="HUOBI"/>
    <x v="4"/>
    <s v="BTC"/>
    <n v="162.04922654000001"/>
    <n v="2682331.4471500302"/>
    <n v="16552.571736514401"/>
    <n v="0"/>
    <x v="3"/>
    <d v="2022-12-29T00:00:00"/>
    <n v="1"/>
    <x v="0"/>
    <n v="1"/>
    <n v="162.04922654000001"/>
    <n v="2682331.4471500237"/>
    <n v="0"/>
    <s v="COIN"/>
    <s v="LONG"/>
    <s v="COIN LONG"/>
    <n v="2682331.4471500302"/>
    <n v="16552.571736514401"/>
    <n v="0"/>
    <n v="0"/>
    <x v="2"/>
    <s v="BTC COIN LONG"/>
    <b v="1"/>
  </r>
  <r>
    <s v="HUOBI"/>
    <x v="4"/>
    <s v="BTC"/>
    <n v="-0.21382192"/>
    <n v="-3539.3026696392499"/>
    <n v="16552.571736514401"/>
    <n v="0"/>
    <x v="4"/>
    <d v="2022-12-29T00:00:00"/>
    <n v="1"/>
    <x v="0"/>
    <n v="1"/>
    <n v="-0.21382192"/>
    <n v="-3539.3026696392435"/>
    <n v="0"/>
    <s v="COIN"/>
    <s v="SHORT"/>
    <s v="COIN SHORT"/>
    <n v="-3539.3026696392499"/>
    <n v="16552.571736514401"/>
    <n v="0"/>
    <n v="0"/>
    <x v="2"/>
    <s v="BTC COIN SHORT"/>
    <b v="1"/>
  </r>
  <r>
    <s v="HUOBI"/>
    <x v="4"/>
    <s v="DOT"/>
    <n v="3.8972899999999999E-3"/>
    <n v="1.66899835824647E-2"/>
    <n v="4.2824587296466801"/>
    <n v="0"/>
    <x v="3"/>
    <d v="2022-12-29T00:00:00"/>
    <n v="1"/>
    <x v="22"/>
    <n v="1"/>
    <n v="3.8972899999999999E-3"/>
    <n v="1.668998358246471E-2"/>
    <n v="0"/>
    <s v="COIN"/>
    <s v="LONG"/>
    <s v="COIN LONG"/>
    <n v="1.66899835824647E-2"/>
    <n v="4.2824587296466801"/>
    <n v="0"/>
    <n v="0"/>
    <x v="2"/>
    <s v="DOT COIN LONG"/>
    <b v="1"/>
  </r>
  <r>
    <s v="HUOBI"/>
    <x v="4"/>
    <s v="ETC"/>
    <n v="0.1010306"/>
    <n v="1.52708186112566"/>
    <n v="15.115042978322"/>
    <n v="0"/>
    <x v="3"/>
    <d v="2022-12-29T00:00:00"/>
    <n v="1"/>
    <x v="40"/>
    <n v="1"/>
    <n v="0.1010306"/>
    <n v="1.5270818611256587"/>
    <n v="0"/>
    <s v="COIN"/>
    <s v="LONG"/>
    <s v="COIN LONG"/>
    <n v="1.52708186112566"/>
    <n v="15.115042978322"/>
    <n v="0"/>
    <n v="0"/>
    <x v="2"/>
    <s v="ETC COIN LONG"/>
    <b v="1"/>
  </r>
  <r>
    <s v="HUOBI"/>
    <x v="4"/>
    <s v="ETH"/>
    <n v="1424.51334262"/>
    <n v="1695151.0197891199"/>
    <n v="1189.9860598507"/>
    <n v="0"/>
    <x v="3"/>
    <d v="2022-12-29T00:00:00"/>
    <n v="1"/>
    <x v="1"/>
    <n v="1"/>
    <n v="1424.51334262"/>
    <n v="1695151.0197891241"/>
    <n v="0"/>
    <s v="COIN"/>
    <s v="LONG"/>
    <s v="COIN LONG"/>
    <n v="1695151.0197891199"/>
    <n v="1189.9860598507"/>
    <n v="0"/>
    <n v="0"/>
    <x v="2"/>
    <s v="ETH COIN LONG"/>
    <b v="1"/>
  </r>
  <r>
    <s v="HUOBI"/>
    <x v="4"/>
    <s v="ETH"/>
    <n v="-0.21497436"/>
    <n v="-255.81649162532599"/>
    <n v="1189.9860598507"/>
    <n v="0"/>
    <x v="4"/>
    <d v="2022-12-29T00:00:00"/>
    <n v="1"/>
    <x v="1"/>
    <n v="1"/>
    <n v="-0.21497436"/>
    <n v="-255.81649162532594"/>
    <n v="0"/>
    <s v="COIN"/>
    <s v="SHORT"/>
    <s v="COIN SHORT"/>
    <n v="-255.81649162532599"/>
    <n v="1189.9860598507"/>
    <n v="0"/>
    <n v="0"/>
    <x v="2"/>
    <s v="ETH COIN SHORT"/>
    <b v="1"/>
  </r>
  <r>
    <s v="HUOBI"/>
    <x v="4"/>
    <s v="LINK"/>
    <n v="9.5620999999999998E-4"/>
    <n v="5.4283433166378101E-3"/>
    <n v="5.67693635983498"/>
    <n v="0"/>
    <x v="3"/>
    <d v="2022-12-29T00:00:00"/>
    <n v="1"/>
    <x v="9"/>
    <n v="1"/>
    <n v="9.5620999999999998E-4"/>
    <n v="5.4283433166378058E-3"/>
    <n v="0"/>
    <s v="COIN"/>
    <s v="LONG"/>
    <s v="COIN LONG"/>
    <n v="5.4283433166378101E-3"/>
    <n v="5.67693635983498"/>
    <n v="0"/>
    <n v="0"/>
    <x v="2"/>
    <s v="LINK COIN LONG"/>
    <b v="1"/>
  </r>
  <r>
    <s v="HUOBI"/>
    <x v="4"/>
    <s v="LTC"/>
    <n v="2.4771099999999998E-3"/>
    <n v="0.164329159399768"/>
    <n v="66.339064232015801"/>
    <n v="0"/>
    <x v="3"/>
    <d v="2022-12-29T00:00:00"/>
    <n v="1"/>
    <x v="5"/>
    <n v="1"/>
    <n v="2.4771099999999998E-3"/>
    <n v="0.16432915939976864"/>
    <n v="0"/>
    <s v="COIN"/>
    <s v="LONG"/>
    <s v="COIN LONG"/>
    <n v="0.164329159399768"/>
    <n v="66.339064232015801"/>
    <n v="0"/>
    <n v="0"/>
    <x v="2"/>
    <s v="LTC COIN LONG"/>
    <b v="1"/>
  </r>
  <r>
    <s v="HUOBI"/>
    <x v="4"/>
    <s v="SHIB"/>
    <n v="71073.205401560001"/>
    <n v="0.56295508435167696"/>
    <n v="7.9207780368284999E-6"/>
    <n v="0"/>
    <x v="3"/>
    <d v="2022-12-29T00:00:00"/>
    <n v="1"/>
    <x v="11"/>
    <n v="1"/>
    <n v="71073.205401560001"/>
    <n v="0.56295508435167718"/>
    <n v="0"/>
    <s v="COIN"/>
    <s v="LONG"/>
    <s v="COIN LONG"/>
    <n v="0.56295508435167696"/>
    <n v="7.9207780368284999E-6"/>
    <n v="0"/>
    <n v="0"/>
    <x v="2"/>
    <s v="SHIB COIN LONG"/>
    <b v="1"/>
  </r>
  <r>
    <s v="HUOBI"/>
    <x v="4"/>
    <s v="TRX"/>
    <n v="4.8644999999999998E-4"/>
    <n v="2.63388954946796E-5"/>
    <n v="5.4145123845574301E-2"/>
    <n v="0"/>
    <x v="3"/>
    <d v="2022-12-29T00:00:00"/>
    <n v="1"/>
    <x v="79"/>
    <n v="1"/>
    <n v="4.8644999999999998E-4"/>
    <n v="2.6338895494679617E-5"/>
    <n v="0"/>
    <s v="COIN"/>
    <s v="LONG"/>
    <s v="COIN LONG"/>
    <n v="2.63388954946796E-5"/>
    <n v="5.4145123845574301E-2"/>
    <n v="0"/>
    <n v="0"/>
    <x v="2"/>
    <s v="TRX COIN LONG"/>
    <b v="1"/>
  </r>
  <r>
    <s v="HUOBI"/>
    <x v="4"/>
    <s v="XRP"/>
    <n v="1.9184000000000001E-4"/>
    <n v="6.8396844486963594E-5"/>
    <n v="0.35653067393121102"/>
    <n v="0"/>
    <x v="3"/>
    <d v="2022-12-29T00:00:00"/>
    <n v="1"/>
    <x v="45"/>
    <n v="1"/>
    <n v="1.9184000000000001E-4"/>
    <n v="6.8396844486963527E-5"/>
    <n v="0"/>
    <s v="COIN"/>
    <s v="LONG"/>
    <s v="COIN LONG"/>
    <n v="6.8396844486963594E-5"/>
    <n v="0.35653067393121102"/>
    <n v="0"/>
    <n v="0"/>
    <x v="2"/>
    <s v="XRP COIN LONG"/>
    <b v="1"/>
  </r>
  <r>
    <s v="HUOBI"/>
    <x v="4"/>
    <s v="YFII"/>
    <n v="2.4299999999999999E-3"/>
    <n v="2.8002320729766899"/>
    <n v="1152.35887776818"/>
    <n v="0"/>
    <x v="3"/>
    <d v="2022-12-29T00:00:00"/>
    <n v="1"/>
    <x v="82"/>
    <n v="1"/>
    <n v="2.4299999999999999E-3"/>
    <n v="2.8002320729766774"/>
    <n v="0"/>
    <s v="COIN"/>
    <s v="LONG"/>
    <s v="COIN LONG"/>
    <n v="2.8002320729766899"/>
    <n v="1152.35887776818"/>
    <n v="0"/>
    <n v="0"/>
    <x v="2"/>
    <s v="YFII COIN LONG"/>
    <b v="1"/>
  </r>
  <r>
    <s v="HUOBI"/>
    <x v="5"/>
    <s v="USDT"/>
    <n v="455399.36038761999"/>
    <n v="455256.15147680201"/>
    <n v="0.99968553115512604"/>
    <n v="0"/>
    <x v="3"/>
    <d v="2022-12-29T00:00:00"/>
    <n v="1"/>
    <x v="36"/>
    <n v="1"/>
    <n v="455399.36038761999"/>
    <n v="455256.15147680254"/>
    <n v="0"/>
    <s v="COIN"/>
    <s v="LONG"/>
    <s v="COIN LONG"/>
    <n v="455256.15147680201"/>
    <n v="0.99968553115512604"/>
    <n v="0"/>
    <n v="0"/>
    <x v="2"/>
    <s v="USDT COIN LONG"/>
    <b v="1"/>
  </r>
  <r>
    <s v="HUOBI"/>
    <x v="5"/>
    <s v="USDT"/>
    <n v="295.58783176999998"/>
    <n v="295.49487860598401"/>
    <n v="0.99968553115512604"/>
    <n v="0"/>
    <x v="4"/>
    <d v="2022-12-29T00:00:00"/>
    <n v="1"/>
    <x v="36"/>
    <n v="1"/>
    <n v="295.58783176999998"/>
    <n v="295.49487860598447"/>
    <n v="0"/>
    <s v="COIN"/>
    <s v="LONG"/>
    <s v="COIN LONG"/>
    <n v="295.49487860598401"/>
    <n v="0.99968553115512604"/>
    <n v="0"/>
    <n v="0"/>
    <x v="2"/>
    <s v="USDT COIN LONG"/>
    <b v="1"/>
  </r>
  <r>
    <s v="HUOBI"/>
    <x v="32"/>
    <s v="AAC"/>
    <n v="377.09760540000002"/>
    <n v="8.4443300469163998E-2"/>
    <n v="2.2392955897874799E-4"/>
    <n v="0"/>
    <x v="3"/>
    <d v="2022-12-29T00:00:00"/>
    <n v="1"/>
    <x v="83"/>
    <n v="1"/>
    <n v="377.09760540000002"/>
    <n v="8.4443300469163943E-2"/>
    <n v="0"/>
    <s v="COIN"/>
    <s v="LONG"/>
    <s v="COIN LONG"/>
    <n v="8.4443300469163998E-2"/>
    <n v="2.2392955897874799E-4"/>
    <n v="0"/>
    <n v="0"/>
    <x v="2"/>
    <s v="AAC COIN LONG"/>
    <b v="1"/>
  </r>
  <r>
    <s v="HUOBI"/>
    <x v="32"/>
    <s v="ADA"/>
    <n v="1.1000000000000001E-7"/>
    <n v="2.7321568033154199E-8"/>
    <n v="0.248377891210492"/>
    <n v="0"/>
    <x v="3"/>
    <d v="2022-12-29T00:00:00"/>
    <n v="1"/>
    <x v="13"/>
    <n v="1"/>
    <n v="1.1000000000000001E-7"/>
    <n v="2.7321568033154123E-8"/>
    <n v="0"/>
    <s v="COIN"/>
    <s v="LONG"/>
    <s v="COIN LONG"/>
    <n v="2.7321568033154199E-8"/>
    <n v="0.248377891210492"/>
    <n v="0"/>
    <n v="0"/>
    <x v="2"/>
    <s v="ADA COIN LONG"/>
    <b v="1"/>
  </r>
  <r>
    <s v="HUOBI"/>
    <x v="32"/>
    <s v="ALGO"/>
    <n v="2.6E-7"/>
    <n v="4.3482577467754603E-8"/>
    <n v="0.167240682568287"/>
    <n v="0"/>
    <x v="3"/>
    <d v="2022-12-29T00:00:00"/>
    <n v="1"/>
    <x v="14"/>
    <n v="1"/>
    <n v="2.6E-7"/>
    <n v="4.3482577467754623E-8"/>
    <n v="0"/>
    <s v="COIN"/>
    <s v="LONG"/>
    <s v="COIN LONG"/>
    <n v="4.3482577467754603E-8"/>
    <n v="0.167240682568287"/>
    <n v="0"/>
    <n v="0"/>
    <x v="2"/>
    <s v="ALGO COIN LONG"/>
    <b v="1"/>
  </r>
  <r>
    <s v="HUOBI"/>
    <x v="32"/>
    <s v="ARPA"/>
    <n v="0.53247394999999997"/>
    <n v="1.36038640688771E-2"/>
    <n v="2.55484124037938E-2"/>
    <n v="0"/>
    <x v="3"/>
    <d v="2022-12-29T00:00:00"/>
    <n v="1"/>
    <x v="84"/>
    <n v="1"/>
    <n v="0.53247394999999997"/>
    <n v="1.360386406887708E-2"/>
    <n v="0"/>
    <s v="COIN"/>
    <s v="LONG"/>
    <s v="COIN LONG"/>
    <n v="1.36038640688771E-2"/>
    <n v="2.55484124037938E-2"/>
    <n v="0"/>
    <n v="0"/>
    <x v="2"/>
    <s v="ARPA COIN LONG"/>
    <b v="1"/>
  </r>
  <r>
    <s v="HUOBI"/>
    <x v="32"/>
    <s v="ATOM"/>
    <n v="4.3657420000000002E-2"/>
    <n v="0.39820031720799998"/>
    <n v="9.1210226625393904"/>
    <n v="0"/>
    <x v="3"/>
    <d v="2022-12-29T00:00:00"/>
    <n v="1"/>
    <x v="10"/>
    <n v="1"/>
    <n v="4.3657420000000002E-2"/>
    <n v="0.39820031720800048"/>
    <n v="0"/>
    <s v="COIN"/>
    <s v="LONG"/>
    <s v="COIN LONG"/>
    <n v="0.39820031720799998"/>
    <n v="9.1210226625393904"/>
    <n v="0"/>
    <n v="0"/>
    <x v="2"/>
    <s v="ATOM COIN LONG"/>
    <b v="1"/>
  </r>
  <r>
    <s v="HUOBI"/>
    <x v="32"/>
    <s v="AVAX"/>
    <n v="1.5389969999999999E-2"/>
    <n v="0.172412504823826"/>
    <n v="11.2029136394564"/>
    <n v="0"/>
    <x v="3"/>
    <d v="2022-12-29T00:00:00"/>
    <n v="1"/>
    <x v="15"/>
    <n v="1"/>
    <n v="1.5389969999999999E-2"/>
    <n v="0.17241250482382481"/>
    <n v="0"/>
    <s v="COIN"/>
    <s v="LONG"/>
    <s v="COIN LONG"/>
    <n v="0.172412504823826"/>
    <n v="11.2029136394564"/>
    <n v="0"/>
    <n v="0"/>
    <x v="2"/>
    <s v="AVAX COIN LONG"/>
    <b v="1"/>
  </r>
  <r>
    <s v="HUOBI"/>
    <x v="32"/>
    <s v="BAT"/>
    <n v="2.0454320000000002E-2"/>
    <n v="3.43500794376196E-3"/>
    <n v="0.16793557271823101"/>
    <n v="0"/>
    <x v="3"/>
    <d v="2022-12-29T00:00:00"/>
    <n v="1"/>
    <x v="16"/>
    <n v="1"/>
    <n v="2.0454320000000002E-2"/>
    <n v="3.4350079437619669E-3"/>
    <n v="0"/>
    <s v="COIN"/>
    <s v="LONG"/>
    <s v="COIN LONG"/>
    <n v="3.43500794376196E-3"/>
    <n v="0.16793557271823101"/>
    <n v="0"/>
    <n v="0"/>
    <x v="2"/>
    <s v="BAT COIN LONG"/>
    <b v="1"/>
  </r>
  <r>
    <s v="HUOBI"/>
    <x v="32"/>
    <s v="BCH"/>
    <n v="4.62634773"/>
    <n v="458.82621591079499"/>
    <n v="99.176768087597907"/>
    <n v="0"/>
    <x v="3"/>
    <d v="2022-12-29T00:00:00"/>
    <n v="1"/>
    <x v="4"/>
    <n v="1"/>
    <n v="4.62634773"/>
    <n v="458.82621591079504"/>
    <n v="0"/>
    <s v="COIN"/>
    <s v="LONG"/>
    <s v="COIN LONG"/>
    <n v="458.82621591079499"/>
    <n v="99.176768087597907"/>
    <n v="0"/>
    <n v="0"/>
    <x v="2"/>
    <s v="BCH COIN LONG"/>
    <b v="1"/>
  </r>
  <r>
    <s v="HUOBI"/>
    <x v="32"/>
    <s v="BHD"/>
    <n v="2.5033500000000001E-3"/>
    <n v="7.5202011371236393E-5"/>
    <n v="3.0040550211211499E-2"/>
    <n v="0"/>
    <x v="3"/>
    <d v="2022-12-29T00:00:00"/>
    <n v="1"/>
    <x v="85"/>
    <n v="1"/>
    <n v="2.5033500000000001E-3"/>
    <n v="7.5202011371236312E-5"/>
    <n v="0"/>
    <s v="COIN"/>
    <s v="LONG"/>
    <s v="COIN LONG"/>
    <n v="7.5202011371236393E-5"/>
    <n v="3.0040550211211499E-2"/>
    <n v="0"/>
    <n v="0"/>
    <x v="2"/>
    <s v="BHD COIN LONG"/>
    <b v="1"/>
  </r>
  <r>
    <s v="HUOBI"/>
    <x v="32"/>
    <s v="BLZ"/>
    <n v="115.29838952"/>
    <n v="5.9982102037598297"/>
    <n v="5.2023365016034002E-2"/>
    <n v="0"/>
    <x v="3"/>
    <d v="2022-12-29T00:00:00"/>
    <n v="1"/>
    <x v="86"/>
    <n v="1"/>
    <n v="115.29838952"/>
    <n v="5.9982102037598297"/>
    <n v="0"/>
    <s v="COIN"/>
    <s v="LONG"/>
    <s v="COIN LONG"/>
    <n v="5.9982102037598297"/>
    <n v="5.2023365016034002E-2"/>
    <n v="0"/>
    <n v="0"/>
    <x v="2"/>
    <s v="BLZ COIN LONG"/>
    <b v="1"/>
  </r>
  <r>
    <s v="HUOBI"/>
    <x v="32"/>
    <s v="BOBA"/>
    <n v="14.7502"/>
    <n v="2.4608408386748701"/>
    <n v="0.16683440486738199"/>
    <n v="0"/>
    <x v="3"/>
    <d v="2022-12-29T00:00:00"/>
    <n v="1"/>
    <x v="87"/>
    <n v="1"/>
    <n v="14.7502"/>
    <n v="2.4608408386748577"/>
    <n v="0"/>
    <s v="COIN"/>
    <s v="LONG"/>
    <s v="COIN LONG"/>
    <n v="2.4608408386748701"/>
    <n v="0.16683440486738199"/>
    <n v="0"/>
    <n v="0"/>
    <x v="2"/>
    <s v="BOBA COIN LONG"/>
    <b v="1"/>
  </r>
  <r>
    <s v="HUOBI"/>
    <x v="32"/>
    <s v="BSV"/>
    <n v="7.7951899999999996E-3"/>
    <n v="0.31577318529333898"/>
    <n v="40.508722082892"/>
    <n v="0"/>
    <x v="3"/>
    <d v="2022-12-29T00:00:00"/>
    <n v="1"/>
    <x v="78"/>
    <n v="1"/>
    <n v="7.7951899999999996E-3"/>
    <n v="0.31577318529333886"/>
    <n v="0"/>
    <s v="COIN"/>
    <s v="LONG"/>
    <s v="COIN LONG"/>
    <n v="0.31577318529333898"/>
    <n v="40.508722082892"/>
    <n v="0"/>
    <n v="0"/>
    <x v="2"/>
    <s v="BSV COIN LONG"/>
    <b v="1"/>
  </r>
  <r>
    <s v="HUOBI"/>
    <x v="32"/>
    <s v="BTC"/>
    <n v="248.43996060000001"/>
    <n v="4112320.2700483198"/>
    <n v="16552.571736514401"/>
    <n v="0"/>
    <x v="3"/>
    <d v="2022-12-29T00:00:00"/>
    <n v="1"/>
    <x v="0"/>
    <n v="1"/>
    <n v="248.43996060000001"/>
    <n v="4112320.2700483114"/>
    <n v="0"/>
    <s v="COIN"/>
    <s v="LONG"/>
    <s v="COIN LONG"/>
    <n v="4112320.2700483198"/>
    <n v="16552.571736514401"/>
    <n v="0"/>
    <n v="0"/>
    <x v="2"/>
    <s v="BTC COIN LONG"/>
    <b v="1"/>
  </r>
  <r>
    <s v="HUOBI"/>
    <x v="32"/>
    <s v="BTM"/>
    <n v="0.33565571999999999"/>
    <n v="4.56480457623374E-3"/>
    <n v="1.3599662702705399E-2"/>
    <n v="0"/>
    <x v="3"/>
    <d v="2022-12-29T00:00:00"/>
    <n v="1"/>
    <x v="88"/>
    <n v="1"/>
    <n v="0.33565571999999999"/>
    <n v="4.564804576233727E-3"/>
    <n v="0"/>
    <s v="COIN"/>
    <s v="LONG"/>
    <s v="COIN LONG"/>
    <n v="4.56480457623374E-3"/>
    <n v="1.3599662702705399E-2"/>
    <n v="0"/>
    <n v="0"/>
    <x v="2"/>
    <s v="BTM COIN LONG"/>
    <b v="1"/>
  </r>
  <r>
    <s v="HUOBI"/>
    <x v="32"/>
    <s v="BTT"/>
    <n v="1367501156.8785999"/>
    <n v="845.32910099311698"/>
    <n v="6.1815604084945001E-7"/>
    <n v="0"/>
    <x v="3"/>
    <d v="2022-12-29T00:00:00"/>
    <n v="1"/>
    <x v="89"/>
    <n v="1"/>
    <n v="1367501156.8785999"/>
    <n v="845.32910099311789"/>
    <n v="0"/>
    <s v="COIN"/>
    <s v="LONG"/>
    <s v="COIN LONG"/>
    <n v="845.32910099311698"/>
    <n v="6.1815604084945001E-7"/>
    <n v="0"/>
    <n v="0"/>
    <x v="2"/>
    <s v="BTT COIN LONG"/>
    <b v="1"/>
  </r>
  <r>
    <s v="HUOBI"/>
    <x v="32"/>
    <s v="CMT"/>
    <n v="1.7855998900000001"/>
    <n v="3.8423151353518502E-3"/>
    <n v="2.15183432574688E-3"/>
    <n v="0"/>
    <x v="3"/>
    <d v="2022-12-29T00:00:00"/>
    <n v="1"/>
    <x v="90"/>
    <n v="1"/>
    <n v="1.7855998900000001"/>
    <n v="3.8423151353518532E-3"/>
    <n v="0"/>
    <s v="COIN"/>
    <s v="LONG"/>
    <s v="COIN LONG"/>
    <n v="3.8423151353518502E-3"/>
    <n v="2.15183432574688E-3"/>
    <n v="0"/>
    <n v="0"/>
    <x v="2"/>
    <s v="CMT COIN LONG"/>
    <b v="1"/>
  </r>
  <r>
    <s v="HUOBI"/>
    <x v="32"/>
    <s v="CRO"/>
    <n v="0.30791584"/>
    <n v="1.7736621591151101E-2"/>
    <n v="5.7602173344349902E-2"/>
    <n v="0"/>
    <x v="3"/>
    <d v="2022-12-29T00:00:00"/>
    <n v="1"/>
    <x v="91"/>
    <n v="1"/>
    <n v="0.30791584"/>
    <n v="1.7736621591151108E-2"/>
    <n v="0"/>
    <s v="COIN"/>
    <s v="LONG"/>
    <s v="COIN LONG"/>
    <n v="1.7736621591151101E-2"/>
    <n v="5.7602173344349902E-2"/>
    <n v="0"/>
    <n v="0"/>
    <x v="2"/>
    <s v="CRO COIN LONG"/>
    <b v="1"/>
  </r>
  <r>
    <s v="HUOBI"/>
    <x v="32"/>
    <s v="DASH"/>
    <n v="5.6119999999999998E-5"/>
    <n v="2.4108274850023802E-3"/>
    <n v="42.9584370100211"/>
    <n v="0"/>
    <x v="3"/>
    <d v="2022-12-29T00:00:00"/>
    <n v="1"/>
    <x v="20"/>
    <n v="1"/>
    <n v="5.6119999999999998E-5"/>
    <n v="2.4108274850023841E-3"/>
    <n v="0"/>
    <s v="COIN"/>
    <s v="LONG"/>
    <s v="COIN LONG"/>
    <n v="2.4108274850023802E-3"/>
    <n v="42.9584370100211"/>
    <n v="0"/>
    <n v="0"/>
    <x v="2"/>
    <s v="DASH COIN LONG"/>
    <b v="1"/>
  </r>
  <r>
    <s v="HUOBI"/>
    <x v="32"/>
    <s v="DON"/>
    <n v="5.9800000000000001E-4"/>
    <n v="4.0053400491261303E-6"/>
    <n v="6.6978930587393397E-3"/>
    <n v="0"/>
    <x v="3"/>
    <d v="2022-12-29T00:00:00"/>
    <n v="1"/>
    <x v="92"/>
    <n v="1"/>
    <n v="5.9800000000000001E-4"/>
    <n v="4.0053400491261252E-6"/>
    <n v="0"/>
    <s v="COIN"/>
    <s v="LONG"/>
    <s v="COIN LONG"/>
    <n v="4.0053400491261303E-6"/>
    <n v="6.6978930587393397E-3"/>
    <n v="0"/>
    <n v="0"/>
    <x v="2"/>
    <s v="DON COIN LONG"/>
    <b v="1"/>
  </r>
  <r>
    <s v="HUOBI"/>
    <x v="32"/>
    <s v="DOT"/>
    <n v="40190.769036849997"/>
    <n v="172115.309713072"/>
    <n v="4.2824587296466801"/>
    <n v="0"/>
    <x v="3"/>
    <d v="2022-12-29T00:00:00"/>
    <n v="1"/>
    <x v="22"/>
    <n v="1"/>
    <n v="40190.769036849997"/>
    <n v="172115.30971307177"/>
    <n v="0"/>
    <s v="COIN"/>
    <s v="LONG"/>
    <s v="COIN LONG"/>
    <n v="172115.309713072"/>
    <n v="4.2824587296466801"/>
    <n v="0"/>
    <n v="0"/>
    <x v="2"/>
    <s v="DOT COIN LONG"/>
    <b v="1"/>
  </r>
  <r>
    <s v="HUOBI"/>
    <x v="32"/>
    <s v="ENJ"/>
    <n v="1E-8"/>
    <n v="2.4322404405599899E-9"/>
    <n v="0.24322404405599901"/>
    <n v="0"/>
    <x v="3"/>
    <d v="2022-12-29T00:00:00"/>
    <n v="1"/>
    <x v="23"/>
    <n v="1"/>
    <n v="1E-8"/>
    <n v="2.4322404405599903E-9"/>
    <n v="0"/>
    <s v="COIN"/>
    <s v="LONG"/>
    <s v="COIN LONG"/>
    <n v="2.4322404405599899E-9"/>
    <n v="0.24322404405599901"/>
    <n v="0"/>
    <n v="0"/>
    <x v="2"/>
    <s v="ENJ COIN LONG"/>
    <b v="1"/>
  </r>
  <r>
    <s v="HUOBI"/>
    <x v="32"/>
    <s v="EOS"/>
    <n v="43809.056757799997"/>
    <n v="38160.149359732801"/>
    <n v="0.87105617385698697"/>
    <n v="0"/>
    <x v="3"/>
    <d v="2022-12-29T00:00:00"/>
    <n v="1"/>
    <x v="3"/>
    <n v="1"/>
    <n v="43809.056757799997"/>
    <n v="38160.149359732844"/>
    <n v="0"/>
    <s v="COIN"/>
    <s v="LONG"/>
    <s v="COIN LONG"/>
    <n v="38160.149359732801"/>
    <n v="0.87105617385698697"/>
    <n v="0"/>
    <n v="0"/>
    <x v="2"/>
    <s v="EOS COIN LONG"/>
    <b v="1"/>
  </r>
  <r>
    <s v="HUOBI"/>
    <x v="32"/>
    <s v="ETC"/>
    <n v="9386.4058023599991"/>
    <n v="141875.92711464301"/>
    <n v="15.115042978322"/>
    <n v="0"/>
    <x v="3"/>
    <d v="2022-12-29T00:00:00"/>
    <n v="1"/>
    <x v="40"/>
    <n v="1"/>
    <n v="9386.4058023599991"/>
    <n v="141875.92711464237"/>
    <n v="0"/>
    <s v="COIN"/>
    <s v="LONG"/>
    <s v="COIN LONG"/>
    <n v="141875.92711464301"/>
    <n v="15.115042978322"/>
    <n v="0"/>
    <n v="0"/>
    <x v="2"/>
    <s v="ETC COIN LONG"/>
    <b v="1"/>
  </r>
  <r>
    <s v="HUOBI"/>
    <x v="32"/>
    <s v="ETH"/>
    <n v="4497.4379348800003"/>
    <n v="5351888.4475509198"/>
    <n v="1189.9860598507"/>
    <n v="0"/>
    <x v="3"/>
    <d v="2022-12-29T00:00:00"/>
    <n v="1"/>
    <x v="1"/>
    <n v="1"/>
    <n v="4497.4379348800003"/>
    <n v="5351888.4475509208"/>
    <n v="0"/>
    <s v="COIN"/>
    <s v="LONG"/>
    <s v="COIN LONG"/>
    <n v="5351888.4475509198"/>
    <n v="1189.9860598507"/>
    <n v="0"/>
    <n v="0"/>
    <x v="2"/>
    <s v="ETH COIN LONG"/>
    <b v="1"/>
  </r>
  <r>
    <s v="HUOBI"/>
    <x v="32"/>
    <s v="ETHF"/>
    <n v="9823.8364263999993"/>
    <n v="3997.2649970362399"/>
    <n v="0.40689449859875798"/>
    <n v="0"/>
    <x v="3"/>
    <d v="2022-12-29T00:00:00"/>
    <n v="1"/>
    <x v="80"/>
    <n v="1"/>
    <n v="9823.8364263999993"/>
    <n v="3997.2649970362422"/>
    <n v="0"/>
    <s v="COIN"/>
    <s v="LONG"/>
    <s v="COIN LONG"/>
    <n v="3997.2649970362399"/>
    <n v="0.40689449859875798"/>
    <n v="0"/>
    <n v="0"/>
    <x v="2"/>
    <s v="ETHF COIN LONG"/>
    <b v="1"/>
  </r>
  <r>
    <s v="HUOBI"/>
    <x v="32"/>
    <s v="ETHW"/>
    <n v="3460.93190667"/>
    <n v="10242.322008818001"/>
    <n v="2.9594115934724901"/>
    <n v="0"/>
    <x v="3"/>
    <d v="2022-12-29T00:00:00"/>
    <n v="1"/>
    <x v="41"/>
    <n v="1"/>
    <n v="3460.93190667"/>
    <n v="10242.322008818048"/>
    <n v="0"/>
    <s v="COIN"/>
    <s v="LONG"/>
    <s v="COIN LONG"/>
    <n v="10242.322008818001"/>
    <n v="2.9594115934724901"/>
    <n v="0"/>
    <n v="0"/>
    <x v="2"/>
    <s v="ETHW COIN LONG"/>
    <b v="1"/>
  </r>
  <r>
    <s v="HUOBI"/>
    <x v="32"/>
    <s v="EUROC"/>
    <n v="337819.24520927999"/>
    <n v="358947.23806319601"/>
    <n v="1.06254230081186"/>
    <n v="0"/>
    <x v="3"/>
    <d v="2022-12-29T00:00:00"/>
    <n v="1"/>
    <x v="93"/>
    <n v="1"/>
    <n v="337819.24520927999"/>
    <n v="358947.23806319427"/>
    <n v="0"/>
    <s v="COIN"/>
    <s v="LONG"/>
    <s v="COIN LONG"/>
    <n v="358947.23806319601"/>
    <n v="1.06254230081186"/>
    <n v="0"/>
    <n v="0"/>
    <x v="2"/>
    <s v="EUROC COIN LONG"/>
    <b v="1"/>
  </r>
  <r>
    <s v="HUOBI"/>
    <x v="32"/>
    <s v="FIL"/>
    <n v="1.0244641699999999"/>
    <n v="3.0670778773366099"/>
    <n v="2.9938361605527"/>
    <n v="0"/>
    <x v="3"/>
    <d v="2022-12-29T00:00:00"/>
    <n v="1"/>
    <x v="25"/>
    <n v="1"/>
    <n v="1.0244641699999999"/>
    <n v="3.0670778773366081"/>
    <n v="0"/>
    <s v="COIN"/>
    <s v="LONG"/>
    <s v="COIN LONG"/>
    <n v="3.0670778773366099"/>
    <n v="2.9938361605527"/>
    <n v="0"/>
    <n v="0"/>
    <x v="2"/>
    <s v="FIL COIN LONG"/>
    <b v="1"/>
  </r>
  <r>
    <s v="HUOBI"/>
    <x v="32"/>
    <s v="FTT"/>
    <n v="0.68557060000000003"/>
    <n v="0.60747785388075803"/>
    <n v="0.88609087653519303"/>
    <n v="0"/>
    <x v="3"/>
    <d v="2022-12-29T00:00:00"/>
    <n v="1"/>
    <x v="94"/>
    <n v="1"/>
    <n v="0.68557060000000003"/>
    <n v="0.60747785388075826"/>
    <n v="0"/>
    <s v="COIN"/>
    <s v="LONG"/>
    <s v="COIN LONG"/>
    <n v="0.60747785388075803"/>
    <n v="0.88609087653519303"/>
    <n v="0"/>
    <n v="0"/>
    <x v="2"/>
    <s v="FTT COIN LONG"/>
    <b v="1"/>
  </r>
  <r>
    <s v="HUOBI"/>
    <x v="32"/>
    <s v="GAS"/>
    <n v="54.776400000000002"/>
    <n v="109.506713859486"/>
    <n v="1.99915864970108"/>
    <n v="0"/>
    <x v="3"/>
    <d v="2022-12-29T00:00:00"/>
    <n v="1"/>
    <x v="95"/>
    <n v="1"/>
    <n v="54.776400000000002"/>
    <n v="109.50671385948624"/>
    <n v="0"/>
    <s v="COIN"/>
    <s v="LONG"/>
    <s v="COIN LONG"/>
    <n v="109.506713859486"/>
    <n v="1.99915864970108"/>
    <n v="0"/>
    <n v="0"/>
    <x v="2"/>
    <s v="GAS COIN LONG"/>
    <b v="1"/>
  </r>
  <r>
    <s v="HUOBI"/>
    <x v="32"/>
    <s v="HBAR"/>
    <n v="3.4060489999999999E-2"/>
    <n v="1.3836630211472899E-3"/>
    <n v="4.06236968742167E-2"/>
    <n v="0"/>
    <x v="3"/>
    <d v="2022-12-29T00:00:00"/>
    <n v="1"/>
    <x v="28"/>
    <n v="1"/>
    <n v="3.4060489999999999E-2"/>
    <n v="1.383663021147289E-3"/>
    <n v="0"/>
    <s v="COIN"/>
    <s v="LONG"/>
    <s v="COIN LONG"/>
    <n v="1.3836630211472899E-3"/>
    <n v="4.06236968742167E-2"/>
    <n v="0"/>
    <n v="0"/>
    <x v="2"/>
    <s v="HBAR COIN LONG"/>
    <b v="1"/>
  </r>
  <r>
    <s v="HUOBI"/>
    <x v="32"/>
    <s v="HPT"/>
    <n v="5337.6979873099999"/>
    <n v="1.05662507593273"/>
    <n v="1.9795520062108901E-4"/>
    <n v="0"/>
    <x v="3"/>
    <d v="2022-12-29T00:00:00"/>
    <n v="1"/>
    <x v="96"/>
    <n v="1"/>
    <n v="5337.6979873099999"/>
    <n v="1.056625075932734"/>
    <n v="0"/>
    <s v="COIN"/>
    <s v="LONG"/>
    <s v="COIN LONG"/>
    <n v="1.05662507593273"/>
    <n v="1.9795520062108901E-4"/>
    <n v="0"/>
    <n v="0"/>
    <x v="2"/>
    <s v="HPT COIN LONG"/>
    <b v="1"/>
  </r>
  <r>
    <s v="HUOBI"/>
    <x v="32"/>
    <s v="HT"/>
    <n v="1722.4865509399999"/>
    <n v="9028.5594429569392"/>
    <n v="5.2415848692867"/>
    <n v="0"/>
    <x v="3"/>
    <d v="2022-12-29T00:00:00"/>
    <n v="1"/>
    <x v="97"/>
    <n v="1"/>
    <n v="1722.4865509399999"/>
    <n v="9028.5594429569373"/>
    <n v="0"/>
    <s v="COIN"/>
    <s v="LONG"/>
    <s v="COIN LONG"/>
    <n v="9028.5594429569392"/>
    <n v="5.2415848692867"/>
    <n v="0"/>
    <n v="0"/>
    <x v="2"/>
    <s v="HT COIN LONG"/>
    <b v="1"/>
  </r>
  <r>
    <s v="HUOBI"/>
    <x v="32"/>
    <s v="IOST"/>
    <n v="14.785856219999999"/>
    <n v="0.10075344673608699"/>
    <n v="6.81417736226892E-3"/>
    <n v="0"/>
    <x v="3"/>
    <d v="2022-12-29T00:00:00"/>
    <n v="1"/>
    <x v="98"/>
    <n v="1"/>
    <n v="14.785856219999999"/>
    <n v="0.1007534467360871"/>
    <n v="0"/>
    <s v="COIN"/>
    <s v="LONG"/>
    <s v="COIN LONG"/>
    <n v="0.10075344673608699"/>
    <n v="6.81417736226892E-3"/>
    <n v="0"/>
    <n v="0"/>
    <x v="2"/>
    <s v="IOST COIN LONG"/>
    <b v="1"/>
  </r>
  <r>
    <s v="HUOBI"/>
    <x v="32"/>
    <s v="IRIS"/>
    <n v="0.81765067999999996"/>
    <n v="1.0380367665008799E-2"/>
    <n v="1.26953574661111E-2"/>
    <n v="0"/>
    <x v="3"/>
    <d v="2022-12-29T00:00:00"/>
    <n v="1"/>
    <x v="99"/>
    <n v="1"/>
    <n v="0.81765067999999996"/>
    <n v="1.0380367665008817E-2"/>
    <n v="0"/>
    <s v="COIN"/>
    <s v="LONG"/>
    <s v="COIN LONG"/>
    <n v="1.0380367665008799E-2"/>
    <n v="1.26953574661111E-2"/>
    <n v="0"/>
    <n v="0"/>
    <x v="2"/>
    <s v="IRIS COIN LONG"/>
    <b v="1"/>
  </r>
  <r>
    <s v="HUOBI"/>
    <x v="32"/>
    <s v="JST"/>
    <n v="9.1121815000000002"/>
    <n v="0.18111274300705199"/>
    <n v="1.9875892837192901E-2"/>
    <n v="0"/>
    <x v="3"/>
    <d v="2022-12-29T00:00:00"/>
    <n v="1"/>
    <x v="100"/>
    <n v="1"/>
    <n v="9.1121815000000002"/>
    <n v="0.18111274300705166"/>
    <n v="0"/>
    <s v="COIN"/>
    <s v="LONG"/>
    <s v="COIN LONG"/>
    <n v="0.18111274300705199"/>
    <n v="1.9875892837192901E-2"/>
    <n v="0"/>
    <n v="0"/>
    <x v="2"/>
    <s v="JST COIN LONG"/>
    <b v="1"/>
  </r>
  <r>
    <s v="HUOBI"/>
    <x v="32"/>
    <s v="KSM"/>
    <n v="1.4966E-4"/>
    <n v="3.6993008612783902E-3"/>
    <n v="24.7180332839663"/>
    <n v="0"/>
    <x v="3"/>
    <d v="2022-12-29T00:00:00"/>
    <n v="1"/>
    <x v="101"/>
    <n v="1"/>
    <n v="1.4966E-4"/>
    <n v="3.6993008612783962E-3"/>
    <n v="0"/>
    <s v="COIN"/>
    <s v="LONG"/>
    <s v="COIN LONG"/>
    <n v="3.6993008612783902E-3"/>
    <n v="24.7180332839663"/>
    <n v="0"/>
    <n v="0"/>
    <x v="2"/>
    <s v="KSM COIN LONG"/>
    <b v="1"/>
  </r>
  <r>
    <s v="HUOBI"/>
    <x v="32"/>
    <s v="LAMB"/>
    <n v="0.24234807999999999"/>
    <n v="2.93771377045085E-4"/>
    <n v="1.21218776334058E-3"/>
    <n v="0"/>
    <x v="3"/>
    <d v="2022-12-29T00:00:00"/>
    <n v="1"/>
    <x v="102"/>
    <n v="1"/>
    <n v="0.24234807999999999"/>
    <n v="2.9377137704508392E-4"/>
    <n v="0"/>
    <s v="COIN"/>
    <s v="LONG"/>
    <s v="COIN LONG"/>
    <n v="2.93771377045085E-4"/>
    <n v="1.21218776334058E-3"/>
    <n v="0"/>
    <n v="0"/>
    <x v="2"/>
    <s v="LAMB COIN LONG"/>
    <b v="1"/>
  </r>
  <r>
    <s v="HUOBI"/>
    <x v="32"/>
    <s v="LEND"/>
    <n v="1E-8"/>
    <n v="0"/>
    <n v="0"/>
    <n v="0"/>
    <x v="3"/>
    <d v="2022-12-29T00:00:00"/>
    <n v="1"/>
    <x v="103"/>
    <n v="1"/>
    <n v="1E-8"/>
    <n v="0"/>
    <n v="0"/>
    <s v="COIN"/>
    <s v="SHORT"/>
    <s v="COIN SHORT"/>
    <n v="0"/>
    <n v="0"/>
    <n v="0"/>
    <n v="0"/>
    <x v="2"/>
    <s v="LEND COIN SHORT"/>
    <b v="1"/>
  </r>
  <r>
    <s v="HUOBI"/>
    <x v="32"/>
    <s v="LINK"/>
    <n v="300.57545334000002"/>
    <n v="1706.34771993973"/>
    <n v="5.67693635983498"/>
    <n v="0"/>
    <x v="3"/>
    <d v="2022-12-29T00:00:00"/>
    <n v="1"/>
    <x v="9"/>
    <n v="1"/>
    <n v="300.57545334000002"/>
    <n v="1706.3477199397287"/>
    <n v="0"/>
    <s v="COIN"/>
    <s v="LONG"/>
    <s v="COIN LONG"/>
    <n v="1706.34771993973"/>
    <n v="5.67693635983498"/>
    <n v="0"/>
    <n v="0"/>
    <x v="2"/>
    <s v="LINK COIN LONG"/>
    <b v="1"/>
  </r>
  <r>
    <s v="HUOBI"/>
    <x v="32"/>
    <s v="LOL"/>
    <n v="4.3289484800000002"/>
    <n v="1.1153108307952401E-6"/>
    <n v="2.5764012575987998E-7"/>
    <n v="0"/>
    <x v="3"/>
    <d v="2022-12-29T00:00:00"/>
    <n v="1"/>
    <x v="104"/>
    <n v="1"/>
    <n v="4.3289484800000002"/>
    <n v="1.1153108307952414E-6"/>
    <n v="0"/>
    <s v="COIN"/>
    <s v="LONG"/>
    <s v="COIN LONG"/>
    <n v="1.1153108307952401E-6"/>
    <n v="2.5764012575987998E-7"/>
    <n v="0"/>
    <n v="0"/>
    <x v="2"/>
    <s v="LOL COIN LONG"/>
    <b v="1"/>
  </r>
  <r>
    <s v="HUOBI"/>
    <x v="32"/>
    <s v="LTC"/>
    <n v="9010.5552543400008"/>
    <n v="597751.80378378904"/>
    <n v="66.339064232015801"/>
    <n v="0"/>
    <x v="3"/>
    <d v="2022-12-29T00:00:00"/>
    <n v="1"/>
    <x v="5"/>
    <n v="1"/>
    <n v="9010.5552543400008"/>
    <n v="597751.80378378881"/>
    <n v="0"/>
    <s v="COIN"/>
    <s v="LONG"/>
    <s v="COIN LONG"/>
    <n v="597751.80378378904"/>
    <n v="66.339064232015801"/>
    <n v="0"/>
    <n v="0"/>
    <x v="2"/>
    <s v="LTC COIN LONG"/>
    <b v="1"/>
  </r>
  <r>
    <s v="HUOBI"/>
    <x v="32"/>
    <s v="LXT"/>
    <n v="0.66495972999999997"/>
    <n v="1.4823938845664501E-4"/>
    <n v="2.22929873447593E-4"/>
    <n v="0"/>
    <x v="3"/>
    <d v="2022-12-29T00:00:00"/>
    <n v="1"/>
    <x v="105"/>
    <n v="1"/>
    <n v="0.66495972999999997"/>
    <n v="1.4823938845664561E-4"/>
    <n v="0"/>
    <s v="COIN"/>
    <s v="LONG"/>
    <s v="COIN LONG"/>
    <n v="1.4823938845664501E-4"/>
    <n v="2.22929873447593E-4"/>
    <n v="0"/>
    <n v="0"/>
    <x v="2"/>
    <s v="LXT COIN LONG"/>
    <b v="1"/>
  </r>
  <r>
    <s v="HUOBI"/>
    <x v="32"/>
    <s v="MANA"/>
    <n v="0.34"/>
    <n v="0.103746022970887"/>
    <n v="0.30513536167908101"/>
    <n v="0"/>
    <x v="3"/>
    <d v="2022-12-29T00:00:00"/>
    <n v="1"/>
    <x v="29"/>
    <n v="1"/>
    <n v="0.34"/>
    <n v="0.10374602297088754"/>
    <n v="0"/>
    <s v="COIN"/>
    <s v="LONG"/>
    <s v="COIN LONG"/>
    <n v="0.103746022970887"/>
    <n v="0.30513536167908101"/>
    <n v="0"/>
    <n v="0"/>
    <x v="2"/>
    <s v="MANA COIN LONG"/>
    <b v="1"/>
  </r>
  <r>
    <s v="HUOBI"/>
    <x v="32"/>
    <s v="NEO"/>
    <n v="0.89105878000000005"/>
    <n v="5.4015843117876399"/>
    <n v="6.0619842742446703"/>
    <n v="0"/>
    <x v="3"/>
    <d v="2022-12-29T00:00:00"/>
    <n v="1"/>
    <x v="106"/>
    <n v="1"/>
    <n v="0.89105878000000005"/>
    <n v="5.4015843117876416"/>
    <n v="0"/>
    <s v="COIN"/>
    <s v="LONG"/>
    <s v="COIN LONG"/>
    <n v="5.4015843117876399"/>
    <n v="6.0619842742446703"/>
    <n v="0"/>
    <n v="0"/>
    <x v="2"/>
    <s v="NEO COIN LONG"/>
    <b v="1"/>
  </r>
  <r>
    <s v="HUOBI"/>
    <x v="32"/>
    <s v="NEW"/>
    <n v="40.704174029999997"/>
    <n v="5.9205254414839599E-3"/>
    <n v="1.4545253853131599E-4"/>
    <n v="0"/>
    <x v="3"/>
    <d v="2022-12-29T00:00:00"/>
    <n v="1"/>
    <x v="107"/>
    <n v="1"/>
    <n v="40.704174029999997"/>
    <n v="5.920525441483966E-3"/>
    <n v="0"/>
    <s v="COIN"/>
    <s v="LONG"/>
    <s v="COIN LONG"/>
    <n v="5.9205254414839599E-3"/>
    <n v="1.4545253853131599E-4"/>
    <n v="0"/>
    <n v="0"/>
    <x v="2"/>
    <s v="NEW COIN LONG"/>
    <b v="1"/>
  </r>
  <r>
    <s v="HUOBI"/>
    <x v="32"/>
    <s v="NFT"/>
    <n v="3049025070.2014399"/>
    <n v="1340.7186816849601"/>
    <n v="4.3972045188739001E-7"/>
    <n v="0"/>
    <x v="3"/>
    <d v="2022-12-29T00:00:00"/>
    <n v="1"/>
    <x v="108"/>
    <n v="1"/>
    <n v="3049025070.2014399"/>
    <n v="1340.7186816849583"/>
    <n v="0"/>
    <s v="COIN"/>
    <s v="LONG"/>
    <s v="COIN LONG"/>
    <n v="1340.7186816849601"/>
    <n v="4.3972045188739001E-7"/>
    <n v="0"/>
    <n v="0"/>
    <x v="2"/>
    <s v="NFT COIN LONG"/>
    <b v="1"/>
  </r>
  <r>
    <s v="HUOBI"/>
    <x v="32"/>
    <s v="NULS"/>
    <n v="4.3068300000000002E-3"/>
    <n v="7.8527958275329403E-4"/>
    <n v="0.18233354526491499"/>
    <n v="0"/>
    <x v="3"/>
    <d v="2022-12-29T00:00:00"/>
    <n v="1"/>
    <x v="109"/>
    <n v="1"/>
    <n v="4.3068300000000002E-3"/>
    <n v="7.8527958275329392E-4"/>
    <n v="0"/>
    <s v="COIN"/>
    <s v="LONG"/>
    <s v="COIN LONG"/>
    <n v="7.8527958275329403E-4"/>
    <n v="0.18233354526491499"/>
    <n v="0"/>
    <n v="0"/>
    <x v="2"/>
    <s v="NULS COIN LONG"/>
    <b v="1"/>
  </r>
  <r>
    <s v="HUOBI"/>
    <x v="32"/>
    <s v="ONG"/>
    <n v="0.34782034000000001"/>
    <n v="7.5661428144105994E-2"/>
    <n v="0.21753020005703499"/>
    <n v="0"/>
    <x v="3"/>
    <d v="2022-12-29T00:00:00"/>
    <n v="1"/>
    <x v="110"/>
    <n v="1"/>
    <n v="0.34782034000000001"/>
    <n v="7.5661428144105938E-2"/>
    <n v="0"/>
    <s v="COIN"/>
    <s v="LONG"/>
    <s v="COIN LONG"/>
    <n v="7.5661428144105994E-2"/>
    <n v="0.21753020005703499"/>
    <n v="0"/>
    <n v="0"/>
    <x v="2"/>
    <s v="ONG COIN LONG"/>
    <b v="1"/>
  </r>
  <r>
    <s v="HUOBI"/>
    <x v="32"/>
    <s v="OXT"/>
    <n v="770726.50101333996"/>
    <n v="53706.867323216698"/>
    <n v="6.9683431480043495E-2"/>
    <n v="0"/>
    <x v="3"/>
    <d v="2022-12-29T00:00:00"/>
    <n v="1"/>
    <x v="32"/>
    <n v="1"/>
    <n v="770726.50101333996"/>
    <n v="53706.867323216749"/>
    <n v="0"/>
    <s v="COIN"/>
    <s v="LONG"/>
    <s v="COIN LONG"/>
    <n v="53706.867323216698"/>
    <n v="6.9683431480043495E-2"/>
    <n v="0"/>
    <n v="0"/>
    <x v="2"/>
    <s v="OXT COIN LONG"/>
    <b v="1"/>
  </r>
  <r>
    <s v="HUOBI"/>
    <x v="32"/>
    <s v="QTUM"/>
    <n v="3.0962099999999998E-3"/>
    <n v="5.76969224537333E-3"/>
    <n v="1.8634692883794399"/>
    <n v="0"/>
    <x v="3"/>
    <d v="2022-12-29T00:00:00"/>
    <n v="1"/>
    <x v="111"/>
    <n v="1"/>
    <n v="3.0962099999999998E-3"/>
    <n v="5.7696922453733058E-3"/>
    <n v="0"/>
    <s v="COIN"/>
    <s v="LONG"/>
    <s v="COIN LONG"/>
    <n v="5.76969224537333E-3"/>
    <n v="1.8634692883794399"/>
    <n v="0"/>
    <n v="0"/>
    <x v="2"/>
    <s v="QTUM COIN LONG"/>
    <b v="1"/>
  </r>
  <r>
    <s v="HUOBI"/>
    <x v="32"/>
    <s v="REI"/>
    <n v="2.6598900000000002E-2"/>
    <n v="6.1097093313721795E-4"/>
    <n v="2.2969781951028698E-2"/>
    <n v="0"/>
    <x v="3"/>
    <d v="2022-12-29T00:00:00"/>
    <n v="1"/>
    <x v="112"/>
    <n v="1"/>
    <n v="2.6598900000000002E-2"/>
    <n v="6.109709331372173E-4"/>
    <n v="0"/>
    <s v="COIN"/>
    <s v="LONG"/>
    <s v="COIN LONG"/>
    <n v="6.1097093313721795E-4"/>
    <n v="2.2969781951028698E-2"/>
    <n v="0"/>
    <n v="0"/>
    <x v="2"/>
    <s v="REI COIN LONG"/>
    <b v="1"/>
  </r>
  <r>
    <s v="HUOBI"/>
    <x v="32"/>
    <s v="SGB"/>
    <n v="1214222.2371159999"/>
    <n v="12198.8395775585"/>
    <n v="1.0046628372194E-2"/>
    <n v="0"/>
    <x v="3"/>
    <d v="2022-12-29T00:00:00"/>
    <n v="1"/>
    <x v="44"/>
    <n v="1"/>
    <n v="1214222.2371159999"/>
    <n v="12198.839577558476"/>
    <n v="0"/>
    <s v="COIN"/>
    <s v="LONG"/>
    <s v="COIN LONG"/>
    <n v="12198.8395775585"/>
    <n v="1.0046628372194E-2"/>
    <n v="0"/>
    <n v="0"/>
    <x v="2"/>
    <s v="SGB COIN LONG"/>
    <b v="1"/>
  </r>
  <r>
    <s v="HUOBI"/>
    <x v="32"/>
    <s v="SHIB"/>
    <n v="1884988.30453923"/>
    <n v="14.9305739622729"/>
    <n v="7.9207780368284999E-6"/>
    <n v="0"/>
    <x v="3"/>
    <d v="2022-12-29T00:00:00"/>
    <n v="1"/>
    <x v="11"/>
    <n v="1"/>
    <n v="1884988.30453923"/>
    <n v="14.930573962272923"/>
    <n v="0"/>
    <s v="COIN"/>
    <s v="LONG"/>
    <s v="COIN LONG"/>
    <n v="14.9305739622729"/>
    <n v="7.9207780368284999E-6"/>
    <n v="0"/>
    <n v="0"/>
    <x v="2"/>
    <s v="SHIB COIN LONG"/>
    <b v="1"/>
  </r>
  <r>
    <s v="HUOBI"/>
    <x v="32"/>
    <s v="SOL"/>
    <n v="0.14106867000000001"/>
    <n v="1.37625270571894"/>
    <n v="9.7559061534991791"/>
    <n v="0"/>
    <x v="3"/>
    <d v="2022-12-29T00:00:00"/>
    <n v="1"/>
    <x v="33"/>
    <n v="1"/>
    <n v="0.14106867000000001"/>
    <n v="1.3762527057189451"/>
    <n v="0"/>
    <s v="COIN"/>
    <s v="LONG"/>
    <s v="COIN LONG"/>
    <n v="1.37625270571894"/>
    <n v="9.7559061534991791"/>
    <n v="0"/>
    <n v="0"/>
    <x v="2"/>
    <s v="SOL COIN LONG"/>
    <b v="1"/>
  </r>
  <r>
    <s v="HUOBI"/>
    <x v="32"/>
    <s v="SOLO"/>
    <n v="38753.774400000002"/>
    <n v="6742.0223001583299"/>
    <n v="0.17397072683992101"/>
    <n v="0"/>
    <x v="3"/>
    <d v="2022-12-29T00:00:00"/>
    <n v="1"/>
    <x v="113"/>
    <n v="1"/>
    <n v="38753.774400000002"/>
    <n v="6742.0223001583245"/>
    <n v="0"/>
    <s v="COIN"/>
    <s v="LONG"/>
    <s v="COIN LONG"/>
    <n v="6742.0223001583299"/>
    <n v="0.17397072683992101"/>
    <n v="0"/>
    <n v="0"/>
    <x v="2"/>
    <s v="SOLO COIN LONG"/>
    <b v="1"/>
  </r>
  <r>
    <s v="HUOBI"/>
    <x v="32"/>
    <s v="STORJ"/>
    <n v="29.76350429"/>
    <n v="7.4616070776097096"/>
    <n v="0.25069652433758199"/>
    <n v="0"/>
    <x v="3"/>
    <d v="2022-12-29T00:00:00"/>
    <n v="1"/>
    <x v="114"/>
    <n v="1"/>
    <n v="29.76350429"/>
    <n v="7.4616070776097114"/>
    <n v="0"/>
    <s v="COIN"/>
    <s v="LONG"/>
    <s v="COIN LONG"/>
    <n v="7.4616070776097096"/>
    <n v="0.25069652433758199"/>
    <n v="0"/>
    <n v="0"/>
    <x v="2"/>
    <s v="STORJ COIN LONG"/>
    <b v="1"/>
  </r>
  <r>
    <s v="HUOBI"/>
    <x v="32"/>
    <s v="TRX"/>
    <n v="44.266270740000003"/>
    <n v="2.3968027113990198"/>
    <n v="5.4145123845574301E-2"/>
    <n v="0"/>
    <x v="3"/>
    <d v="2022-12-29T00:00:00"/>
    <n v="1"/>
    <x v="79"/>
    <n v="1"/>
    <n v="44.266270740000003"/>
    <n v="2.396802711399022"/>
    <n v="0"/>
    <s v="COIN"/>
    <s v="LONG"/>
    <s v="COIN LONG"/>
    <n v="2.3968027113990198"/>
    <n v="5.4145123845574301E-2"/>
    <n v="0"/>
    <n v="0"/>
    <x v="2"/>
    <s v="TRX COIN LONG"/>
    <b v="1"/>
  </r>
  <r>
    <s v="HUOBI"/>
    <x v="32"/>
    <s v="TT"/>
    <n v="6.3152970000000003E-2"/>
    <n v="1.9716530109011E-4"/>
    <n v="3.1220273740112298E-3"/>
    <n v="0"/>
    <x v="3"/>
    <d v="2022-12-29T00:00:00"/>
    <n v="1"/>
    <x v="115"/>
    <n v="1"/>
    <n v="6.3152970000000003E-2"/>
    <n v="1.9716530109011E-4"/>
    <n v="0"/>
    <s v="COIN"/>
    <s v="LONG"/>
    <s v="COIN LONG"/>
    <n v="1.9716530109011E-4"/>
    <n v="3.1220273740112298E-3"/>
    <n v="0"/>
    <n v="0"/>
    <x v="2"/>
    <s v="TT COIN LONG"/>
    <b v="1"/>
  </r>
  <r>
    <s v="HUOBI"/>
    <x v="32"/>
    <s v="TUSD"/>
    <n v="20"/>
    <n v="20.0046074754997"/>
    <n v="1.00023037377498"/>
    <n v="0"/>
    <x v="3"/>
    <d v="2022-12-29T00:00:00"/>
    <n v="1"/>
    <x v="116"/>
    <n v="1"/>
    <n v="20"/>
    <n v="20.004607475499601"/>
    <n v="0"/>
    <s v="COIN"/>
    <s v="LONG"/>
    <s v="COIN LONG"/>
    <n v="20.0046074754997"/>
    <n v="1.00023037377498"/>
    <n v="0"/>
    <n v="0"/>
    <x v="2"/>
    <s v="TUSD COIN LONG"/>
    <b v="1"/>
  </r>
  <r>
    <s v="HUOBI"/>
    <x v="32"/>
    <s v="UNI"/>
    <n v="1E-8"/>
    <n v="4.9766313994169903E-8"/>
    <n v="4.9766313994169904"/>
    <n v="0"/>
    <x v="3"/>
    <d v="2022-12-29T00:00:00"/>
    <n v="1"/>
    <x v="35"/>
    <n v="1"/>
    <n v="1E-8"/>
    <n v="4.9766313994169903E-8"/>
    <n v="0"/>
    <s v="COIN"/>
    <s v="LONG"/>
    <s v="COIN LONG"/>
    <n v="4.9766313994169903E-8"/>
    <n v="4.9766313994169904"/>
    <n v="0"/>
    <n v="0"/>
    <x v="2"/>
    <s v="UNI COIN LONG"/>
    <b v="1"/>
  </r>
  <r>
    <s v="HUOBI"/>
    <x v="32"/>
    <s v="USDC"/>
    <n v="5.6000000000000004E-7"/>
    <n v="5.6010370758011999E-7"/>
    <n v="1.0001851921073499"/>
    <n v="0"/>
    <x v="3"/>
    <d v="2022-12-29T00:00:00"/>
    <n v="1"/>
    <x v="46"/>
    <n v="1"/>
    <n v="5.6000000000000004E-7"/>
    <n v="5.6010370758011597E-7"/>
    <n v="0"/>
    <s v="COIN"/>
    <s v="LONG"/>
    <s v="COIN LONG"/>
    <n v="5.6010370758011999E-7"/>
    <n v="1.0001851921073499"/>
    <n v="0"/>
    <n v="0"/>
    <x v="2"/>
    <s v="USDC COIN LONG"/>
    <b v="1"/>
  </r>
  <r>
    <s v="HUOBI"/>
    <x v="32"/>
    <s v="USDP"/>
    <n v="0.34680431"/>
    <n v="0.34614621436419302"/>
    <n v="0.99810240064258005"/>
    <n v="0"/>
    <x v="3"/>
    <d v="2022-12-29T00:00:00"/>
    <n v="1"/>
    <x v="117"/>
    <n v="1"/>
    <n v="0.34680431"/>
    <n v="0.34614621436419352"/>
    <n v="0"/>
    <s v="COIN"/>
    <s v="LONG"/>
    <s v="COIN LONG"/>
    <n v="0.34614621436419302"/>
    <n v="0.99810240064258005"/>
    <n v="0"/>
    <n v="0"/>
    <x v="2"/>
    <s v="USDP COIN LONG"/>
    <b v="1"/>
  </r>
  <r>
    <s v="HUOBI"/>
    <x v="32"/>
    <s v="USDT"/>
    <n v="872333.77560403"/>
    <n v="872059.45380927098"/>
    <n v="0.99968553115512604"/>
    <n v="0"/>
    <x v="3"/>
    <d v="2022-12-29T00:00:00"/>
    <n v="1"/>
    <x v="36"/>
    <n v="1"/>
    <n v="872333.77560403"/>
    <n v="872059.45380927122"/>
    <n v="0"/>
    <s v="COIN"/>
    <s v="LONG"/>
    <s v="COIN LONG"/>
    <n v="872059.45380927098"/>
    <n v="0.99968553115512604"/>
    <n v="0"/>
    <n v="0"/>
    <x v="2"/>
    <s v="USDT COIN LONG"/>
    <b v="1"/>
  </r>
  <r>
    <s v="HUOBI"/>
    <x v="32"/>
    <s v="VET"/>
    <n v="25.959481520000001"/>
    <n v="0.40531974866402098"/>
    <n v="1.56135533119854E-2"/>
    <n v="0"/>
    <x v="3"/>
    <d v="2022-12-29T00:00:00"/>
    <n v="1"/>
    <x v="118"/>
    <n v="1"/>
    <n v="25.959481520000001"/>
    <n v="0.40531974866401982"/>
    <n v="0"/>
    <s v="COIN"/>
    <s v="LONG"/>
    <s v="COIN LONG"/>
    <n v="0.40531974866402098"/>
    <n v="1.56135533119854E-2"/>
    <n v="0"/>
    <n v="0"/>
    <x v="2"/>
    <s v="VET COIN LONG"/>
    <b v="1"/>
  </r>
  <r>
    <s v="HUOBI"/>
    <x v="32"/>
    <s v="VSYS"/>
    <n v="0.20872535"/>
    <n v="2.3053742749437999E-4"/>
    <n v="1.1045013339030399E-3"/>
    <n v="0"/>
    <x v="3"/>
    <d v="2022-12-29T00:00:00"/>
    <n v="1"/>
    <x v="119"/>
    <n v="1"/>
    <n v="0.20872535"/>
    <n v="2.3053742749437888E-4"/>
    <n v="0"/>
    <s v="COIN"/>
    <s v="LONG"/>
    <s v="COIN LONG"/>
    <n v="2.3053742749437999E-4"/>
    <n v="1.1045013339030399E-3"/>
    <n v="0"/>
    <n v="0"/>
    <x v="2"/>
    <s v="VSYS COIN LONG"/>
    <b v="1"/>
  </r>
  <r>
    <s v="HUOBI"/>
    <x v="32"/>
    <s v="XEC"/>
    <n v="97856389.900000006"/>
    <n v="2166.0050752616698"/>
    <n v="2.2134528746412199E-5"/>
    <n v="0"/>
    <x v="3"/>
    <d v="2022-12-29T00:00:00"/>
    <n v="1"/>
    <x v="120"/>
    <n v="1"/>
    <n v="97856389.900000006"/>
    <n v="2166.0050752616703"/>
    <n v="0"/>
    <s v="COIN"/>
    <s v="LONG"/>
    <s v="COIN LONG"/>
    <n v="2166.0050752616698"/>
    <n v="2.2134528746412199E-5"/>
    <n v="0"/>
    <n v="0"/>
    <x v="2"/>
    <s v="XEC COIN LONG"/>
    <b v="1"/>
  </r>
  <r>
    <s v="HUOBI"/>
    <x v="32"/>
    <s v="XLM"/>
    <n v="0.55556267999999998"/>
    <n v="3.9877919677228799E-2"/>
    <n v="7.1779334920820906E-2"/>
    <n v="0"/>
    <x v="3"/>
    <d v="2022-12-29T00:00:00"/>
    <n v="1"/>
    <x v="37"/>
    <n v="1"/>
    <n v="0.55556267999999998"/>
    <n v="3.9877919677228847E-2"/>
    <n v="0"/>
    <s v="COIN"/>
    <s v="LONG"/>
    <s v="COIN LONG"/>
    <n v="3.9877919677228799E-2"/>
    <n v="7.1779334920820906E-2"/>
    <n v="0"/>
    <n v="0"/>
    <x v="2"/>
    <s v="XLM COIN LONG"/>
    <b v="1"/>
  </r>
  <r>
    <s v="HUOBI"/>
    <x v="32"/>
    <s v="XRP"/>
    <n v="4064.5697865799998"/>
    <n v="1449.1438052497999"/>
    <n v="0.35653067393121102"/>
    <n v="0"/>
    <x v="3"/>
    <d v="2022-12-29T00:00:00"/>
    <n v="1"/>
    <x v="45"/>
    <n v="1"/>
    <n v="4064.5697865799998"/>
    <n v="1449.1438052498058"/>
    <n v="0"/>
    <s v="COIN"/>
    <s v="LONG"/>
    <s v="COIN LONG"/>
    <n v="1449.1438052497999"/>
    <n v="0.35653067393121102"/>
    <n v="0"/>
    <n v="0"/>
    <x v="2"/>
    <s v="XRP COIN LONG"/>
    <b v="1"/>
  </r>
  <r>
    <s v="HUOBI"/>
    <x v="32"/>
    <s v="XTZ"/>
    <n v="3.9304560899999998"/>
    <n v="2.89804331625125"/>
    <n v="0.73733003241647999"/>
    <n v="0"/>
    <x v="3"/>
    <d v="2022-12-29T00:00:00"/>
    <n v="1"/>
    <x v="38"/>
    <n v="1"/>
    <n v="3.9304560899999998"/>
    <n v="2.8980433162512509"/>
    <n v="0"/>
    <s v="COIN"/>
    <s v="LONG"/>
    <s v="COIN LONG"/>
    <n v="2.89804331625125"/>
    <n v="0.73733003241647999"/>
    <n v="0"/>
    <n v="0"/>
    <x v="2"/>
    <s v="XTZ COIN LONG"/>
    <b v="1"/>
  </r>
  <r>
    <s v="HUOBI"/>
    <x v="32"/>
    <s v="YFII"/>
    <n v="1.329583E-2"/>
    <n v="15.321567737796499"/>
    <n v="1152.35887776818"/>
    <n v="0"/>
    <x v="3"/>
    <d v="2022-12-29T00:00:00"/>
    <n v="1"/>
    <x v="82"/>
    <n v="1"/>
    <n v="1.329583E-2"/>
    <n v="15.321567737796501"/>
    <n v="0"/>
    <s v="COIN"/>
    <s v="LONG"/>
    <s v="COIN LONG"/>
    <n v="15.321567737796499"/>
    <n v="1152.35887776818"/>
    <n v="0"/>
    <n v="0"/>
    <x v="2"/>
    <s v="YFII COIN LONG"/>
    <b v="1"/>
  </r>
  <r>
    <s v="HUOBI"/>
    <x v="32"/>
    <s v="ZEC"/>
    <n v="2.173E-4"/>
    <n v="8.1380145022344804E-3"/>
    <n v="37.450595960582"/>
    <n v="0"/>
    <x v="3"/>
    <d v="2022-12-29T00:00:00"/>
    <n v="1"/>
    <x v="121"/>
    <n v="1"/>
    <n v="2.173E-4"/>
    <n v="8.1380145022344683E-3"/>
    <n v="0"/>
    <s v="COIN"/>
    <s v="LONG"/>
    <s v="COIN LONG"/>
    <n v="8.1380145022344804E-3"/>
    <n v="37.450595960582"/>
    <n v="0"/>
    <n v="0"/>
    <x v="2"/>
    <s v="ZEC COIN LONG"/>
    <b v="1"/>
  </r>
  <r>
    <s v="HUOBI"/>
    <x v="32"/>
    <s v="ZIL"/>
    <n v="18883989.601254299"/>
    <n v="308327.80079286202"/>
    <n v="1.6327471434975899E-2"/>
    <n v="0"/>
    <x v="3"/>
    <d v="2022-12-29T00:00:00"/>
    <n v="1"/>
    <x v="7"/>
    <n v="1"/>
    <n v="18883989.601254299"/>
    <n v="308327.8007928615"/>
    <n v="0"/>
    <s v="COIN"/>
    <s v="LONG"/>
    <s v="COIN LONG"/>
    <n v="308327.80079286202"/>
    <n v="1.6327471434975899E-2"/>
    <n v="0"/>
    <n v="0"/>
    <x v="2"/>
    <s v="ZIL COIN LONG"/>
    <b v="1"/>
  </r>
  <r>
    <s v="HUOBI"/>
    <x v="33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2"/>
    <s v="BCH COIN LONG"/>
    <b v="1"/>
  </r>
  <r>
    <s v="HUOBI"/>
    <x v="33"/>
    <s v="EOS"/>
    <n v="634885.06917307002"/>
    <n v="553020.55919282301"/>
    <n v="0.87105617385698697"/>
    <n v="0"/>
    <x v="3"/>
    <d v="2022-12-29T00:00:00"/>
    <n v="1"/>
    <x v="3"/>
    <n v="1"/>
    <n v="634885.06917307002"/>
    <n v="553020.5591928229"/>
    <n v="0"/>
    <s v="COIN"/>
    <s v="LONG"/>
    <s v="COIN LONG"/>
    <n v="553020.55919282301"/>
    <n v="0.87105617385698697"/>
    <n v="0"/>
    <n v="0"/>
    <x v="2"/>
    <s v="EOS COIN LONG"/>
    <b v="1"/>
  </r>
  <r>
    <s v="HUOBI"/>
    <x v="33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2"/>
    <s v="ETC COIN LONG"/>
    <b v="1"/>
  </r>
  <r>
    <s v="HUOBI"/>
    <x v="33"/>
    <s v="LTC"/>
    <n v="5049.0142718799998"/>
    <n v="334946.88209061202"/>
    <n v="66.339064232015801"/>
    <n v="0"/>
    <x v="3"/>
    <d v="2022-12-29T00:00:00"/>
    <n v="1"/>
    <x v="5"/>
    <n v="1"/>
    <n v="5049.0142718799998"/>
    <n v="334946.88209061179"/>
    <n v="0"/>
    <s v="COIN"/>
    <s v="LONG"/>
    <s v="COIN LONG"/>
    <n v="334946.88209061202"/>
    <n v="66.339064232015801"/>
    <n v="0"/>
    <n v="0"/>
    <x v="2"/>
    <s v="LTC COIN LONG"/>
    <b v="1"/>
  </r>
  <r>
    <s v="HUOBI"/>
    <x v="33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2"/>
    <s v="TRX COIN LONG"/>
    <b v="1"/>
  </r>
  <r>
    <s v="HUOBI"/>
    <x v="33"/>
    <s v="USDT"/>
    <n v="784176.09718601999"/>
    <n v="783929.49823456001"/>
    <n v="0.99968553115512604"/>
    <n v="0"/>
    <x v="3"/>
    <d v="2022-12-29T00:00:00"/>
    <n v="1"/>
    <x v="36"/>
    <n v="1"/>
    <n v="784176.09718601999"/>
    <n v="783929.49823456013"/>
    <n v="0"/>
    <s v="COIN"/>
    <s v="LONG"/>
    <s v="COIN LONG"/>
    <n v="783929.49823456001"/>
    <n v="0.99968553115512604"/>
    <n v="0"/>
    <n v="0"/>
    <x v="2"/>
    <s v="USDT COIN LONG"/>
    <b v="1"/>
  </r>
  <r>
    <s v="HUOBI"/>
    <x v="33"/>
    <s v="XRP"/>
    <n v="7.6039999999999997E-5"/>
    <n v="2.7110592445729298E-5"/>
    <n v="0.35653067393121102"/>
    <n v="0"/>
    <x v="3"/>
    <d v="2022-12-29T00:00:00"/>
    <n v="1"/>
    <x v="45"/>
    <n v="1"/>
    <n v="7.6039999999999997E-5"/>
    <n v="2.7110592445729285E-5"/>
    <n v="0"/>
    <s v="COIN"/>
    <s v="LONG"/>
    <s v="COIN LONG"/>
    <n v="2.7110592445729298E-5"/>
    <n v="0.35653067393121102"/>
    <n v="0"/>
    <n v="0"/>
    <x v="2"/>
    <s v="XRP COIN LONG"/>
    <b v="1"/>
  </r>
  <r>
    <s v="KRKE"/>
    <x v="34"/>
    <s v="ATOM"/>
    <n v="0.331542"/>
    <n v="3.0240020955836302"/>
    <n v="9.1210226625393904"/>
    <n v="0"/>
    <x v="3"/>
    <d v="2022-12-28T22:00:27"/>
    <n v="1"/>
    <x v="10"/>
    <n v="1"/>
    <n v="0.331542"/>
    <n v="3.0240020955836346"/>
    <n v="0"/>
    <s v="COIN"/>
    <s v="LONG"/>
    <s v="COIN LONG"/>
    <n v="3.0240020955836302"/>
    <n v="9.1210226625393904"/>
    <n v="0"/>
    <n v="0"/>
    <x v="13"/>
    <s v="ATOM COIN LONG"/>
    <b v="1"/>
  </r>
  <r>
    <s v="KRKE"/>
    <x v="34"/>
    <s v="BCH"/>
    <n v="1.7695412699999999"/>
    <n v="175.49738415622301"/>
    <n v="99.176768087597907"/>
    <n v="0"/>
    <x v="3"/>
    <d v="2022-12-28T22:00:27"/>
    <n v="1"/>
    <x v="4"/>
    <n v="1"/>
    <n v="1.7695412699999999"/>
    <n v="175.49738415622346"/>
    <n v="0"/>
    <s v="COIN"/>
    <s v="LONG"/>
    <s v="COIN LONG"/>
    <n v="175.49738415622301"/>
    <n v="99.176768087597907"/>
    <n v="0"/>
    <n v="0"/>
    <x v="13"/>
    <s v="BCH COIN LONG"/>
    <b v="1"/>
  </r>
  <r>
    <s v="KRKE"/>
    <x v="34"/>
    <s v="BTC"/>
    <n v="1.8847760000000002E-2"/>
    <n v="311.97889947260802"/>
    <n v="16552.571736514401"/>
    <n v="0"/>
    <x v="3"/>
    <d v="2022-12-28T22:00:27"/>
    <n v="1"/>
    <x v="0"/>
    <n v="1"/>
    <n v="1.8847760000000002E-2"/>
    <n v="311.97889947260671"/>
    <n v="0"/>
    <s v="COIN"/>
    <s v="LONG"/>
    <s v="COIN LONG"/>
    <n v="311.97889947260802"/>
    <n v="16552.571736514401"/>
    <n v="0"/>
    <n v="0"/>
    <x v="13"/>
    <s v="BTC COIN LONG"/>
    <b v="1"/>
  </r>
  <r>
    <s v="KRKE"/>
    <x v="34"/>
    <s v="EOS"/>
    <n v="9.9499194400000004"/>
    <n v="8.6669387575916499"/>
    <n v="0.87105617385698697"/>
    <n v="0"/>
    <x v="3"/>
    <d v="2022-12-28T22:00:27"/>
    <n v="1"/>
    <x v="3"/>
    <n v="1"/>
    <n v="9.9499194400000004"/>
    <n v="8.6669387575916552"/>
    <n v="0"/>
    <s v="COIN"/>
    <s v="LONG"/>
    <s v="COIN LONG"/>
    <n v="8.6669387575916499"/>
    <n v="0.87105617385698697"/>
    <n v="0"/>
    <n v="0"/>
    <x v="13"/>
    <s v="EOS COIN LONG"/>
    <b v="1"/>
  </r>
  <r>
    <s v="KRKE"/>
    <x v="34"/>
    <s v="ETHW"/>
    <n v="3.4037359"/>
    <n v="10.0730554835785"/>
    <n v="2.9594115934724901"/>
    <n v="0"/>
    <x v="3"/>
    <d v="2022-12-28T22:00:27"/>
    <n v="1"/>
    <x v="41"/>
    <n v="1"/>
    <n v="3.4037359"/>
    <n v="10.07305548357852"/>
    <n v="0"/>
    <s v="COIN"/>
    <s v="LONG"/>
    <s v="COIN LONG"/>
    <n v="10.0730554835785"/>
    <n v="2.9594115934724901"/>
    <n v="0"/>
    <n v="0"/>
    <x v="13"/>
    <s v="ETHW COIN LONG"/>
    <b v="1"/>
  </r>
  <r>
    <s v="KRKE"/>
    <x v="34"/>
    <s v="LTC"/>
    <n v="9.1421368100000002"/>
    <n v="606.48080105646602"/>
    <n v="66.339064232015801"/>
    <n v="0"/>
    <x v="3"/>
    <d v="2022-12-28T22:00:27"/>
    <n v="1"/>
    <x v="5"/>
    <n v="1"/>
    <n v="9.1421368100000002"/>
    <n v="606.48080105646602"/>
    <n v="0"/>
    <s v="COIN"/>
    <s v="LONG"/>
    <s v="COIN LONG"/>
    <n v="606.48080105646602"/>
    <n v="66.339064232015801"/>
    <n v="0"/>
    <n v="0"/>
    <x v="13"/>
    <s v="LTC COIN LONG"/>
    <b v="1"/>
  </r>
  <r>
    <s v="KRKE"/>
    <x v="34"/>
    <s v="OXT"/>
    <n v="632954.09821298998"/>
    <n v="44106.4135328376"/>
    <n v="6.9683431480043495E-2"/>
    <n v="0"/>
    <x v="3"/>
    <d v="2022-12-28T22:00:27"/>
    <n v="1"/>
    <x v="32"/>
    <n v="1"/>
    <n v="632954.09821298998"/>
    <n v="44106.413532837607"/>
    <n v="0"/>
    <s v="COIN"/>
    <s v="LONG"/>
    <s v="COIN LONG"/>
    <n v="44106.4135328376"/>
    <n v="6.9683431480043495E-2"/>
    <n v="0"/>
    <n v="0"/>
    <x v="13"/>
    <s v="OXT COIN LONG"/>
    <b v="1"/>
  </r>
  <r>
    <s v="KRKE"/>
    <x v="34"/>
    <s v="SGB"/>
    <n v="0.10834547999999999"/>
    <n v="1.08850677336698E-3"/>
    <n v="1.0046628372194E-2"/>
    <n v="0"/>
    <x v="3"/>
    <d v="2022-12-28T22:00:27"/>
    <n v="1"/>
    <x v="44"/>
    <n v="1"/>
    <n v="0.10834547999999999"/>
    <n v="1.0885067733669776E-3"/>
    <n v="0"/>
    <s v="COIN"/>
    <s v="LONG"/>
    <s v="COIN LONG"/>
    <n v="1.08850677336698E-3"/>
    <n v="1.0046628372194E-2"/>
    <n v="0"/>
    <n v="0"/>
    <x v="13"/>
    <s v="SGB COIN LONG"/>
    <b v="1"/>
  </r>
  <r>
    <s v="KRKE"/>
    <x v="34"/>
    <s v="USD"/>
    <n v="132643.2628"/>
    <n v="132643.2628"/>
    <n v="1"/>
    <n v="0"/>
    <x v="3"/>
    <d v="2022-12-28T22:00:27"/>
    <n v="1"/>
    <x v="42"/>
    <n v="1"/>
    <n v="132643.2628"/>
    <n v="132643.2628"/>
    <n v="0"/>
    <s v="CASH"/>
    <s v="LONG"/>
    <s v="CASH LONG"/>
    <n v="132643.2628"/>
    <n v="1"/>
    <n v="0"/>
    <n v="0"/>
    <x v="13"/>
    <s v="USD CASH LONG"/>
    <b v="1"/>
  </r>
  <r>
    <s v="KRKE"/>
    <x v="34"/>
    <s v="USDT"/>
    <n v="1.182861E-2"/>
    <n v="1.18248902706768E-2"/>
    <n v="0.99968553115512604"/>
    <n v="0"/>
    <x v="3"/>
    <d v="2022-12-28T22:00:27"/>
    <n v="1"/>
    <x v="36"/>
    <n v="1"/>
    <n v="1.182861E-2"/>
    <n v="1.1824890270676834E-2"/>
    <n v="0"/>
    <s v="COIN"/>
    <s v="LONG"/>
    <s v="COIN LONG"/>
    <n v="1.18248902706768E-2"/>
    <n v="0.99968553115512604"/>
    <n v="0"/>
    <n v="0"/>
    <x v="13"/>
    <s v="USDT COIN LONG"/>
    <b v="1"/>
  </r>
  <r>
    <s v="KRKE"/>
    <x v="34"/>
    <s v="XLM"/>
    <n v="8.93329E-3"/>
    <n v="6.4122561485481999E-4"/>
    <n v="7.1779334920820906E-2"/>
    <n v="0"/>
    <x v="3"/>
    <d v="2022-12-28T22:00:27"/>
    <n v="1"/>
    <x v="37"/>
    <n v="1"/>
    <n v="8.93329E-3"/>
    <n v="6.412256148548202E-4"/>
    <n v="0"/>
    <s v="COIN"/>
    <s v="LONG"/>
    <s v="COIN LONG"/>
    <n v="6.4122561485481999E-4"/>
    <n v="7.1779334920820906E-2"/>
    <n v="0"/>
    <n v="0"/>
    <x v="13"/>
    <s v="XLM COIN LONG"/>
    <b v="1"/>
  </r>
  <r>
    <s v="KRKE"/>
    <x v="34"/>
    <s v="XRP"/>
    <n v="0.71704489000000005"/>
    <n v="0.25564849787063099"/>
    <n v="0.35653067393121102"/>
    <n v="0"/>
    <x v="3"/>
    <d v="2022-12-28T22:00:27"/>
    <n v="1"/>
    <x v="45"/>
    <n v="1"/>
    <n v="0.71704489000000005"/>
    <n v="0.2556484978706311"/>
    <n v="0"/>
    <s v="COIN"/>
    <s v="LONG"/>
    <s v="COIN LONG"/>
    <n v="0.25564849787063099"/>
    <n v="0.35653067393121102"/>
    <n v="0"/>
    <n v="0"/>
    <x v="13"/>
    <s v="XRP COIN LONG"/>
    <b v="1"/>
  </r>
  <r>
    <s v="GALAXY"/>
    <x v="35"/>
    <s v="AAVE"/>
    <n v="300"/>
    <n v="16124.176947417"/>
    <n v="53.747256491389997"/>
    <n v="0"/>
    <x v="3"/>
    <d v="2022-12-28T00:00:00"/>
    <n v="1"/>
    <x v="12"/>
    <n v="1"/>
    <n v="300"/>
    <n v="16124.176947417"/>
    <n v="0"/>
    <s v="COIN"/>
    <s v="LONG"/>
    <s v="COIN LONG"/>
    <n v="16124.176947417"/>
    <n v="53.747256491389997"/>
    <n v="0"/>
    <n v="0"/>
    <x v="14"/>
    <s v="AAVE COIN LONG"/>
    <b v="0"/>
  </r>
  <r>
    <s v="GALAXY"/>
    <x v="35"/>
    <s v="ADA"/>
    <n v="150000"/>
    <n v="37256.683681573901"/>
    <n v="0.248377891210492"/>
    <n v="0"/>
    <x v="3"/>
    <d v="2022-12-28T00:00:00"/>
    <n v="1"/>
    <x v="13"/>
    <n v="1"/>
    <n v="150000"/>
    <n v="37256.683681573799"/>
    <n v="0"/>
    <s v="COIN"/>
    <s v="LONG"/>
    <s v="COIN LONG"/>
    <n v="37256.683681573901"/>
    <n v="0.248377891210492"/>
    <n v="0"/>
    <n v="0"/>
    <x v="14"/>
    <s v="ADA COIN LONG"/>
    <b v="0"/>
  </r>
  <r>
    <s v="GALAXY"/>
    <x v="35"/>
    <s v="ALGO"/>
    <n v="35000"/>
    <n v="5853.4238898900403"/>
    <n v="0.167240682568287"/>
    <n v="0"/>
    <x v="3"/>
    <d v="2022-12-28T00:00:00"/>
    <n v="1"/>
    <x v="14"/>
    <n v="1"/>
    <n v="35000"/>
    <n v="5853.4238898900448"/>
    <n v="0"/>
    <s v="COIN"/>
    <s v="LONG"/>
    <s v="COIN LONG"/>
    <n v="5853.4238898900403"/>
    <n v="0.167240682568287"/>
    <n v="0"/>
    <n v="0"/>
    <x v="14"/>
    <s v="ALGO COIN LONG"/>
    <b v="0"/>
  </r>
  <r>
    <s v="GALAXY"/>
    <x v="35"/>
    <s v="AVAX"/>
    <n v="3000"/>
    <n v="33608.740918369404"/>
    <n v="11.2029136394564"/>
    <n v="0"/>
    <x v="3"/>
    <d v="2022-12-28T00:00:00"/>
    <n v="1"/>
    <x v="15"/>
    <n v="1"/>
    <n v="3000"/>
    <n v="33608.7409183692"/>
    <n v="0"/>
    <s v="COIN"/>
    <s v="LONG"/>
    <s v="COIN LONG"/>
    <n v="33608.740918369404"/>
    <n v="11.2029136394564"/>
    <n v="0"/>
    <n v="0"/>
    <x v="14"/>
    <s v="AVAX COIN LONG"/>
    <b v="0"/>
  </r>
  <r>
    <s v="GALAXY"/>
    <x v="35"/>
    <s v="BAT"/>
    <n v="100000"/>
    <n v="16793.557271823101"/>
    <n v="0.16793557271823101"/>
    <n v="0"/>
    <x v="3"/>
    <d v="2022-12-28T00:00:00"/>
    <n v="1"/>
    <x v="16"/>
    <n v="1"/>
    <n v="100000"/>
    <n v="16793.557271823101"/>
    <n v="0"/>
    <s v="COIN"/>
    <s v="LONG"/>
    <s v="COIN LONG"/>
    <n v="16793.557271823101"/>
    <n v="0.16793557271823101"/>
    <n v="0"/>
    <n v="0"/>
    <x v="14"/>
    <s v="BAT COIN LONG"/>
    <b v="0"/>
  </r>
  <r>
    <s v="GALAXY"/>
    <x v="35"/>
    <s v="BCH"/>
    <n v="5627"/>
    <n v="558067.67402891302"/>
    <n v="99.176768087597793"/>
    <n v="0"/>
    <x v="3"/>
    <d v="2022-12-28T00:00:00"/>
    <n v="1"/>
    <x v="4"/>
    <n v="1"/>
    <n v="5627"/>
    <n v="558067.67402891337"/>
    <n v="0"/>
    <s v="COIN"/>
    <s v="LONG"/>
    <s v="COIN LONG"/>
    <n v="558067.67402891302"/>
    <n v="99.176768087597793"/>
    <n v="0"/>
    <n v="0"/>
    <x v="14"/>
    <s v="BCH COIN LONG"/>
    <b v="0"/>
  </r>
  <r>
    <s v="GALAXY"/>
    <x v="35"/>
    <s v="COMP"/>
    <n v="5000"/>
    <n v="159772.44105745101"/>
    <n v="31.954488211490201"/>
    <n v="0"/>
    <x v="3"/>
    <d v="2022-12-28T00:00:00"/>
    <n v="1"/>
    <x v="8"/>
    <n v="1"/>
    <n v="5000"/>
    <n v="159772.44105745101"/>
    <n v="0"/>
    <s v="COIN"/>
    <s v="LONG"/>
    <s v="COIN LONG"/>
    <n v="159772.44105745101"/>
    <n v="31.954488211490201"/>
    <n v="0"/>
    <n v="0"/>
    <x v="14"/>
    <s v="COMP COIN LONG"/>
    <b v="0"/>
  </r>
  <r>
    <s v="GALAXY"/>
    <x v="35"/>
    <s v="DASH"/>
    <n v="100"/>
    <n v="4295.8437010021098"/>
    <n v="42.9584370100211"/>
    <n v="0"/>
    <x v="3"/>
    <d v="2022-12-28T00:00:00"/>
    <n v="1"/>
    <x v="20"/>
    <n v="1"/>
    <n v="100"/>
    <n v="4295.8437010021098"/>
    <n v="0"/>
    <s v="COIN"/>
    <s v="LONG"/>
    <s v="COIN LONG"/>
    <n v="4295.8437010021098"/>
    <n v="42.9584370100211"/>
    <n v="0"/>
    <n v="0"/>
    <x v="14"/>
    <s v="DASH COIN LONG"/>
    <b v="0"/>
  </r>
  <r>
    <s v="GALAXY"/>
    <x v="35"/>
    <s v="DOGE"/>
    <n v="600000"/>
    <n v="42228.77933972"/>
    <n v="7.0381298899533401E-2"/>
    <n v="0"/>
    <x v="3"/>
    <d v="2022-12-28T00:00:00"/>
    <n v="1"/>
    <x v="21"/>
    <n v="1"/>
    <n v="600000"/>
    <n v="42228.779339720044"/>
    <n v="0"/>
    <s v="COIN"/>
    <s v="LONG"/>
    <s v="COIN LONG"/>
    <n v="42228.77933972"/>
    <n v="7.0381298899533401E-2"/>
    <n v="0"/>
    <n v="0"/>
    <x v="14"/>
    <s v="DOGE COIN LONG"/>
    <b v="0"/>
  </r>
  <r>
    <s v="GALAXY"/>
    <x v="35"/>
    <s v="DOT"/>
    <n v="5000"/>
    <n v="21412.293648233401"/>
    <n v="4.2824587296466801"/>
    <n v="0"/>
    <x v="3"/>
    <d v="2022-12-28T00:00:00"/>
    <n v="1"/>
    <x v="22"/>
    <n v="1"/>
    <n v="5000"/>
    <n v="21412.293648233401"/>
    <n v="0"/>
    <s v="COIN"/>
    <s v="LONG"/>
    <s v="COIN LONG"/>
    <n v="21412.293648233401"/>
    <n v="4.2824587296466801"/>
    <n v="0"/>
    <n v="0"/>
    <x v="14"/>
    <s v="DOT COIN LONG"/>
    <b v="0"/>
  </r>
  <r>
    <s v="GALAXY"/>
    <x v="35"/>
    <s v="ENJ"/>
    <n v="15000"/>
    <n v="3648.36066083999"/>
    <n v="0.24322404405599901"/>
    <n v="0"/>
    <x v="3"/>
    <d v="2022-12-28T00:00:00"/>
    <n v="1"/>
    <x v="23"/>
    <n v="1"/>
    <n v="15000"/>
    <n v="3648.360660839985"/>
    <n v="0"/>
    <s v="COIN"/>
    <s v="LONG"/>
    <s v="COIN LONG"/>
    <n v="3648.36066083999"/>
    <n v="0.24322404405599901"/>
    <n v="0"/>
    <n v="0"/>
    <x v="14"/>
    <s v="ENJ COIN LONG"/>
    <b v="0"/>
  </r>
  <r>
    <s v="GALAXY"/>
    <x v="35"/>
    <s v="EOS"/>
    <n v="30000"/>
    <n v="26131.6852157096"/>
    <n v="0.87105617385698697"/>
    <n v="0"/>
    <x v="3"/>
    <d v="2022-12-28T00:00:00"/>
    <n v="1"/>
    <x v="3"/>
    <n v="1"/>
    <n v="30000"/>
    <n v="26131.685215709611"/>
    <n v="0"/>
    <s v="COIN"/>
    <s v="LONG"/>
    <s v="COIN LONG"/>
    <n v="26131.6852157096"/>
    <n v="0.87105617385698697"/>
    <n v="0"/>
    <n v="0"/>
    <x v="14"/>
    <s v="EOS COIN LONG"/>
    <b v="0"/>
  </r>
  <r>
    <s v="GALAXY"/>
    <x v="35"/>
    <s v="ETC"/>
    <n v="98000"/>
    <n v="1481274.21187556"/>
    <n v="15.115042978322"/>
    <n v="0"/>
    <x v="3"/>
    <d v="2022-12-28T00:00:00"/>
    <n v="1"/>
    <x v="40"/>
    <n v="1"/>
    <n v="98000"/>
    <n v="1481274.211875556"/>
    <n v="0"/>
    <s v="COIN"/>
    <s v="LONG"/>
    <s v="COIN LONG"/>
    <n v="1481274.21187556"/>
    <n v="15.115042978322"/>
    <n v="0"/>
    <n v="0"/>
    <x v="14"/>
    <s v="ETC COIN LONG"/>
    <b v="0"/>
  </r>
  <r>
    <s v="GALAXY"/>
    <x v="35"/>
    <s v="FTM"/>
    <n v="30000"/>
    <n v="5942.6237810768498"/>
    <n v="0.198087459369228"/>
    <n v="0"/>
    <x v="3"/>
    <d v="2022-12-28T00:00:00"/>
    <n v="1"/>
    <x v="26"/>
    <n v="1"/>
    <n v="30000"/>
    <n v="5942.6237810768398"/>
    <n v="0"/>
    <s v="COIN"/>
    <s v="LONG"/>
    <s v="COIN LONG"/>
    <n v="5942.6237810768498"/>
    <n v="0.198087459369228"/>
    <n v="0"/>
    <n v="0"/>
    <x v="14"/>
    <s v="FTM COIN LONG"/>
    <b v="0"/>
  </r>
  <r>
    <s v="GALAXY"/>
    <x v="35"/>
    <s v="GRT"/>
    <n v="50000"/>
    <n v="2796.0971336112598"/>
    <n v="5.5921942672225201E-2"/>
    <n v="0"/>
    <x v="3"/>
    <d v="2022-12-28T00:00:00"/>
    <n v="1"/>
    <x v="27"/>
    <n v="1"/>
    <n v="50000"/>
    <n v="2796.0971336112602"/>
    <n v="0"/>
    <s v="COIN"/>
    <s v="LONG"/>
    <s v="COIN LONG"/>
    <n v="2796.0971336112598"/>
    <n v="5.5921942672225201E-2"/>
    <n v="0"/>
    <n v="0"/>
    <x v="14"/>
    <s v="GRT COIN LONG"/>
    <b v="0"/>
  </r>
  <r>
    <s v="GALAXY"/>
    <x v="35"/>
    <s v="HBAR"/>
    <n v="125000"/>
    <n v="5077.9621092770903"/>
    <n v="4.06236968742167E-2"/>
    <n v="0"/>
    <x v="3"/>
    <d v="2022-12-28T00:00:00"/>
    <n v="1"/>
    <x v="28"/>
    <n v="1"/>
    <n v="125000"/>
    <n v="5077.9621092770876"/>
    <n v="0"/>
    <s v="COIN"/>
    <s v="LONG"/>
    <s v="COIN LONG"/>
    <n v="5077.9621092770903"/>
    <n v="4.06236968742167E-2"/>
    <n v="0"/>
    <n v="0"/>
    <x v="14"/>
    <s v="HBAR COIN LONG"/>
    <b v="0"/>
  </r>
  <r>
    <s v="GALAXY"/>
    <x v="35"/>
    <s v="LINK"/>
    <n v="7000"/>
    <n v="39738.554518844903"/>
    <n v="5.67693635983498"/>
    <n v="0"/>
    <x v="3"/>
    <d v="2022-12-28T00:00:00"/>
    <n v="1"/>
    <x v="9"/>
    <n v="1"/>
    <n v="7000"/>
    <n v="39738.55451884486"/>
    <n v="0"/>
    <s v="COIN"/>
    <s v="LONG"/>
    <s v="COIN LONG"/>
    <n v="39738.554518844903"/>
    <n v="5.67693635983498"/>
    <n v="0"/>
    <n v="0"/>
    <x v="14"/>
    <s v="LINK COIN LONG"/>
    <b v="0"/>
  </r>
  <r>
    <s v="GALAXY"/>
    <x v="35"/>
    <s v="LTC"/>
    <n v="500"/>
    <n v="33169.532116007897"/>
    <n v="66.339064232015801"/>
    <n v="0"/>
    <x v="3"/>
    <d v="2022-12-28T00:00:00"/>
    <n v="1"/>
    <x v="5"/>
    <n v="1"/>
    <n v="500"/>
    <n v="33169.532116007904"/>
    <n v="0"/>
    <s v="COIN"/>
    <s v="LONG"/>
    <s v="COIN LONG"/>
    <n v="33169.532116007897"/>
    <n v="66.339064232015801"/>
    <n v="0"/>
    <n v="0"/>
    <x v="14"/>
    <s v="LTC COIN LONG"/>
    <b v="0"/>
  </r>
  <r>
    <s v="GALAXY"/>
    <x v="35"/>
    <s v="MANA"/>
    <n v="45000"/>
    <n v="13731.0912755586"/>
    <n v="0.30513536167908101"/>
    <n v="0"/>
    <x v="3"/>
    <d v="2022-12-28T00:00:00"/>
    <n v="1"/>
    <x v="29"/>
    <n v="1"/>
    <n v="45000"/>
    <n v="13731.091275558645"/>
    <n v="0"/>
    <s v="COIN"/>
    <s v="LONG"/>
    <s v="COIN LONG"/>
    <n v="13731.0912755586"/>
    <n v="0.30513536167908101"/>
    <n v="0"/>
    <n v="0"/>
    <x v="14"/>
    <s v="MANA COIN LONG"/>
    <b v="0"/>
  </r>
  <r>
    <s v="GALAXY"/>
    <x v="35"/>
    <s v="MATIC"/>
    <n v="50000"/>
    <n v="39141.541842132901"/>
    <n v="0.78283083684265997"/>
    <n v="0"/>
    <x v="3"/>
    <d v="2022-12-28T00:00:00"/>
    <n v="1"/>
    <x v="30"/>
    <n v="1"/>
    <n v="50000"/>
    <n v="39141.541842132945"/>
    <n v="0"/>
    <s v="COIN"/>
    <s v="LONG"/>
    <s v="COIN LONG"/>
    <n v="39141.541842132901"/>
    <n v="0.78283083684265997"/>
    <n v="0"/>
    <n v="0"/>
    <x v="14"/>
    <s v="MATIC COIN LONG"/>
    <b v="0"/>
  </r>
  <r>
    <s v="GALAXY"/>
    <x v="35"/>
    <s v="OXT"/>
    <n v="80000"/>
    <n v="5574.6745184034799"/>
    <n v="6.9683431480043495E-2"/>
    <n v="0"/>
    <x v="3"/>
    <d v="2022-12-28T00:00:00"/>
    <n v="1"/>
    <x v="32"/>
    <n v="1"/>
    <n v="80000"/>
    <n v="5574.6745184034799"/>
    <n v="0"/>
    <s v="COIN"/>
    <s v="LONG"/>
    <s v="COIN LONG"/>
    <n v="5574.6745184034799"/>
    <n v="6.9683431480043495E-2"/>
    <n v="0"/>
    <n v="0"/>
    <x v="14"/>
    <s v="OXT COIN LONG"/>
    <b v="0"/>
  </r>
  <r>
    <s v="GALAXY"/>
    <x v="35"/>
    <s v="SHIB"/>
    <n v="187000000000"/>
    <n v="1481185.49288692"/>
    <n v="7.9207780368284999E-6"/>
    <n v="0"/>
    <x v="3"/>
    <d v="2022-12-28T00:00:00"/>
    <n v="1"/>
    <x v="11"/>
    <n v="1"/>
    <n v="187000000000"/>
    <n v="1481185.4928869295"/>
    <n v="0"/>
    <s v="COIN"/>
    <s v="LONG"/>
    <s v="COIN LONG"/>
    <n v="1481185.49288692"/>
    <n v="7.9207780368284999E-6"/>
    <n v="0"/>
    <n v="0"/>
    <x v="14"/>
    <s v="SHIB COIN LONG"/>
    <b v="0"/>
  </r>
  <r>
    <s v="GALAXY"/>
    <x v="35"/>
    <s v="SOL"/>
    <n v="3500"/>
    <n v="34145.671537247101"/>
    <n v="9.7559061534991791"/>
    <n v="0"/>
    <x v="3"/>
    <d v="2022-12-28T00:00:00"/>
    <n v="1"/>
    <x v="33"/>
    <n v="1"/>
    <n v="3500"/>
    <n v="34145.67153724713"/>
    <n v="0"/>
    <s v="COIN"/>
    <s v="LONG"/>
    <s v="COIN LONG"/>
    <n v="34145.671537247101"/>
    <n v="9.7559061534991791"/>
    <n v="0"/>
    <n v="0"/>
    <x v="14"/>
    <s v="SOL COIN LONG"/>
    <b v="0"/>
  </r>
  <r>
    <s v="GALAXY"/>
    <x v="35"/>
    <s v="SUSHI"/>
    <n v="21600"/>
    <n v="20615.188816923299"/>
    <n v="0.95440688967237697"/>
    <n v="0"/>
    <x v="3"/>
    <d v="2022-12-28T00:00:00"/>
    <n v="1"/>
    <x v="34"/>
    <n v="1"/>
    <n v="21600"/>
    <n v="20615.188816923343"/>
    <n v="0"/>
    <s v="COIN"/>
    <s v="LONG"/>
    <s v="COIN LONG"/>
    <n v="20615.188816923299"/>
    <n v="0.95440688967237697"/>
    <n v="0"/>
    <n v="0"/>
    <x v="14"/>
    <s v="SUSHI COIN LONG"/>
    <b v="0"/>
  </r>
  <r>
    <s v="GALAXY"/>
    <x v="35"/>
    <s v="UNI"/>
    <n v="6000"/>
    <n v="29859.788396501899"/>
    <n v="4.9766313994169904"/>
    <n v="0"/>
    <x v="3"/>
    <d v="2022-12-28T00:00:00"/>
    <n v="1"/>
    <x v="35"/>
    <n v="1"/>
    <n v="6000"/>
    <n v="29859.788396501943"/>
    <n v="0"/>
    <s v="COIN"/>
    <s v="LONG"/>
    <s v="COIN LONG"/>
    <n v="29859.788396501899"/>
    <n v="4.9766313994169904"/>
    <n v="0"/>
    <n v="0"/>
    <x v="14"/>
    <s v="UNI COIN LONG"/>
    <b v="0"/>
  </r>
  <r>
    <s v="GALAXY"/>
    <x v="35"/>
    <s v="USDT"/>
    <n v="10000000"/>
    <n v="9996855.3115512598"/>
    <n v="0.99968553115512604"/>
    <n v="0"/>
    <x v="3"/>
    <d v="2022-12-28T00:00:00"/>
    <n v="1"/>
    <x v="36"/>
    <n v="1"/>
    <n v="10000000"/>
    <n v="9996855.3115512598"/>
    <n v="0"/>
    <s v="COIN"/>
    <s v="LONG"/>
    <s v="COIN LONG"/>
    <n v="9996855.3115512598"/>
    <n v="0.99968553115512604"/>
    <n v="0"/>
    <n v="0"/>
    <x v="14"/>
    <s v="USDT COIN LONG"/>
    <b v="0"/>
  </r>
  <r>
    <s v="GALAXY"/>
    <x v="35"/>
    <s v="XLM"/>
    <n v="100000"/>
    <n v="7177.9334920820902"/>
    <n v="7.1779334920820906E-2"/>
    <n v="0"/>
    <x v="3"/>
    <d v="2022-12-28T00:00:00"/>
    <n v="1"/>
    <x v="37"/>
    <n v="1"/>
    <n v="100000"/>
    <n v="7177.9334920820902"/>
    <n v="0"/>
    <s v="COIN"/>
    <s v="LONG"/>
    <s v="COIN LONG"/>
    <n v="7177.9334920820902"/>
    <n v="7.1779334920820906E-2"/>
    <n v="0"/>
    <n v="0"/>
    <x v="14"/>
    <s v="XLM COIN LONG"/>
    <b v="0"/>
  </r>
  <r>
    <s v="GALAXY"/>
    <x v="35"/>
    <s v="XTZ"/>
    <n v="5000"/>
    <n v="3686.6501620824001"/>
    <n v="0.73733003241647999"/>
    <n v="0"/>
    <x v="3"/>
    <d v="2022-12-28T00:00:00"/>
    <n v="1"/>
    <x v="38"/>
    <n v="1"/>
    <n v="5000"/>
    <n v="3686.6501620824001"/>
    <n v="0"/>
    <s v="COIN"/>
    <s v="LONG"/>
    <s v="COIN LONG"/>
    <n v="3686.6501620824001"/>
    <n v="0.73733003241647999"/>
    <n v="0"/>
    <n v="0"/>
    <x v="14"/>
    <s v="XTZ COIN LONG"/>
    <b v="0"/>
  </r>
  <r>
    <s v="GALAXY"/>
    <x v="35"/>
    <s v="YFI"/>
    <n v="4"/>
    <n v="20931.326130147001"/>
    <n v="5232.8315325367603"/>
    <n v="0"/>
    <x v="3"/>
    <d v="2022-12-28T00:00:00"/>
    <n v="1"/>
    <x v="39"/>
    <n v="1"/>
    <n v="4"/>
    <n v="20931.326130147041"/>
    <n v="0"/>
    <s v="COIN"/>
    <s v="LONG"/>
    <s v="COIN LONG"/>
    <n v="20931.326130147001"/>
    <n v="5232.8315325367603"/>
    <n v="0"/>
    <n v="0"/>
    <x v="14"/>
    <s v="YFI COIN LONG"/>
    <b v="0"/>
  </r>
  <r>
    <s v="LMAC"/>
    <x v="36"/>
    <s v="ETH"/>
    <n v="5.0000000000000001E-4"/>
    <n v="0.59499302992534997"/>
    <n v="1189.9860598507"/>
    <n v="0"/>
    <x v="3"/>
    <d v="2022-12-28T00:00:00"/>
    <n v="1"/>
    <x v="1"/>
    <n v="1"/>
    <n v="5.0000000000000001E-4"/>
    <n v="0.59499302992535008"/>
    <n v="0"/>
    <s v="COIN"/>
    <s v="LONG"/>
    <s v="COIN LONG"/>
    <n v="0.59499302992534997"/>
    <n v="1189.9860598507"/>
    <n v="0"/>
    <n v="0"/>
    <x v="15"/>
    <s v="ETH COIN LONG"/>
    <b v="1"/>
  </r>
  <r>
    <s v="LMAC"/>
    <x v="36"/>
    <s v="USD"/>
    <n v="2.63E-3"/>
    <n v="2.63E-3"/>
    <n v="1"/>
    <n v="0"/>
    <x v="3"/>
    <d v="2022-12-28T00:00:00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s v="LMAX"/>
    <x v="37"/>
    <s v="USD"/>
    <n v="10138.94563"/>
    <n v="10138.94563"/>
    <n v="1"/>
    <n v="0"/>
    <x v="3"/>
    <d v="2022-12-28T00:00:00"/>
    <n v="1"/>
    <x v="42"/>
    <n v="1"/>
    <n v="10138.94563"/>
    <n v="10138.94563"/>
    <n v="0"/>
    <s v="CASH"/>
    <s v="LONG"/>
    <s v="CASH LONG"/>
    <n v="10138.94563"/>
    <n v="1"/>
    <n v="0"/>
    <n v="0"/>
    <x v="16"/>
    <s v="USD CASH LONG"/>
    <b v="1"/>
  </r>
  <r>
    <s v="OKEX"/>
    <x v="38"/>
    <s v="BTC"/>
    <n v="2.6E-7"/>
    <n v="4.3036686514937601E-3"/>
    <n v="16552.571736514401"/>
    <n v="0"/>
    <x v="3"/>
    <d v="2022-12-29T00:00:00"/>
    <n v="1"/>
    <x v="0"/>
    <n v="1"/>
    <n v="2.6E-7"/>
    <n v="4.3036686514937444E-3"/>
    <n v="0"/>
    <s v="COIN"/>
    <s v="LONG"/>
    <s v="COIN LONG"/>
    <n v="4.3036686514937601E-3"/>
    <n v="16552.571736514401"/>
    <n v="0"/>
    <n v="0"/>
    <x v="3"/>
    <s v="BTC COIN LONG"/>
    <b v="1"/>
  </r>
  <r>
    <s v="OKEX"/>
    <x v="38"/>
    <s v="ETH"/>
    <n v="6.7499999999999997E-6"/>
    <n v="8.0324059039922294E-3"/>
    <n v="1189.9860598507"/>
    <n v="0"/>
    <x v="3"/>
    <d v="2022-12-29T00:00:00"/>
    <n v="1"/>
    <x v="1"/>
    <n v="1"/>
    <n v="6.7499999999999997E-6"/>
    <n v="8.0324059039922242E-3"/>
    <n v="0"/>
    <s v="COIN"/>
    <s v="LONG"/>
    <s v="COIN LONG"/>
    <n v="8.0324059039922294E-3"/>
    <n v="1189.9860598507"/>
    <n v="0"/>
    <n v="0"/>
    <x v="3"/>
    <s v="ETH COIN LONG"/>
    <b v="1"/>
  </r>
  <r>
    <s v="OKEX"/>
    <x v="38"/>
    <s v="XRP"/>
    <n v="0.44933625999999999"/>
    <n v="0.16020215959952999"/>
    <n v="0.35653067393121102"/>
    <n v="0"/>
    <x v="3"/>
    <d v="2022-12-29T00:00:00"/>
    <n v="1"/>
    <x v="45"/>
    <n v="1"/>
    <n v="0.44933625999999999"/>
    <n v="0.16020215959952985"/>
    <n v="0"/>
    <s v="COIN"/>
    <s v="LONG"/>
    <s v="COIN LONG"/>
    <n v="0.16020215959952999"/>
    <n v="0.35653067393121102"/>
    <n v="0"/>
    <n v="0"/>
    <x v="3"/>
    <s v="XRP COIN LONG"/>
    <b v="1"/>
  </r>
  <r>
    <s v="OKEX"/>
    <x v="39"/>
    <s v="USDT"/>
    <n v="9.0007799999999999E-3"/>
    <n v="8.9979495351104402E-3"/>
    <n v="0.99968553115512604"/>
    <n v="0"/>
    <x v="3"/>
    <d v="2022-12-29T00:00:00"/>
    <n v="1"/>
    <x v="36"/>
    <n v="1"/>
    <n v="9.0007799999999999E-3"/>
    <n v="8.997949535110435E-3"/>
    <n v="0"/>
    <s v="COIN"/>
    <s v="LONG"/>
    <s v="COIN LONG"/>
    <n v="8.9979495351104402E-3"/>
    <n v="0.99968553115512604"/>
    <n v="0"/>
    <n v="0"/>
    <x v="3"/>
    <s v="USDT COIN LONG"/>
    <b v="1"/>
  </r>
  <r>
    <s v="OKEX"/>
    <x v="7"/>
    <s v="BTC"/>
    <n v="4.3692979100000002"/>
    <n v="72323.117093477704"/>
    <n v="16552.571736514401"/>
    <n v="0"/>
    <x v="3"/>
    <d v="2022-12-29T00:00:00"/>
    <n v="1"/>
    <x v="0"/>
    <n v="1"/>
    <n v="4.3692979100000002"/>
    <n v="72323.117093477442"/>
    <n v="0"/>
    <s v="COIN"/>
    <s v="LONG"/>
    <s v="COIN LONG"/>
    <n v="72323.117093477704"/>
    <n v="16552.571736514401"/>
    <n v="0"/>
    <n v="0"/>
    <x v="3"/>
    <s v="BTC COIN LONG"/>
    <b v="1"/>
  </r>
  <r>
    <s v="OKEX"/>
    <x v="7"/>
    <s v="USDT"/>
    <n v="-20599.130061799999"/>
    <n v="-20592.652277164001"/>
    <n v="0.99968553115512604"/>
    <n v="0"/>
    <x v="4"/>
    <d v="2022-12-29T00:00:00"/>
    <n v="1"/>
    <x v="36"/>
    <n v="1"/>
    <n v="-20599.130061799999"/>
    <n v="-20592.652277164056"/>
    <n v="0"/>
    <s v="COIN"/>
    <s v="SHORT"/>
    <s v="COIN SHORT"/>
    <n v="-20592.652277164001"/>
    <n v="0.99968553115512604"/>
    <n v="0"/>
    <n v="0"/>
    <x v="3"/>
    <s v="USDT COIN SHORT"/>
    <b v="1"/>
  </r>
  <r>
    <s v="OKEX"/>
    <x v="6"/>
    <s v="BTC"/>
    <n v="438.29837355000001"/>
    <n v="7254965.2701839898"/>
    <n v="16552.571736514401"/>
    <n v="0"/>
    <x v="3"/>
    <d v="2022-12-29T00:00:00"/>
    <n v="1"/>
    <x v="0"/>
    <n v="1"/>
    <n v="438.29837355000001"/>
    <n v="7254965.2701839609"/>
    <n v="0"/>
    <s v="COIN"/>
    <s v="LONG"/>
    <s v="COIN LONG"/>
    <n v="7254965.2701839898"/>
    <n v="16552.571736514401"/>
    <n v="0"/>
    <n v="0"/>
    <x v="3"/>
    <s v="BTC COIN LONG"/>
    <b v="1"/>
  </r>
  <r>
    <s v="OKEX"/>
    <x v="6"/>
    <s v="BTC"/>
    <n v="2.8794919700000001"/>
    <n v="47662.997398142303"/>
    <n v="16552.571736514401"/>
    <n v="0"/>
    <x v="4"/>
    <d v="2022-12-29T00:00:00"/>
    <n v="1"/>
    <x v="0"/>
    <n v="1"/>
    <n v="2.8794919700000001"/>
    <n v="47662.997398142179"/>
    <n v="0"/>
    <s v="COIN"/>
    <s v="LONG"/>
    <s v="COIN LONG"/>
    <n v="47662.997398142303"/>
    <n v="16552.571736514401"/>
    <n v="0"/>
    <n v="0"/>
    <x v="3"/>
    <s v="BTC COIN LONG"/>
    <b v="1"/>
  </r>
  <r>
    <s v="OKEX"/>
    <x v="6"/>
    <s v="DOT"/>
    <n v="5.92963547"/>
    <n v="25.393419182124099"/>
    <n v="4.2824587296466801"/>
    <n v="0"/>
    <x v="3"/>
    <d v="2022-12-28T21:13:39"/>
    <n v="1"/>
    <x v="22"/>
    <n v="1"/>
    <n v="5.92963547"/>
    <n v="25.393419182124095"/>
    <n v="0"/>
    <s v="COIN"/>
    <s v="LONG"/>
    <s v="COIN LONG"/>
    <n v="25.393419182124099"/>
    <n v="4.2824587296466801"/>
    <n v="0"/>
    <n v="0"/>
    <x v="3"/>
    <s v="DOT COIN LONG"/>
    <b v="1"/>
  </r>
  <r>
    <s v="OKEX"/>
    <x v="6"/>
    <s v="EOS"/>
    <n v="3496.7888890600002"/>
    <n v="3045.89955049022"/>
    <n v="0.87105617385698697"/>
    <n v="0"/>
    <x v="3"/>
    <d v="2022-12-29T00:00:00"/>
    <n v="1"/>
    <x v="3"/>
    <n v="1"/>
    <n v="3496.7888890600002"/>
    <n v="3045.8995504902277"/>
    <n v="0"/>
    <s v="COIN"/>
    <s v="LONG"/>
    <s v="COIN LONG"/>
    <n v="3045.89955049022"/>
    <n v="0.87105617385698697"/>
    <n v="0"/>
    <n v="0"/>
    <x v="3"/>
    <s v="EOS COIN LONG"/>
    <b v="1"/>
  </r>
  <r>
    <s v="OKEX"/>
    <x v="6"/>
    <s v="ETH"/>
    <n v="1629.6985144099999"/>
    <n v="1939318.5139072901"/>
    <n v="1189.9860598507"/>
    <n v="0"/>
    <x v="3"/>
    <d v="2022-12-29T00:00:00"/>
    <n v="1"/>
    <x v="1"/>
    <n v="1"/>
    <n v="1629.6985144099999"/>
    <n v="1939318.5139072952"/>
    <n v="0"/>
    <s v="COIN"/>
    <s v="LONG"/>
    <s v="COIN LONG"/>
    <n v="1939318.5139072901"/>
    <n v="1189.9860598507"/>
    <n v="0"/>
    <n v="0"/>
    <x v="3"/>
    <s v="ETH COIN LONG"/>
    <b v="1"/>
  </r>
  <r>
    <s v="OKEX"/>
    <x v="6"/>
    <s v="ETH"/>
    <n v="23.103578599999999"/>
    <n v="27492.936466664902"/>
    <n v="1189.9860598507"/>
    <n v="0"/>
    <x v="4"/>
    <d v="2022-12-29T00:00:00"/>
    <n v="1"/>
    <x v="1"/>
    <n v="1"/>
    <n v="23.103578599999999"/>
    <n v="27492.936466664953"/>
    <n v="0"/>
    <s v="COIN"/>
    <s v="LONG"/>
    <s v="COIN LONG"/>
    <n v="27492.936466664902"/>
    <n v="1189.9860598507"/>
    <n v="0"/>
    <n v="0"/>
    <x v="3"/>
    <s v="ETH COIN LONG"/>
    <b v="1"/>
  </r>
  <r>
    <s v="OKEX"/>
    <x v="6"/>
    <s v="OXT"/>
    <n v="639378.23128164001"/>
    <n v="44554.069169345501"/>
    <n v="6.9683431480043495E-2"/>
    <n v="0"/>
    <x v="3"/>
    <d v="2022-12-29T00:00:00"/>
    <n v="1"/>
    <x v="32"/>
    <n v="1"/>
    <n v="639378.23128164001"/>
    <n v="44554.069169345566"/>
    <n v="0"/>
    <s v="COIN"/>
    <s v="LONG"/>
    <s v="COIN LONG"/>
    <n v="44554.069169345501"/>
    <n v="6.9683431480043495E-2"/>
    <n v="0"/>
    <n v="0"/>
    <x v="3"/>
    <s v="OXT COIN LONG"/>
    <b v="1"/>
  </r>
  <r>
    <s v="OKEX"/>
    <x v="6"/>
    <s v="USDT"/>
    <n v="3440053.8193700002"/>
    <n v="3438972.0296191201"/>
    <n v="0.99968553115512604"/>
    <n v="0"/>
    <x v="3"/>
    <d v="2022-12-29T00:00:00"/>
    <n v="1"/>
    <x v="36"/>
    <n v="1"/>
    <n v="3440053.8193700002"/>
    <n v="3438972.0296191187"/>
    <n v="0"/>
    <s v="COIN"/>
    <s v="LONG"/>
    <s v="COIN LONG"/>
    <n v="3438972.0296191201"/>
    <n v="0.99968553115512604"/>
    <n v="0"/>
    <n v="0"/>
    <x v="3"/>
    <s v="USDT COIN LONG"/>
    <b v="1"/>
  </r>
  <r>
    <s v="OKEX"/>
    <x v="6"/>
    <s v="USDT"/>
    <n v="310695.26083013997"/>
    <n v="310597.55685035902"/>
    <n v="0.99968553115512604"/>
    <n v="0"/>
    <x v="4"/>
    <d v="2022-12-29T00:00:00"/>
    <n v="1"/>
    <x v="36"/>
    <n v="1"/>
    <n v="310695.26083013997"/>
    <n v="310597.5568503589"/>
    <n v="0"/>
    <s v="COIN"/>
    <s v="LONG"/>
    <s v="COIN LONG"/>
    <n v="310597.55685035902"/>
    <n v="0.99968553115512604"/>
    <n v="0"/>
    <n v="0"/>
    <x v="3"/>
    <s v="USDT COIN LONG"/>
    <b v="1"/>
  </r>
  <r>
    <s v="OKEX"/>
    <x v="6"/>
    <s v="XRP"/>
    <n v="200"/>
    <n v="71.306134786242296"/>
    <n v="0.35653067393121102"/>
    <n v="0"/>
    <x v="3"/>
    <d v="2022-12-29T00:00:00"/>
    <n v="1"/>
    <x v="45"/>
    <n v="1"/>
    <n v="200"/>
    <n v="71.306134786242197"/>
    <n v="0"/>
    <s v="COIN"/>
    <s v="LONG"/>
    <s v="COIN LONG"/>
    <n v="71.306134786242296"/>
    <n v="0.35653067393121102"/>
    <n v="0"/>
    <n v="0"/>
    <x v="3"/>
    <s v="XRP COIN LONG"/>
    <b v="1"/>
  </r>
  <r>
    <s v="OKEX"/>
    <x v="6"/>
    <s v="ZIL"/>
    <n v="1948744.71440585"/>
    <n v="31818.0736585218"/>
    <n v="1.6327471434975899E-2"/>
    <n v="0"/>
    <x v="3"/>
    <d v="2022-12-29T00:00:00"/>
    <n v="1"/>
    <x v="7"/>
    <n v="1"/>
    <n v="1948744.71440585"/>
    <n v="31818.073658521782"/>
    <n v="0"/>
    <s v="COIN"/>
    <s v="LONG"/>
    <s v="COIN LONG"/>
    <n v="31818.0736585218"/>
    <n v="1.6327471434975899E-2"/>
    <n v="0"/>
    <n v="0"/>
    <x v="3"/>
    <s v="ZIL COIN LONG"/>
    <b v="1"/>
  </r>
  <r>
    <s v="OKEX"/>
    <x v="40"/>
    <s v="BSV"/>
    <n v="9.4549999999999994E-5"/>
    <n v="3.8300996729374402E-3"/>
    <n v="40.508722082892"/>
    <n v="0"/>
    <x v="3"/>
    <d v="2022-12-29T00:00:00"/>
    <n v="1"/>
    <x v="78"/>
    <n v="1"/>
    <n v="9.4549999999999994E-5"/>
    <n v="3.8300996729374384E-3"/>
    <n v="0"/>
    <s v="COIN"/>
    <s v="LONG"/>
    <s v="COIN LONG"/>
    <n v="3.8300996729374402E-3"/>
    <n v="40.508722082892"/>
    <n v="0"/>
    <n v="0"/>
    <x v="3"/>
    <s v="BSV COIN LONG"/>
    <b v="1"/>
  </r>
  <r>
    <s v="OKEX"/>
    <x v="40"/>
    <s v="BTC"/>
    <n v="100"/>
    <n v="1655257.1736514401"/>
    <n v="16552.571736514401"/>
    <n v="0"/>
    <x v="3"/>
    <d v="2022-12-28T22:58:41"/>
    <n v="1"/>
    <x v="0"/>
    <n v="1"/>
    <n v="100"/>
    <n v="1655257.1736514401"/>
    <n v="0"/>
    <s v="COIN"/>
    <s v="LONG"/>
    <s v="COIN LONG"/>
    <n v="1655257.1736514401"/>
    <n v="16552.571736514401"/>
    <n v="0"/>
    <n v="0"/>
    <x v="3"/>
    <s v="BTC COIN LONG"/>
    <b v="1"/>
  </r>
  <r>
    <s v="OKEX"/>
    <x v="40"/>
    <s v="DOT"/>
    <n v="1E-8"/>
    <n v="4.2824587296466798E-8"/>
    <n v="4.2824587296466801"/>
    <n v="0"/>
    <x v="3"/>
    <d v="2022-12-29T00:00:00"/>
    <n v="1"/>
    <x v="22"/>
    <n v="1"/>
    <n v="1E-8"/>
    <n v="4.2824587296466804E-8"/>
    <n v="0"/>
    <s v="COIN"/>
    <s v="LONG"/>
    <s v="COIN LONG"/>
    <n v="4.2824587296466798E-8"/>
    <n v="4.2824587296466801"/>
    <n v="0"/>
    <n v="0"/>
    <x v="3"/>
    <s v="DOT COIN LONG"/>
    <b v="1"/>
  </r>
  <r>
    <s v="OKEX"/>
    <x v="40"/>
    <s v="ETHW"/>
    <n v="8.7929999999999993E-5"/>
    <n v="2.6022106141403601E-4"/>
    <n v="2.9594115934724901"/>
    <n v="0"/>
    <x v="3"/>
    <d v="2022-12-29T00:00:00"/>
    <n v="1"/>
    <x v="41"/>
    <n v="1"/>
    <n v="8.7929999999999993E-5"/>
    <n v="2.6022106141403601E-4"/>
    <n v="0"/>
    <s v="COIN"/>
    <s v="LONG"/>
    <s v="COIN LONG"/>
    <n v="2.6022106141403601E-4"/>
    <n v="2.9594115934724901"/>
    <n v="0"/>
    <n v="0"/>
    <x v="3"/>
    <s v="ETHW COIN LONG"/>
    <b v="1"/>
  </r>
  <r>
    <s v="OKEX"/>
    <x v="40"/>
    <s v="LINK"/>
    <n v="7.5870867500000001"/>
    <n v="43.0714086362972"/>
    <n v="5.67693635983498"/>
    <n v="0"/>
    <x v="3"/>
    <d v="2022-12-28T22:00:00"/>
    <n v="1"/>
    <x v="9"/>
    <n v="1"/>
    <n v="7.5870867500000001"/>
    <n v="43.071408636297207"/>
    <n v="0"/>
    <s v="COIN"/>
    <s v="LONG"/>
    <s v="COIN LONG"/>
    <n v="43.0714086362972"/>
    <n v="5.67693635983498"/>
    <n v="0"/>
    <n v="0"/>
    <x v="3"/>
    <s v="LINK COIN LONG"/>
    <b v="1"/>
  </r>
  <r>
    <s v="OKEX"/>
    <x v="40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3"/>
    <s v="LTC COIN LONG"/>
    <b v="1"/>
  </r>
  <r>
    <s v="OKEX"/>
    <x v="40"/>
    <s v="OXT"/>
    <n v="100"/>
    <n v="6.9683431480043501"/>
    <n v="6.9683431480043495E-2"/>
    <n v="0"/>
    <x v="3"/>
    <d v="2022-12-28T21:14:02"/>
    <n v="1"/>
    <x v="32"/>
    <n v="1"/>
    <n v="100"/>
    <n v="6.9683431480043492"/>
    <n v="0"/>
    <s v="COIN"/>
    <s v="LONG"/>
    <s v="COIN LONG"/>
    <n v="6.9683431480043501"/>
    <n v="6.9683431480043495E-2"/>
    <n v="0"/>
    <n v="0"/>
    <x v="3"/>
    <s v="OXT COIN LONG"/>
    <b v="1"/>
  </r>
  <r>
    <s v="OKEX"/>
    <x v="40"/>
    <s v="SHIB"/>
    <n v="8.1457000000000003E-4"/>
    <n v="6.4520281654593897E-9"/>
    <n v="7.9207780368284999E-6"/>
    <n v="0"/>
    <x v="3"/>
    <d v="2022-12-29T00:00:00"/>
    <n v="1"/>
    <x v="11"/>
    <n v="1"/>
    <n v="8.1457000000000003E-4"/>
    <n v="6.4520281654593914E-9"/>
    <n v="0"/>
    <s v="COIN"/>
    <s v="LONG"/>
    <s v="COIN LONG"/>
    <n v="6.4520281654593897E-9"/>
    <n v="7.9207780368284999E-6"/>
    <n v="0"/>
    <n v="0"/>
    <x v="3"/>
    <s v="SHIB COIN LONG"/>
    <b v="1"/>
  </r>
  <r>
    <s v="OKEX"/>
    <x v="40"/>
    <s v="USDC"/>
    <n v="3.2000000000000001E-7"/>
    <n v="3.20059261474354E-7"/>
    <n v="1.0001851921073499"/>
    <n v="0"/>
    <x v="3"/>
    <d v="2022-12-29T00:00:00"/>
    <n v="1"/>
    <x v="46"/>
    <n v="1"/>
    <n v="3.2000000000000001E-7"/>
    <n v="3.2005926147435199E-7"/>
    <n v="0"/>
    <s v="COIN"/>
    <s v="LONG"/>
    <s v="COIN LONG"/>
    <n v="3.20059261474354E-7"/>
    <n v="1.0001851921073499"/>
    <n v="0"/>
    <n v="0"/>
    <x v="3"/>
    <s v="USDC COIN LONG"/>
    <b v="1"/>
  </r>
  <r>
    <s v="OKEX"/>
    <x v="40"/>
    <s v="USDT"/>
    <n v="2000000"/>
    <n v="1999371.06231025"/>
    <n v="0.99968553115512604"/>
    <n v="0"/>
    <x v="3"/>
    <d v="2022-12-28T22:19:25"/>
    <n v="1"/>
    <x v="36"/>
    <n v="1"/>
    <n v="2000000"/>
    <n v="1999371.0623102521"/>
    <n v="0"/>
    <s v="COIN"/>
    <s v="LONG"/>
    <s v="COIN LONG"/>
    <n v="1999371.06231025"/>
    <n v="0.99968553115512604"/>
    <n v="0"/>
    <n v="0"/>
    <x v="3"/>
    <s v="USDT COIN LONG"/>
    <b v="1"/>
  </r>
  <r>
    <s v="OKEX"/>
    <x v="40"/>
    <s v="XEC"/>
    <n v="5.47"/>
    <n v="1.21075872242875E-4"/>
    <n v="2.2134528746412199E-5"/>
    <n v="0"/>
    <x v="3"/>
    <d v="2022-12-29T00:00:00"/>
    <n v="1"/>
    <x v="120"/>
    <n v="1"/>
    <n v="5.47"/>
    <n v="1.2107587224287472E-4"/>
    <n v="0"/>
    <s v="COIN"/>
    <s v="LONG"/>
    <s v="COIN LONG"/>
    <n v="1.21075872242875E-4"/>
    <n v="2.2134528746412199E-5"/>
    <n v="0"/>
    <n v="0"/>
    <x v="3"/>
    <s v="XEC COIN LONG"/>
    <b v="1"/>
  </r>
  <r>
    <s v="OKEX"/>
    <x v="40"/>
    <s v="XRP"/>
    <n v="4.4000000000000002E-7"/>
    <n v="1.5687349652973301E-7"/>
    <n v="0.35653067393121102"/>
    <n v="0"/>
    <x v="3"/>
    <d v="2022-12-29T00:00:00"/>
    <n v="1"/>
    <x v="45"/>
    <n v="1"/>
    <n v="4.4000000000000002E-7"/>
    <n v="1.5687349652973285E-7"/>
    <n v="0"/>
    <s v="COIN"/>
    <s v="LONG"/>
    <s v="COIN LONG"/>
    <n v="1.5687349652973301E-7"/>
    <n v="0.35653067393121102"/>
    <n v="0"/>
    <n v="0"/>
    <x v="3"/>
    <s v="XRP COIN LONG"/>
    <b v="1"/>
  </r>
  <r>
    <s v="OKEX"/>
    <x v="40"/>
    <s v="ZIL"/>
    <n v="100"/>
    <n v="1.63274714349759"/>
    <n v="1.6327471434975899E-2"/>
    <n v="0"/>
    <x v="3"/>
    <d v="2022-12-29T00:00:00"/>
    <n v="1"/>
    <x v="7"/>
    <n v="1"/>
    <n v="100"/>
    <n v="1.63274714349759"/>
    <n v="0"/>
    <s v="COIN"/>
    <s v="LONG"/>
    <s v="COIN LONG"/>
    <n v="1.63274714349759"/>
    <n v="1.6327471434975899E-2"/>
    <n v="0"/>
    <n v="0"/>
    <x v="3"/>
    <s v="ZIL COIN LONG"/>
    <b v="1"/>
  </r>
  <r>
    <s v="PITX"/>
    <x v="41"/>
    <s v="ETH"/>
    <n v="7.1361999999999999E-4"/>
    <n v="0.84919785203065701"/>
    <n v="1189.9860598507"/>
    <n v="0"/>
    <x v="3"/>
    <d v="2022-12-28T21:59:02"/>
    <n v="1"/>
    <x v="1"/>
    <n v="1"/>
    <n v="7.1361999999999999E-4"/>
    <n v="0.84919785203065656"/>
    <n v="0"/>
    <s v="COIN"/>
    <s v="LONG"/>
    <s v="COIN LONG"/>
    <n v="0.84919785203065701"/>
    <n v="1189.9860598507"/>
    <n v="0"/>
    <n v="0"/>
    <x v="17"/>
    <s v="ETH COIN LONG"/>
    <b v="1"/>
  </r>
  <r>
    <s v="PITX"/>
    <x v="41"/>
    <s v="EUR"/>
    <n v="0.01"/>
    <n v="1.06123E-2"/>
    <n v="1.0612299999999999"/>
    <n v="0"/>
    <x v="3"/>
    <d v="2022-12-28T21:59:02"/>
    <n v="1"/>
    <x v="24"/>
    <n v="1"/>
    <n v="0.01"/>
    <n v="1.06123E-2"/>
    <n v="0"/>
    <s v="CASH"/>
    <s v="LONG"/>
    <s v="CASH LONG"/>
    <n v="1.06123E-2"/>
    <n v="1.0612299999999999"/>
    <n v="0"/>
    <n v="0"/>
    <x v="17"/>
    <s v="EUR CASH LONG"/>
    <b v="1"/>
  </r>
  <r>
    <s v="PITX"/>
    <x v="41"/>
    <s v="GBP"/>
    <n v="0.01"/>
    <n v="1.20182999999999E-2"/>
    <n v="1.20183"/>
    <n v="0"/>
    <x v="3"/>
    <d v="2022-12-28T21:59:02"/>
    <n v="1"/>
    <x v="122"/>
    <n v="1"/>
    <n v="0.01"/>
    <n v="1.2018299999999999E-2"/>
    <n v="0"/>
    <s v="COIN"/>
    <s v="LONG"/>
    <s v="COIN LONG"/>
    <n v="1.20182999999999E-2"/>
    <n v="1.20183"/>
    <n v="0"/>
    <n v="0"/>
    <x v="17"/>
    <s v="GBP COIN LONG"/>
    <b v="1"/>
  </r>
  <r>
    <s v="PITX"/>
    <x v="41"/>
    <s v="TRY"/>
    <n v="0.10983253"/>
    <n v="2.6369097314675E-4"/>
    <n v="2.4008458436380301E-3"/>
    <n v="0"/>
    <x v="3"/>
    <d v="2022-12-28T21:59:02"/>
    <n v="1"/>
    <x v="123"/>
    <n v="1"/>
    <n v="0.10983253"/>
    <n v="2.6369097314674924E-4"/>
    <n v="0"/>
    <s v="COIN"/>
    <s v="LONG"/>
    <s v="COIN LONG"/>
    <n v="2.6369097314675E-4"/>
    <n v="2.4008458436380301E-3"/>
    <n v="0"/>
    <n v="0"/>
    <x v="17"/>
    <s v="TRY COIN LONG"/>
    <b v="1"/>
  </r>
  <r>
    <s v="PITX"/>
    <x v="41"/>
    <s v="USD"/>
    <n v="6.5778299999999998E-3"/>
    <n v="6.5778299999999998E-3"/>
    <n v="1"/>
    <n v="0"/>
    <x v="3"/>
    <d v="2022-12-28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s v="PITX"/>
    <x v="41"/>
    <s v="USDT"/>
    <n v="9.9996000000000004E-4"/>
    <n v="9.9964554373387993E-4"/>
    <n v="0.99968553115512604"/>
    <n v="0"/>
    <x v="3"/>
    <d v="2022-12-28T21:59:02"/>
    <n v="1"/>
    <x v="36"/>
    <n v="1"/>
    <n v="9.9996000000000004E-4"/>
    <n v="9.9964554373387993E-4"/>
    <n v="0"/>
    <s v="COIN"/>
    <s v="LONG"/>
    <s v="COIN LONG"/>
    <n v="9.9964554373387993E-4"/>
    <n v="0.99968553115512604"/>
    <n v="0"/>
    <n v="0"/>
    <x v="17"/>
    <s v="USDT COIN LONG"/>
    <b v="1"/>
  </r>
  <r>
    <s v="PITX"/>
    <x v="41"/>
    <s v="XLM"/>
    <n v="9.9999999999999995E-8"/>
    <n v="7.17793349208209E-9"/>
    <n v="7.1779334920820906E-2"/>
    <n v="0"/>
    <x v="3"/>
    <d v="2022-12-28T21:59:02"/>
    <n v="1"/>
    <x v="37"/>
    <n v="1"/>
    <n v="9.9999999999999995E-8"/>
    <n v="7.17793349208209E-9"/>
    <n v="0"/>
    <s v="COIN"/>
    <s v="LONG"/>
    <s v="COIN LONG"/>
    <n v="7.17793349208209E-9"/>
    <n v="7.1779334920820906E-2"/>
    <n v="0"/>
    <n v="0"/>
    <x v="17"/>
    <s v="XLM COIN LONG"/>
    <b v="1"/>
  </r>
  <r>
    <s v="SHFT WALLET"/>
    <x v="42"/>
    <s v="SHFT"/>
    <n v="3449324.2188823698"/>
    <n v="22758.919518689301"/>
    <n v="6.5980806889946496E-3"/>
    <n v="0"/>
    <x v="3"/>
    <d v="2022-12-29T00:00:00"/>
    <n v="1"/>
    <x v="124"/>
    <n v="1"/>
    <n v="3449324.2188823698"/>
    <n v="22758.919518689319"/>
    <n v="0"/>
    <s v="COIN"/>
    <s v="LONG"/>
    <s v="COIN LONG"/>
    <n v="22758.919518689301"/>
    <n v="6.5980806889946496E-3"/>
    <n v="0"/>
    <n v="0"/>
    <x v="18"/>
    <s v="SHFT COIN LONG"/>
    <b v="0"/>
  </r>
  <r>
    <s v="WOOX"/>
    <x v="43"/>
    <s v="ADA"/>
    <n v="59"/>
    <n v="14.654295581418999"/>
    <n v="0.248377891210492"/>
    <n v="0"/>
    <x v="3"/>
    <d v="2022-12-29T00:00:00"/>
    <n v="1"/>
    <x v="13"/>
    <n v="1"/>
    <n v="59"/>
    <n v="14.654295581419028"/>
    <n v="0"/>
    <s v="COIN"/>
    <s v="LONG"/>
    <s v="COIN LONG"/>
    <n v="14.654295581418999"/>
    <n v="0.248377891210492"/>
    <n v="0"/>
    <n v="0"/>
    <x v="19"/>
    <s v="ADA COIN LONG"/>
    <b v="1"/>
  </r>
  <r>
    <s v="WOOX"/>
    <x v="43"/>
    <s v="BTC"/>
    <n v="200.79781169"/>
    <n v="3323720.1825338402"/>
    <n v="16552.571736514401"/>
    <n v="0"/>
    <x v="3"/>
    <d v="2022-12-29T00:00:00"/>
    <n v="1"/>
    <x v="0"/>
    <n v="1"/>
    <n v="200.79781169"/>
    <n v="3323720.1825338351"/>
    <n v="0"/>
    <s v="COIN"/>
    <s v="LONG"/>
    <s v="COIN LONG"/>
    <n v="3323720.1825338402"/>
    <n v="16552.571736514401"/>
    <n v="0"/>
    <n v="0"/>
    <x v="19"/>
    <s v="BTC COIN LONG"/>
    <b v="1"/>
  </r>
  <r>
    <s v="WOOX"/>
    <x v="43"/>
    <s v="ETHW"/>
    <n v="1267.7570125100001"/>
    <n v="3751.81480052815"/>
    <n v="2.9594115934724901"/>
    <n v="0"/>
    <x v="3"/>
    <d v="2022-12-29T00:00:00"/>
    <n v="1"/>
    <x v="41"/>
    <n v="1"/>
    <n v="1267.7570125100001"/>
    <n v="3751.8148005281428"/>
    <n v="0"/>
    <s v="COIN"/>
    <s v="LONG"/>
    <s v="COIN LONG"/>
    <n v="3751.81480052815"/>
    <n v="2.9594115934724901"/>
    <n v="0"/>
    <n v="0"/>
    <x v="19"/>
    <s v="ETHW COIN LONG"/>
    <b v="1"/>
  </r>
  <r>
    <s v="WOOX"/>
    <x v="43"/>
    <s v="USDT"/>
    <n v="512024.74149078998"/>
    <n v="511863.72566178598"/>
    <n v="0.99968553115512604"/>
    <n v="0"/>
    <x v="3"/>
    <d v="2022-12-29T00:00:00"/>
    <n v="1"/>
    <x v="36"/>
    <n v="1"/>
    <n v="512024.74149078998"/>
    <n v="511863.72566178651"/>
    <n v="0"/>
    <s v="COIN"/>
    <s v="LONG"/>
    <s v="COIN LONG"/>
    <n v="511863.72566178598"/>
    <n v="0.99968553115512604"/>
    <n v="0"/>
    <n v="0"/>
    <x v="19"/>
    <s v="USDT COIN LONG"/>
    <b v="1"/>
  </r>
  <r>
    <s v="WOOX"/>
    <x v="43"/>
    <s v="WOO"/>
    <n v="1644286.05309931"/>
    <n v="196660.21906926401"/>
    <n v="0.119602193729357"/>
    <n v="0"/>
    <x v="3"/>
    <d v="2022-12-29T00:00:00"/>
    <n v="1"/>
    <x v="125"/>
    <n v="1"/>
    <n v="1644286.05309931"/>
    <n v="196660.21906926346"/>
    <n v="0"/>
    <s v="COIN"/>
    <s v="LONG"/>
    <s v="COIN LONG"/>
    <n v="196660.21906926401"/>
    <n v="0.119602193729357"/>
    <n v="0"/>
    <n v="0"/>
    <x v="19"/>
    <s v="WOO COIN LONG"/>
    <b v="1"/>
  </r>
  <r>
    <s v="FBLK"/>
    <x v="44"/>
    <s v="AAVE"/>
    <n v="1.56806574"/>
    <n v="84.279231523141306"/>
    <n v="53.747256491389997"/>
    <n v="0"/>
    <x v="3"/>
    <d v="2022-12-29T00:07:57"/>
    <n v="1"/>
    <x v="12"/>
    <n v="1"/>
    <n v="1.56806574"/>
    <n v="84.279231523141263"/>
    <n v="0"/>
    <s v="COIN"/>
    <s v="LONG"/>
    <s v="COIN LONG"/>
    <n v="84.279231523141306"/>
    <n v="53.747256491389997"/>
    <n v="0"/>
    <n v="0"/>
    <x v="20"/>
    <s v="AAVE COIN LONG"/>
    <b v="0"/>
  </r>
  <r>
    <s v="FBLK"/>
    <x v="44"/>
    <s v="ADA"/>
    <n v="31.421958"/>
    <n v="7.80451966574467"/>
    <n v="0.248377891210492"/>
    <n v="0"/>
    <x v="3"/>
    <d v="2022-12-29T00:07:57"/>
    <n v="1"/>
    <x v="13"/>
    <n v="1"/>
    <n v="31.421958"/>
    <n v="7.8045196657446487"/>
    <n v="0"/>
    <s v="COIN"/>
    <s v="LONG"/>
    <s v="COIN LONG"/>
    <n v="7.80451966574467"/>
    <n v="0.248377891210492"/>
    <n v="0"/>
    <n v="0"/>
    <x v="20"/>
    <s v="ADA COIN LONG"/>
    <b v="0"/>
  </r>
  <r>
    <s v="FBLK"/>
    <x v="44"/>
    <s v="ALGO"/>
    <n v="13468.006917999999"/>
    <n v="2252.3986698007302"/>
    <n v="0.167240682568287"/>
    <n v="0"/>
    <x v="3"/>
    <d v="2022-12-29T00:07:57"/>
    <n v="1"/>
    <x v="14"/>
    <n v="1"/>
    <n v="13468.006917999999"/>
    <n v="2252.3986698007311"/>
    <n v="0"/>
    <s v="COIN"/>
    <s v="LONG"/>
    <s v="COIN LONG"/>
    <n v="2252.3986698007302"/>
    <n v="0.167240682568287"/>
    <n v="0"/>
    <n v="0"/>
    <x v="20"/>
    <s v="ALGO COIN LONG"/>
    <b v="0"/>
  </r>
  <r>
    <s v="FBLK"/>
    <x v="44"/>
    <s v="AVAX"/>
    <n v="4.4048890199999997"/>
    <n v="49.347591282450097"/>
    <n v="11.2029136394564"/>
    <n v="0"/>
    <x v="3"/>
    <d v="2022-12-29T00:07:57"/>
    <n v="1"/>
    <x v="15"/>
    <n v="1"/>
    <n v="4.4048890199999997"/>
    <n v="49.347591282449727"/>
    <n v="0"/>
    <s v="COIN"/>
    <s v="LONG"/>
    <s v="COIN LONG"/>
    <n v="49.347591282450097"/>
    <n v="11.2029136394564"/>
    <n v="0"/>
    <n v="0"/>
    <x v="20"/>
    <s v="AVAX COIN LONG"/>
    <b v="0"/>
  </r>
  <r>
    <s v="FBLK"/>
    <x v="44"/>
    <s v="BAT"/>
    <n v="5030.9646948499903"/>
    <n v="844.87793735483501"/>
    <n v="0.16793557271823101"/>
    <n v="0"/>
    <x v="3"/>
    <d v="2022-12-29T00:07:57"/>
    <n v="1"/>
    <x v="16"/>
    <n v="1"/>
    <n v="5030.9646948499903"/>
    <n v="844.87793735483342"/>
    <n v="0"/>
    <s v="COIN"/>
    <s v="LONG"/>
    <s v="COIN LONG"/>
    <n v="844.87793735483501"/>
    <n v="0.16793557271823101"/>
    <n v="0"/>
    <n v="0"/>
    <x v="20"/>
    <s v="BAT COIN LONG"/>
    <b v="0"/>
  </r>
  <r>
    <s v="FBLK"/>
    <x v="44"/>
    <s v="BCH"/>
    <n v="1.0173747200000001"/>
    <n v="100.899936663624"/>
    <n v="99.176768087597907"/>
    <n v="0"/>
    <x v="3"/>
    <d v="2022-12-29T00:07:57"/>
    <n v="1"/>
    <x v="4"/>
    <n v="1"/>
    <n v="1.0173747200000001"/>
    <n v="100.89993666362486"/>
    <n v="0"/>
    <s v="COIN"/>
    <s v="LONG"/>
    <s v="COIN LONG"/>
    <n v="100.899936663624"/>
    <n v="99.176768087597907"/>
    <n v="0"/>
    <n v="0"/>
    <x v="20"/>
    <s v="BCH COIN LONG"/>
    <b v="0"/>
  </r>
  <r>
    <s v="FBLK"/>
    <x v="44"/>
    <s v="BTC"/>
    <n v="1003.66089362999"/>
    <n v="16613168.9409447"/>
    <n v="16552.571736514401"/>
    <n v="0"/>
    <x v="3"/>
    <d v="2022-12-29T00:07:57"/>
    <n v="1"/>
    <x v="0"/>
    <n v="1"/>
    <n v="1003.66089362999"/>
    <n v="16613168.94094456"/>
    <n v="0"/>
    <s v="COIN"/>
    <s v="LONG"/>
    <s v="COIN LONG"/>
    <n v="16613168.9409447"/>
    <n v="16552.571736514401"/>
    <n v="0"/>
    <n v="0"/>
    <x v="20"/>
    <s v="BTC COIN LONG"/>
    <b v="0"/>
  </r>
  <r>
    <s v="FBLK"/>
    <x v="44"/>
    <s v="DASH"/>
    <n v="7.3535666800000001"/>
    <n v="315.89773102177003"/>
    <n v="42.9584370100211"/>
    <n v="0"/>
    <x v="3"/>
    <d v="2022-12-29T00:07:57"/>
    <n v="1"/>
    <x v="20"/>
    <n v="1"/>
    <n v="7.3535666800000001"/>
    <n v="315.89773102176997"/>
    <n v="0"/>
    <s v="COIN"/>
    <s v="LONG"/>
    <s v="COIN LONG"/>
    <n v="315.89773102177003"/>
    <n v="42.9584370100211"/>
    <n v="0"/>
    <n v="0"/>
    <x v="20"/>
    <s v="DASH COIN LONG"/>
    <b v="0"/>
  </r>
  <r>
    <s v="FBLK"/>
    <x v="44"/>
    <s v="DOT"/>
    <n v="170.57343087999999"/>
    <n v="730.47367811784102"/>
    <n v="4.2824587296466801"/>
    <n v="0"/>
    <x v="3"/>
    <d v="2022-12-29T00:07:57"/>
    <n v="1"/>
    <x v="22"/>
    <n v="1"/>
    <n v="170.57343087999999"/>
    <n v="730.47367811784056"/>
    <n v="0"/>
    <s v="COIN"/>
    <s v="LONG"/>
    <s v="COIN LONG"/>
    <n v="730.47367811784102"/>
    <n v="4.2824587296466801"/>
    <n v="0"/>
    <n v="0"/>
    <x v="20"/>
    <s v="DOT COIN LONG"/>
    <b v="0"/>
  </r>
  <r>
    <s v="FBLK"/>
    <x v="44"/>
    <s v="ENJ"/>
    <n v="1205.6858798199901"/>
    <n v="293.25179555103603"/>
    <n v="0.24322404405599901"/>
    <n v="0"/>
    <x v="3"/>
    <d v="2022-12-29T00:07:57"/>
    <n v="1"/>
    <x v="23"/>
    <n v="1"/>
    <n v="1205.6858798199901"/>
    <n v="293.25179555103318"/>
    <n v="0"/>
    <s v="COIN"/>
    <s v="LONG"/>
    <s v="COIN LONG"/>
    <n v="293.25179555103603"/>
    <n v="0.24322404405599901"/>
    <n v="0"/>
    <n v="0"/>
    <x v="20"/>
    <s v="ENJ COIN LONG"/>
    <b v="0"/>
  </r>
  <r>
    <s v="FBLK"/>
    <x v="44"/>
    <s v="EOS"/>
    <n v="1413.1726000000001"/>
    <n v="1230.95271795553"/>
    <n v="0.87105617385698697"/>
    <n v="0"/>
    <x v="3"/>
    <d v="2022-12-29T00:07:57"/>
    <n v="1"/>
    <x v="3"/>
    <n v="1"/>
    <n v="1413.1726000000001"/>
    <n v="1230.9527179555305"/>
    <n v="0"/>
    <s v="COIN"/>
    <s v="LONG"/>
    <s v="COIN LONG"/>
    <n v="1230.95271795553"/>
    <n v="0.87105617385698697"/>
    <n v="0"/>
    <n v="0"/>
    <x v="20"/>
    <s v="EOS COIN LONG"/>
    <b v="0"/>
  </r>
  <r>
    <s v="FBLK"/>
    <x v="44"/>
    <s v="ETC"/>
    <n v="5.8852999999999998E-4"/>
    <n v="8.8956562440319006E-3"/>
    <n v="15.115042978322"/>
    <n v="0"/>
    <x v="3"/>
    <d v="2022-12-29T00:07:57"/>
    <n v="1"/>
    <x v="40"/>
    <n v="1"/>
    <n v="5.8852999999999998E-4"/>
    <n v="8.8956562440318469E-3"/>
    <n v="0"/>
    <s v="COIN"/>
    <s v="LONG"/>
    <s v="COIN LONG"/>
    <n v="8.8956562440319006E-3"/>
    <n v="15.115042978322"/>
    <n v="0"/>
    <n v="0"/>
    <x v="20"/>
    <s v="ETC COIN LONG"/>
    <b v="0"/>
  </r>
  <r>
    <s v="FBLK"/>
    <x v="44"/>
    <s v="ETH"/>
    <n v="2102.0508167899902"/>
    <n v="2501411.16907787"/>
    <n v="1189.9860598507"/>
    <n v="0"/>
    <x v="3"/>
    <d v="2022-12-29T00:07:57"/>
    <n v="1"/>
    <x v="1"/>
    <n v="1"/>
    <n v="2102.0508167899902"/>
    <n v="2501411.1690778662"/>
    <n v="0"/>
    <s v="COIN"/>
    <s v="LONG"/>
    <s v="COIN LONG"/>
    <n v="2501411.16907787"/>
    <n v="1189.9860598507"/>
    <n v="0"/>
    <n v="0"/>
    <x v="20"/>
    <s v="ETH COIN LONG"/>
    <b v="0"/>
  </r>
  <r>
    <s v="FBLK"/>
    <x v="44"/>
    <s v="ETHW"/>
    <n v="0.42501022999999999"/>
    <n v="1.2577802020064099"/>
    <n v="2.9594115934724901"/>
    <n v="0"/>
    <x v="3"/>
    <d v="2022-12-29T00:07:57"/>
    <n v="1"/>
    <x v="41"/>
    <n v="1"/>
    <n v="0.42501022999999999"/>
    <n v="1.2577802020064095"/>
    <n v="0"/>
    <s v="COIN"/>
    <s v="LONG"/>
    <s v="COIN LONG"/>
    <n v="1.2577802020064099"/>
    <n v="2.9594115934724901"/>
    <n v="0"/>
    <n v="0"/>
    <x v="20"/>
    <s v="ETHW COIN LONG"/>
    <b v="0"/>
  </r>
  <r>
    <s v="FBLK"/>
    <x v="44"/>
    <s v="EUROC"/>
    <n v="6013.1252260000001"/>
    <n v="6389.1999127039198"/>
    <n v="1.06254230081186"/>
    <n v="0"/>
    <x v="3"/>
    <d v="2022-12-29T00:07:57"/>
    <n v="1"/>
    <x v="93"/>
    <n v="1"/>
    <n v="6013.1252260000001"/>
    <n v="6389.1999127038753"/>
    <n v="0"/>
    <s v="COIN"/>
    <s v="LONG"/>
    <s v="COIN LONG"/>
    <n v="6389.1999127039198"/>
    <n v="1.06254230081186"/>
    <n v="0"/>
    <n v="0"/>
    <x v="20"/>
    <s v="EUROC COIN LONG"/>
    <b v="0"/>
  </r>
  <r>
    <s v="FBLK"/>
    <x v="44"/>
    <s v="FTM"/>
    <n v="1610.8376194299999"/>
    <n v="319.08673148926403"/>
    <n v="0.198087459369228"/>
    <n v="0"/>
    <x v="3"/>
    <d v="2022-12-29T00:07:57"/>
    <n v="1"/>
    <x v="26"/>
    <n v="1"/>
    <n v="1610.8376194299999"/>
    <n v="319.08673148926408"/>
    <n v="0"/>
    <s v="COIN"/>
    <s v="LONG"/>
    <s v="COIN LONG"/>
    <n v="319.08673148926403"/>
    <n v="0.198087459369228"/>
    <n v="0"/>
    <n v="0"/>
    <x v="20"/>
    <s v="FTM COIN LONG"/>
    <b v="0"/>
  </r>
  <r>
    <s v="FBLK"/>
    <x v="44"/>
    <s v="FTT"/>
    <n v="2.53888889"/>
    <n v="2.2496862819655599"/>
    <n v="0.88609087653519403"/>
    <n v="0"/>
    <x v="3"/>
    <d v="2022-12-29T00:07:57"/>
    <n v="1"/>
    <x v="94"/>
    <n v="1"/>
    <n v="2.53888889"/>
    <n v="2.2496862819655634"/>
    <n v="0"/>
    <s v="COIN"/>
    <s v="LONG"/>
    <s v="COIN LONG"/>
    <n v="2.2496862819655599"/>
    <n v="0.88609087653519403"/>
    <n v="0"/>
    <n v="0"/>
    <x v="20"/>
    <s v="FTT COIN LONG"/>
    <b v="0"/>
  </r>
  <r>
    <s v="FBLK"/>
    <x v="44"/>
    <s v="GRT"/>
    <n v="717.79805069999998"/>
    <n v="40.140661441480397"/>
    <n v="5.5921942672225201E-2"/>
    <n v="0"/>
    <x v="3"/>
    <d v="2022-12-29T00:07:57"/>
    <n v="1"/>
    <x v="27"/>
    <n v="1"/>
    <n v="717.79805069999998"/>
    <n v="40.140661441480397"/>
    <n v="0"/>
    <s v="COIN"/>
    <s v="LONG"/>
    <s v="COIN LONG"/>
    <n v="40.140661441480397"/>
    <n v="5.5921942672225201E-2"/>
    <n v="0"/>
    <n v="0"/>
    <x v="20"/>
    <s v="GRT COIN LONG"/>
    <b v="0"/>
  </r>
  <r>
    <s v="FBLK"/>
    <x v="44"/>
    <s v="HBAR"/>
    <n v="12232.11305824"/>
    <n v="496.91365300908899"/>
    <n v="4.06236968742167E-2"/>
    <n v="0"/>
    <x v="3"/>
    <d v="2022-12-29T00:07:57"/>
    <n v="1"/>
    <x v="28"/>
    <n v="1"/>
    <n v="12232.11305824"/>
    <n v="496.91365300908956"/>
    <n v="0"/>
    <s v="COIN"/>
    <s v="LONG"/>
    <s v="COIN LONG"/>
    <n v="496.91365300908899"/>
    <n v="4.06236968742167E-2"/>
    <n v="0"/>
    <n v="0"/>
    <x v="20"/>
    <s v="HBAR COIN LONG"/>
    <b v="0"/>
  </r>
  <r>
    <s v="FBLK"/>
    <x v="44"/>
    <s v="KSM"/>
    <n v="9.2269799999999992E-3"/>
    <n v="0.228072798750491"/>
    <n v="24.7180332839663"/>
    <n v="0"/>
    <x v="3"/>
    <d v="2022-12-29T00:07:57"/>
    <n v="1"/>
    <x v="101"/>
    <n v="1"/>
    <n v="9.2269799999999992E-3"/>
    <n v="0.22807279875049136"/>
    <n v="0"/>
    <s v="COIN"/>
    <s v="LONG"/>
    <s v="COIN LONG"/>
    <n v="0.228072798750491"/>
    <n v="24.7180332839663"/>
    <n v="0"/>
    <n v="0"/>
    <x v="20"/>
    <s v="KSM COIN LONG"/>
    <b v="0"/>
  </r>
  <r>
    <s v="FBLK"/>
    <x v="44"/>
    <s v="LINK"/>
    <n v="7.09209873"/>
    <n v="40.261393147876497"/>
    <n v="5.67693635983498"/>
    <n v="0"/>
    <x v="3"/>
    <d v="2022-12-29T00:07:57"/>
    <n v="1"/>
    <x v="9"/>
    <n v="1"/>
    <n v="7.09209873"/>
    <n v="40.261393147876483"/>
    <n v="0"/>
    <s v="COIN"/>
    <s v="LONG"/>
    <s v="COIN LONG"/>
    <n v="40.261393147876497"/>
    <n v="5.67693635983498"/>
    <n v="0"/>
    <n v="0"/>
    <x v="20"/>
    <s v="LINK COIN LONG"/>
    <b v="0"/>
  </r>
  <r>
    <s v="FBLK"/>
    <x v="44"/>
    <s v="LTC"/>
    <n v="425.66993299000001"/>
    <n v="28238.545026261399"/>
    <n v="66.339064232015801"/>
    <n v="0"/>
    <x v="3"/>
    <d v="2022-12-29T00:07:57"/>
    <n v="1"/>
    <x v="5"/>
    <n v="1"/>
    <n v="425.66993299000001"/>
    <n v="28238.545026261472"/>
    <n v="0"/>
    <s v="COIN"/>
    <s v="LONG"/>
    <s v="COIN LONG"/>
    <n v="28238.545026261399"/>
    <n v="66.339064232015801"/>
    <n v="0"/>
    <n v="0"/>
    <x v="20"/>
    <s v="LTC COIN LONG"/>
    <b v="0"/>
  </r>
  <r>
    <s v="FBLK"/>
    <x v="44"/>
    <s v="MANA"/>
    <n v="90.867518829999995"/>
    <n v="27.7268932230728"/>
    <n v="0.30513536167908101"/>
    <n v="0"/>
    <x v="3"/>
    <d v="2022-12-29T00:07:57"/>
    <n v="1"/>
    <x v="29"/>
    <n v="1"/>
    <n v="90.867518829999995"/>
    <n v="27.726893223072754"/>
    <n v="0"/>
    <s v="COIN"/>
    <s v="LONG"/>
    <s v="COIN LONG"/>
    <n v="27.7268932230728"/>
    <n v="0.30513536167908101"/>
    <n v="0"/>
    <n v="0"/>
    <x v="20"/>
    <s v="MANA COIN LONG"/>
    <b v="0"/>
  </r>
  <r>
    <s v="FBLK"/>
    <x v="44"/>
    <s v="MATIC"/>
    <n v="1128.0142404000001"/>
    <n v="883.04433178276895"/>
    <n v="0.78283083684265897"/>
    <n v="0"/>
    <x v="3"/>
    <d v="2022-12-29T00:07:57"/>
    <n v="1"/>
    <x v="30"/>
    <n v="1"/>
    <n v="1128.0142404000001"/>
    <n v="883.04433178276838"/>
    <n v="0"/>
    <s v="COIN"/>
    <s v="LONG"/>
    <s v="COIN LONG"/>
    <n v="883.04433178276895"/>
    <n v="0.78283083684265897"/>
    <n v="0"/>
    <n v="0"/>
    <x v="20"/>
    <s v="MATIC COIN LONG"/>
    <b v="0"/>
  </r>
  <r>
    <s v="FBLK"/>
    <x v="44"/>
    <s v="OMG"/>
    <n v="26.280999999999999"/>
    <n v="26.647482560707299"/>
    <n v="1.0139447722958499"/>
    <n v="0"/>
    <x v="3"/>
    <d v="2022-12-29T00:07:57"/>
    <n v="1"/>
    <x v="6"/>
    <n v="1"/>
    <n v="26.280999999999999"/>
    <n v="26.647482560707228"/>
    <n v="0"/>
    <s v="COIN"/>
    <s v="LONG"/>
    <s v="COIN LONG"/>
    <n v="26.647482560707299"/>
    <n v="1.0139447722958499"/>
    <n v="0"/>
    <n v="0"/>
    <x v="20"/>
    <s v="OMG COIN LONG"/>
    <b v="0"/>
  </r>
  <r>
    <s v="FBLK"/>
    <x v="44"/>
    <s v="OXT"/>
    <n v="1053.77495864"/>
    <n v="73.430655125776099"/>
    <n v="6.9683431480043495E-2"/>
    <n v="0"/>
    <x v="3"/>
    <d v="2022-12-29T00:07:57"/>
    <n v="1"/>
    <x v="32"/>
    <n v="1"/>
    <n v="1053.77495864"/>
    <n v="73.430655125776113"/>
    <n v="0"/>
    <s v="COIN"/>
    <s v="LONG"/>
    <s v="COIN LONG"/>
    <n v="73.430655125776099"/>
    <n v="6.9683431480043495E-2"/>
    <n v="0"/>
    <n v="0"/>
    <x v="20"/>
    <s v="OXT COIN LONG"/>
    <b v="0"/>
  </r>
  <r>
    <s v="FBLK"/>
    <x v="44"/>
    <s v="SHIB"/>
    <n v="1700835.9526464499"/>
    <n v="13.4719440579702"/>
    <n v="7.9207780368284999E-6"/>
    <n v="0"/>
    <x v="3"/>
    <d v="2022-12-29T00:07:57"/>
    <n v="1"/>
    <x v="11"/>
    <n v="1"/>
    <n v="1700835.9526464499"/>
    <n v="13.471944057970278"/>
    <n v="0"/>
    <s v="COIN"/>
    <s v="LONG"/>
    <s v="COIN LONG"/>
    <n v="13.4719440579702"/>
    <n v="7.9207780368284999E-6"/>
    <n v="0"/>
    <n v="0"/>
    <x v="20"/>
    <s v="SHIB COIN LONG"/>
    <b v="0"/>
  </r>
  <r>
    <s v="FBLK"/>
    <x v="44"/>
    <s v="SOL"/>
    <n v="13.89767698"/>
    <n v="135.584432368526"/>
    <n v="9.7559061534991791"/>
    <n v="0"/>
    <x v="3"/>
    <d v="2022-12-29T00:07:57"/>
    <n v="1"/>
    <x v="33"/>
    <n v="1"/>
    <n v="13.89767698"/>
    <n v="135.58443236852588"/>
    <n v="0"/>
    <s v="COIN"/>
    <s v="LONG"/>
    <s v="COIN LONG"/>
    <n v="135.584432368526"/>
    <n v="9.7559061534991791"/>
    <n v="0"/>
    <n v="0"/>
    <x v="20"/>
    <s v="SOL COIN LONG"/>
    <b v="0"/>
  </r>
  <r>
    <s v="FBLK"/>
    <x v="44"/>
    <s v="SUSHI"/>
    <n v="1659.90192484"/>
    <n v="1584.22183324773"/>
    <n v="0.95440688967237697"/>
    <n v="0"/>
    <x v="3"/>
    <d v="2022-12-29T00:07:57"/>
    <n v="1"/>
    <x v="34"/>
    <n v="1"/>
    <n v="1659.90192484"/>
    <n v="1584.221833247736"/>
    <n v="0"/>
    <s v="COIN"/>
    <s v="LONG"/>
    <s v="COIN LONG"/>
    <n v="1584.22183324773"/>
    <n v="0.95440688967237697"/>
    <n v="0"/>
    <n v="0"/>
    <x v="20"/>
    <s v="SUSHI COIN LONG"/>
    <b v="0"/>
  </r>
  <r>
    <s v="FBLK"/>
    <x v="44"/>
    <s v="UNI"/>
    <n v="20.08810385"/>
    <n v="99.971088374659303"/>
    <n v="4.9766313994169904"/>
    <n v="0"/>
    <x v="3"/>
    <d v="2022-12-29T00:07:57"/>
    <n v="1"/>
    <x v="35"/>
    <n v="1"/>
    <n v="20.08810385"/>
    <n v="99.971088374659331"/>
    <n v="0"/>
    <s v="COIN"/>
    <s v="LONG"/>
    <s v="COIN LONG"/>
    <n v="99.971088374659303"/>
    <n v="4.9766313994169904"/>
    <n v="0"/>
    <n v="0"/>
    <x v="20"/>
    <s v="UNI COIN LONG"/>
    <b v="0"/>
  </r>
  <r>
    <s v="FBLK"/>
    <x v="44"/>
    <s v="USDC"/>
    <n v="5497678.1598539902"/>
    <n v="5498696.2864579996"/>
    <n v="1.0001851921073499"/>
    <n v="0"/>
    <x v="3"/>
    <d v="2022-12-29T00:07:57"/>
    <n v="1"/>
    <x v="46"/>
    <n v="1"/>
    <n v="5497678.1598539902"/>
    <n v="5498696.2864579447"/>
    <n v="0"/>
    <s v="COIN"/>
    <s v="LONG"/>
    <s v="COIN LONG"/>
    <n v="5498696.2864579996"/>
    <n v="1.0001851921073499"/>
    <n v="0"/>
    <n v="0"/>
    <x v="20"/>
    <s v="USDC COIN LONG"/>
    <b v="0"/>
  </r>
  <r>
    <s v="FBLK"/>
    <x v="44"/>
    <s v="USDT"/>
    <n v="9.7920770000000008"/>
    <n v="9.7889976968568995"/>
    <n v="0.99968553115512604"/>
    <n v="0"/>
    <x v="3"/>
    <d v="2022-12-29T00:07:57"/>
    <n v="1"/>
    <x v="36"/>
    <n v="1"/>
    <n v="9.7920770000000008"/>
    <n v="9.7889976968568941"/>
    <n v="0"/>
    <s v="COIN"/>
    <s v="LONG"/>
    <s v="COIN LONG"/>
    <n v="9.7889976968568995"/>
    <n v="0.99968553115512604"/>
    <n v="0"/>
    <n v="0"/>
    <x v="20"/>
    <s v="USDT COIN LONG"/>
    <b v="0"/>
  </r>
  <r>
    <s v="FBLK"/>
    <x v="44"/>
    <s v="XLM"/>
    <n v="16993.0815334"/>
    <n v="1219.7520907227299"/>
    <n v="7.1779334920820906E-2"/>
    <n v="0"/>
    <x v="3"/>
    <d v="2022-12-29T00:07:57"/>
    <n v="1"/>
    <x v="37"/>
    <n v="1"/>
    <n v="16993.0815334"/>
    <n v="1219.7520907227354"/>
    <n v="0"/>
    <s v="COIN"/>
    <s v="LONG"/>
    <s v="COIN LONG"/>
    <n v="1219.7520907227299"/>
    <n v="7.1779334920820906E-2"/>
    <n v="0"/>
    <n v="0"/>
    <x v="20"/>
    <s v="XLM COIN LONG"/>
    <b v="0"/>
  </r>
  <r>
    <s v="FBLK"/>
    <x v="44"/>
    <s v="XRP"/>
    <n v="283.58991600000002"/>
    <n v="101.108503871575"/>
    <n v="0.35653067393121102"/>
    <n v="0"/>
    <x v="3"/>
    <d v="2022-12-29T00:07:57"/>
    <n v="1"/>
    <x v="45"/>
    <n v="1"/>
    <n v="283.58991600000002"/>
    <n v="101.10850387157552"/>
    <n v="0"/>
    <s v="COIN"/>
    <s v="LONG"/>
    <s v="COIN LONG"/>
    <n v="101.108503871575"/>
    <n v="0.35653067393121102"/>
    <n v="0"/>
    <n v="0"/>
    <x v="20"/>
    <s v="XRP COIN LONG"/>
    <b v="0"/>
  </r>
  <r>
    <s v="FBLK"/>
    <x v="44"/>
    <s v="XTZ"/>
    <n v="59.253999999999998"/>
    <n v="43.689753740806097"/>
    <n v="0.73733003241647999"/>
    <n v="0"/>
    <x v="3"/>
    <d v="2022-12-29T00:07:57"/>
    <n v="1"/>
    <x v="38"/>
    <n v="1"/>
    <n v="59.253999999999998"/>
    <n v="43.689753740806104"/>
    <n v="0"/>
    <s v="COIN"/>
    <s v="LONG"/>
    <s v="COIN LONG"/>
    <n v="43.689753740806097"/>
    <n v="0.73733003241647999"/>
    <n v="0"/>
    <n v="0"/>
    <x v="20"/>
    <s v="XTZ COIN LONG"/>
    <b v="0"/>
  </r>
  <r>
    <s v="FBLK"/>
    <x v="44"/>
    <s v="YFI"/>
    <n v="8.7908099999999996E-3"/>
    <n v="46.000827764539501"/>
    <n v="5232.8315325367603"/>
    <n v="0"/>
    <x v="3"/>
    <d v="2022-12-29T00:07:57"/>
    <n v="1"/>
    <x v="39"/>
    <n v="1"/>
    <n v="8.7908099999999996E-3"/>
    <n v="46.000827764539473"/>
    <n v="0"/>
    <s v="COIN"/>
    <s v="LONG"/>
    <s v="COIN LONG"/>
    <n v="46.000827764539501"/>
    <n v="5232.8315325367603"/>
    <n v="0"/>
    <n v="0"/>
    <x v="20"/>
    <s v="YFI COIN LONG"/>
    <b v="0"/>
  </r>
  <r>
    <s v="BINANCE"/>
    <x v="45"/>
    <s v="AAVE"/>
    <n v="-900"/>
    <n v="-48372.530842250999"/>
    <n v="53.747256491389997"/>
    <n v="0"/>
    <x v="5"/>
    <d v="2022-12-29T00:00:00"/>
    <n v="1"/>
    <x v="12"/>
    <n v="1"/>
    <n v="-900"/>
    <n v="-48372.530842250999"/>
    <n v="0"/>
    <s v="COIN"/>
    <s v="SHORT"/>
    <s v="COIN SHORT"/>
    <n v="-48372.530842250999"/>
    <n v="53.747256491389997"/>
    <n v="0"/>
    <n v="0"/>
    <x v="0"/>
    <s v="AAVE COIN SHORT"/>
    <b v="1"/>
  </r>
  <r>
    <s v="BINANCE"/>
    <x v="45"/>
    <s v="ADA"/>
    <n v="-450000"/>
    <n v="-111770.051044721"/>
    <n v="0.248377891210492"/>
    <n v="0"/>
    <x v="5"/>
    <d v="2022-12-29T00:00:00"/>
    <n v="1"/>
    <x v="13"/>
    <n v="1"/>
    <n v="-450000"/>
    <n v="-111770.0510447214"/>
    <n v="0"/>
    <s v="COIN"/>
    <s v="SHORT"/>
    <s v="COIN SHORT"/>
    <n v="-111770.051044721"/>
    <n v="0.248377891210492"/>
    <n v="0"/>
    <n v="0"/>
    <x v="0"/>
    <s v="ADA COIN SHORT"/>
    <b v="1"/>
  </r>
  <r>
    <s v="BINANCE"/>
    <x v="45"/>
    <s v="ALGO"/>
    <n v="-244800"/>
    <n v="-40940.519092716597"/>
    <n v="0.167240682568287"/>
    <n v="0"/>
    <x v="5"/>
    <d v="2022-12-29T00:00:00"/>
    <n v="1"/>
    <x v="14"/>
    <n v="1"/>
    <n v="-244800"/>
    <n v="-40940.519092716655"/>
    <n v="0"/>
    <s v="COIN"/>
    <s v="SHORT"/>
    <s v="COIN SHORT"/>
    <n v="-40940.519092716597"/>
    <n v="0.167240682568287"/>
    <n v="0"/>
    <n v="0"/>
    <x v="0"/>
    <s v="ALGO COIN SHORT"/>
    <b v="1"/>
  </r>
  <r>
    <s v="BINANCE"/>
    <x v="45"/>
    <s v="AVAX"/>
    <n v="-6000"/>
    <n v="-67217.481836738894"/>
    <n v="11.2029136394564"/>
    <n v="0"/>
    <x v="5"/>
    <d v="2022-12-29T00:00:00"/>
    <n v="1"/>
    <x v="15"/>
    <n v="1"/>
    <n v="-6000"/>
    <n v="-67217.4818367384"/>
    <n v="0"/>
    <s v="COIN"/>
    <s v="SHORT"/>
    <s v="COIN SHORT"/>
    <n v="-67217.481836738894"/>
    <n v="11.2029136394564"/>
    <n v="0"/>
    <n v="0"/>
    <x v="0"/>
    <s v="AVAX COIN SHORT"/>
    <b v="1"/>
  </r>
  <r>
    <s v="BINANCE"/>
    <x v="45"/>
    <s v="BAT"/>
    <n v="-200000"/>
    <n v="-33587.114543646203"/>
    <n v="0.16793557271823101"/>
    <n v="0"/>
    <x v="5"/>
    <d v="2022-12-29T00:00:00"/>
    <n v="1"/>
    <x v="16"/>
    <n v="1"/>
    <n v="-200000"/>
    <n v="-33587.114543646203"/>
    <n v="0"/>
    <s v="COIN"/>
    <s v="SHORT"/>
    <s v="COIN SHORT"/>
    <n v="-33587.114543646203"/>
    <n v="0.16793557271823101"/>
    <n v="0"/>
    <n v="0"/>
    <x v="0"/>
    <s v="BAT COIN SHORT"/>
    <b v="1"/>
  </r>
  <r>
    <s v="BINANCE"/>
    <x v="45"/>
    <s v="BCH"/>
    <n v="-90"/>
    <n v="-8925.9091278838096"/>
    <n v="99.176768087597907"/>
    <n v="0"/>
    <x v="5"/>
    <d v="2022-12-29T00:00:00"/>
    <n v="1"/>
    <x v="4"/>
    <n v="1"/>
    <n v="-90"/>
    <n v="-8925.9091278838114"/>
    <n v="0"/>
    <s v="COIN"/>
    <s v="SHORT"/>
    <s v="COIN SHORT"/>
    <n v="-8925.9091278838096"/>
    <n v="99.176768087597907"/>
    <n v="0"/>
    <n v="0"/>
    <x v="0"/>
    <s v="BCH COIN SHORT"/>
    <b v="1"/>
  </r>
  <r>
    <s v="BINANCE"/>
    <x v="45"/>
    <s v="BTC"/>
    <n v="-68.229826919999994"/>
    <n v="-1129379.10466326"/>
    <n v="16552.571736514401"/>
    <n v="0"/>
    <x v="5"/>
    <d v="2022-12-29T00:00:00"/>
    <n v="1"/>
    <x v="0"/>
    <n v="1"/>
    <n v="-68.229826919999994"/>
    <n v="-1129379.1046632612"/>
    <n v="0"/>
    <s v="COIN"/>
    <s v="SHORT"/>
    <s v="COIN SHORT"/>
    <n v="-1129379.10466326"/>
    <n v="16552.571736514401"/>
    <n v="0"/>
    <n v="0"/>
    <x v="0"/>
    <s v="BTC COIN SHORT"/>
    <b v="1"/>
  </r>
  <r>
    <s v="BINANCE"/>
    <x v="45"/>
    <s v="BUSD"/>
    <n v="-1774267.5065881"/>
    <n v="-1774611.3498162499"/>
    <n v="1.0001937944683501"/>
    <n v="0"/>
    <x v="5"/>
    <d v="2022-12-29T00:00:00"/>
    <n v="1"/>
    <x v="18"/>
    <n v="1"/>
    <n v="-1774267.5065881"/>
    <n v="-1774611.3498162501"/>
    <n v="0"/>
    <s v="COIN"/>
    <s v="SHORT"/>
    <s v="COIN SHORT"/>
    <n v="-1774611.3498162499"/>
    <n v="1.0001937944683501"/>
    <n v="0"/>
    <n v="0"/>
    <x v="0"/>
    <s v="BUSD COIN SHORT"/>
    <b v="1"/>
  </r>
  <r>
    <s v="BINANCE"/>
    <x v="45"/>
    <s v="COMP"/>
    <n v="-4800"/>
    <n v="-153381.54341515299"/>
    <n v="31.954488211490201"/>
    <n v="0"/>
    <x v="5"/>
    <d v="2022-12-29T00:00:00"/>
    <n v="1"/>
    <x v="8"/>
    <n v="1"/>
    <n v="-4800"/>
    <n v="-153381.54341515296"/>
    <n v="0"/>
    <s v="COIN"/>
    <s v="SHORT"/>
    <s v="COIN SHORT"/>
    <n v="-153381.54341515299"/>
    <n v="31.954488211490201"/>
    <n v="0"/>
    <n v="0"/>
    <x v="0"/>
    <s v="COMP COIN SHORT"/>
    <b v="1"/>
  </r>
  <r>
    <s v="BINANCE"/>
    <x v="45"/>
    <s v="DASH"/>
    <n v="-1000"/>
    <n v="-42958.437010021102"/>
    <n v="42.9584370100211"/>
    <n v="0"/>
    <x v="5"/>
    <d v="2022-12-29T00:00:00"/>
    <n v="1"/>
    <x v="20"/>
    <n v="1"/>
    <n v="-1000"/>
    <n v="-42958.437010021102"/>
    <n v="0"/>
    <s v="COIN"/>
    <s v="SHORT"/>
    <s v="COIN SHORT"/>
    <n v="-42958.437010021102"/>
    <n v="42.9584370100211"/>
    <n v="0"/>
    <n v="0"/>
    <x v="0"/>
    <s v="DASH COIN SHORT"/>
    <b v="1"/>
  </r>
  <r>
    <s v="BINANCE"/>
    <x v="45"/>
    <s v="DOGE"/>
    <n v="-1100000"/>
    <n v="-77419.428789486803"/>
    <n v="7.0381298899533401E-2"/>
    <n v="0"/>
    <x v="5"/>
    <d v="2022-12-29T00:00:00"/>
    <n v="1"/>
    <x v="21"/>
    <n v="1"/>
    <n v="-1100000"/>
    <n v="-77419.428789486745"/>
    <n v="0"/>
    <s v="COIN"/>
    <s v="SHORT"/>
    <s v="COIN SHORT"/>
    <n v="-77419.428789486803"/>
    <n v="7.0381298899533401E-2"/>
    <n v="0"/>
    <n v="0"/>
    <x v="0"/>
    <s v="DOGE COIN SHORT"/>
    <b v="1"/>
  </r>
  <r>
    <s v="BINANCE"/>
    <x v="45"/>
    <s v="DOT"/>
    <n v="-10000"/>
    <n v="-42824.587296466801"/>
    <n v="4.2824587296466801"/>
    <n v="0"/>
    <x v="5"/>
    <d v="2022-12-29T00:00:00"/>
    <n v="1"/>
    <x v="22"/>
    <n v="1"/>
    <n v="-10000"/>
    <n v="-42824.587296466801"/>
    <n v="0"/>
    <s v="COIN"/>
    <s v="SHORT"/>
    <s v="COIN SHORT"/>
    <n v="-42824.587296466801"/>
    <n v="4.2824587296466801"/>
    <n v="0"/>
    <n v="0"/>
    <x v="0"/>
    <s v="DOT COIN SHORT"/>
    <b v="1"/>
  </r>
  <r>
    <s v="BINANCE"/>
    <x v="45"/>
    <s v="ENJ"/>
    <n v="-60000"/>
    <n v="-14593.4426433599"/>
    <n v="0.24322404405599901"/>
    <n v="0"/>
    <x v="5"/>
    <d v="2022-12-29T00:00:00"/>
    <n v="1"/>
    <x v="23"/>
    <n v="1"/>
    <n v="-60000"/>
    <n v="-14593.44264335994"/>
    <n v="0"/>
    <s v="COIN"/>
    <s v="SHORT"/>
    <s v="COIN SHORT"/>
    <n v="-14593.4426433599"/>
    <n v="0.24322404405599901"/>
    <n v="0"/>
    <n v="0"/>
    <x v="0"/>
    <s v="ENJ COIN SHORT"/>
    <b v="1"/>
  </r>
  <r>
    <s v="BINANCE"/>
    <x v="45"/>
    <s v="EOS"/>
    <n v="-68743"/>
    <n v="-59879.014559450799"/>
    <n v="0.87105617385698697"/>
    <n v="0"/>
    <x v="5"/>
    <d v="2022-12-29T00:00:00"/>
    <n v="1"/>
    <x v="3"/>
    <n v="1"/>
    <n v="-68743"/>
    <n v="-59879.014559450858"/>
    <n v="0"/>
    <s v="COIN"/>
    <s v="SHORT"/>
    <s v="COIN SHORT"/>
    <n v="-59879.014559450799"/>
    <n v="0.87105617385698697"/>
    <n v="0"/>
    <n v="0"/>
    <x v="0"/>
    <s v="EOS COIN SHORT"/>
    <b v="1"/>
  </r>
  <r>
    <s v="BINANCE"/>
    <x v="45"/>
    <s v="FTM"/>
    <n v="-300000"/>
    <n v="-59426.2378107685"/>
    <n v="0.198087459369228"/>
    <n v="0"/>
    <x v="5"/>
    <d v="2022-12-29T00:00:00"/>
    <n v="1"/>
    <x v="26"/>
    <n v="1"/>
    <n v="-300000"/>
    <n v="-59426.237810768398"/>
    <n v="0"/>
    <s v="COIN"/>
    <s v="SHORT"/>
    <s v="COIN SHORT"/>
    <n v="-59426.2378107685"/>
    <n v="0.198087459369228"/>
    <n v="0"/>
    <n v="0"/>
    <x v="0"/>
    <s v="FTM COIN SHORT"/>
    <b v="1"/>
  </r>
  <r>
    <s v="BINANCE"/>
    <x v="45"/>
    <s v="GRT"/>
    <n v="-240000"/>
    <n v="-13421.266241334"/>
    <n v="5.5921942672225201E-2"/>
    <n v="0"/>
    <x v="5"/>
    <d v="2022-12-29T00:00:00"/>
    <n v="1"/>
    <x v="27"/>
    <n v="1"/>
    <n v="-240000"/>
    <n v="-13421.266241334048"/>
    <n v="0"/>
    <s v="COIN"/>
    <s v="SHORT"/>
    <s v="COIN SHORT"/>
    <n v="-13421.266241334"/>
    <n v="5.5921942672225201E-2"/>
    <n v="0"/>
    <n v="0"/>
    <x v="0"/>
    <s v="GRT COIN SHORT"/>
    <b v="1"/>
  </r>
  <r>
    <s v="BINANCE"/>
    <x v="45"/>
    <s v="HBAR"/>
    <n v="-628800"/>
    <n v="-25544.180594507401"/>
    <n v="4.06236968742167E-2"/>
    <n v="0"/>
    <x v="5"/>
    <d v="2022-12-29T00:00:00"/>
    <n v="1"/>
    <x v="28"/>
    <n v="1"/>
    <n v="-628800"/>
    <n v="-25544.180594507459"/>
    <n v="0"/>
    <s v="COIN"/>
    <s v="SHORT"/>
    <s v="COIN SHORT"/>
    <n v="-25544.180594507401"/>
    <n v="4.06236968742167E-2"/>
    <n v="0"/>
    <n v="0"/>
    <x v="0"/>
    <s v="HBAR COIN SHORT"/>
    <b v="1"/>
  </r>
  <r>
    <s v="BINANCE"/>
    <x v="45"/>
    <s v="LINK"/>
    <n v="-20910.71"/>
    <n v="-118708.769908965"/>
    <n v="5.67693635983498"/>
    <n v="0"/>
    <x v="5"/>
    <d v="2022-12-29T00:00:00"/>
    <n v="1"/>
    <x v="9"/>
    <n v="1"/>
    <n v="-20910.71"/>
    <n v="-118708.76990896491"/>
    <n v="0"/>
    <s v="COIN"/>
    <s v="SHORT"/>
    <s v="COIN SHORT"/>
    <n v="-118708.769908965"/>
    <n v="5.67693635983498"/>
    <n v="0"/>
    <n v="0"/>
    <x v="0"/>
    <s v="LINK COIN SHORT"/>
    <b v="1"/>
  </r>
  <r>
    <s v="BINANCE"/>
    <x v="45"/>
    <s v="LTC"/>
    <n v="-1347.817"/>
    <n v="-89412.918536002893"/>
    <n v="66.339064232015801"/>
    <n v="0"/>
    <x v="5"/>
    <d v="2022-12-29T00:00:00"/>
    <n v="1"/>
    <x v="5"/>
    <n v="1"/>
    <n v="-1347.817"/>
    <n v="-89412.918536002835"/>
    <n v="0"/>
    <s v="COIN"/>
    <s v="SHORT"/>
    <s v="COIN SHORT"/>
    <n v="-89412.918536002893"/>
    <n v="66.339064232015801"/>
    <n v="0"/>
    <n v="0"/>
    <x v="0"/>
    <s v="LTC COIN SHORT"/>
    <b v="1"/>
  </r>
  <r>
    <s v="BINANCE"/>
    <x v="45"/>
    <s v="MANA"/>
    <n v="-90000"/>
    <n v="-27462.182551117301"/>
    <n v="0.30513536167908101"/>
    <n v="0"/>
    <x v="5"/>
    <d v="2022-12-29T00:00:00"/>
    <n v="1"/>
    <x v="29"/>
    <n v="1"/>
    <n v="-90000"/>
    <n v="-27462.18255111729"/>
    <n v="0"/>
    <s v="COIN"/>
    <s v="SHORT"/>
    <s v="COIN SHORT"/>
    <n v="-27462.182551117301"/>
    <n v="0.30513536167908101"/>
    <n v="0"/>
    <n v="0"/>
    <x v="0"/>
    <s v="MANA COIN SHORT"/>
    <b v="1"/>
  </r>
  <r>
    <s v="BINANCE"/>
    <x v="45"/>
    <s v="MATIC"/>
    <n v="-100000"/>
    <n v="-78283.083684265905"/>
    <n v="0.78283083684265997"/>
    <n v="0"/>
    <x v="5"/>
    <d v="2022-12-29T00:00:00"/>
    <n v="1"/>
    <x v="30"/>
    <n v="1"/>
    <n v="-100000"/>
    <n v="-78283.08368426589"/>
    <n v="0"/>
    <s v="COIN"/>
    <s v="SHORT"/>
    <s v="COIN SHORT"/>
    <n v="-78283.083684265905"/>
    <n v="0.78283083684265997"/>
    <n v="0"/>
    <n v="0"/>
    <x v="0"/>
    <s v="MATIC COIN SHORT"/>
    <b v="1"/>
  </r>
  <r>
    <s v="BINANCE"/>
    <x v="45"/>
    <s v="MKR"/>
    <n v="-14"/>
    <n v="-7254.2891567915703"/>
    <n v="518.16351119939804"/>
    <n v="0"/>
    <x v="5"/>
    <d v="2022-12-29T00:00:00"/>
    <n v="1"/>
    <x v="31"/>
    <n v="1"/>
    <n v="-14"/>
    <n v="-7254.2891567915722"/>
    <n v="0"/>
    <s v="COIN"/>
    <s v="SHORT"/>
    <s v="COIN SHORT"/>
    <n v="-7254.2891567915703"/>
    <n v="518.16351119939804"/>
    <n v="0"/>
    <n v="0"/>
    <x v="0"/>
    <s v="MKR COIN SHORT"/>
    <b v="1"/>
  </r>
  <r>
    <s v="BINANCE"/>
    <x v="45"/>
    <s v="SHIB"/>
    <n v="-6000000000"/>
    <n v="-47524.668220970998"/>
    <n v="7.9207780368284999E-6"/>
    <n v="0"/>
    <x v="5"/>
    <d v="2022-12-29T00:00:00"/>
    <n v="1"/>
    <x v="11"/>
    <n v="1"/>
    <n v="-6000000000"/>
    <n v="-47524.668220970998"/>
    <n v="0"/>
    <s v="COIN"/>
    <s v="SHORT"/>
    <s v="COIN SHORT"/>
    <n v="-47524.668220970998"/>
    <n v="7.9207780368284999E-6"/>
    <n v="0"/>
    <n v="0"/>
    <x v="0"/>
    <s v="SHIB COIN SHORT"/>
    <b v="1"/>
  </r>
  <r>
    <s v="BINANCE"/>
    <x v="45"/>
    <s v="SOL"/>
    <n v="-8500"/>
    <n v="-82925.202304742998"/>
    <n v="9.7559061534991791"/>
    <n v="0"/>
    <x v="5"/>
    <d v="2022-12-29T00:00:00"/>
    <n v="1"/>
    <x v="33"/>
    <n v="1"/>
    <n v="-8500"/>
    <n v="-82925.202304743027"/>
    <n v="0"/>
    <s v="COIN"/>
    <s v="SHORT"/>
    <s v="COIN SHORT"/>
    <n v="-82925.202304742998"/>
    <n v="9.7559061534991791"/>
    <n v="0"/>
    <n v="0"/>
    <x v="0"/>
    <s v="SOL COIN SHORT"/>
    <b v="1"/>
  </r>
  <r>
    <s v="BINANCE"/>
    <x v="45"/>
    <s v="SUSHI"/>
    <n v="-43200"/>
    <n v="-41230.3776338467"/>
    <n v="0.95440688967237697"/>
    <n v="0"/>
    <x v="5"/>
    <d v="2022-12-29T00:00:00"/>
    <n v="1"/>
    <x v="34"/>
    <n v="1"/>
    <n v="-43200"/>
    <n v="-41230.377633846685"/>
    <n v="0"/>
    <s v="COIN"/>
    <s v="SHORT"/>
    <s v="COIN SHORT"/>
    <n v="-41230.3776338467"/>
    <n v="0.95440688967237697"/>
    <n v="0"/>
    <n v="0"/>
    <x v="0"/>
    <s v="SUSHI COIN SHORT"/>
    <b v="1"/>
  </r>
  <r>
    <s v="BINANCE"/>
    <x v="45"/>
    <s v="UNI"/>
    <n v="-12000"/>
    <n v="-59719.5767930039"/>
    <n v="4.9766313994169904"/>
    <n v="0"/>
    <x v="5"/>
    <d v="2022-12-29T00:00:00"/>
    <n v="1"/>
    <x v="35"/>
    <n v="1"/>
    <n v="-12000"/>
    <n v="-59719.576793003886"/>
    <n v="0"/>
    <s v="COIN"/>
    <s v="SHORT"/>
    <s v="COIN SHORT"/>
    <n v="-59719.5767930039"/>
    <n v="4.9766313994169904"/>
    <n v="0"/>
    <n v="0"/>
    <x v="0"/>
    <s v="UNI COIN SHORT"/>
    <b v="1"/>
  </r>
  <r>
    <s v="BINANCE"/>
    <x v="45"/>
    <s v="VET"/>
    <n v="-100"/>
    <n v="-1.56135533119854"/>
    <n v="1.56135533119854E-2"/>
    <n v="0"/>
    <x v="5"/>
    <d v="2022-12-29T00:00:00"/>
    <n v="1"/>
    <x v="118"/>
    <n v="1"/>
    <n v="-100"/>
    <n v="-1.56135533119854"/>
    <n v="0"/>
    <s v="COIN"/>
    <s v="SHORT"/>
    <s v="COIN SHORT"/>
    <n v="-1.56135533119854"/>
    <n v="1.56135533119854E-2"/>
    <n v="0"/>
    <n v="0"/>
    <x v="0"/>
    <s v="VET COIN SHORT"/>
    <b v="1"/>
  </r>
  <r>
    <s v="BINANCE"/>
    <x v="45"/>
    <s v="XLM"/>
    <n v="-1000000"/>
    <n v="-71779.334920820897"/>
    <n v="7.1779334920820906E-2"/>
    <n v="0"/>
    <x v="5"/>
    <d v="2022-12-29T00:00:00"/>
    <n v="1"/>
    <x v="37"/>
    <n v="1"/>
    <n v="-1000000"/>
    <n v="-71779.334920820911"/>
    <n v="0"/>
    <s v="COIN"/>
    <s v="SHORT"/>
    <s v="COIN SHORT"/>
    <n v="-71779.334920820897"/>
    <n v="7.1779334920820906E-2"/>
    <n v="0"/>
    <n v="0"/>
    <x v="0"/>
    <s v="XLM COIN SHORT"/>
    <b v="1"/>
  </r>
  <r>
    <s v="BINANCE"/>
    <x v="45"/>
    <s v="XTZ"/>
    <n v="-68160"/>
    <n v="-50256.415009507196"/>
    <n v="0.73733003241647999"/>
    <n v="0"/>
    <x v="5"/>
    <d v="2022-12-29T00:00:00"/>
    <n v="1"/>
    <x v="38"/>
    <n v="1"/>
    <n v="-68160"/>
    <n v="-50256.415009507276"/>
    <n v="0"/>
    <s v="COIN"/>
    <s v="SHORT"/>
    <s v="COIN SHORT"/>
    <n v="-50256.415009507196"/>
    <n v="0.73733003241647999"/>
    <n v="0"/>
    <n v="0"/>
    <x v="0"/>
    <s v="XTZ COIN SHORT"/>
    <b v="1"/>
  </r>
  <r>
    <s v="DEFI"/>
    <x v="46"/>
    <s v="USDT"/>
    <n v="-10014546.170564"/>
    <n v="-10011396.9077978"/>
    <n v="0.99968553115512604"/>
    <n v="0"/>
    <x v="5"/>
    <d v="2022-12-29T00:00:00"/>
    <n v="1"/>
    <x v="36"/>
    <n v="1"/>
    <n v="-10014546.170564"/>
    <n v="-10011396.907797806"/>
    <n v="0"/>
    <s v="COIN"/>
    <s v="SHORT"/>
    <s v="COIN SHORT"/>
    <n v="-10011396.9077978"/>
    <n v="0.99968553115512604"/>
    <n v="0"/>
    <n v="0"/>
    <x v="8"/>
    <s v="USDT COIN SHORT"/>
    <b v="0"/>
  </r>
  <r>
    <s v="HUOBI"/>
    <x v="47"/>
    <s v="EOS"/>
    <n v="-457203"/>
    <n v="-398249.49585593602"/>
    <n v="0.87105617385698697"/>
    <n v="0"/>
    <x v="5"/>
    <d v="2022-12-29T00:00:00"/>
    <n v="1"/>
    <x v="3"/>
    <n v="1"/>
    <n v="-457203"/>
    <n v="-398249.49585593602"/>
    <n v="0"/>
    <s v="COIN"/>
    <s v="SHORT"/>
    <s v="COIN SHORT"/>
    <n v="-398249.49585593602"/>
    <n v="0.87105617385698697"/>
    <n v="0"/>
    <n v="0"/>
    <x v="2"/>
    <s v="EOS COIN SHORT"/>
    <b v="1"/>
  </r>
  <r>
    <s v="HUOBI"/>
    <x v="47"/>
    <s v="LINK"/>
    <n v="-2073"/>
    <n v="-11768.2890739379"/>
    <n v="5.67693635983498"/>
    <n v="0"/>
    <x v="5"/>
    <d v="2022-12-29T00:00:00"/>
    <n v="1"/>
    <x v="9"/>
    <n v="1"/>
    <n v="-2073"/>
    <n v="-11768.289073937913"/>
    <n v="0"/>
    <s v="COIN"/>
    <s v="SHORT"/>
    <s v="COIN SHORT"/>
    <n v="-11768.2890739379"/>
    <n v="5.67693635983498"/>
    <n v="0"/>
    <n v="0"/>
    <x v="2"/>
    <s v="LINK COIN SHORT"/>
    <b v="1"/>
  </r>
  <r>
    <s v="HUOBI"/>
    <x v="47"/>
    <s v="LTC"/>
    <n v="-6100"/>
    <n v="-404668.29181529599"/>
    <n v="66.339064232015801"/>
    <n v="0"/>
    <x v="5"/>
    <d v="2022-12-29T00:00:00"/>
    <n v="1"/>
    <x v="5"/>
    <n v="1"/>
    <n v="-6100"/>
    <n v="-404668.2918152964"/>
    <n v="0"/>
    <s v="COIN"/>
    <s v="SHORT"/>
    <s v="COIN SHORT"/>
    <n v="-404668.29181529599"/>
    <n v="66.339064232015801"/>
    <n v="0"/>
    <n v="0"/>
    <x v="2"/>
    <s v="LTC COIN SHORT"/>
    <b v="1"/>
  </r>
  <r>
    <s v="HUOBI"/>
    <x v="47"/>
    <s v="USDT"/>
    <n v="-200000"/>
    <n v="-199937.10623102501"/>
    <n v="0.99968553115512604"/>
    <n v="0"/>
    <x v="5"/>
    <d v="2022-12-29T00:00:00"/>
    <n v="1"/>
    <x v="36"/>
    <n v="1"/>
    <n v="-200000"/>
    <n v="-199937.10623102522"/>
    <n v="0"/>
    <s v="COIN"/>
    <s v="SHORT"/>
    <s v="COIN SHORT"/>
    <n v="-199937.10623102501"/>
    <n v="0.99968553115512604"/>
    <n v="0"/>
    <n v="0"/>
    <x v="2"/>
    <s v="USDT COIN SHORT"/>
    <b v="1"/>
  </r>
  <r>
    <s v="BULL"/>
    <x v="48"/>
    <s v="BTC"/>
    <n v="-3350"/>
    <n v="-55451115.317323402"/>
    <n v="16552.571736514401"/>
    <n v="0"/>
    <x v="6"/>
    <d v="2022-12-28T00:00:00"/>
    <n v="1"/>
    <x v="0"/>
    <n v="1"/>
    <n v="-3350"/>
    <n v="-55451115.317323245"/>
    <n v="0"/>
    <s v="COIN"/>
    <s v="SHORT"/>
    <s v="COIN SHORT"/>
    <n v="-55451115.317323402"/>
    <n v="16552.571736514401"/>
    <n v="0"/>
    <n v="0"/>
    <x v="14"/>
    <s v="BTC COIN SHORT"/>
    <b v="0"/>
  </r>
  <r>
    <s v="BULL"/>
    <x v="48"/>
    <s v="EOS"/>
    <n v="-4350822.18"/>
    <n v="-3789810.5212429101"/>
    <n v="0.87105617385698697"/>
    <n v="0"/>
    <x v="6"/>
    <d v="2022-12-28T00:00:00"/>
    <n v="1"/>
    <x v="3"/>
    <n v="1"/>
    <n v="-4350822.18"/>
    <n v="-3789810.5212429147"/>
    <n v="0"/>
    <s v="COIN"/>
    <s v="SHORT"/>
    <s v="COIN SHORT"/>
    <n v="-3789810.5212429101"/>
    <n v="0.87105617385698697"/>
    <n v="0"/>
    <n v="0"/>
    <x v="14"/>
    <s v="EOS COIN SHORT"/>
    <b v="0"/>
  </r>
  <r>
    <s v="BULL"/>
    <x v="48"/>
    <s v="ETH"/>
    <n v="-6499.9949999999999"/>
    <n v="-7734903.4390992504"/>
    <n v="1189.9860598507"/>
    <n v="0"/>
    <x v="6"/>
    <d v="2022-12-28T00:00:00"/>
    <n v="1"/>
    <x v="1"/>
    <n v="1"/>
    <n v="-6499.9949999999999"/>
    <n v="-7734903.4390992504"/>
    <n v="0"/>
    <s v="COIN"/>
    <s v="SHORT"/>
    <s v="COIN SHORT"/>
    <n v="-7734903.4390992504"/>
    <n v="1189.9860598507"/>
    <n v="0"/>
    <n v="0"/>
    <x v="14"/>
    <s v="ETH COIN SHORT"/>
    <b v="0"/>
  </r>
  <r>
    <s v="GALAXY"/>
    <x v="35"/>
    <s v="BTC"/>
    <n v="-1340.01684679"/>
    <n v="-22180724.9846294"/>
    <n v="16552.571736514401"/>
    <n v="0"/>
    <x v="7"/>
    <d v="2022-12-28T00:00:00"/>
    <n v="1"/>
    <x v="0"/>
    <n v="1"/>
    <n v="-1340.01684679"/>
    <n v="-22180724.984629303"/>
    <n v="0"/>
    <s v="COIN"/>
    <s v="SHORT"/>
    <s v="COIN SHORT"/>
    <n v="-22180724.9846294"/>
    <n v="16552.571736514401"/>
    <n v="0"/>
    <n v="0"/>
    <x v="14"/>
    <s v="BTC COIN SHORT"/>
    <b v="0"/>
  </r>
  <r>
    <s v="GALAXY"/>
    <x v="35"/>
    <s v="ETH"/>
    <n v="-25855"/>
    <n v="-30767089.5774398"/>
    <n v="1189.9860598507"/>
    <n v="0"/>
    <x v="7"/>
    <d v="2022-12-28T00:00:00"/>
    <n v="1"/>
    <x v="1"/>
    <n v="1"/>
    <n v="-25855"/>
    <n v="-30767089.577439848"/>
    <n v="0"/>
    <s v="COIN"/>
    <s v="SHORT"/>
    <s v="COIN SHORT"/>
    <n v="-30767089.5774398"/>
    <n v="1189.9860598507"/>
    <n v="0"/>
    <n v="0"/>
    <x v="14"/>
    <s v="ETH COIN SHORT"/>
    <b v="0"/>
  </r>
  <r>
    <s v="GALAXY"/>
    <x v="35"/>
    <s v="EUR"/>
    <n v="-20000000"/>
    <n v="-21224599.999999899"/>
    <n v="1.0612299999999999"/>
    <n v="0"/>
    <x v="7"/>
    <d v="2022-12-28T00:00:00"/>
    <n v="1"/>
    <x v="24"/>
    <n v="1"/>
    <n v="-20000000"/>
    <n v="-21224599.999999996"/>
    <n v="0"/>
    <s v="CASH"/>
    <s v="SHORT"/>
    <s v="CASH SHORT"/>
    <n v="-21224599.999999899"/>
    <n v="1.0612299999999999"/>
    <n v="0"/>
    <n v="0"/>
    <x v="14"/>
    <s v="EUR CASH SHORT"/>
    <b v="0"/>
  </r>
  <r>
    <s v="GALAXY"/>
    <x v="35"/>
    <s v="EUROC"/>
    <n v="-15000000"/>
    <n v="-15938134.512178"/>
    <n v="1.06254230081186"/>
    <n v="0"/>
    <x v="7"/>
    <d v="2022-12-28T00:00:00"/>
    <n v="1"/>
    <x v="93"/>
    <n v="1"/>
    <n v="-15000000"/>
    <n v="-15938134.512177899"/>
    <n v="0"/>
    <s v="COIN"/>
    <s v="SHORT"/>
    <s v="COIN SHORT"/>
    <n v="-15938134.512178"/>
    <n v="1.06254230081186"/>
    <n v="0"/>
    <n v="0"/>
    <x v="14"/>
    <s v="EUROC COIN SHORT"/>
    <b v="0"/>
  </r>
  <r>
    <s v="GALAXY"/>
    <x v="35"/>
    <s v="USD"/>
    <n v="-42800000"/>
    <n v="-42800000"/>
    <n v="1"/>
    <n v="0"/>
    <x v="7"/>
    <d v="2022-12-28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s v="GALAXY"/>
    <x v="35"/>
    <s v="USDC"/>
    <n v="-68500000"/>
    <n v="-68512685.659354001"/>
    <n v="1.0001851921073499"/>
    <n v="0"/>
    <x v="7"/>
    <d v="2022-12-28T00:00:00"/>
    <n v="1"/>
    <x v="46"/>
    <n v="1"/>
    <n v="-68500000"/>
    <n v="-68512685.659353465"/>
    <n v="0"/>
    <s v="COIN"/>
    <s v="SHORT"/>
    <s v="COIN SHORT"/>
    <n v="-68512685.659354001"/>
    <n v="1.0001851921073499"/>
    <n v="0"/>
    <n v="0"/>
    <x v="14"/>
    <s v="USDC COIN SHORT"/>
    <b v="0"/>
  </r>
  <r>
    <s v="GALAXY"/>
    <x v="35"/>
    <s v="ZIL"/>
    <n v="-20000000"/>
    <n v="-326549.42869951797"/>
    <n v="1.6327471434975899E-2"/>
    <n v="0"/>
    <x v="7"/>
    <d v="2022-12-28T00:00:00"/>
    <n v="1"/>
    <x v="7"/>
    <n v="1"/>
    <n v="-20000000"/>
    <n v="-326549.42869951797"/>
    <n v="0"/>
    <s v="COIN"/>
    <s v="SHORT"/>
    <s v="COIN SHORT"/>
    <n v="-326549.42869951797"/>
    <n v="1.6327471434975899E-2"/>
    <n v="0"/>
    <n v="0"/>
    <x v="14"/>
    <s v="ZIL COIN SHORT"/>
    <b v="0"/>
  </r>
  <r>
    <s v="HUOBI"/>
    <x v="49"/>
    <s v="BCH"/>
    <n v="-5000"/>
    <n v="-495883.84043798898"/>
    <n v="99.176768087597907"/>
    <n v="0"/>
    <x v="6"/>
    <d v="2022-12-28T00:00:00"/>
    <n v="1"/>
    <x v="4"/>
    <n v="1"/>
    <n v="-5000"/>
    <n v="-495883.84043798951"/>
    <n v="0"/>
    <s v="COIN"/>
    <s v="SHORT"/>
    <s v="COIN SHORT"/>
    <n v="-495883.84043798898"/>
    <n v="99.176768087597907"/>
    <n v="0"/>
    <n v="0"/>
    <x v="14"/>
    <s v="BCH COIN SHORT"/>
    <b v="0"/>
  </r>
  <r>
    <s v="HUOBI"/>
    <x v="49"/>
    <s v="DOT"/>
    <n v="-40000"/>
    <n v="-171298.349185867"/>
    <n v="4.2824587296466801"/>
    <n v="0"/>
    <x v="6"/>
    <d v="2022-12-28T00:00:00"/>
    <n v="1"/>
    <x v="22"/>
    <n v="1"/>
    <n v="-40000"/>
    <n v="-171298.34918586721"/>
    <n v="0"/>
    <s v="COIN"/>
    <s v="SHORT"/>
    <s v="COIN SHORT"/>
    <n v="-171298.349185867"/>
    <n v="4.2824587296466801"/>
    <n v="0"/>
    <n v="0"/>
    <x v="14"/>
    <s v="DOT COIN SHORT"/>
    <b v="0"/>
  </r>
  <r>
    <s v="HUOBI"/>
    <x v="49"/>
    <s v="EOS"/>
    <n v="-160000"/>
    <n v="-139368.98781711701"/>
    <n v="0.87105617385698697"/>
    <n v="0"/>
    <x v="6"/>
    <d v="2022-12-28T00:00:00"/>
    <n v="1"/>
    <x v="3"/>
    <n v="1"/>
    <n v="-160000"/>
    <n v="-139368.98781711792"/>
    <n v="0"/>
    <s v="COIN"/>
    <s v="SHORT"/>
    <s v="COIN SHORT"/>
    <n v="-139368.98781711701"/>
    <n v="0.87105617385698697"/>
    <n v="0"/>
    <n v="0"/>
    <x v="14"/>
    <s v="EOS COIN SHORT"/>
    <b v="0"/>
  </r>
  <r>
    <s v="HUOBI"/>
    <x v="49"/>
    <s v="ETC"/>
    <n v="-108000"/>
    <n v="-1632424.6416587799"/>
    <n v="15.115042978322"/>
    <n v="0"/>
    <x v="6"/>
    <d v="2022-12-28T00:00:00"/>
    <n v="1"/>
    <x v="40"/>
    <n v="1"/>
    <n v="-108000"/>
    <n v="-1632424.641658776"/>
    <n v="0"/>
    <s v="COIN"/>
    <s v="SHORT"/>
    <s v="COIN SHORT"/>
    <n v="-1632424.6416587799"/>
    <n v="15.115042978322"/>
    <n v="0"/>
    <n v="0"/>
    <x v="14"/>
    <s v="ETC COIN SHORT"/>
    <b v="0"/>
  </r>
  <r>
    <s v="HUOBI"/>
    <x v="49"/>
    <s v="ETH"/>
    <n v="-4600"/>
    <n v="-5473935.8753132196"/>
    <n v="1189.9860598507"/>
    <n v="0"/>
    <x v="6"/>
    <d v="2022-12-28T00:00:00"/>
    <n v="1"/>
    <x v="1"/>
    <n v="1"/>
    <n v="-4600"/>
    <n v="-5473935.8753132205"/>
    <n v="0"/>
    <s v="COIN"/>
    <s v="SHORT"/>
    <s v="COIN SHORT"/>
    <n v="-5473935.8753132196"/>
    <n v="1189.9860598507"/>
    <n v="0"/>
    <n v="0"/>
    <x v="14"/>
    <s v="ETH COIN SHORT"/>
    <b v="0"/>
  </r>
  <r>
    <s v="HUOBI"/>
    <x v="49"/>
    <s v="LINK"/>
    <n v="-17000"/>
    <n v="-96507.918117194698"/>
    <n v="5.67693635983498"/>
    <n v="0"/>
    <x v="6"/>
    <d v="2022-12-28T00:00:00"/>
    <n v="1"/>
    <x v="9"/>
    <n v="1"/>
    <n v="-17000"/>
    <n v="-96507.918117194655"/>
    <n v="0"/>
    <s v="COIN"/>
    <s v="SHORT"/>
    <s v="COIN SHORT"/>
    <n v="-96507.918117194698"/>
    <n v="5.67693635983498"/>
    <n v="0"/>
    <n v="0"/>
    <x v="14"/>
    <s v="LINK COIN SHORT"/>
    <b v="0"/>
  </r>
  <r>
    <s v="HUOBI"/>
    <x v="49"/>
    <s v="LTC"/>
    <n v="-11800"/>
    <n v="-782800.95793778601"/>
    <n v="66.339064232015801"/>
    <n v="0"/>
    <x v="6"/>
    <d v="2022-12-28T00:00:00"/>
    <n v="1"/>
    <x v="5"/>
    <n v="1"/>
    <n v="-11800"/>
    <n v="-782800.95793778647"/>
    <n v="0"/>
    <s v="COIN"/>
    <s v="SHORT"/>
    <s v="COIN SHORT"/>
    <n v="-782800.95793778601"/>
    <n v="66.339064232015801"/>
    <n v="0"/>
    <n v="0"/>
    <x v="14"/>
    <s v="LTC COIN SHORT"/>
    <b v="0"/>
  </r>
  <r>
    <s v="ORCHID"/>
    <x v="50"/>
    <s v="OXT"/>
    <n v="-2600208"/>
    <n v="-181191.41600185999"/>
    <n v="6.9683431480043495E-2"/>
    <n v="0"/>
    <x v="8"/>
    <d v="2022-12-28T00:00:00"/>
    <n v="1"/>
    <x v="32"/>
    <n v="1"/>
    <n v="-2600208"/>
    <n v="-181191.41600186093"/>
    <n v="0"/>
    <s v="COIN"/>
    <s v="SHORT"/>
    <s v="COIN SHORT"/>
    <n v="-181191.41600185999"/>
    <n v="6.9683431480043495E-2"/>
    <n v="0"/>
    <n v="0"/>
    <x v="14"/>
    <s v="OXT COIN SHORT"/>
    <b v="0"/>
  </r>
  <r>
    <s v="ORCHID"/>
    <x v="50"/>
    <s v="USDC"/>
    <n v="-1000000"/>
    <n v="-1000185.19210735"/>
    <n v="1.0001851921073499"/>
    <n v="0"/>
    <x v="8"/>
    <d v="2022-12-28T00:00:00"/>
    <n v="1"/>
    <x v="46"/>
    <n v="1"/>
    <n v="-1000000"/>
    <n v="-1000185.1921073499"/>
    <n v="0"/>
    <s v="COIN"/>
    <s v="SHORT"/>
    <s v="COIN SHORT"/>
    <n v="-1000185.19210735"/>
    <n v="1.0001851921073499"/>
    <n v="0"/>
    <n v="0"/>
    <x v="14"/>
    <s v="USDC COIN SHORT"/>
    <b v="0"/>
  </r>
  <r>
    <s v="RIPPLE"/>
    <x v="51"/>
    <s v="XRP"/>
    <n v="-201.17"/>
    <n v="-71.723275674741799"/>
    <n v="0.35653067393121102"/>
    <n v="0"/>
    <x v="8"/>
    <d v="2022-12-28T00:00:00"/>
    <n v="1"/>
    <x v="45"/>
    <n v="1"/>
    <n v="-201.17"/>
    <n v="-71.723275674741714"/>
    <n v="0"/>
    <s v="COIN"/>
    <s v="SHORT"/>
    <s v="COIN SHORT"/>
    <n v="-71.723275674741799"/>
    <n v="0.35653067393121102"/>
    <n v="0"/>
    <n v="0"/>
    <x v="14"/>
    <s v="XRP COIN SHORT"/>
    <b v="0"/>
  </r>
  <r>
    <s v="OKEX"/>
    <x v="52"/>
    <s v="USDT"/>
    <n v="-24465.70232334"/>
    <n v="-24458.008622191301"/>
    <n v="0.99968553115512604"/>
    <n v="0"/>
    <x v="5"/>
    <d v="2022-12-29T00:00:00"/>
    <n v="1"/>
    <x v="36"/>
    <n v="1"/>
    <n v="-24465.70232334"/>
    <n v="-24458.008622191348"/>
    <n v="0"/>
    <s v="COIN"/>
    <s v="SHORT"/>
    <s v="COIN SHORT"/>
    <n v="-24458.008622191301"/>
    <n v="0.99968553115512604"/>
    <n v="0"/>
    <n v="0"/>
    <x v="3"/>
    <s v="USDT COIN SHORT"/>
    <b v="1"/>
  </r>
  <r>
    <s v="OKEX"/>
    <x v="53"/>
    <s v="ETC"/>
    <n v="-0.40758062"/>
    <n v="-6.16059858843116"/>
    <n v="15.115042978322"/>
    <n v="0"/>
    <x v="5"/>
    <d v="2022-12-29T00:00:00"/>
    <n v="1"/>
    <x v="40"/>
    <n v="1"/>
    <n v="-0.40758062"/>
    <n v="-6.1605985884311272"/>
    <n v="0"/>
    <s v="COIN"/>
    <s v="SHORT"/>
    <s v="COIN SHORT"/>
    <n v="-6.16059858843116"/>
    <n v="15.115042978322"/>
    <n v="0"/>
    <n v="0"/>
    <x v="3"/>
    <s v="ETC COIN SHORT"/>
    <b v="1"/>
  </r>
  <r>
    <s v="OKEX"/>
    <x v="53"/>
    <s v="FIL"/>
    <n v="-3.6946050000000001E-2"/>
    <n v="-0.110610420479588"/>
    <n v="2.9938361605527"/>
    <n v="0"/>
    <x v="5"/>
    <d v="2022-12-29T00:00:00"/>
    <n v="1"/>
    <x v="25"/>
    <n v="1"/>
    <n v="-3.6946050000000001E-2"/>
    <n v="-0.11061042047958808"/>
    <n v="0"/>
    <s v="COIN"/>
    <s v="SHORT"/>
    <s v="COIN SHORT"/>
    <n v="-0.110610420479588"/>
    <n v="2.9938361605527"/>
    <n v="0"/>
    <n v="0"/>
    <x v="3"/>
    <s v="FIL COIN SHORT"/>
    <b v="1"/>
  </r>
  <r>
    <s v="OKEX"/>
    <x v="53"/>
    <s v="LTC"/>
    <n v="-106.22118411"/>
    <n v="-7046.6139554740703"/>
    <n v="66.339064232015801"/>
    <n v="0"/>
    <x v="5"/>
    <d v="2022-12-29T00:00:00"/>
    <n v="1"/>
    <x v="5"/>
    <n v="1"/>
    <n v="-106.22118411"/>
    <n v="-7046.6139554740657"/>
    <n v="0"/>
    <s v="COIN"/>
    <s v="SHORT"/>
    <s v="COIN SHORT"/>
    <n v="-7046.6139554740703"/>
    <n v="66.339064232015801"/>
    <n v="0"/>
    <n v="0"/>
    <x v="3"/>
    <s v="LTC COIN SHORT"/>
    <b v="1"/>
  </r>
  <r>
    <s v="OKEX"/>
    <x v="53"/>
    <s v="SHIB"/>
    <n v="-10042874457.263399"/>
    <n v="-79547.379427718406"/>
    <n v="7.9207780368284999E-6"/>
    <n v="0"/>
    <x v="5"/>
    <d v="2022-12-29T00:00:00"/>
    <n v="1"/>
    <x v="11"/>
    <n v="1"/>
    <n v="-10042874457.263399"/>
    <n v="-79547.379427717868"/>
    <n v="0"/>
    <s v="COIN"/>
    <s v="SHORT"/>
    <s v="COIN SHORT"/>
    <n v="-79547.379427718406"/>
    <n v="7.9207780368284999E-6"/>
    <n v="0"/>
    <n v="0"/>
    <x v="3"/>
    <s v="SHIB COIN SHORT"/>
    <b v="1"/>
  </r>
  <r>
    <s v="WOOX"/>
    <x v="54"/>
    <s v="ETH"/>
    <n v="-1087.21868507"/>
    <n v="-1293775.0792425"/>
    <n v="1189.9860598507"/>
    <n v="0"/>
    <x v="5"/>
    <d v="2022-12-29T00:00:00"/>
    <n v="1"/>
    <x v="1"/>
    <n v="1"/>
    <n v="-1087.21868507"/>
    <n v="-1293775.0792425084"/>
    <n v="0"/>
    <s v="COIN"/>
    <s v="SHORT"/>
    <s v="COIN SHORT"/>
    <n v="-1293775.0792425"/>
    <n v="1189.9860598507"/>
    <n v="0"/>
    <n v="0"/>
    <x v="19"/>
    <s v="ETH COIN SHORT"/>
    <b v="1"/>
  </r>
  <r>
    <s v="WEDBUSH"/>
    <x v="55"/>
    <s v="USD"/>
    <n v="79941.919999999998"/>
    <n v="79941.919999999998"/>
    <n v="1"/>
    <n v="0"/>
    <x v="9"/>
    <d v="2022-12-29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s v="CASH"/>
    <x v="56"/>
    <s v="USD"/>
    <n v="78340.989999999903"/>
    <n v="78340.989999999903"/>
    <n v="1"/>
    <n v="0"/>
    <x v="3"/>
    <d v="2022-12-29T00:00:00"/>
    <n v="1"/>
    <x v="42"/>
    <n v="1"/>
    <n v="78340.989999999903"/>
    <n v="78340.989999999903"/>
    <n v="0"/>
    <s v="CASH"/>
    <s v="LONG"/>
    <s v="CASH LONG"/>
    <n v="78340.989999999903"/>
    <n v="1"/>
    <n v="0"/>
    <n v="0"/>
    <x v="22"/>
    <s v="USD CASH LONG"/>
    <b v="0"/>
  </r>
  <r>
    <s v="ED&amp;F"/>
    <x v="57"/>
    <s v="USD"/>
    <n v="42285095.399999999"/>
    <n v="42285095.399999999"/>
    <n v="1"/>
    <n v="0"/>
    <x v="9"/>
    <d v="2022-12-29T00:00:00"/>
    <n v="1"/>
    <x v="42"/>
    <n v="1"/>
    <n v="42285095.399999999"/>
    <n v="42285095.399999999"/>
    <n v="0"/>
    <s v="CASH"/>
    <s v="LONG"/>
    <s v="CASH LONG"/>
    <n v="42285095.399999999"/>
    <n v="1"/>
    <n v="0"/>
    <n v="0"/>
    <x v="4"/>
    <s v="USD CASH LONG"/>
    <b v="1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m/>
    <m/>
    <m/>
    <m/>
    <m/>
    <m/>
    <m/>
    <m/>
    <m/>
    <m/>
    <m/>
    <x v="24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2">
  <r>
    <x v="0"/>
    <x v="0"/>
    <n v="543.29819659999998"/>
    <n v="569.39489897999999"/>
  </r>
  <r>
    <x v="0"/>
    <x v="1"/>
    <n v="337905.88807300001"/>
    <n v="280017.95289999997"/>
  </r>
  <r>
    <x v="0"/>
    <x v="2"/>
    <n v="200588.09347699999"/>
    <n v="213161.09347699999"/>
  </r>
  <r>
    <x v="0"/>
    <x v="3"/>
    <n v="4.2548999999999998E-3"/>
    <n v="4.2548999999999998E-3"/>
  </r>
  <r>
    <x v="0"/>
    <x v="4"/>
    <n v="2565.74055245"/>
    <n v="3185.8287539100002"/>
  </r>
  <r>
    <x v="0"/>
    <x v="5"/>
    <n v="87121.825610889995"/>
    <n v="85637.628395320004"/>
  </r>
  <r>
    <x v="0"/>
    <x v="6"/>
    <n v="450.11474736999998"/>
    <n v="309.00640147000001"/>
  </r>
  <r>
    <x v="0"/>
    <x v="7"/>
    <n v="38.506896650000002"/>
    <n v="54.084624060000003"/>
  </r>
  <r>
    <x v="0"/>
    <x v="8"/>
    <n v="4.9148947700000001"/>
    <n v="4.9535555100000002"/>
  </r>
  <r>
    <x v="0"/>
    <x v="9"/>
    <n v="439.65923723999998"/>
    <n v="43.162432940000002"/>
  </r>
  <r>
    <x v="0"/>
    <x v="10"/>
    <n v="2017.12817666"/>
    <n v="20.494176660000001"/>
  </r>
  <r>
    <x v="0"/>
    <x v="11"/>
    <n v="1.5637979999999999E-2"/>
    <n v="1.5637979999999999E-2"/>
  </r>
  <r>
    <x v="0"/>
    <x v="12"/>
    <n v="897.22841947999996"/>
    <n v="897.82841947999998"/>
  </r>
  <r>
    <x v="0"/>
    <x v="13"/>
    <n v="470902.98661089002"/>
    <n v="489090.98661089002"/>
  </r>
  <r>
    <x v="0"/>
    <x v="14"/>
    <n v="4292.1989116799996"/>
    <n v="5190.6550639799998"/>
  </r>
  <r>
    <x v="0"/>
    <x v="15"/>
    <n v="42616.186590099998"/>
    <n v="43947.386590100003"/>
  </r>
  <r>
    <x v="0"/>
    <x v="16"/>
    <n v="91884.112699999998"/>
    <n v="86007.112699999998"/>
  </r>
  <r>
    <x v="0"/>
    <x v="17"/>
    <n v="29.909700000000001"/>
    <n v="30.1889"/>
  </r>
  <r>
    <x v="0"/>
    <x v="18"/>
    <n v="799428.86637064"/>
    <n v="798437.89632148005"/>
  </r>
  <r>
    <x v="0"/>
    <x v="19"/>
    <n v="0.19800000000000001"/>
    <n v="0.19800000000000001"/>
  </r>
  <r>
    <x v="0"/>
    <x v="20"/>
    <n v="212974.3196095"/>
    <n v="267132.3196095"/>
  </r>
  <r>
    <x v="0"/>
    <x v="21"/>
    <n v="175995.44699999999"/>
    <n v="179055.44699999999"/>
  </r>
  <r>
    <x v="0"/>
    <x v="22"/>
    <n v="253604.74733057999"/>
    <n v="469829.60076897999"/>
  </r>
  <r>
    <x v="0"/>
    <x v="23"/>
    <n v="6507.4950094100004"/>
    <n v="7116.7465788500003"/>
  </r>
  <r>
    <x v="0"/>
    <x v="24"/>
    <n v="771.86940326000001"/>
    <n v="796.77993051999999"/>
  </r>
  <r>
    <x v="0"/>
    <x v="25"/>
    <n v="53371.847193989997"/>
    <n v="49224.847193989997"/>
  </r>
  <r>
    <x v="0"/>
    <x v="26"/>
    <n v="53592.316829759999"/>
    <n v="40338.750154300003"/>
  </r>
  <r>
    <x v="0"/>
    <x v="27"/>
    <n v="24.870292330000002"/>
    <n v="13.065792330000001"/>
  </r>
  <r>
    <x v="0"/>
    <x v="28"/>
    <n v="24234.849819300001"/>
    <n v="24234.849819300001"/>
  </r>
  <r>
    <x v="0"/>
    <x v="29"/>
    <n v="328306.75941951998"/>
    <n v="351590.75941951998"/>
  </r>
  <r>
    <x v="0"/>
    <x v="30"/>
    <n v="23570492385.880001"/>
    <n v="3056192132.3200002"/>
  </r>
  <r>
    <x v="0"/>
    <x v="31"/>
    <n v="4221.8556729800002"/>
    <n v="5404.7941773599996"/>
  </r>
  <r>
    <x v="0"/>
    <x v="32"/>
    <n v="21516.602943549999"/>
    <n v="21111.802943549999"/>
  </r>
  <r>
    <x v="0"/>
    <x v="33"/>
    <n v="6974.3047593900001"/>
    <n v="4112.1953681599998"/>
  </r>
  <r>
    <x v="0"/>
    <x v="34"/>
    <n v="525389.94386318"/>
    <n v="642468.40653588006"/>
  </r>
  <r>
    <x v="0"/>
    <x v="35"/>
    <n v="871995.90472430002"/>
    <n v="890249.90472430002"/>
  </r>
  <r>
    <x v="0"/>
    <x v="36"/>
    <n v="30000"/>
    <n v="0"/>
  </r>
  <r>
    <x v="0"/>
    <x v="37"/>
    <n v="62167.228199999998"/>
    <n v="63132.228199999998"/>
  </r>
  <r>
    <x v="0"/>
    <x v="38"/>
    <n v="9.6790000000000001E-2"/>
    <n v="5.2389999999999999E-2"/>
  </r>
  <r>
    <x v="0"/>
    <x v="39"/>
    <n v="18966318.7722039"/>
    <n v="0"/>
  </r>
  <r>
    <x v="0"/>
    <x v="8"/>
    <n v="847.17833593"/>
    <n v="841.15803102999996"/>
  </r>
  <r>
    <x v="0"/>
    <x v="8"/>
    <n v="-21.028058430000002"/>
    <n v="-1.7488934599999999"/>
  </r>
  <r>
    <x v="0"/>
    <x v="17"/>
    <n v="6739.5766864999996"/>
    <n v="6800.5102123400002"/>
  </r>
  <r>
    <x v="0"/>
    <x v="17"/>
    <n v="-173.15332330999999"/>
    <n v="-54.626723419999998"/>
  </r>
  <r>
    <x v="0"/>
    <x v="7"/>
    <n v="2496.5710887499999"/>
    <n v="2497.01353135"/>
  </r>
  <r>
    <x v="0"/>
    <x v="8"/>
    <n v="573.23307783999996"/>
    <n v="363.68321973000002"/>
  </r>
  <r>
    <x v="0"/>
    <x v="9"/>
    <n v="3337991.1789334002"/>
    <n v="4170215.7304978999"/>
  </r>
  <r>
    <x v="0"/>
    <x v="40"/>
    <n v="0.15721859999999999"/>
    <n v="0.15721859999999999"/>
  </r>
  <r>
    <x v="0"/>
    <x v="17"/>
    <n v="5404.0676000000003"/>
    <n v="3838.0041999999999"/>
  </r>
  <r>
    <x v="0"/>
    <x v="34"/>
    <n v="6456579.5515498901"/>
    <n v="1301302.1674885901"/>
  </r>
  <r>
    <x v="0"/>
    <x v="7"/>
    <n v="48.012606519999999"/>
    <n v="48.943490779999998"/>
  </r>
  <r>
    <x v="0"/>
    <x v="9"/>
    <n v="16000004.791549399"/>
    <n v="11000004.7915495"/>
  </r>
  <r>
    <x v="0"/>
    <x v="34"/>
    <n v="11839307.330656599"/>
    <n v="15113095.362710601"/>
  </r>
  <r>
    <x v="0"/>
    <x v="34"/>
    <n v="145161.75150796"/>
    <n v="-88200.868559130002"/>
  </r>
  <r>
    <x v="0"/>
    <x v="34"/>
    <n v="775650.90647670999"/>
    <n v="724194.02466823999"/>
  </r>
  <r>
    <x v="0"/>
    <x v="34"/>
    <n v="16560.971558329999"/>
    <n v="1622.75552636"/>
  </r>
  <r>
    <x v="1"/>
    <x v="8"/>
    <n v="7.9996000000000008E-3"/>
    <n v="7.9996000000000008E-3"/>
  </r>
  <r>
    <x v="1"/>
    <x v="17"/>
    <n v="0.02"/>
    <n v="0.02"/>
  </r>
  <r>
    <x v="1"/>
    <x v="41"/>
    <n v="0.02"/>
    <n v="0.02"/>
  </r>
  <r>
    <x v="1"/>
    <x v="42"/>
    <n v="2.755467E-2"/>
    <n v="2.755467E-2"/>
  </r>
  <r>
    <x v="1"/>
    <x v="43"/>
    <n v="29.9885932"/>
    <n v="29.9885932"/>
  </r>
  <r>
    <x v="2"/>
    <x v="6"/>
    <n v="0.21932823000000001"/>
    <n v="0.21932823000000001"/>
  </r>
  <r>
    <x v="2"/>
    <x v="8"/>
    <n v="5.7861299999999997E-2"/>
    <n v="5.7861299999999997E-2"/>
  </r>
  <r>
    <x v="2"/>
    <x v="17"/>
    <n v="0.73541904000000002"/>
    <n v="0.73541904000000002"/>
  </r>
  <r>
    <x v="2"/>
    <x v="44"/>
    <n v="22277.5319929"/>
    <n v="0"/>
  </r>
  <r>
    <x v="2"/>
    <x v="45"/>
    <n v="22277.5319929"/>
    <n v="22277.5319929"/>
  </r>
  <r>
    <x v="2"/>
    <x v="42"/>
    <n v="125335.8"/>
    <n v="114736.84"/>
  </r>
  <r>
    <x v="2"/>
    <x v="36"/>
    <n v="86647.684072849996"/>
    <n v="116647.68407285"/>
  </r>
  <r>
    <x v="3"/>
    <x v="8"/>
    <n v="2400.9931267500001"/>
    <n v="2285.1642657399998"/>
  </r>
  <r>
    <x v="3"/>
    <x v="42"/>
    <n v="36686659.0713"/>
    <n v="39005443.413400002"/>
  </r>
  <r>
    <x v="3"/>
    <x v="16"/>
    <n v="4981829.1135999998"/>
    <n v="4406894.3526999997"/>
  </r>
  <r>
    <x v="3"/>
    <x v="23"/>
    <n v="107664.01251761"/>
    <n v="91798.628017700001"/>
  </r>
  <r>
    <x v="3"/>
    <x v="24"/>
    <n v="7863.4278007399998"/>
    <n v="7180.2717205600002"/>
  </r>
  <r>
    <x v="3"/>
    <x v="42"/>
    <n v="2647453.6940000001"/>
    <n v="3349179.6044999999"/>
  </r>
  <r>
    <x v="3"/>
    <x v="17"/>
    <n v="12042.342529289999"/>
    <n v="12359.810347909999"/>
  </r>
  <r>
    <x v="3"/>
    <x v="42"/>
    <n v="13242216.680199999"/>
    <n v="12986257.764900001"/>
  </r>
  <r>
    <x v="3"/>
    <x v="8"/>
    <n v="75.351463379999998"/>
    <n v="67.716423539999994"/>
  </r>
  <r>
    <x v="3"/>
    <x v="17"/>
    <n v="974.11335217999999"/>
    <n v="1074.0730271100001"/>
  </r>
  <r>
    <x v="3"/>
    <x v="46"/>
    <n v="0.5"/>
    <n v="0.5"/>
  </r>
  <r>
    <x v="4"/>
    <x v="11"/>
    <n v="0.26739257999999999"/>
    <n v="0"/>
  </r>
  <r>
    <x v="4"/>
    <x v="11"/>
    <n v="9.7777784299999997"/>
    <n v="0"/>
  </r>
  <r>
    <x v="4"/>
    <x v="47"/>
    <n v="2.8040470000000001E-2"/>
    <n v="0"/>
  </r>
  <r>
    <x v="4"/>
    <x v="17"/>
    <n v="3.67060545"/>
    <n v="0"/>
  </r>
  <r>
    <x v="4"/>
    <x v="46"/>
    <n v="13972.219738"/>
    <n v="0"/>
  </r>
  <r>
    <x v="4"/>
    <x v="48"/>
    <n v="180000"/>
    <n v="0"/>
  </r>
  <r>
    <x v="4"/>
    <x v="49"/>
    <n v="7000"/>
    <n v="0"/>
  </r>
  <r>
    <x v="4"/>
    <x v="50"/>
    <n v="7000"/>
    <n v="0"/>
  </r>
  <r>
    <x v="4"/>
    <x v="51"/>
    <n v="7000"/>
    <n v="0"/>
  </r>
  <r>
    <x v="4"/>
    <x v="52"/>
    <n v="8"/>
    <n v="0"/>
  </r>
  <r>
    <x v="4"/>
    <x v="0"/>
    <n v="129.80482918999999"/>
    <n v="0"/>
  </r>
  <r>
    <x v="4"/>
    <x v="4"/>
    <n v="9.0054565100000001"/>
    <n v="0"/>
  </r>
  <r>
    <x v="4"/>
    <x v="53"/>
    <n v="25"/>
    <n v="0"/>
  </r>
  <r>
    <x v="4"/>
    <x v="17"/>
    <n v="16.8835707"/>
    <n v="0"/>
  </r>
  <r>
    <x v="4"/>
    <x v="54"/>
    <n v="480000"/>
    <n v="0"/>
  </r>
  <r>
    <x v="4"/>
    <x v="55"/>
    <n v="34311.93215886"/>
    <n v="0"/>
  </r>
  <r>
    <x v="4"/>
    <x v="56"/>
    <n v="32302.942249520001"/>
    <n v="0"/>
  </r>
  <r>
    <x v="4"/>
    <x v="57"/>
    <n v="32626.54331546"/>
    <n v="0"/>
  </r>
  <r>
    <x v="4"/>
    <x v="58"/>
    <n v="33793.379334129997"/>
    <n v="0"/>
  </r>
  <r>
    <x v="4"/>
    <x v="59"/>
    <n v="33991.374100820001"/>
    <n v="0"/>
  </r>
  <r>
    <x v="4"/>
    <x v="60"/>
    <n v="19597.425537219999"/>
    <n v="0"/>
  </r>
  <r>
    <x v="4"/>
    <x v="61"/>
    <n v="29214.150499390002"/>
    <n v="0"/>
  </r>
  <r>
    <x v="4"/>
    <x v="62"/>
    <n v="20213.414599259999"/>
    <n v="0"/>
  </r>
  <r>
    <x v="4"/>
    <x v="63"/>
    <n v="31925.004081070001"/>
    <n v="0"/>
  </r>
  <r>
    <x v="4"/>
    <x v="64"/>
    <n v="17599.94336709"/>
    <n v="0"/>
  </r>
  <r>
    <x v="4"/>
    <x v="65"/>
    <n v="3032"/>
    <n v="0"/>
  </r>
  <r>
    <x v="4"/>
    <x v="66"/>
    <n v="2698"/>
    <n v="0"/>
  </r>
  <r>
    <x v="4"/>
    <x v="67"/>
    <n v="2891"/>
    <n v="0"/>
  </r>
  <r>
    <x v="4"/>
    <x v="68"/>
    <n v="2904"/>
    <n v="0"/>
  </r>
  <r>
    <x v="4"/>
    <x v="69"/>
    <n v="3047"/>
    <n v="0"/>
  </r>
  <r>
    <x v="4"/>
    <x v="70"/>
    <n v="9472.1338239899997"/>
    <n v="0"/>
  </r>
  <r>
    <x v="4"/>
    <x v="71"/>
    <n v="5625.02729593"/>
    <n v="0"/>
  </r>
  <r>
    <x v="4"/>
    <x v="72"/>
    <n v="5968"/>
    <n v="0"/>
  </r>
  <r>
    <x v="4"/>
    <x v="73"/>
    <n v="4006"/>
    <n v="0"/>
  </r>
  <r>
    <x v="4"/>
    <x v="46"/>
    <n v="60000"/>
    <n v="0"/>
  </r>
  <r>
    <x v="4"/>
    <x v="74"/>
    <n v="186.88790811999999"/>
    <n v="0"/>
  </r>
  <r>
    <x v="4"/>
    <x v="75"/>
    <n v="128.58989367000001"/>
    <n v="0"/>
  </r>
  <r>
    <x v="4"/>
    <x v="11"/>
    <n v="4848.8693212300004"/>
    <n v="0"/>
  </r>
  <r>
    <x v="4"/>
    <x v="11"/>
    <n v="4430.1716789800003"/>
    <n v="0"/>
  </r>
  <r>
    <x v="4"/>
    <x v="47"/>
    <n v="155.52705875000001"/>
    <n v="0"/>
  </r>
  <r>
    <x v="4"/>
    <x v="76"/>
    <n v="174854.39192336"/>
    <n v="0"/>
  </r>
  <r>
    <x v="4"/>
    <x v="17"/>
    <n v="0.52509682999999996"/>
    <n v="0"/>
  </r>
  <r>
    <x v="4"/>
    <x v="77"/>
    <n v="511905.30166855"/>
    <n v="0"/>
  </r>
  <r>
    <x v="4"/>
    <x v="46"/>
    <n v="178864.22369767001"/>
    <n v="0"/>
  </r>
  <r>
    <x v="4"/>
    <x v="46"/>
    <n v="538.74281099999996"/>
    <n v="0"/>
  </r>
  <r>
    <x v="4"/>
    <x v="34"/>
    <n v="144358.09713070001"/>
    <n v="0"/>
  </r>
  <r>
    <x v="4"/>
    <x v="17"/>
    <n v="2.34866376"/>
    <n v="0"/>
  </r>
  <r>
    <x v="4"/>
    <x v="17"/>
    <n v="9.8779060000000002E-2"/>
    <n v="0"/>
  </r>
  <r>
    <x v="4"/>
    <x v="78"/>
    <n v="196525.25441796001"/>
    <n v="0"/>
  </r>
  <r>
    <x v="4"/>
    <x v="79"/>
    <n v="201000.92417708001"/>
    <n v="0"/>
  </r>
  <r>
    <x v="4"/>
    <x v="80"/>
    <n v="100050250.667"/>
    <n v="0"/>
  </r>
  <r>
    <x v="4"/>
    <x v="11"/>
    <n v="5069.0884955199999"/>
    <n v="0"/>
  </r>
  <r>
    <x v="4"/>
    <x v="47"/>
    <n v="337.79190266000001"/>
    <n v="0"/>
  </r>
  <r>
    <x v="4"/>
    <x v="17"/>
    <n v="505.49521951000003"/>
    <n v="0"/>
  </r>
  <r>
    <x v="4"/>
    <x v="17"/>
    <n v="5.1519130999999998"/>
    <n v="0"/>
  </r>
  <r>
    <x v="4"/>
    <x v="17"/>
    <n v="491.73222490000001"/>
    <n v="0"/>
  </r>
  <r>
    <x v="4"/>
    <x v="81"/>
    <n v="355.45922483999999"/>
    <n v="0"/>
  </r>
  <r>
    <x v="4"/>
    <x v="81"/>
    <n v="296.85191938999998"/>
    <n v="0"/>
  </r>
  <r>
    <x v="4"/>
    <x v="46"/>
    <n v="12009360.088437"/>
    <n v="0"/>
  </r>
  <r>
    <x v="5"/>
    <x v="46"/>
    <n v="17157.292778999999"/>
    <n v="0"/>
  </r>
  <r>
    <x v="6"/>
    <x v="1"/>
    <n v="1E-8"/>
    <n v="9.6999999999999992E-9"/>
  </r>
  <r>
    <x v="6"/>
    <x v="6"/>
    <n v="4.9999999999999998E-8"/>
    <n v="5.02E-8"/>
  </r>
  <r>
    <x v="6"/>
    <x v="82"/>
    <n v="0.47315189000000002"/>
    <n v="0.47315189390000001"/>
  </r>
  <r>
    <x v="6"/>
    <x v="8"/>
    <n v="4.0000000000000001E-8"/>
    <n v="3.8600000000000002E-8"/>
  </r>
  <r>
    <x v="6"/>
    <x v="16"/>
    <n v="2.9999999999999997E-8"/>
    <n v="3.1699999999999999E-8"/>
  </r>
  <r>
    <x v="6"/>
    <x v="40"/>
    <n v="1E-8"/>
    <n v="6.1E-9"/>
  </r>
  <r>
    <x v="6"/>
    <x v="17"/>
    <n v="2.9999999999999997E-8"/>
    <n v="2.8600000000000001E-8"/>
  </r>
  <r>
    <x v="6"/>
    <x v="24"/>
    <n v="1E-8"/>
    <n v="9.3000000000000006E-9"/>
  </r>
  <r>
    <x v="6"/>
    <x v="83"/>
    <n v="1E-8"/>
    <n v="7.8999999999999996E-9"/>
  </r>
  <r>
    <x v="6"/>
    <x v="36"/>
    <n v="9.9999999999999995E-8"/>
    <n v="9.7899999999999997E-8"/>
  </r>
  <r>
    <x v="6"/>
    <x v="1"/>
    <n v="5.7406599999999999E-3"/>
    <n v="5.7406593000000001E-3"/>
  </r>
  <r>
    <x v="6"/>
    <x v="6"/>
    <n v="0.72885027999999996"/>
    <n v="0.72885028029999999"/>
  </r>
  <r>
    <x v="6"/>
    <x v="82"/>
    <n v="0.11285791000000001"/>
    <n v="0.11285791119999999"/>
  </r>
  <r>
    <x v="6"/>
    <x v="8"/>
    <n v="5.1900000000000003E-6"/>
    <n v="5.1931999999999997E-6"/>
  </r>
  <r>
    <x v="6"/>
    <x v="14"/>
    <n v="0.97764076"/>
    <n v="0.97764076359999996"/>
  </r>
  <r>
    <x v="6"/>
    <x v="16"/>
    <n v="3.7085149999999997E-2"/>
    <n v="3.7085151300000001E-2"/>
  </r>
  <r>
    <x v="6"/>
    <x v="40"/>
    <n v="0.70701212999999996"/>
    <n v="0.70701212930000001"/>
  </r>
  <r>
    <x v="6"/>
    <x v="17"/>
    <n v="9.5337999999999998E-4"/>
    <n v="9.533775E-4"/>
  </r>
  <r>
    <x v="6"/>
    <x v="23"/>
    <n v="6.244243E-2"/>
    <n v="6.2442432399999998E-2"/>
  </r>
  <r>
    <x v="6"/>
    <x v="24"/>
    <n v="7.1564416099999999"/>
    <n v="7.1564416123000001"/>
  </r>
  <r>
    <x v="6"/>
    <x v="83"/>
    <n v="0.95766242000000001"/>
    <n v="0.95766241559999998"/>
  </r>
  <r>
    <x v="6"/>
    <x v="36"/>
    <n v="0.54364484000000002"/>
    <n v="0.54364484400000002"/>
  </r>
  <r>
    <x v="7"/>
    <x v="8"/>
    <n v="9.9829999999999998E-5"/>
    <n v="0"/>
  </r>
  <r>
    <x v="7"/>
    <x v="34"/>
    <n v="10195.00717273"/>
    <n v="0"/>
  </r>
  <r>
    <x v="7"/>
    <x v="8"/>
    <n v="1.899957E-2"/>
    <n v="0"/>
  </r>
  <r>
    <x v="7"/>
    <x v="84"/>
    <n v="9.9825000000000001E-4"/>
    <n v="0"/>
  </r>
  <r>
    <x v="7"/>
    <x v="41"/>
    <n v="9.9825000000000001E-4"/>
    <n v="0"/>
  </r>
  <r>
    <x v="7"/>
    <x v="85"/>
    <n v="9.5929999999999998E-5"/>
    <n v="0"/>
  </r>
  <r>
    <x v="7"/>
    <x v="34"/>
    <n v="27.162898349999999"/>
    <n v="0"/>
  </r>
  <r>
    <x v="7"/>
    <x v="8"/>
    <n v="1.995E-4"/>
    <n v="0"/>
  </r>
  <r>
    <x v="7"/>
    <x v="17"/>
    <n v="9.9825000000000001E-4"/>
    <n v="0"/>
  </r>
  <r>
    <x v="7"/>
    <x v="34"/>
    <n v="59.393906000000001"/>
    <n v="0"/>
  </r>
  <r>
    <x v="7"/>
    <x v="34"/>
    <n v="10045.544499"/>
    <n v="0"/>
  </r>
  <r>
    <x v="6"/>
    <x v="34"/>
    <n v="1E-8"/>
    <n v="0"/>
  </r>
  <r>
    <x v="6"/>
    <x v="36"/>
    <n v="7.4209999999999996E-5"/>
    <n v="0"/>
  </r>
  <r>
    <x v="6"/>
    <x v="1"/>
    <n v="1E-8"/>
    <n v="1E-8"/>
  </r>
  <r>
    <x v="6"/>
    <x v="6"/>
    <n v="1E-8"/>
    <n v="1E-8"/>
  </r>
  <r>
    <x v="6"/>
    <x v="82"/>
    <n v="1E-8"/>
    <n v="1E-8"/>
  </r>
  <r>
    <x v="6"/>
    <x v="16"/>
    <n v="1E-8"/>
    <n v="1E-8"/>
  </r>
  <r>
    <x v="6"/>
    <x v="40"/>
    <n v="1E-8"/>
    <n v="1E-8"/>
  </r>
  <r>
    <x v="6"/>
    <x v="17"/>
    <n v="1E-8"/>
    <n v="1E-8"/>
  </r>
  <r>
    <x v="6"/>
    <x v="23"/>
    <n v="1E-8"/>
    <n v="1E-8"/>
  </r>
  <r>
    <x v="6"/>
    <x v="24"/>
    <n v="1E-8"/>
    <n v="1E-8"/>
  </r>
  <r>
    <x v="6"/>
    <x v="34"/>
    <n v="3.2621029500000001"/>
    <n v="1E-8"/>
  </r>
  <r>
    <x v="6"/>
    <x v="36"/>
    <n v="6.4869999999999994E-5"/>
    <n v="6.4869999999999994E-5"/>
  </r>
  <r>
    <x v="6"/>
    <x v="0"/>
    <n v="0.10014646000000001"/>
    <n v="0.10014646000000001"/>
  </r>
  <r>
    <x v="6"/>
    <x v="1"/>
    <n v="3.2091999999999998E-4"/>
    <n v="3.2091770000000001E-4"/>
  </r>
  <r>
    <x v="6"/>
    <x v="6"/>
    <n v="5.3552000000000005E-4"/>
    <n v="5.3552099999999996E-4"/>
  </r>
  <r>
    <x v="6"/>
    <x v="82"/>
    <n v="2.9999999999999997E-8"/>
    <n v="3.3400000000000001E-8"/>
  </r>
  <r>
    <x v="6"/>
    <x v="8"/>
    <n v="19.480473140000001"/>
    <n v="104.49917164750001"/>
  </r>
  <r>
    <x v="6"/>
    <x v="8"/>
    <n v="-1.2484268700000001"/>
    <n v="7.8116436000000003E-3"/>
  </r>
  <r>
    <x v="6"/>
    <x v="14"/>
    <n v="3.8972899999999999E-3"/>
    <n v="3.8972870000000001E-3"/>
  </r>
  <r>
    <x v="6"/>
    <x v="40"/>
    <n v="0.1010306"/>
    <n v="0.1010306031"/>
  </r>
  <r>
    <x v="6"/>
    <x v="17"/>
    <n v="147.99851390000001"/>
    <n v="1502.4293289648999"/>
  </r>
  <r>
    <x v="6"/>
    <x v="17"/>
    <n v="-1.31490354"/>
    <n v="1.4471287848000001"/>
  </r>
  <r>
    <x v="6"/>
    <x v="23"/>
    <n v="9.5620999999999998E-4"/>
    <n v="9.5620959999999995E-4"/>
  </r>
  <r>
    <x v="6"/>
    <x v="24"/>
    <n v="2.4771099999999998E-3"/>
    <n v="2.4771052999999999E-3"/>
  </r>
  <r>
    <x v="6"/>
    <x v="30"/>
    <n v="71073.205401560001"/>
    <n v="71073.205401560001"/>
  </r>
  <r>
    <x v="6"/>
    <x v="83"/>
    <n v="4.8644999999999998E-4"/>
    <n v="4.8644820000000002E-4"/>
  </r>
  <r>
    <x v="6"/>
    <x v="36"/>
    <n v="1.9184000000000001E-4"/>
    <n v="1.9184280000000001E-4"/>
  </r>
  <r>
    <x v="6"/>
    <x v="86"/>
    <n v="2.4299999999999999E-3"/>
    <n v="2.4299999999999999E-3"/>
  </r>
  <r>
    <x v="6"/>
    <x v="34"/>
    <n v="36867.91826577"/>
    <n v="0"/>
  </r>
  <r>
    <x v="6"/>
    <x v="34"/>
    <n v="608.9597"/>
    <n v="0"/>
  </r>
  <r>
    <x v="6"/>
    <x v="87"/>
    <n v="377.09760540000002"/>
    <n v="377.09760540000002"/>
  </r>
  <r>
    <x v="6"/>
    <x v="1"/>
    <n v="1.1000000000000001E-7"/>
    <n v="1.1000000000000001E-7"/>
  </r>
  <r>
    <x v="6"/>
    <x v="2"/>
    <n v="2.6E-7"/>
    <n v="2.6E-7"/>
  </r>
  <r>
    <x v="6"/>
    <x v="88"/>
    <n v="0.53247394999999997"/>
    <n v="0.53247394999999997"/>
  </r>
  <r>
    <x v="6"/>
    <x v="3"/>
    <n v="4.3657420000000002E-2"/>
    <n v="4.3657420000000002E-2"/>
  </r>
  <r>
    <x v="6"/>
    <x v="4"/>
    <n v="1.5389969999999999E-2"/>
    <n v="1.5389969999999999E-2"/>
  </r>
  <r>
    <x v="6"/>
    <x v="5"/>
    <n v="2.0454320000000002E-2"/>
    <n v="2.0454320000000002E-2"/>
  </r>
  <r>
    <x v="6"/>
    <x v="6"/>
    <n v="12.231604239999999"/>
    <n v="4.1204461800000001"/>
  </r>
  <r>
    <x v="6"/>
    <x v="89"/>
    <n v="2.5033500000000001E-3"/>
    <n v="2.5033500000000001E-3"/>
  </r>
  <r>
    <x v="6"/>
    <x v="90"/>
    <n v="115.29838952"/>
    <n v="115.29838952"/>
  </r>
  <r>
    <x v="6"/>
    <x v="91"/>
    <n v="14.7502"/>
    <n v="14.7502"/>
  </r>
  <r>
    <x v="6"/>
    <x v="82"/>
    <n v="1.807E-4"/>
    <n v="1.807E-4"/>
  </r>
  <r>
    <x v="6"/>
    <x v="8"/>
    <n v="57.515138659999998"/>
    <n v="265.49423501000001"/>
  </r>
  <r>
    <x v="6"/>
    <x v="92"/>
    <n v="0.33565571999999999"/>
    <n v="0.33565571999999999"/>
  </r>
  <r>
    <x v="6"/>
    <x v="93"/>
    <n v="1367501156.8785999"/>
    <n v="1367501156.8785999"/>
  </r>
  <r>
    <x v="6"/>
    <x v="94"/>
    <n v="1.7855998900000001"/>
    <n v="1.7855998900000001"/>
  </r>
  <r>
    <x v="6"/>
    <x v="95"/>
    <n v="0.30791584"/>
    <n v="0.30791584"/>
  </r>
  <r>
    <x v="6"/>
    <x v="12"/>
    <n v="5.6119999999999998E-5"/>
    <n v="5.6119999999999998E-5"/>
  </r>
  <r>
    <x v="6"/>
    <x v="96"/>
    <n v="5.9800000000000001E-4"/>
    <n v="5.9800000000000001E-4"/>
  </r>
  <r>
    <x v="6"/>
    <x v="14"/>
    <n v="40066.769036849997"/>
    <n v="40190.769036849997"/>
  </r>
  <r>
    <x v="6"/>
    <x v="15"/>
    <n v="1E-8"/>
    <n v="1E-8"/>
  </r>
  <r>
    <x v="6"/>
    <x v="16"/>
    <n v="70.35249924"/>
    <n v="188901.81117068001"/>
  </r>
  <r>
    <x v="6"/>
    <x v="40"/>
    <n v="8848.9328020600005"/>
    <n v="9255.0376708599997"/>
  </r>
  <r>
    <x v="6"/>
    <x v="17"/>
    <n v="4452.3212204900001"/>
    <n v="2495.8343094799998"/>
  </r>
  <r>
    <x v="6"/>
    <x v="84"/>
    <n v="9823.8364263999993"/>
    <n v="9823.8364263999993"/>
  </r>
  <r>
    <x v="6"/>
    <x v="41"/>
    <n v="3460.93190667"/>
    <n v="3460.93190667"/>
  </r>
  <r>
    <x v="6"/>
    <x v="97"/>
    <n v="106240.24599813001"/>
    <n v="94677.421588559999"/>
  </r>
  <r>
    <x v="6"/>
    <x v="19"/>
    <n v="1.0244641699999999"/>
    <n v="1.0244641699999999"/>
  </r>
  <r>
    <x v="6"/>
    <x v="44"/>
    <n v="1214222.2371169401"/>
    <n v="0"/>
  </r>
  <r>
    <x v="6"/>
    <x v="98"/>
    <n v="0.68557060000000003"/>
    <n v="0.68557060000000003"/>
  </r>
  <r>
    <x v="6"/>
    <x v="99"/>
    <n v="54.776400000000002"/>
    <n v="54.776400000000002"/>
  </r>
  <r>
    <x v="6"/>
    <x v="22"/>
    <n v="3.4060489999999999E-2"/>
    <n v="3.4060489999999999E-2"/>
  </r>
  <r>
    <x v="6"/>
    <x v="100"/>
    <n v="5337.6979873099999"/>
    <n v="5337.6979873099999"/>
  </r>
  <r>
    <x v="6"/>
    <x v="101"/>
    <n v="1637.96510048"/>
    <n v="1655.0617244"/>
  </r>
  <r>
    <x v="6"/>
    <x v="102"/>
    <n v="14.785856219999999"/>
    <n v="14.785856219999999"/>
  </r>
  <r>
    <x v="6"/>
    <x v="103"/>
    <n v="0.81765067999999996"/>
    <n v="0.81765067999999996"/>
  </r>
  <r>
    <x v="6"/>
    <x v="104"/>
    <n v="9.1121815000000002"/>
    <n v="9.1121815000000002"/>
  </r>
  <r>
    <x v="6"/>
    <x v="105"/>
    <n v="1.4966E-4"/>
    <n v="1.4966E-4"/>
  </r>
  <r>
    <x v="6"/>
    <x v="106"/>
    <n v="0.24234807999999999"/>
    <n v="0.24234807999999999"/>
  </r>
  <r>
    <x v="6"/>
    <x v="107"/>
    <n v="1E-8"/>
    <n v="1E-8"/>
  </r>
  <r>
    <x v="6"/>
    <x v="23"/>
    <n v="373.96887156000003"/>
    <n v="261.27961104000002"/>
  </r>
  <r>
    <x v="6"/>
    <x v="108"/>
    <n v="4.3289484800000002"/>
    <n v="4.3289484800000002"/>
  </r>
  <r>
    <x v="6"/>
    <x v="24"/>
    <n v="7851.3813867600002"/>
    <n v="7246.2827401499999"/>
  </r>
  <r>
    <x v="6"/>
    <x v="109"/>
    <n v="0.66495972999999997"/>
    <n v="0.66495972999999997"/>
  </r>
  <r>
    <x v="6"/>
    <x v="25"/>
    <n v="0.34"/>
    <n v="0.34"/>
  </r>
  <r>
    <x v="6"/>
    <x v="110"/>
    <n v="0.89105878000000005"/>
    <n v="0.89105878000000005"/>
  </r>
  <r>
    <x v="6"/>
    <x v="111"/>
    <n v="40.704174029999997"/>
    <n v="40.704174029999997"/>
  </r>
  <r>
    <x v="6"/>
    <x v="112"/>
    <n v="3049025070.2014399"/>
    <n v="3049025070.2014399"/>
  </r>
  <r>
    <x v="6"/>
    <x v="113"/>
    <n v="4.3068300000000002E-3"/>
    <n v="4.3068300000000002E-3"/>
  </r>
  <r>
    <x v="6"/>
    <x v="114"/>
    <n v="0.34782034000000001"/>
    <n v="0.34782034000000001"/>
  </r>
  <r>
    <x v="6"/>
    <x v="29"/>
    <n v="57355.796045379997"/>
    <n v="821183.47515154001"/>
  </r>
  <r>
    <x v="6"/>
    <x v="115"/>
    <n v="3.0962099999999998E-3"/>
    <n v="3.0962099999999998E-3"/>
  </r>
  <r>
    <x v="6"/>
    <x v="116"/>
    <n v="2.6598900000000002E-2"/>
    <n v="2.6598900000000002E-2"/>
  </r>
  <r>
    <x v="6"/>
    <x v="45"/>
    <n v="1214222.2371159999"/>
    <n v="1214222.2371159999"/>
  </r>
  <r>
    <x v="6"/>
    <x v="30"/>
    <n v="1884988.30453923"/>
    <n v="1884988.30453923"/>
  </r>
  <r>
    <x v="6"/>
    <x v="31"/>
    <n v="0.14106867000000001"/>
    <n v="0.14106867000000001"/>
  </r>
  <r>
    <x v="6"/>
    <x v="117"/>
    <n v="38753.774400000002"/>
    <n v="38753.774400000002"/>
  </r>
  <r>
    <x v="6"/>
    <x v="118"/>
    <n v="29.76350429"/>
    <n v="29.76350429"/>
  </r>
  <r>
    <x v="6"/>
    <x v="83"/>
    <n v="44.266270740000003"/>
    <n v="44.266270740000003"/>
  </r>
  <r>
    <x v="6"/>
    <x v="119"/>
    <n v="6.3152970000000003E-2"/>
    <n v="6.3152970000000003E-2"/>
  </r>
  <r>
    <x v="6"/>
    <x v="120"/>
    <n v="20"/>
    <n v="20"/>
  </r>
  <r>
    <x v="6"/>
    <x v="33"/>
    <n v="1E-8"/>
    <n v="1E-8"/>
  </r>
  <r>
    <x v="6"/>
    <x v="46"/>
    <n v="5.6000000000000004E-7"/>
    <n v="5.6000000000000004E-7"/>
  </r>
  <r>
    <x v="6"/>
    <x v="121"/>
    <n v="0.34680431"/>
    <n v="0.34680431"/>
  </r>
  <r>
    <x v="6"/>
    <x v="34"/>
    <n v="4305300.5704335803"/>
    <n v="2709733.7915030601"/>
  </r>
  <r>
    <x v="6"/>
    <x v="122"/>
    <n v="25.959481520000001"/>
    <n v="25.959481520000001"/>
  </r>
  <r>
    <x v="6"/>
    <x v="123"/>
    <n v="0.20872535"/>
    <n v="0.20872535"/>
  </r>
  <r>
    <x v="6"/>
    <x v="124"/>
    <n v="97856389.900000006"/>
    <n v="97856389.900000006"/>
  </r>
  <r>
    <x v="6"/>
    <x v="35"/>
    <n v="0.55556267999999998"/>
    <n v="0.55556267999999998"/>
  </r>
  <r>
    <x v="6"/>
    <x v="36"/>
    <n v="1045.2618095800001"/>
    <n v="0.59624257999999997"/>
  </r>
  <r>
    <x v="6"/>
    <x v="37"/>
    <n v="3.9304560899999998"/>
    <n v="3.9304560899999998"/>
  </r>
  <r>
    <x v="6"/>
    <x v="86"/>
    <n v="1.329583E-2"/>
    <n v="1.329583E-2"/>
  </r>
  <r>
    <x v="6"/>
    <x v="125"/>
    <n v="2.173E-4"/>
    <n v="2.173E-4"/>
  </r>
  <r>
    <x v="6"/>
    <x v="39"/>
    <n v="1434764.02224964"/>
    <n v="18885880.034703899"/>
  </r>
  <r>
    <x v="6"/>
    <x v="6"/>
    <n v="1E-8"/>
    <n v="1E-8"/>
  </r>
  <r>
    <x v="6"/>
    <x v="40"/>
    <n v="1E-8"/>
    <n v="1E-8"/>
  </r>
  <r>
    <x v="6"/>
    <x v="24"/>
    <n v="1E-8"/>
    <n v="1E-8"/>
  </r>
  <r>
    <x v="6"/>
    <x v="83"/>
    <n v="1E-8"/>
    <n v="1E-8"/>
  </r>
  <r>
    <x v="6"/>
    <x v="34"/>
    <n v="0.90999770000000002"/>
    <n v="0.90999770000000002"/>
  </r>
  <r>
    <x v="6"/>
    <x v="36"/>
    <n v="7.6039999999999997E-5"/>
    <n v="7.6039999999999997E-5"/>
  </r>
  <r>
    <x v="8"/>
    <x v="3"/>
    <n v="0.331542"/>
    <n v="0"/>
  </r>
  <r>
    <x v="8"/>
    <x v="6"/>
    <n v="1.7695412699999999"/>
    <n v="1.7695412699999999"/>
  </r>
  <r>
    <x v="8"/>
    <x v="8"/>
    <n v="1.8847760000000002E-2"/>
    <n v="1.8847761800000001E-2"/>
  </r>
  <r>
    <x v="8"/>
    <x v="16"/>
    <n v="9.9499194400000004"/>
    <n v="9.9499194400000004"/>
  </r>
  <r>
    <x v="8"/>
    <x v="41"/>
    <n v="3.4037359"/>
    <n v="0"/>
  </r>
  <r>
    <x v="8"/>
    <x v="24"/>
    <n v="9.1421368100000002"/>
    <n v="9.1421368100000002"/>
  </r>
  <r>
    <x v="8"/>
    <x v="29"/>
    <n v="704924.41960014997"/>
    <n v="734064.56454741"/>
  </r>
  <r>
    <x v="8"/>
    <x v="45"/>
    <n v="0.10834547999999999"/>
    <n v="0.10834547999999999"/>
  </r>
  <r>
    <x v="8"/>
    <x v="42"/>
    <n v="127892.8939"/>
    <n v="125911.4938"/>
  </r>
  <r>
    <x v="8"/>
    <x v="34"/>
    <n v="1.182861E-2"/>
    <n v="1.182861E-2"/>
  </r>
  <r>
    <x v="8"/>
    <x v="35"/>
    <n v="8.93329E-3"/>
    <n v="0"/>
  </r>
  <r>
    <x v="8"/>
    <x v="36"/>
    <n v="0.71704489000000005"/>
    <n v="0"/>
  </r>
  <r>
    <x v="9"/>
    <x v="0"/>
    <n v="300"/>
    <n v="0"/>
  </r>
  <r>
    <x v="9"/>
    <x v="1"/>
    <n v="150000"/>
    <n v="0"/>
  </r>
  <r>
    <x v="9"/>
    <x v="2"/>
    <n v="35000"/>
    <n v="0"/>
  </r>
  <r>
    <x v="9"/>
    <x v="4"/>
    <n v="3000"/>
    <n v="0"/>
  </r>
  <r>
    <x v="9"/>
    <x v="5"/>
    <n v="100000"/>
    <n v="0"/>
  </r>
  <r>
    <x v="9"/>
    <x v="6"/>
    <n v="5627"/>
    <n v="0"/>
  </r>
  <r>
    <x v="9"/>
    <x v="12"/>
    <n v="100"/>
    <n v="0"/>
  </r>
  <r>
    <x v="9"/>
    <x v="13"/>
    <n v="600000"/>
    <n v="0"/>
  </r>
  <r>
    <x v="9"/>
    <x v="14"/>
    <n v="5000"/>
    <n v="0"/>
  </r>
  <r>
    <x v="9"/>
    <x v="15"/>
    <n v="15000"/>
    <n v="0"/>
  </r>
  <r>
    <x v="9"/>
    <x v="16"/>
    <n v="30000"/>
    <n v="0"/>
  </r>
  <r>
    <x v="9"/>
    <x v="40"/>
    <n v="98000"/>
    <n v="0"/>
  </r>
  <r>
    <x v="9"/>
    <x v="20"/>
    <n v="30000"/>
    <n v="0"/>
  </r>
  <r>
    <x v="9"/>
    <x v="21"/>
    <n v="50000"/>
    <n v="0"/>
  </r>
  <r>
    <x v="9"/>
    <x v="22"/>
    <n v="125000"/>
    <n v="0"/>
  </r>
  <r>
    <x v="9"/>
    <x v="23"/>
    <n v="7000"/>
    <n v="0"/>
  </r>
  <r>
    <x v="9"/>
    <x v="24"/>
    <n v="500"/>
    <n v="0"/>
  </r>
  <r>
    <x v="9"/>
    <x v="25"/>
    <n v="45000"/>
    <n v="0"/>
  </r>
  <r>
    <x v="9"/>
    <x v="26"/>
    <n v="50000"/>
    <n v="0"/>
  </r>
  <r>
    <x v="9"/>
    <x v="29"/>
    <n v="80000"/>
    <n v="0"/>
  </r>
  <r>
    <x v="9"/>
    <x v="31"/>
    <n v="3500"/>
    <n v="0"/>
  </r>
  <r>
    <x v="9"/>
    <x v="32"/>
    <n v="21600"/>
    <n v="0"/>
  </r>
  <r>
    <x v="9"/>
    <x v="33"/>
    <n v="6000"/>
    <n v="0"/>
  </r>
  <r>
    <x v="9"/>
    <x v="34"/>
    <n v="10000000"/>
    <n v="0"/>
  </r>
  <r>
    <x v="9"/>
    <x v="35"/>
    <n v="100000"/>
    <n v="0"/>
  </r>
  <r>
    <x v="9"/>
    <x v="37"/>
    <n v="5000"/>
    <n v="0"/>
  </r>
  <r>
    <x v="10"/>
    <x v="17"/>
    <n v="5.0000000000000001E-4"/>
    <n v="5.0000000000000001E-4"/>
  </r>
  <r>
    <x v="10"/>
    <x v="42"/>
    <n v="2.63E-3"/>
    <n v="2.63E-3"/>
  </r>
  <r>
    <x v="11"/>
    <x v="42"/>
    <n v="10139.36563"/>
    <n v="10139.985629999999"/>
  </r>
  <r>
    <x v="12"/>
    <x v="8"/>
    <n v="2.6E-7"/>
    <n v="2.647276654E-7"/>
  </r>
  <r>
    <x v="12"/>
    <x v="17"/>
    <n v="6.7499999999999997E-6"/>
    <n v="6.7475689886000002E-6"/>
  </r>
  <r>
    <x v="12"/>
    <x v="36"/>
    <n v="0.44933625999999999"/>
    <n v="0.44933626032875501"/>
  </r>
  <r>
    <x v="12"/>
    <x v="34"/>
    <n v="9.0007799999999999E-3"/>
    <n v="9.0007773026227998E-3"/>
  </r>
  <r>
    <x v="12"/>
    <x v="8"/>
    <n v="1.3863722599999999"/>
    <n v="0"/>
  </r>
  <r>
    <x v="12"/>
    <x v="34"/>
    <n v="14167.55506373"/>
    <n v="0"/>
  </r>
  <r>
    <x v="12"/>
    <x v="34"/>
    <n v="-18419.130061799999"/>
    <n v="0"/>
  </r>
  <r>
    <x v="12"/>
    <x v="8"/>
    <n v="566.70647228999997"/>
    <n v="431.54892124109199"/>
  </r>
  <r>
    <x v="12"/>
    <x v="8"/>
    <n v="-20.670652969999999"/>
    <n v="0.32251547811876202"/>
  </r>
  <r>
    <x v="12"/>
    <x v="17"/>
    <n v="9154.6461038100006"/>
    <n v="8456.0905296990604"/>
  </r>
  <r>
    <x v="12"/>
    <x v="17"/>
    <n v="-383.25780249000002"/>
    <n v="-79.764741889447393"/>
  </r>
  <r>
    <x v="12"/>
    <x v="29"/>
    <n v="607619.20571591996"/>
    <n v="625669.18673682504"/>
  </r>
  <r>
    <x v="12"/>
    <x v="34"/>
    <n v="3900918.6848749099"/>
    <n v="3777411.9164351299"/>
  </r>
  <r>
    <x v="12"/>
    <x v="34"/>
    <n v="611295.09138471005"/>
    <n v="221424.41943253"/>
  </r>
  <r>
    <x v="12"/>
    <x v="39"/>
    <n v="3431498.5914914901"/>
    <n v="1942615.0259058501"/>
  </r>
  <r>
    <x v="12"/>
    <x v="82"/>
    <n v="9.4549999999999994E-5"/>
    <n v="9.4549999999999994E-5"/>
  </r>
  <r>
    <x v="12"/>
    <x v="14"/>
    <n v="1E-8"/>
    <n v="8.6419723E-9"/>
  </r>
  <r>
    <x v="12"/>
    <x v="41"/>
    <n v="8.7929999999999993E-5"/>
    <n v="8.7934414489999996E-5"/>
  </r>
  <r>
    <x v="12"/>
    <x v="24"/>
    <n v="1E-8"/>
    <n v="6.8821467999999997E-9"/>
  </r>
  <r>
    <x v="12"/>
    <x v="30"/>
    <n v="8.1457000000000003E-4"/>
    <n v="8.1456625171150003E-4"/>
  </r>
  <r>
    <x v="12"/>
    <x v="46"/>
    <n v="5.2E-7"/>
    <n v="5.1611396659999999E-7"/>
  </r>
  <r>
    <x v="12"/>
    <x v="124"/>
    <n v="5.47"/>
    <n v="5.47"/>
  </r>
  <r>
    <x v="12"/>
    <x v="36"/>
    <n v="4.4000000000000002E-7"/>
    <n v="4.4140430209999998E-7"/>
  </r>
  <r>
    <x v="13"/>
    <x v="17"/>
    <n v="7.1361999999999999E-4"/>
    <n v="0"/>
  </r>
  <r>
    <x v="13"/>
    <x v="18"/>
    <n v="0.01"/>
    <n v="0"/>
  </r>
  <r>
    <x v="13"/>
    <x v="126"/>
    <n v="0.01"/>
    <n v="0"/>
  </r>
  <r>
    <x v="13"/>
    <x v="127"/>
    <n v="0.10983253"/>
    <n v="0"/>
  </r>
  <r>
    <x v="13"/>
    <x v="42"/>
    <n v="6.5778299999999998E-3"/>
    <n v="0"/>
  </r>
  <r>
    <x v="13"/>
    <x v="34"/>
    <n v="9.9996000000000004E-4"/>
    <n v="0"/>
  </r>
  <r>
    <x v="13"/>
    <x v="35"/>
    <n v="9.9999999999999995E-8"/>
    <n v="0"/>
  </r>
  <r>
    <x v="14"/>
    <x v="128"/>
    <n v="3449324.2188823698"/>
    <n v="0"/>
  </r>
  <r>
    <x v="15"/>
    <x v="8"/>
    <n v="83.621825990000005"/>
    <n v="31.42266931"/>
  </r>
  <r>
    <x v="15"/>
    <x v="17"/>
    <n v="1288.92333667"/>
    <n v="978.08095515000002"/>
  </r>
  <r>
    <x v="15"/>
    <x v="129"/>
    <n v="1644286.05309931"/>
    <n v="1644286.05309931"/>
  </r>
  <r>
    <x v="16"/>
    <x v="0"/>
    <n v="20.277061660000001"/>
    <n v="222.50783460930001"/>
  </r>
  <r>
    <x v="16"/>
    <x v="1"/>
    <n v="22641.773882000001"/>
    <n v="2989.2366609999999"/>
  </r>
  <r>
    <x v="16"/>
    <x v="2"/>
    <n v="12552.259884999999"/>
    <n v="267.61700000000002"/>
  </r>
  <r>
    <x v="16"/>
    <x v="4"/>
    <n v="168.20592414999999"/>
    <n v="175.96548224540001"/>
  </r>
  <r>
    <x v="16"/>
    <x v="5"/>
    <n v="12234.90497353"/>
    <n v="9516.4799490500009"/>
  </r>
  <r>
    <x v="16"/>
    <x v="6"/>
    <n v="5171.2119944799997"/>
    <n v="5.3832764900000001"/>
  </r>
  <r>
    <x v="16"/>
    <x v="7"/>
    <n v="1.7652E-4"/>
    <n v="0"/>
  </r>
  <r>
    <x v="16"/>
    <x v="8"/>
    <n v="289.55208470999997"/>
    <n v="122.16783079"/>
  </r>
  <r>
    <x v="16"/>
    <x v="10"/>
    <n v="3103.3033653500001"/>
    <n v="0.89397826999999996"/>
  </r>
  <r>
    <x v="16"/>
    <x v="12"/>
    <n v="3.01074912999999"/>
    <n v="2.0691000000000002"/>
  </r>
  <r>
    <x v="16"/>
    <x v="13"/>
    <n v="43773.598906400002"/>
    <n v="14300.941676820001"/>
  </r>
  <r>
    <x v="16"/>
    <x v="14"/>
    <n v="479.18249847999999"/>
    <n v="83.796787476199995"/>
  </r>
  <r>
    <x v="16"/>
    <x v="15"/>
    <n v="2329.31244242"/>
    <n v="958.27654861999997"/>
  </r>
  <r>
    <x v="16"/>
    <x v="16"/>
    <n v="186334.70740000001"/>
    <n v="29356.3236"/>
  </r>
  <r>
    <x v="16"/>
    <x v="40"/>
    <n v="98844.463872979904"/>
    <n v="0.57498408919999999"/>
  </r>
  <r>
    <x v="16"/>
    <x v="17"/>
    <n v="588.88538356000004"/>
    <n v="2211.2914945678999"/>
  </r>
  <r>
    <x v="16"/>
    <x v="41"/>
    <n v="1268.1820227400001"/>
    <n v="1271.8180884257999"/>
  </r>
  <r>
    <x v="16"/>
    <x v="97"/>
    <n v="235746.127034"/>
    <n v="0"/>
  </r>
  <r>
    <x v="16"/>
    <x v="20"/>
    <n v="57885.461095840001"/>
    <n v="0"/>
  </r>
  <r>
    <x v="16"/>
    <x v="98"/>
    <n v="2.53888889"/>
    <n v="2.53888889"/>
  </r>
  <r>
    <x v="16"/>
    <x v="21"/>
    <n v="13740.37771737"/>
    <n v="4430.2090507000003"/>
  </r>
  <r>
    <x v="16"/>
    <x v="22"/>
    <n v="4716.81084801"/>
    <n v="34071.10269177"/>
  </r>
  <r>
    <x v="16"/>
    <x v="105"/>
    <n v="9.2269799999999992E-3"/>
    <n v="9.2269842999999994E-3"/>
  </r>
  <r>
    <x v="16"/>
    <x v="23"/>
    <n v="1291.2665841600001"/>
    <n v="1346.06662362"/>
  </r>
  <r>
    <x v="16"/>
    <x v="24"/>
    <n v="128.49216579"/>
    <n v="212.84465431000001"/>
  </r>
  <r>
    <x v="16"/>
    <x v="25"/>
    <n v="798.08621639"/>
    <n v="4636.4843405399997"/>
  </r>
  <r>
    <x v="16"/>
    <x v="26"/>
    <n v="3428.9663477999902"/>
    <n v="9534.85341883"/>
  </r>
  <r>
    <x v="16"/>
    <x v="27"/>
    <n v="1.4836537599999999"/>
    <n v="0.86601739"/>
  </r>
  <r>
    <x v="16"/>
    <x v="28"/>
    <n v="168.05099999999999"/>
    <n v="168.511"/>
  </r>
  <r>
    <x v="16"/>
    <x v="29"/>
    <n v="837715.31955742999"/>
    <n v="944.56600000000003"/>
  </r>
  <r>
    <x v="16"/>
    <x v="30"/>
    <n v="168343999455.48801"/>
    <n v="408731006.56099999"/>
  </r>
  <r>
    <x v="16"/>
    <x v="31"/>
    <n v="822.35711387000003"/>
    <n v="19.210502269999999"/>
  </r>
  <r>
    <x v="16"/>
    <x v="32"/>
    <n v="149.7566716"/>
    <n v="471.39595781999998"/>
  </r>
  <r>
    <x v="16"/>
    <x v="33"/>
    <n v="137.54021624000001"/>
    <n v="1888.43269074"/>
  </r>
  <r>
    <x v="16"/>
    <x v="46"/>
    <n v="17177110.853668001"/>
    <n v="20632314.752916999"/>
  </r>
  <r>
    <x v="16"/>
    <x v="34"/>
    <n v="4612941.358643"/>
    <n v="0"/>
  </r>
  <r>
    <x v="16"/>
    <x v="35"/>
    <n v="28358.945426099999"/>
    <n v="10147.1463128"/>
  </r>
  <r>
    <x v="16"/>
    <x v="36"/>
    <n v="283.58991600000002"/>
    <n v="283.58991600000002"/>
  </r>
  <r>
    <x v="16"/>
    <x v="37"/>
    <n v="997.63721599999997"/>
    <n v="16.444900000000001"/>
  </r>
  <r>
    <x v="16"/>
    <x v="38"/>
    <n v="4.1732661899999997"/>
    <n v="0.1394668"/>
  </r>
  <r>
    <x v="0"/>
    <x v="0"/>
    <n v="-900"/>
    <n v="-900"/>
  </r>
  <r>
    <x v="0"/>
    <x v="1"/>
    <n v="-450000"/>
    <n v="-450000"/>
  </r>
  <r>
    <x v="0"/>
    <x v="2"/>
    <n v="-244800"/>
    <n v="-244800"/>
  </r>
  <r>
    <x v="0"/>
    <x v="4"/>
    <n v="-6000"/>
    <n v="-6000"/>
  </r>
  <r>
    <x v="0"/>
    <x v="5"/>
    <n v="-200000"/>
    <n v="-200000"/>
  </r>
  <r>
    <x v="0"/>
    <x v="6"/>
    <n v="-90"/>
    <n v="-90"/>
  </r>
  <r>
    <x v="0"/>
    <x v="10"/>
    <n v="-4800"/>
    <n v="-4800"/>
  </r>
  <r>
    <x v="0"/>
    <x v="12"/>
    <n v="-1000"/>
    <n v="-1000"/>
  </r>
  <r>
    <x v="0"/>
    <x v="13"/>
    <n v="-1100000"/>
    <n v="-1100000"/>
  </r>
  <r>
    <x v="0"/>
    <x v="14"/>
    <n v="-10000"/>
    <n v="-10000"/>
  </r>
  <r>
    <x v="0"/>
    <x v="15"/>
    <n v="-60000"/>
    <n v="-60000"/>
  </r>
  <r>
    <x v="0"/>
    <x v="16"/>
    <n v="-125828.7"/>
    <n v="-77617.399999999994"/>
  </r>
  <r>
    <x v="0"/>
    <x v="20"/>
    <n v="-300000"/>
    <n v="-300000"/>
  </r>
  <r>
    <x v="0"/>
    <x v="21"/>
    <n v="-240000"/>
    <n v="-240000"/>
  </r>
  <r>
    <x v="0"/>
    <x v="22"/>
    <n v="-628800"/>
    <n v="-628800"/>
  </r>
  <r>
    <x v="0"/>
    <x v="23"/>
    <n v="-21130.37"/>
    <n v="-20826.04"/>
  </r>
  <r>
    <x v="0"/>
    <x v="24"/>
    <n v="-1681.0309999999999"/>
    <n v="-1556.796"/>
  </r>
  <r>
    <x v="0"/>
    <x v="25"/>
    <n v="-90000"/>
    <n v="-90000"/>
  </r>
  <r>
    <x v="0"/>
    <x v="26"/>
    <n v="-100000"/>
    <n v="-100000"/>
  </r>
  <r>
    <x v="0"/>
    <x v="27"/>
    <n v="-14"/>
    <n v="-14"/>
  </r>
  <r>
    <x v="0"/>
    <x v="30"/>
    <n v="-6000000000"/>
    <n v="-6000000000"/>
  </r>
  <r>
    <x v="0"/>
    <x v="31"/>
    <n v="-8500"/>
    <n v="-8500"/>
  </r>
  <r>
    <x v="0"/>
    <x v="32"/>
    <n v="-43200"/>
    <n v="-43200"/>
  </r>
  <r>
    <x v="0"/>
    <x v="33"/>
    <n v="-12000"/>
    <n v="-12000"/>
  </r>
  <r>
    <x v="0"/>
    <x v="122"/>
    <n v="-100"/>
    <n v="-100"/>
  </r>
  <r>
    <x v="0"/>
    <x v="35"/>
    <n v="-1000000"/>
    <n v="-1000000"/>
  </r>
  <r>
    <x v="0"/>
    <x v="37"/>
    <n v="-68160"/>
    <n v="-68160"/>
  </r>
  <r>
    <x v="4"/>
    <x v="34"/>
    <n v="-9992169.1475709993"/>
    <n v="0"/>
  </r>
  <r>
    <x v="3"/>
    <x v="8"/>
    <n v="-3350"/>
    <n v="0"/>
  </r>
  <r>
    <x v="3"/>
    <x v="16"/>
    <n v="-4350822.18"/>
    <n v="0"/>
  </r>
  <r>
    <x v="3"/>
    <x v="17"/>
    <n v="-6499.9949999999999"/>
    <n v="0"/>
  </r>
  <r>
    <x v="9"/>
    <x v="8"/>
    <n v="-1340.01684679"/>
    <n v="0"/>
  </r>
  <r>
    <x v="9"/>
    <x v="17"/>
    <n v="-25855"/>
    <n v="0"/>
  </r>
  <r>
    <x v="9"/>
    <x v="97"/>
    <n v="-15000000"/>
    <n v="0"/>
  </r>
  <r>
    <x v="9"/>
    <x v="42"/>
    <n v="-42800000"/>
    <n v="0"/>
  </r>
  <r>
    <x v="9"/>
    <x v="46"/>
    <n v="-89706000"/>
    <n v="0"/>
  </r>
  <r>
    <x v="9"/>
    <x v="39"/>
    <n v="-20000000"/>
    <n v="0"/>
  </r>
  <r>
    <x v="6"/>
    <x v="6"/>
    <n v="-5000"/>
    <n v="0"/>
  </r>
  <r>
    <x v="6"/>
    <x v="14"/>
    <n v="-40000"/>
    <n v="0"/>
  </r>
  <r>
    <x v="6"/>
    <x v="16"/>
    <n v="-160000"/>
    <n v="0"/>
  </r>
  <r>
    <x v="6"/>
    <x v="40"/>
    <n v="-108000"/>
    <n v="0"/>
  </r>
  <r>
    <x v="6"/>
    <x v="17"/>
    <n v="-4600"/>
    <n v="0"/>
  </r>
  <r>
    <x v="6"/>
    <x v="23"/>
    <n v="-17000"/>
    <n v="0"/>
  </r>
  <r>
    <x v="6"/>
    <x v="24"/>
    <n v="-11800"/>
    <n v="0"/>
  </r>
  <r>
    <x v="17"/>
    <x v="29"/>
    <n v="-2600208"/>
    <n v="0"/>
  </r>
  <r>
    <x v="17"/>
    <x v="46"/>
    <n v="-1000000"/>
    <n v="0"/>
  </r>
  <r>
    <x v="18"/>
    <x v="36"/>
    <n v="-201.17"/>
    <n v="0"/>
  </r>
  <r>
    <x v="12"/>
    <x v="6"/>
    <n v="-3.1000941100000001"/>
    <n v="0"/>
  </r>
  <r>
    <x v="12"/>
    <x v="16"/>
    <n v="-49263.159699880001"/>
    <n v="-16894.458027487901"/>
  </r>
  <r>
    <x v="12"/>
    <x v="19"/>
    <n v="-3.6960319999999998E-2"/>
    <n v="-3.6953099446368598E-2"/>
  </r>
  <r>
    <x v="12"/>
    <x v="24"/>
    <n v="-358.96855998000001"/>
    <n v="-294.80378205939098"/>
  </r>
  <r>
    <x v="12"/>
    <x v="30"/>
    <n v="-10046755771.5436"/>
    <n v="-10044791823.901699"/>
  </r>
  <r>
    <x v="12"/>
    <x v="36"/>
    <n v="-2045.73369753"/>
    <n v="6696.5654339480197"/>
  </r>
  <r>
    <x v="15"/>
    <x v="34"/>
    <n v="-273780.61892544001"/>
    <n v="1092608.8662432199"/>
  </r>
  <r>
    <x v="19"/>
    <x v="42"/>
    <n v="79941.919999999998"/>
    <n v="0"/>
  </r>
  <r>
    <x v="20"/>
    <x v="42"/>
    <n v="830007.48"/>
    <n v="0"/>
  </r>
  <r>
    <x v="21"/>
    <x v="42"/>
    <n v="32094151.739999998"/>
    <n v="0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47376"/>
    <n v="14737600"/>
    <n v="18094.104153970002"/>
    <n v="8.05923838"/>
    <x v="0"/>
    <d v="2099-12-31T08:00:00"/>
    <n v="0"/>
    <x v="0"/>
    <n v="100"/>
    <n v="814.49735640912866"/>
    <n v="15369229.58754302"/>
    <n v="28111"/>
    <x v="0"/>
    <s v="LONG"/>
    <x v="0"/>
    <n v="14737600"/>
    <n v="18094.104153970002"/>
    <n v="0"/>
    <n v="0"/>
    <s v="BINE"/>
    <s v="BTC PERP LONG"/>
  </r>
  <r>
    <x v="0"/>
    <x v="0"/>
    <x v="1"/>
    <n v="625634"/>
    <n v="6256340"/>
    <n v="1385.94"/>
    <n v="-13.973289210000001"/>
    <x v="0"/>
    <d v="2099-12-31T08:00:00"/>
    <n v="0"/>
    <x v="1"/>
    <n v="10"/>
    <n v="4514.149241669913"/>
    <n v="6400786.1088370252"/>
    <n v="28111"/>
    <x v="0"/>
    <s v="LONG"/>
    <x v="0"/>
    <n v="6256340"/>
    <n v="1385.94"/>
    <n v="0"/>
    <n v="0"/>
    <s v="BINE"/>
    <s v="ETH PERP LONG"/>
  </r>
  <r>
    <x v="0"/>
    <x v="0"/>
    <x v="2"/>
    <n v="-104512"/>
    <n v="-10451200"/>
    <n v="18207.291577249998"/>
    <n v="-30.56990704"/>
    <x v="1"/>
    <d v="2023-03-31T08:00:00"/>
    <n v="0"/>
    <x v="0"/>
    <n v="100"/>
    <n v="-574.01178839024965"/>
    <n v="-10831365.985790243"/>
    <n v="77"/>
    <x v="1"/>
    <s v="SHORT"/>
    <x v="1"/>
    <n v="-10555712"/>
    <n v="18389.364493022498"/>
    <n v="0.01"/>
    <n v="-104512"/>
    <s v="BINE"/>
    <s v="BTC Mar 23 SHORT"/>
  </r>
  <r>
    <x v="0"/>
    <x v="0"/>
    <x v="3"/>
    <n v="-4149"/>
    <n v="-414900"/>
    <n v="18286.597918250001"/>
    <n v="-1.2599456499999999"/>
    <x v="1"/>
    <d v="2023-06-30T08:00:00"/>
    <n v="0"/>
    <x v="0"/>
    <n v="100"/>
    <n v="-22.688747346816783"/>
    <n v="-428127.31592443079"/>
    <n v="168"/>
    <x v="2"/>
    <s v="SHORT"/>
    <x v="2"/>
    <n v="-419049"/>
    <n v="18469.463897432503"/>
    <n v="0.01"/>
    <n v="-4149"/>
    <s v="BINE"/>
    <s v="BTC Jun 23 SHORT"/>
  </r>
  <r>
    <x v="0"/>
    <x v="0"/>
    <x v="4"/>
    <n v="-479349"/>
    <n v="-4793490"/>
    <n v="1393.8903773100001"/>
    <n v="-146.20890825999999"/>
    <x v="1"/>
    <d v="2023-03-31T08:00:00"/>
    <n v="0"/>
    <x v="1"/>
    <n v="10"/>
    <n v="-3438.9289703331756"/>
    <n v="-4876189.8652785774"/>
    <n v="77"/>
    <x v="1"/>
    <s v="SHORT"/>
    <x v="1"/>
    <n v="-4841424.9000000004"/>
    <n v="1407.8292810831001"/>
    <n v="0.01"/>
    <n v="-47934.900000000373"/>
    <s v="BINE"/>
    <s v="ETH Mar 23 SHORT"/>
  </r>
  <r>
    <x v="0"/>
    <x v="1"/>
    <x v="5"/>
    <n v="6000"/>
    <n v="46674"/>
    <n v="7.7789999999999999"/>
    <n v="-19982.307659999999"/>
    <x v="0"/>
    <d v="2099-12-31T08:00:00"/>
    <n v="1"/>
    <x v="2"/>
    <n v="1"/>
    <n v="6000"/>
    <n v="46674"/>
    <n v="28111"/>
    <x v="0"/>
    <s v="LONG"/>
    <x v="0"/>
    <n v="46674"/>
    <n v="7.7789999999999999"/>
    <n v="0"/>
    <n v="0"/>
    <s v="BINE"/>
    <s v="AXS PERP LONG"/>
  </r>
  <r>
    <x v="0"/>
    <x v="1"/>
    <x v="6"/>
    <n v="3173.0729999999999"/>
    <n v="57410092.481700003"/>
    <n v="18092.900000000001"/>
    <n v="509661.76956808998"/>
    <x v="0"/>
    <d v="2099-12-31T08:00:00"/>
    <n v="1"/>
    <x v="0"/>
    <n v="1"/>
    <n v="3173.0729999999999"/>
    <n v="59874580.379285462"/>
    <n v="28111"/>
    <x v="0"/>
    <s v="LONG"/>
    <x v="0"/>
    <n v="57410092.481700003"/>
    <n v="18092.900000000001"/>
    <n v="0"/>
    <n v="0"/>
    <s v="BINE"/>
    <s v="BTC PERP LONG"/>
  </r>
  <r>
    <x v="0"/>
    <x v="1"/>
    <x v="7"/>
    <n v="-913.74099999999999"/>
    <n v="-106367.432730634"/>
    <n v="116.40873369000001"/>
    <n v="-12761.84731121"/>
    <x v="0"/>
    <d v="2099-12-31T08:00:00"/>
    <n v="1"/>
    <x v="3"/>
    <n v="1"/>
    <n v="-913.74099999999999"/>
    <n v="-109384.36103886497"/>
    <n v="28111"/>
    <x v="0"/>
    <s v="SHORT"/>
    <x v="3"/>
    <n v="-106367.432730634"/>
    <n v="116.40873369000001"/>
    <n v="0"/>
    <n v="0"/>
    <s v="BINE"/>
    <s v="BCH PERP SHORT"/>
  </r>
  <r>
    <x v="0"/>
    <x v="1"/>
    <x v="8"/>
    <n v="-528044.5"/>
    <n v="-505167.59513000998"/>
    <n v="0.95667617999999999"/>
    <n v="3559.7063878499998"/>
    <x v="0"/>
    <d v="2099-12-31T08:00:00"/>
    <n v="1"/>
    <x v="4"/>
    <n v="1"/>
    <n v="-528044.5"/>
    <n v="-522892.0935442833"/>
    <n v="28111"/>
    <x v="0"/>
    <s v="SHORT"/>
    <x v="3"/>
    <n v="-505167.59513000998"/>
    <n v="0.95667617999999999"/>
    <n v="0"/>
    <n v="0"/>
    <s v="BINE"/>
    <s v="EOS PERP SHORT"/>
  </r>
  <r>
    <x v="0"/>
    <x v="1"/>
    <x v="9"/>
    <n v="-1426.922"/>
    <n v="-1978555.7759799999"/>
    <n v="1386.59"/>
    <n v="2827.5681731300001"/>
    <x v="0"/>
    <d v="2099-12-31T08:00:00"/>
    <n v="1"/>
    <x v="1"/>
    <n v="1"/>
    <n v="-1426.922"/>
    <n v="-2023287.6732748942"/>
    <n v="28111"/>
    <x v="0"/>
    <s v="SHORT"/>
    <x v="3"/>
    <n v="-1978555.7759799999"/>
    <n v="1386.59"/>
    <n v="0"/>
    <n v="0"/>
    <s v="BINE"/>
    <s v="ETH PERP SHORT"/>
  </r>
  <r>
    <x v="0"/>
    <x v="1"/>
    <x v="10"/>
    <n v="-2444.4380000000001"/>
    <n v="-203475.01912000001"/>
    <n v="83.24"/>
    <n v="796.80756375999999"/>
    <x v="0"/>
    <d v="2099-12-31T08:00:00"/>
    <n v="1"/>
    <x v="5"/>
    <n v="1"/>
    <n v="-2444.4380000000001"/>
    <n v="-210134.22911014734"/>
    <n v="28111"/>
    <x v="0"/>
    <s v="SHORT"/>
    <x v="3"/>
    <n v="-203475.01912000001"/>
    <n v="83.24"/>
    <n v="0"/>
    <n v="0"/>
    <s v="BINE"/>
    <s v="LTC PERP SHORT"/>
  </r>
  <r>
    <x v="0"/>
    <x v="1"/>
    <x v="11"/>
    <n v="-24000"/>
    <n v="-28512"/>
    <n v="1.1879999999999999"/>
    <n v="-648.70007999999996"/>
    <x v="0"/>
    <d v="2099-12-31T08:00:00"/>
    <n v="1"/>
    <x v="6"/>
    <n v="1"/>
    <n v="-24000"/>
    <n v="-29094.527941029119"/>
    <n v="28111"/>
    <x v="0"/>
    <s v="SHORT"/>
    <x v="3"/>
    <n v="-28512"/>
    <n v="1.1879999999999999"/>
    <n v="0"/>
    <n v="0"/>
    <s v="BINE"/>
    <s v="OMG PERP SHORT"/>
  </r>
  <r>
    <x v="0"/>
    <x v="1"/>
    <x v="12"/>
    <n v="-3884601"/>
    <n v="-88413.518760000006"/>
    <n v="2.2759999999999999E-2"/>
    <n v="7934.49177255"/>
    <x v="0"/>
    <d v="2099-12-31T08:00:00"/>
    <n v="1"/>
    <x v="7"/>
    <n v="1"/>
    <n v="-3884601"/>
    <n v="-93131.288622527427"/>
    <n v="28111"/>
    <x v="0"/>
    <s v="SHORT"/>
    <x v="3"/>
    <n v="-88413.518760000006"/>
    <n v="2.2759999999999999E-2"/>
    <n v="0"/>
    <n v="0"/>
    <s v="BINE"/>
    <s v="ZIL PERP SHORT"/>
  </r>
  <r>
    <x v="0"/>
    <x v="1"/>
    <x v="13"/>
    <n v="-200.97900000000001"/>
    <n v="-7406.0761499999999"/>
    <n v="36.85"/>
    <n v="2554.9602190099999"/>
    <x v="0"/>
    <d v="2099-12-31T08:00:00"/>
    <n v="1"/>
    <x v="8"/>
    <n v="1"/>
    <n v="-200.97900000000001"/>
    <n v="-7578.1982253313827"/>
    <n v="28111"/>
    <x v="0"/>
    <s v="SHORT"/>
    <x v="3"/>
    <n v="-7406.0761499999999"/>
    <n v="36.85"/>
    <n v="0"/>
    <n v="0"/>
    <s v="BINE"/>
    <s v="COMP PERP SHORT"/>
  </r>
  <r>
    <x v="0"/>
    <x v="1"/>
    <x v="14"/>
    <n v="-48333.69"/>
    <n v="-299592.34933527501"/>
    <n v="6.1984166600000004"/>
    <n v="-435.06459378"/>
    <x v="0"/>
    <d v="2099-12-31T08:00:00"/>
    <n v="1"/>
    <x v="9"/>
    <n v="1"/>
    <n v="-48333.69"/>
    <n v="-308433.30104275077"/>
    <n v="28111"/>
    <x v="0"/>
    <s v="SHORT"/>
    <x v="3"/>
    <n v="-299592.34933527501"/>
    <n v="6.1984166600000004"/>
    <n v="0"/>
    <n v="0"/>
    <s v="BINE"/>
    <s v="LINK PERP SHORT"/>
  </r>
  <r>
    <x v="0"/>
    <x v="1"/>
    <x v="15"/>
    <n v="-266.39499999999998"/>
    <n v="-4850799.5077376002"/>
    <n v="18209.048622300001"/>
    <n v="-251374.41690672"/>
    <x v="1"/>
    <d v="2023-03-31T08:00:00"/>
    <n v="1"/>
    <x v="0"/>
    <n v="1"/>
    <n v="-266.39499999999998"/>
    <n v="-5026763.9099824522"/>
    <n v="77"/>
    <x v="1"/>
    <s v="SHORT"/>
    <x v="1"/>
    <n v="-4899307.5028149765"/>
    <n v="18391.139108523003"/>
    <n v="0.01"/>
    <n v="-48507.995077376254"/>
    <s v="BINE"/>
    <s v="BTC Mar 23 SHORT"/>
  </r>
  <r>
    <x v="0"/>
    <x v="1"/>
    <x v="16"/>
    <n v="-4870.1139999999996"/>
    <n v="-6789470.4172550198"/>
    <n v="1394.1091352799999"/>
    <n v="-412443.21422740998"/>
    <x v="1"/>
    <d v="2023-03-31T08:00:00"/>
    <n v="1"/>
    <x v="1"/>
    <n v="1"/>
    <n v="-4870.1139999999996"/>
    <n v="-6905522.2525432268"/>
    <n v="77"/>
    <x v="1"/>
    <s v="SHORT"/>
    <x v="1"/>
    <n v="-6857365.1214275705"/>
    <n v="1408.0502266327999"/>
    <n v="0.01"/>
    <n v="-67894.704172550701"/>
    <s v="BINE"/>
    <s v="ETH Mar 23 SHORT"/>
  </r>
  <r>
    <x v="0"/>
    <x v="2"/>
    <x v="6"/>
    <n v="43.820999999999998"/>
    <n v="792539.29350559402"/>
    <n v="18085.833128080001"/>
    <n v="-778.06830797999999"/>
    <x v="0"/>
    <d v="2099-12-31T08:00:00"/>
    <n v="1"/>
    <x v="0"/>
    <n v="1"/>
    <n v="43.820999999999998"/>
    <n v="826884.21816978941"/>
    <n v="28111"/>
    <x v="0"/>
    <s v="LONG"/>
    <x v="0"/>
    <n v="792539.29350559402"/>
    <n v="18085.833128080001"/>
    <n v="0"/>
    <n v="0"/>
    <s v="BINE"/>
    <s v="BTC PERP LONG"/>
  </r>
  <r>
    <x v="1"/>
    <x v="3"/>
    <x v="17"/>
    <n v="-1.4123000000000001"/>
    <n v="-25561.317002344"/>
    <n v="18099.0703125"/>
    <n v="2002.1107440000001"/>
    <x v="0"/>
    <d v="2099-12-31T08:00:00"/>
    <n v="1"/>
    <x v="0"/>
    <n v="1"/>
    <n v="-1.4123000000000001"/>
    <n v="-26649.519210451468"/>
    <n v="28111"/>
    <x v="0"/>
    <s v="SHORT"/>
    <x v="3"/>
    <n v="-25561.317002344"/>
    <n v="18099.0703125"/>
    <n v="0"/>
    <n v="0"/>
    <s v="DYDX"/>
    <s v="BTC PERP SHORT"/>
  </r>
  <r>
    <x v="1"/>
    <x v="3"/>
    <x v="18"/>
    <n v="-426.6"/>
    <n v="-5050.9440650939996"/>
    <n v="11.840000153"/>
    <n v="4327.0327079999997"/>
    <x v="0"/>
    <d v="2099-12-31T08:00:00"/>
    <n v="1"/>
    <x v="10"/>
    <n v="1"/>
    <n v="-426.6"/>
    <n v="-5236.3835356980007"/>
    <n v="28111"/>
    <x v="0"/>
    <s v="SHORT"/>
    <x v="3"/>
    <n v="-5050.9440650939996"/>
    <n v="11.840000153"/>
    <n v="0"/>
    <n v="0"/>
    <s v="DYDX"/>
    <s v="ATOM PERP SHORT"/>
  </r>
  <r>
    <x v="2"/>
    <x v="4"/>
    <x v="19"/>
    <n v="-3391"/>
    <n v="-339100"/>
    <n v="18121.599999999999"/>
    <n v="1.3929805E-2"/>
    <x v="0"/>
    <d v="2099-12-31T08:00:00"/>
    <n v="0"/>
    <x v="0"/>
    <n v="100"/>
    <n v="-18.71247571958326"/>
    <n v="-353096.708322694"/>
    <n v="28111"/>
    <x v="0"/>
    <s v="SHORT"/>
    <x v="3"/>
    <n v="-339100"/>
    <n v="18121.599999999999"/>
    <n v="0"/>
    <n v="0"/>
    <s v="HUBI"/>
    <s v="BTC PERP SHORT"/>
  </r>
  <r>
    <x v="2"/>
    <x v="4"/>
    <x v="20"/>
    <n v="-149"/>
    <n v="-1490"/>
    <n v="1383.98"/>
    <n v="1.2433458E-2"/>
    <x v="0"/>
    <d v="2099-12-31T08:00:00"/>
    <n v="0"/>
    <x v="1"/>
    <n v="10"/>
    <n v="-1.0766051532536598"/>
    <n v="-1526.5599209784123"/>
    <n v="28111"/>
    <x v="0"/>
    <s v="SHORT"/>
    <x v="3"/>
    <n v="-1490"/>
    <n v="1383.98"/>
    <n v="0"/>
    <n v="0"/>
    <s v="HUBI"/>
    <s v="ETH PERP SHORT"/>
  </r>
  <r>
    <x v="2"/>
    <x v="5"/>
    <x v="21"/>
    <n v="0.64600000000000002"/>
    <n v="11685.429400000001"/>
    <n v="18088.900000000001"/>
    <n v="-20.413599999999999"/>
    <x v="0"/>
    <d v="2099-12-31T08:00:00"/>
    <n v="1"/>
    <x v="0"/>
    <n v="1"/>
    <n v="0.64600000000000002"/>
    <n v="12189.753883701513"/>
    <n v="28111"/>
    <x v="0"/>
    <s v="LONG"/>
    <x v="0"/>
    <n v="11685.429400000001"/>
    <n v="18088.900000000001"/>
    <n v="0"/>
    <n v="0"/>
    <s v="HUBI"/>
    <s v="BTC PERP LONG"/>
  </r>
  <r>
    <x v="2"/>
    <x v="5"/>
    <x v="22"/>
    <n v="-0.41"/>
    <n v="-568.76840000000004"/>
    <n v="1387.24"/>
    <n v="5.0430000000000001"/>
    <x v="0"/>
    <d v="2099-12-31T08:00:00"/>
    <n v="1"/>
    <x v="1"/>
    <n v="1"/>
    <n v="-0.41"/>
    <n v="-581.35479447559612"/>
    <n v="28111"/>
    <x v="0"/>
    <s v="SHORT"/>
    <x v="3"/>
    <n v="-568.76840000000004"/>
    <n v="1387.24"/>
    <n v="0"/>
    <n v="0"/>
    <s v="HUBI"/>
    <s v="ETH PERP SHORT"/>
  </r>
  <r>
    <x v="3"/>
    <x v="6"/>
    <x v="23"/>
    <n v="51768"/>
    <n v="5176800"/>
    <n v="18107.900000000001"/>
    <n v="0.42231638799999999"/>
    <x v="0"/>
    <d v="2099-12-31T08:00:00"/>
    <n v="0"/>
    <x v="0"/>
    <n v="100"/>
    <n v="285.88627063325947"/>
    <n v="5394556.1575057525"/>
    <n v="28111"/>
    <x v="0"/>
    <s v="LONG"/>
    <x v="0"/>
    <n v="5176800"/>
    <n v="18107.900000000001"/>
    <n v="0"/>
    <n v="0"/>
    <s v="OKEX"/>
    <s v="BTC PERP LONG"/>
  </r>
  <r>
    <x v="3"/>
    <x v="6"/>
    <x v="24"/>
    <n v="253470"/>
    <n v="2534700"/>
    <n v="1387.43"/>
    <n v="-7.4565637440000003"/>
    <x v="0"/>
    <d v="2099-12-31T08:00:00"/>
    <n v="0"/>
    <x v="1"/>
    <n v="10"/>
    <n v="1826.902978889025"/>
    <n v="2590436.1117533743"/>
    <n v="28111"/>
    <x v="0"/>
    <s v="LONG"/>
    <x v="0"/>
    <n v="2534700"/>
    <n v="1387.43"/>
    <n v="0"/>
    <n v="0"/>
    <s v="OKEX"/>
    <s v="ETH PERP LONG"/>
  </r>
  <r>
    <x v="3"/>
    <x v="6"/>
    <x v="25"/>
    <n v="79404"/>
    <n v="14377840.766630201"/>
    <n v="18107.2"/>
    <n v="54412.331657442002"/>
    <x v="0"/>
    <d v="2099-12-31T08:00:00"/>
    <n v="1"/>
    <x v="0"/>
    <n v="0.01"/>
    <n v="794.04"/>
    <n v="14983207.699403016"/>
    <n v="28111"/>
    <x v="0"/>
    <s v="LONG"/>
    <x v="0"/>
    <n v="14377840.766630201"/>
    <n v="18107.2"/>
    <n v="0"/>
    <n v="0"/>
    <s v="OKEX"/>
    <s v="BTC PERP LONG"/>
  </r>
  <r>
    <x v="3"/>
    <x v="6"/>
    <x v="26"/>
    <n v="82157"/>
    <n v="11400187.646876"/>
    <n v="1387.61"/>
    <n v="-52344.481048977003"/>
    <x v="0"/>
    <d v="2099-12-31T08:00:00"/>
    <n v="1"/>
    <x v="1"/>
    <n v="0.1"/>
    <n v="8215.7000000000007"/>
    <n v="11649357.524324769"/>
    <n v="28111"/>
    <x v="0"/>
    <s v="LONG"/>
    <x v="0"/>
    <n v="11400187.646876"/>
    <n v="1387.61"/>
    <n v="0"/>
    <n v="0"/>
    <s v="OKEX"/>
    <s v="ETH PERP LONG"/>
  </r>
  <r>
    <x v="3"/>
    <x v="6"/>
    <x v="27"/>
    <n v="5176"/>
    <n v="721772.50675524794"/>
    <n v="1394.46"/>
    <n v="39943.057889452"/>
    <x v="1"/>
    <d v="2023-03-31T08:00:00"/>
    <n v="1"/>
    <x v="1"/>
    <n v="0.1"/>
    <n v="517.6"/>
    <n v="733924.97956236242"/>
    <n v="77"/>
    <x v="1"/>
    <s v="LONG"/>
    <x v="4"/>
    <n v="728990.23182280047"/>
    <n v="1408.4046000000001"/>
    <n v="0.01"/>
    <n v="7217.7250675525283"/>
    <s v="OKEX"/>
    <s v="ETH Mar 23 LONG"/>
  </r>
  <r>
    <x v="3"/>
    <x v="6"/>
    <x v="28"/>
    <n v="717"/>
    <n v="100017.916490383"/>
    <n v="1394.95"/>
    <n v="4057.562043167"/>
    <x v="1"/>
    <d v="2023-06-30T08:00:00"/>
    <n v="1"/>
    <x v="1"/>
    <n v="0.1"/>
    <n v="71.7"/>
    <n v="101666.19210707377"/>
    <n v="168"/>
    <x v="2"/>
    <s v="LONG"/>
    <x v="5"/>
    <n v="101018.09565528683"/>
    <n v="1408.8995"/>
    <n v="0.01"/>
    <n v="1000.179164903835"/>
    <s v="OKEX"/>
    <s v="ETH Jun 23 LONG"/>
  </r>
  <r>
    <x v="3"/>
    <x v="6"/>
    <x v="29"/>
    <n v="-2250"/>
    <n v="-21550.5"/>
    <n v="0.95779999999999998"/>
    <n v="-36.667999999999999"/>
    <x v="0"/>
    <d v="2099-12-31T08:00:00"/>
    <n v="1"/>
    <x v="4"/>
    <n v="10"/>
    <n v="-22500"/>
    <n v="-22280.455728156194"/>
    <n v="28111"/>
    <x v="0"/>
    <s v="SHORT"/>
    <x v="3"/>
    <n v="-21550.5"/>
    <n v="0.95779999999999998"/>
    <n v="0"/>
    <n v="0"/>
    <s v="OKEX"/>
    <s v="EOS PERP SHORT"/>
  </r>
  <r>
    <x v="3"/>
    <x v="6"/>
    <x v="30"/>
    <n v="-91454"/>
    <n v="-9145400"/>
    <n v="18209.599999999999"/>
    <n v="-20.628144206999998"/>
    <x v="1"/>
    <d v="2023-03-31T08:00:00"/>
    <n v="0"/>
    <x v="0"/>
    <n v="100"/>
    <n v="-502.22959318161855"/>
    <n v="-9476865.5325007215"/>
    <n v="77"/>
    <x v="1"/>
    <s v="SHORT"/>
    <x v="1"/>
    <n v="-9236854"/>
    <n v="18391.696"/>
    <n v="0.01"/>
    <n v="-91454"/>
    <s v="OKEX"/>
    <s v="BTC Mar 23 SHORT"/>
  </r>
  <r>
    <x v="3"/>
    <x v="6"/>
    <x v="31"/>
    <n v="-3192"/>
    <n v="-319200"/>
    <n v="18290.599999999999"/>
    <n v="-0.190820879"/>
    <x v="1"/>
    <d v="2023-06-30T08:00:00"/>
    <n v="0"/>
    <x v="0"/>
    <n v="100"/>
    <n v="-17.451587154057275"/>
    <n v="-329304.26050762401"/>
    <n v="168"/>
    <x v="2"/>
    <s v="SHORT"/>
    <x v="2"/>
    <n v="-322392"/>
    <n v="18473.505999999998"/>
    <n v="0.01"/>
    <n v="-3192"/>
    <s v="OKEX"/>
    <s v="BTC Jun 23 SHORT"/>
  </r>
  <r>
    <x v="3"/>
    <x v="6"/>
    <x v="32"/>
    <n v="-621487"/>
    <n v="-6214870"/>
    <n v="1395.47"/>
    <n v="-292.53851759200001"/>
    <x v="1"/>
    <d v="2023-03-31T08:00:00"/>
    <n v="0"/>
    <x v="1"/>
    <n v="10"/>
    <n v="-4453.6034454341543"/>
    <n v="-6314935.8919419013"/>
    <n v="77"/>
    <x v="1"/>
    <s v="SHORT"/>
    <x v="1"/>
    <n v="-6277018.7000000002"/>
    <n v="1409.4247"/>
    <n v="0.01"/>
    <n v="-62148.700000000186"/>
    <s v="OKEX"/>
    <s v="ETH Mar 23 SHORT"/>
  </r>
  <r>
    <x v="3"/>
    <x v="6"/>
    <x v="33"/>
    <n v="-22276"/>
    <n v="-138289.408"/>
    <n v="6.2080000000000002"/>
    <n v="170.00881966399999"/>
    <x v="0"/>
    <d v="2099-12-31T08:00:00"/>
    <n v="1"/>
    <x v="9"/>
    <n v="1"/>
    <n v="-22276"/>
    <n v="-142150.541662106"/>
    <n v="28111"/>
    <x v="0"/>
    <s v="SHORT"/>
    <x v="3"/>
    <n v="-138289.408"/>
    <n v="6.2080000000000002"/>
    <n v="0"/>
    <n v="0"/>
    <s v="OKEX"/>
    <s v="LINK PERP SHORT"/>
  </r>
  <r>
    <x v="3"/>
    <x v="6"/>
    <x v="34"/>
    <n v="-89029"/>
    <n v="-827969.7"/>
    <n v="9.3000000000000007E-6"/>
    <n v="104940.705870498"/>
    <x v="0"/>
    <d v="2099-12-31T08:00:00"/>
    <n v="1"/>
    <x v="11"/>
    <n v="1000000"/>
    <n v="-89029000000"/>
    <n v="-843227.78742992668"/>
    <n v="28111"/>
    <x v="0"/>
    <s v="SHORT"/>
    <x v="3"/>
    <n v="-827969.7"/>
    <n v="9.3000000000000007E-6"/>
    <n v="0"/>
    <n v="0"/>
    <s v="OKEX"/>
    <s v="SHIB PERP SHORT"/>
  </r>
  <r>
    <x v="3"/>
    <x v="6"/>
    <x v="35"/>
    <n v="-3200"/>
    <n v="-582403.18698227406"/>
    <n v="18200.099999999999"/>
    <n v="2813.6667197510001"/>
    <x v="1"/>
    <d v="2023-03-31T08:00:00"/>
    <n v="1"/>
    <x v="0"/>
    <n v="0.01"/>
    <n v="-32"/>
    <n v="-603826.817768496"/>
    <n v="77"/>
    <x v="1"/>
    <s v="SHORT"/>
    <x v="1"/>
    <n v="-588227.21885209682"/>
    <n v="18382.100999999999"/>
    <n v="0.01"/>
    <n v="-5824.0318698227638"/>
    <s v="OKEX"/>
    <s v="BTC Mar 23 SHORT"/>
  </r>
  <r>
    <x v="3"/>
    <x v="6"/>
    <x v="36"/>
    <n v="-382"/>
    <n v="-69676.798442601998"/>
    <n v="18240"/>
    <n v="-1602.914621053"/>
    <x v="1"/>
    <d v="2023-06-30T08:00:00"/>
    <n v="1"/>
    <x v="0"/>
    <n v="0.01"/>
    <n v="-3.8200000000000003"/>
    <n v="-72081.826371114221"/>
    <n v="168"/>
    <x v="2"/>
    <s v="SHORT"/>
    <x v="2"/>
    <n v="-70373.566427028025"/>
    <n v="18422.400000000001"/>
    <n v="0.01"/>
    <n v="-696.7679844260274"/>
    <s v="OKEX"/>
    <s v="BTC Jun 23 SHORT"/>
  </r>
  <r>
    <x v="3"/>
    <x v="7"/>
    <x v="37"/>
    <n v="17440"/>
    <n v="13585.760202444"/>
    <n v="7.79"/>
    <n v="-17948.250061801002"/>
    <x v="0"/>
    <d v="2099-12-31T08:00:00"/>
    <n v="1"/>
    <x v="2"/>
    <n v="0.1"/>
    <n v="1744"/>
    <n v="13585.76"/>
    <n v="28111"/>
    <x v="0"/>
    <s v="LONG"/>
    <x v="0"/>
    <n v="13585.760202444"/>
    <n v="7.79"/>
    <n v="0"/>
    <n v="0"/>
    <s v="OKEX"/>
    <s v="AXS PERP LONG"/>
  </r>
  <r>
    <x v="4"/>
    <x v="8"/>
    <x v="38"/>
    <n v="17"/>
    <n v="1215500"/>
    <n v="1430"/>
    <n v="0"/>
    <x v="2"/>
    <d v="2023-02-25T00:00:00"/>
    <n v="1"/>
    <x v="1"/>
    <n v="50"/>
    <n v="850"/>
    <n v="1205247.7446445285"/>
    <n v="43"/>
    <x v="3"/>
    <s v="LONG"/>
    <x v="6"/>
    <n v="1227655"/>
    <n v="1444.3"/>
    <n v="0.01"/>
    <n v="12155"/>
    <s v="ED&amp;F"/>
    <s v="ETH CME Feb 23 LONG"/>
  </r>
  <r>
    <x v="4"/>
    <x v="8"/>
    <x v="39"/>
    <n v="-267"/>
    <n v="-19183950"/>
    <n v="1437"/>
    <n v="0"/>
    <x v="2"/>
    <d v="2023-01-28T00:00:00"/>
    <n v="1"/>
    <x v="1"/>
    <n v="50"/>
    <n v="-13350"/>
    <n v="-18929479.283534653"/>
    <n v="15"/>
    <x v="4"/>
    <s v="SHORT"/>
    <x v="7"/>
    <n v="-19375789.5"/>
    <n v="1451.3700000000001"/>
    <n v="0.01"/>
    <n v="-191839.5"/>
    <s v="ED&amp;F"/>
    <s v="ETH CME Jan 23 SHORT"/>
  </r>
  <r>
    <x v="4"/>
    <x v="8"/>
    <x v="40"/>
    <n v="-796"/>
    <n v="-76236900"/>
    <n v="19155"/>
    <n v="0"/>
    <x v="2"/>
    <d v="2023-01-28T00:00:00"/>
    <n v="1"/>
    <x v="0"/>
    <n v="5"/>
    <n v="-3980"/>
    <n v="-75100960.459956691"/>
    <n v="15"/>
    <x v="4"/>
    <s v="SHORT"/>
    <x v="7"/>
    <n v="-76999269"/>
    <n v="19346.55"/>
    <n v="0.01"/>
    <n v="-762369"/>
    <s v="ED&amp;F"/>
    <s v="BTC CME Jan 23 SHORT"/>
  </r>
  <r>
    <x v="4"/>
    <x v="8"/>
    <x v="41"/>
    <n v="4"/>
    <n v="382600"/>
    <n v="19130"/>
    <n v="0"/>
    <x v="2"/>
    <d v="2023-02-25T00:00:00"/>
    <n v="1"/>
    <x v="0"/>
    <n v="5"/>
    <n v="20"/>
    <n v="377391.76110531"/>
    <n v="43"/>
    <x v="3"/>
    <s v="LONG"/>
    <x v="6"/>
    <n v="386426"/>
    <n v="19321.3"/>
    <n v="0.01"/>
    <n v="3826"/>
    <s v="ED&amp;F"/>
    <s v="BTC CME Feb 23 LONG"/>
  </r>
  <r>
    <x v="0"/>
    <x v="9"/>
    <x v="42"/>
    <n v="628.35861419000003"/>
    <n v="42641.129708168803"/>
    <n v="67.861136531304297"/>
    <n v="0"/>
    <x v="3"/>
    <d v="2023-01-13T00:00:00"/>
    <n v="1"/>
    <x v="12"/>
    <n v="1"/>
    <n v="628.35861419000003"/>
    <n v="42641.129708168752"/>
    <n v="0"/>
    <x v="5"/>
    <s v="LONG"/>
    <x v="8"/>
    <n v="42641.129708168803"/>
    <n v="67.861136531304297"/>
    <n v="0"/>
    <n v="0"/>
    <s v="BINE"/>
    <s v="AAVE COIN LONG"/>
  </r>
  <r>
    <x v="0"/>
    <x v="9"/>
    <x v="43"/>
    <n v="291912.33526399999"/>
    <n v="96260.566435433502"/>
    <n v="0.329758474743375"/>
    <n v="0"/>
    <x v="3"/>
    <d v="2023-01-13T00:00:00"/>
    <n v="1"/>
    <x v="13"/>
    <n v="1"/>
    <n v="291912.33526399999"/>
    <n v="96260.566435433357"/>
    <n v="0"/>
    <x v="5"/>
    <s v="LONG"/>
    <x v="8"/>
    <n v="96260.566435433502"/>
    <n v="0.329758474743375"/>
    <n v="0"/>
    <n v="0"/>
    <s v="BINE"/>
    <s v="ADA COIN LONG"/>
  </r>
  <r>
    <x v="0"/>
    <x v="9"/>
    <x v="44"/>
    <n v="215007.15676099999"/>
    <n v="45694.716690300898"/>
    <n v="0.21252649157671899"/>
    <n v="0"/>
    <x v="3"/>
    <d v="2023-01-13T00:00:00"/>
    <n v="1"/>
    <x v="14"/>
    <n v="1"/>
    <n v="215007.15676099999"/>
    <n v="45694.716690300964"/>
    <n v="0"/>
    <x v="5"/>
    <s v="LONG"/>
    <x v="8"/>
    <n v="45694.716690300898"/>
    <n v="0.21252649157671899"/>
    <n v="0"/>
    <n v="0"/>
    <s v="BINE"/>
    <s v="ALGO COIN LONG"/>
  </r>
  <r>
    <x v="0"/>
    <x v="9"/>
    <x v="45"/>
    <n v="4.2548999999999998E-3"/>
    <n v="5.2227586277640702E-2"/>
    <n v="12.274691832390999"/>
    <n v="0"/>
    <x v="3"/>
    <d v="2023-01-13T00:00:00"/>
    <n v="1"/>
    <x v="10"/>
    <n v="1"/>
    <n v="4.2548999999999998E-3"/>
    <n v="5.2227586277640459E-2"/>
    <n v="0"/>
    <x v="5"/>
    <s v="LONG"/>
    <x v="8"/>
    <n v="5.2227586277640702E-2"/>
    <n v="12.274691832390999"/>
    <n v="0"/>
    <n v="0"/>
    <s v="BINE"/>
    <s v="ATOM COIN LONG"/>
  </r>
  <r>
    <x v="0"/>
    <x v="9"/>
    <x v="46"/>
    <n v="3951.2305524499998"/>
    <n v="61075.554606368001"/>
    <n v="15.4573502597811"/>
    <n v="0"/>
    <x v="3"/>
    <d v="2023-01-13T00:00:00"/>
    <n v="1"/>
    <x v="15"/>
    <n v="1"/>
    <n v="3951.2305524499998"/>
    <n v="61075.554606368023"/>
    <n v="0"/>
    <x v="5"/>
    <s v="LONG"/>
    <x v="8"/>
    <n v="61075.554606368001"/>
    <n v="15.4573502597811"/>
    <n v="0"/>
    <n v="0"/>
    <s v="BINE"/>
    <s v="AVAX COIN LONG"/>
  </r>
  <r>
    <x v="0"/>
    <x v="9"/>
    <x v="47"/>
    <n v="99068.070622019994"/>
    <n v="20286.566598580001"/>
    <n v="0.20477401519184199"/>
    <n v="0"/>
    <x v="3"/>
    <d v="2023-01-13T00:00:00"/>
    <n v="1"/>
    <x v="16"/>
    <n v="1"/>
    <n v="99068.070622019994"/>
    <n v="20286.566598579997"/>
    <n v="0"/>
    <x v="5"/>
    <s v="LONG"/>
    <x v="8"/>
    <n v="20286.566598580001"/>
    <n v="0.20477401519184199"/>
    <n v="0"/>
    <n v="0"/>
    <s v="BINE"/>
    <s v="BAT COIN LONG"/>
  </r>
  <r>
    <x v="0"/>
    <x v="9"/>
    <x v="48"/>
    <n v="647.60989974999995"/>
    <n v="77525.682974275202"/>
    <n v="119.710466137412"/>
    <n v="0"/>
    <x v="3"/>
    <d v="2023-01-13T00:00:00"/>
    <n v="1"/>
    <x v="3"/>
    <n v="1"/>
    <n v="647.60989974999995"/>
    <n v="77525.682974275143"/>
    <n v="0"/>
    <x v="5"/>
    <s v="LONG"/>
    <x v="8"/>
    <n v="77525.682974275202"/>
    <n v="119.710466137412"/>
    <n v="0"/>
    <n v="0"/>
    <s v="BINE"/>
    <s v="BCH COIN LONG"/>
  </r>
  <r>
    <x v="0"/>
    <x v="9"/>
    <x v="49"/>
    <n v="36.319834"/>
    <n v="10453.2962784585"/>
    <n v="287.81233632451398"/>
    <n v="0"/>
    <x v="3"/>
    <d v="2023-01-13T00:00:00"/>
    <n v="1"/>
    <x v="17"/>
    <n v="1"/>
    <n v="36.319834"/>
    <n v="10453.296278458518"/>
    <n v="0"/>
    <x v="5"/>
    <s v="LONG"/>
    <x v="8"/>
    <n v="10453.2962784585"/>
    <n v="287.81233632451398"/>
    <n v="0"/>
    <n v="0"/>
    <s v="BINE"/>
    <s v="BNB COIN LONG"/>
  </r>
  <r>
    <x v="0"/>
    <x v="9"/>
    <x v="50"/>
    <n v="54.877967439999999"/>
    <n v="1035524.63890307"/>
    <n v="18869.5880552655"/>
    <n v="0"/>
    <x v="3"/>
    <d v="2023-01-13T00:00:00"/>
    <n v="1"/>
    <x v="0"/>
    <n v="1"/>
    <n v="54.877967439999999"/>
    <n v="1035524.638903073"/>
    <n v="0"/>
    <x v="5"/>
    <s v="LONG"/>
    <x v="8"/>
    <n v="1035524.63890307"/>
    <n v="18869.5880552655"/>
    <n v="0"/>
    <n v="0"/>
    <s v="BINE"/>
    <s v="BTC COIN LONG"/>
  </r>
  <r>
    <x v="0"/>
    <x v="9"/>
    <x v="51"/>
    <n v="926.54662797000003"/>
    <n v="926.84225655627404"/>
    <n v="1.00031906498534"/>
    <n v="0"/>
    <x v="3"/>
    <d v="2023-01-13T00:00:00"/>
    <n v="1"/>
    <x v="18"/>
    <n v="1"/>
    <n v="926.54662797000003"/>
    <n v="926.84225655627006"/>
    <n v="0"/>
    <x v="5"/>
    <s v="LONG"/>
    <x v="8"/>
    <n v="926.84225655627404"/>
    <n v="1.00031906498534"/>
    <n v="0"/>
    <n v="0"/>
    <s v="BINE"/>
    <s v="BUSD COIN LONG"/>
  </r>
  <r>
    <x v="0"/>
    <x v="9"/>
    <x v="52"/>
    <n v="2144.7124639100002"/>
    <n v="80869.425103363305"/>
    <n v="37.706418209521303"/>
    <n v="0"/>
    <x v="3"/>
    <d v="2023-01-13T00:00:00"/>
    <n v="1"/>
    <x v="8"/>
    <n v="1"/>
    <n v="2144.7124639100002"/>
    <n v="80869.425103363334"/>
    <n v="0"/>
    <x v="5"/>
    <s v="LONG"/>
    <x v="8"/>
    <n v="80869.425103363305"/>
    <n v="37.706418209521303"/>
    <n v="0"/>
    <n v="0"/>
    <s v="BINE"/>
    <s v="COMP COIN LONG"/>
  </r>
  <r>
    <x v="0"/>
    <x v="9"/>
    <x v="53"/>
    <n v="1.5637979999999999E-2"/>
    <n v="1.0776384243842E-2"/>
    <n v="0.68911612905516495"/>
    <n v="0"/>
    <x v="3"/>
    <d v="2023-01-13T00:00:00"/>
    <n v="1"/>
    <x v="19"/>
    <n v="1"/>
    <n v="1.5637979999999999E-2"/>
    <n v="1.0776384243842087E-2"/>
    <n v="0"/>
    <x v="5"/>
    <s v="LONG"/>
    <x v="8"/>
    <n v="1.0776384243842E-2"/>
    <n v="0.68911612905516495"/>
    <n v="0"/>
    <n v="0"/>
    <s v="BINE"/>
    <s v="CRV COIN LONG"/>
  </r>
  <r>
    <x v="0"/>
    <x v="9"/>
    <x v="54"/>
    <n v="897.22841947999996"/>
    <n v="44284.042928966599"/>
    <n v="49.356487119112799"/>
    <n v="0"/>
    <x v="3"/>
    <d v="2023-01-13T00:00:00"/>
    <n v="1"/>
    <x v="20"/>
    <n v="1"/>
    <n v="897.22841947999996"/>
    <n v="44284.042928966555"/>
    <n v="0"/>
    <x v="5"/>
    <s v="LONG"/>
    <x v="8"/>
    <n v="44284.042928966599"/>
    <n v="49.356487119112799"/>
    <n v="0"/>
    <n v="0"/>
    <s v="BINE"/>
    <s v="DASH COIN LONG"/>
  </r>
  <r>
    <x v="0"/>
    <x v="9"/>
    <x v="55"/>
    <n v="572364.17811884999"/>
    <n v="45952.679301803502"/>
    <n v="8.0285736002614697E-2"/>
    <n v="0"/>
    <x v="3"/>
    <d v="2023-01-13T00:00:00"/>
    <n v="1"/>
    <x v="21"/>
    <n v="1"/>
    <n v="572364.17811884999"/>
    <n v="45952.679301803524"/>
    <n v="0"/>
    <x v="5"/>
    <s v="LONG"/>
    <x v="8"/>
    <n v="45952.679301803502"/>
    <n v="8.0285736002614697E-2"/>
    <n v="0"/>
    <n v="0"/>
    <s v="BINE"/>
    <s v="DOGE COIN LONG"/>
  </r>
  <r>
    <x v="0"/>
    <x v="9"/>
    <x v="56"/>
    <n v="4160.7489116799998"/>
    <n v="21758.5446436567"/>
    <n v="5.2294779390740098"/>
    <n v="0"/>
    <x v="3"/>
    <d v="2023-01-13T00:00:00"/>
    <n v="1"/>
    <x v="22"/>
    <n v="1"/>
    <n v="4160.7489116799998"/>
    <n v="21758.544643656754"/>
    <n v="0"/>
    <x v="5"/>
    <s v="LONG"/>
    <x v="8"/>
    <n v="21758.5446436567"/>
    <n v="5.2294779390740098"/>
    <n v="0"/>
    <n v="0"/>
    <s v="BINE"/>
    <s v="DOT COIN LONG"/>
  </r>
  <r>
    <x v="0"/>
    <x v="9"/>
    <x v="57"/>
    <n v="46415.886590100003"/>
    <n v="14114.894680797301"/>
    <n v="0.304096198903759"/>
    <n v="0"/>
    <x v="3"/>
    <d v="2023-01-13T00:00:00"/>
    <n v="1"/>
    <x v="23"/>
    <n v="1"/>
    <n v="46415.886590100003"/>
    <n v="14114.89468079737"/>
    <n v="0"/>
    <x v="5"/>
    <s v="LONG"/>
    <x v="8"/>
    <n v="14114.894680797301"/>
    <n v="0.304096198903759"/>
    <n v="0"/>
    <n v="0"/>
    <s v="BINE"/>
    <s v="ENJ COIN LONG"/>
  </r>
  <r>
    <x v="0"/>
    <x v="9"/>
    <x v="58"/>
    <n v="91912.112699999998"/>
    <n v="91015.278128606806"/>
    <n v="0.990242476806942"/>
    <n v="0"/>
    <x v="3"/>
    <d v="2023-01-13T00:00:00"/>
    <n v="1"/>
    <x v="4"/>
    <n v="1"/>
    <n v="91912.112699999998"/>
    <n v="91015.278128606791"/>
    <n v="0"/>
    <x v="5"/>
    <s v="LONG"/>
    <x v="8"/>
    <n v="91015.278128606806"/>
    <n v="0.990242476806942"/>
    <n v="0"/>
    <n v="0"/>
    <s v="BINE"/>
    <s v="EOS COIN LONG"/>
  </r>
  <r>
    <x v="0"/>
    <x v="9"/>
    <x v="59"/>
    <n v="30.1417"/>
    <n v="42739.0775820614"/>
    <n v="1417.9385231112101"/>
    <n v="0"/>
    <x v="3"/>
    <d v="2023-01-13T00:00:00"/>
    <n v="1"/>
    <x v="1"/>
    <n v="1"/>
    <n v="30.1417"/>
    <n v="42739.07758206116"/>
    <n v="0"/>
    <x v="5"/>
    <s v="LONG"/>
    <x v="8"/>
    <n v="42739.0775820614"/>
    <n v="1417.9385231112101"/>
    <n v="0"/>
    <n v="0"/>
    <s v="BINE"/>
    <s v="ETH COIN LONG"/>
  </r>
  <r>
    <x v="0"/>
    <x v="9"/>
    <x v="60"/>
    <n v="799777.3893865"/>
    <n v="867934.41851001699"/>
    <n v="1.0852200000000001"/>
    <n v="0"/>
    <x v="3"/>
    <d v="2023-01-13T00:00:00"/>
    <n v="1"/>
    <x v="24"/>
    <n v="1"/>
    <n v="799777.3893865"/>
    <n v="867934.41851001757"/>
    <n v="0"/>
    <x v="6"/>
    <s v="LONG"/>
    <x v="9"/>
    <n v="867934.41851001699"/>
    <n v="1.0852200000000001"/>
    <n v="0"/>
    <n v="0"/>
    <s v="BINE"/>
    <s v="EUR CASH LONG"/>
  </r>
  <r>
    <x v="0"/>
    <x v="9"/>
    <x v="61"/>
    <n v="0.19800000000000001"/>
    <n v="0.7629464615821"/>
    <n v="3.8532649574853499"/>
    <n v="0"/>
    <x v="3"/>
    <d v="2023-01-13T00:00:00"/>
    <n v="1"/>
    <x v="25"/>
    <n v="1"/>
    <n v="0.19800000000000001"/>
    <n v="0.76294646158209933"/>
    <n v="0"/>
    <x v="5"/>
    <s v="LONG"/>
    <x v="8"/>
    <n v="0.7629464615821"/>
    <n v="3.8532649574853499"/>
    <n v="0"/>
    <n v="0"/>
    <s v="BINE"/>
    <s v="FIL COIN LONG"/>
  </r>
  <r>
    <x v="0"/>
    <x v="9"/>
    <x v="62"/>
    <n v="270803.45285949"/>
    <n v="74050.348254760494"/>
    <n v="0.27344683929559199"/>
    <n v="0"/>
    <x v="3"/>
    <d v="2023-01-13T00:00:00"/>
    <n v="1"/>
    <x v="26"/>
    <n v="1"/>
    <n v="270803.45285949"/>
    <n v="74050.348254760378"/>
    <n v="0"/>
    <x v="5"/>
    <s v="LONG"/>
    <x v="8"/>
    <n v="74050.348254760494"/>
    <n v="0.27344683929559199"/>
    <n v="0"/>
    <n v="0"/>
    <s v="BINE"/>
    <s v="FTM COIN LONG"/>
  </r>
  <r>
    <x v="0"/>
    <x v="9"/>
    <x v="63"/>
    <n v="186945.44699999999"/>
    <n v="13740.856450371801"/>
    <n v="7.3501958303225604E-2"/>
    <n v="0"/>
    <x v="3"/>
    <d v="2023-01-13T00:00:00"/>
    <n v="1"/>
    <x v="27"/>
    <n v="1"/>
    <n v="186945.44699999999"/>
    <n v="13740.856450371872"/>
    <n v="0"/>
    <x v="5"/>
    <s v="LONG"/>
    <x v="8"/>
    <n v="13740.856450371801"/>
    <n v="7.3501958303225604E-2"/>
    <n v="0"/>
    <n v="0"/>
    <s v="BINE"/>
    <s v="GRT COIN LONG"/>
  </r>
  <r>
    <x v="0"/>
    <x v="9"/>
    <x v="64"/>
    <n v="249422.74733057999"/>
    <n v="11884.4044656608"/>
    <n v="4.7647636764699498E-2"/>
    <n v="0"/>
    <x v="3"/>
    <d v="2023-01-13T00:00:00"/>
    <n v="1"/>
    <x v="28"/>
    <n v="1"/>
    <n v="249422.74733057999"/>
    <n v="11884.404465660897"/>
    <n v="0"/>
    <x v="5"/>
    <s v="LONG"/>
    <x v="8"/>
    <n v="11884.4044656608"/>
    <n v="4.7647636764699498E-2"/>
    <n v="0"/>
    <n v="0"/>
    <s v="BINE"/>
    <s v="HBAR COIN LONG"/>
  </r>
  <r>
    <x v="0"/>
    <x v="9"/>
    <x v="65"/>
    <n v="8419.0230946600004"/>
    <n v="53724.577714657004"/>
    <n v="6.38133155243787"/>
    <n v="0"/>
    <x v="3"/>
    <d v="2023-01-13T00:00:00"/>
    <n v="1"/>
    <x v="9"/>
    <n v="1"/>
    <n v="8419.0230946600004"/>
    <n v="53724.577714656982"/>
    <n v="0"/>
    <x v="5"/>
    <s v="LONG"/>
    <x v="8"/>
    <n v="53724.577714657004"/>
    <n v="6.38133155243787"/>
    <n v="0"/>
    <n v="0"/>
    <s v="BINE"/>
    <s v="LINK COIN LONG"/>
  </r>
  <r>
    <x v="0"/>
    <x v="9"/>
    <x v="66"/>
    <n v="975.24722336000002"/>
    <n v="83836.376080131799"/>
    <n v="85.964229450756093"/>
    <n v="0"/>
    <x v="3"/>
    <d v="2023-01-13T00:00:00"/>
    <n v="1"/>
    <x v="5"/>
    <n v="1"/>
    <n v="975.24722336000002"/>
    <n v="83836.376080131813"/>
    <n v="0"/>
    <x v="5"/>
    <s v="LONG"/>
    <x v="8"/>
    <n v="83836.376080131799"/>
    <n v="85.964229450756093"/>
    <n v="0"/>
    <n v="0"/>
    <s v="BINE"/>
    <s v="LTC COIN LONG"/>
  </r>
  <r>
    <x v="0"/>
    <x v="9"/>
    <x v="67"/>
    <n v="54984.847193989997"/>
    <n v="22678.630462443802"/>
    <n v="0.41245236860315698"/>
    <n v="0"/>
    <x v="3"/>
    <d v="2023-01-13T00:00:00"/>
    <n v="1"/>
    <x v="29"/>
    <n v="1"/>
    <n v="54984.847193989997"/>
    <n v="22678.630462443823"/>
    <n v="0"/>
    <x v="5"/>
    <s v="LONG"/>
    <x v="8"/>
    <n v="22678.630462443802"/>
    <n v="0.41245236860315698"/>
    <n v="0"/>
    <n v="0"/>
    <s v="BINE"/>
    <s v="MANA COIN LONG"/>
  </r>
  <r>
    <x v="0"/>
    <x v="9"/>
    <x v="68"/>
    <n v="47252.316829759999"/>
    <n v="43296.783539646203"/>
    <n v="0.91628911436523497"/>
    <n v="0"/>
    <x v="3"/>
    <d v="2023-01-13T00:00:00"/>
    <n v="1"/>
    <x v="30"/>
    <n v="1"/>
    <n v="47252.316829759999"/>
    <n v="43296.783539646276"/>
    <n v="0"/>
    <x v="5"/>
    <s v="LONG"/>
    <x v="8"/>
    <n v="43296.783539646203"/>
    <n v="0.91628911436523497"/>
    <n v="0"/>
    <n v="0"/>
    <s v="BINE"/>
    <s v="MATIC COIN LONG"/>
  </r>
  <r>
    <x v="0"/>
    <x v="9"/>
    <x v="69"/>
    <n v="11.133492329999999"/>
    <n v="7265.4461614147704"/>
    <n v="652.57566503526505"/>
    <n v="0"/>
    <x v="3"/>
    <d v="2023-01-13T00:00:00"/>
    <n v="1"/>
    <x v="31"/>
    <n v="1"/>
    <n v="11.133492329999999"/>
    <n v="7265.4461614147722"/>
    <n v="0"/>
    <x v="5"/>
    <s v="LONG"/>
    <x v="8"/>
    <n v="7265.4461614147704"/>
    <n v="652.57566503526505"/>
    <n v="0"/>
    <n v="0"/>
    <s v="BINE"/>
    <s v="MKR COIN LONG"/>
  </r>
  <r>
    <x v="0"/>
    <x v="9"/>
    <x v="70"/>
    <n v="24199.849819300001"/>
    <n v="29336.8002806806"/>
    <n v="1.21227199754288"/>
    <n v="0"/>
    <x v="3"/>
    <d v="2023-01-13T00:00:00"/>
    <n v="1"/>
    <x v="6"/>
    <n v="1"/>
    <n v="24199.849819300001"/>
    <n v="29336.800280680516"/>
    <n v="0"/>
    <x v="5"/>
    <s v="LONG"/>
    <x v="8"/>
    <n v="29336.8002806806"/>
    <n v="1.21227199754288"/>
    <n v="0"/>
    <n v="0"/>
    <s v="BINE"/>
    <s v="OMG COIN LONG"/>
  </r>
  <r>
    <x v="0"/>
    <x v="9"/>
    <x v="71"/>
    <n v="313858.75941951998"/>
    <n v="23011.9145554516"/>
    <n v="7.3319331912265404E-2"/>
    <n v="0"/>
    <x v="3"/>
    <d v="2023-01-13T00:00:00"/>
    <n v="1"/>
    <x v="32"/>
    <n v="1"/>
    <n v="313858.75941951998"/>
    <n v="23011.91455545164"/>
    <n v="0"/>
    <x v="5"/>
    <s v="LONG"/>
    <x v="8"/>
    <n v="23011.9145554516"/>
    <n v="7.3319331912265404E-2"/>
    <n v="0"/>
    <n v="0"/>
    <s v="BINE"/>
    <s v="OXT COIN LONG"/>
  </r>
  <r>
    <x v="0"/>
    <x v="9"/>
    <x v="72"/>
    <n v="81762615062.479996"/>
    <n v="774405.07018634095"/>
    <n v="9.4713833405960602E-6"/>
    <n v="0"/>
    <x v="3"/>
    <d v="2023-01-13T00:00:00"/>
    <n v="1"/>
    <x v="11"/>
    <n v="1"/>
    <n v="81762615062.479996"/>
    <n v="774405.07018634153"/>
    <n v="0"/>
    <x v="5"/>
    <s v="LONG"/>
    <x v="8"/>
    <n v="774405.07018634095"/>
    <n v="9.4713833405960602E-6"/>
    <n v="0"/>
    <n v="0"/>
    <s v="BINE"/>
    <s v="SHIB COIN LONG"/>
  </r>
  <r>
    <x v="0"/>
    <x v="9"/>
    <x v="73"/>
    <n v="5426.8777341900004"/>
    <n v="90189.520912775901"/>
    <n v="16.6190441963655"/>
    <n v="0"/>
    <x v="3"/>
    <d v="2023-01-13T00:00:00"/>
    <n v="1"/>
    <x v="33"/>
    <n v="1"/>
    <n v="5426.8777341900004"/>
    <n v="90189.520912775479"/>
    <n v="0"/>
    <x v="5"/>
    <s v="LONG"/>
    <x v="8"/>
    <n v="90189.520912775901"/>
    <n v="16.6190441963655"/>
    <n v="0"/>
    <n v="0"/>
    <s v="BINE"/>
    <s v="SOL COIN LONG"/>
  </r>
  <r>
    <x v="0"/>
    <x v="9"/>
    <x v="74"/>
    <n v="20883.602943549999"/>
    <n v="23759.057496110101"/>
    <n v="1.1376895816460699"/>
    <n v="0"/>
    <x v="3"/>
    <d v="2023-01-13T00:00:00"/>
    <n v="1"/>
    <x v="34"/>
    <n v="1"/>
    <n v="20883.602943549999"/>
    <n v="23759.057496110032"/>
    <n v="0"/>
    <x v="5"/>
    <s v="LONG"/>
    <x v="8"/>
    <n v="23759.057496110101"/>
    <n v="1.1376895816460699"/>
    <n v="0"/>
    <n v="0"/>
    <s v="BINE"/>
    <s v="SUSHI COIN LONG"/>
  </r>
  <r>
    <x v="0"/>
    <x v="9"/>
    <x v="75"/>
    <n v="5710.7047593899997"/>
    <n v="35254.357869090498"/>
    <n v="6.1733812820777398"/>
    <n v="0"/>
    <x v="3"/>
    <d v="2023-01-13T00:00:00"/>
    <n v="1"/>
    <x v="35"/>
    <n v="1"/>
    <n v="5710.7047593899997"/>
    <n v="35254.357869090491"/>
    <n v="0"/>
    <x v="5"/>
    <s v="LONG"/>
    <x v="8"/>
    <n v="35254.357869090498"/>
    <n v="6.1733812820777398"/>
    <n v="0"/>
    <n v="0"/>
    <s v="BINE"/>
    <s v="UNI COIN LONG"/>
  </r>
  <r>
    <x v="0"/>
    <x v="9"/>
    <x v="76"/>
    <n v="618871.51817801001"/>
    <n v="618928.48479657702"/>
    <n v="1.00009204918451"/>
    <n v="0"/>
    <x v="3"/>
    <d v="2023-01-13T00:00:00"/>
    <n v="1"/>
    <x v="36"/>
    <n v="1"/>
    <n v="618871.51817801001"/>
    <n v="618928.4847965748"/>
    <n v="0"/>
    <x v="5"/>
    <s v="LONG"/>
    <x v="8"/>
    <n v="618928.48479657702"/>
    <n v="1.00009204918451"/>
    <n v="0"/>
    <n v="0"/>
    <s v="BINE"/>
    <s v="USDT COIN LONG"/>
  </r>
  <r>
    <x v="0"/>
    <x v="9"/>
    <x v="77"/>
    <n v="877798.90472430002"/>
    <n v="71666.824089438407"/>
    <n v="8.1643783905093401E-2"/>
    <n v="0"/>
    <x v="3"/>
    <d v="2023-01-13T00:00:00"/>
    <n v="1"/>
    <x v="37"/>
    <n v="1"/>
    <n v="877798.90472430002"/>
    <n v="71666.824089438422"/>
    <n v="0"/>
    <x v="5"/>
    <s v="LONG"/>
    <x v="8"/>
    <n v="71666.824089438407"/>
    <n v="8.1643783905093401E-2"/>
    <n v="0"/>
    <n v="0"/>
    <s v="BINE"/>
    <s v="XLM COIN LONG"/>
  </r>
  <r>
    <x v="0"/>
    <x v="9"/>
    <x v="78"/>
    <n v="30000"/>
    <n v="11255.914267257"/>
    <n v="0.37519714224190098"/>
    <n v="0"/>
    <x v="3"/>
    <d v="2023-01-13T00:00:00"/>
    <n v="1"/>
    <x v="38"/>
    <n v="1"/>
    <n v="30000"/>
    <n v="11255.914267257029"/>
    <n v="0"/>
    <x v="5"/>
    <s v="LONG"/>
    <x v="8"/>
    <n v="11255.914267257"/>
    <n v="0.37519714224190098"/>
    <n v="0"/>
    <n v="0"/>
    <s v="BINE"/>
    <s v="XRP COIN LONG"/>
  </r>
  <r>
    <x v="0"/>
    <x v="9"/>
    <x v="79"/>
    <n v="62752.228199999998"/>
    <n v="55801.153984328099"/>
    <n v="0.88922984226921997"/>
    <n v="0"/>
    <x v="3"/>
    <d v="2023-01-13T00:00:00"/>
    <n v="1"/>
    <x v="39"/>
    <n v="1"/>
    <n v="62752.228199999998"/>
    <n v="55801.153984328099"/>
    <n v="0"/>
    <x v="5"/>
    <s v="LONG"/>
    <x v="8"/>
    <n v="55801.153984328099"/>
    <n v="0.88922984226921997"/>
    <n v="0"/>
    <n v="0"/>
    <s v="BINE"/>
    <s v="XTZ COIN LONG"/>
  </r>
  <r>
    <x v="0"/>
    <x v="9"/>
    <x v="80"/>
    <n v="7.6026700000000003E-2"/>
    <n v="473.97457770520998"/>
    <n v="6234.31738724961"/>
    <n v="0"/>
    <x v="3"/>
    <d v="2023-01-13T00:00:00"/>
    <n v="1"/>
    <x v="40"/>
    <n v="1"/>
    <n v="7.6026700000000003E-2"/>
    <n v="473.97457770520992"/>
    <n v="0"/>
    <x v="5"/>
    <s v="LONG"/>
    <x v="8"/>
    <n v="473.97457770520998"/>
    <n v="6234.31738724961"/>
    <n v="0"/>
    <n v="0"/>
    <s v="BINE"/>
    <s v="YFI COIN LONG"/>
  </r>
  <r>
    <x v="0"/>
    <x v="9"/>
    <x v="81"/>
    <n v="18966318.7722039"/>
    <n v="454707.62832038099"/>
    <n v="2.39744799073386E-2"/>
    <n v="0"/>
    <x v="3"/>
    <d v="2023-01-13T00:00:00"/>
    <n v="1"/>
    <x v="7"/>
    <n v="1"/>
    <n v="18966318.7722039"/>
    <n v="454707.62832038128"/>
    <n v="0"/>
    <x v="5"/>
    <s v="LONG"/>
    <x v="8"/>
    <n v="454707.62832038099"/>
    <n v="2.39744799073386E-2"/>
    <n v="0"/>
    <n v="0"/>
    <s v="BINE"/>
    <s v="ZIL COIN LONG"/>
  </r>
  <r>
    <x v="0"/>
    <x v="0"/>
    <x v="50"/>
    <n v="954.60935715000005"/>
    <n v="18013085.3231223"/>
    <n v="18869.5880552655"/>
    <n v="0"/>
    <x v="3"/>
    <d v="2023-01-13T00:00:00"/>
    <n v="1"/>
    <x v="0"/>
    <n v="1"/>
    <n v="954.60935715000005"/>
    <n v="18013085.323122319"/>
    <n v="0"/>
    <x v="5"/>
    <s v="LONG"/>
    <x v="8"/>
    <n v="18013085.3231223"/>
    <n v="18869.5880552655"/>
    <n v="0"/>
    <n v="0"/>
    <s v="BINE"/>
    <s v="BTC COIN LONG"/>
  </r>
  <r>
    <x v="0"/>
    <x v="0"/>
    <x v="50"/>
    <n v="-21.15213086"/>
    <n v="-399131.99581927003"/>
    <n v="18869.5880552655"/>
    <n v="0"/>
    <x v="4"/>
    <d v="2023-01-13T00:00:00"/>
    <n v="1"/>
    <x v="0"/>
    <n v="1"/>
    <n v="-21.15213086"/>
    <n v="-399131.99581926875"/>
    <n v="0"/>
    <x v="5"/>
    <s v="SHORT"/>
    <x v="10"/>
    <n v="-399131.99581927003"/>
    <n v="18869.5880552655"/>
    <n v="0"/>
    <n v="0"/>
    <s v="BINE"/>
    <s v="BTC COIN SHORT"/>
  </r>
  <r>
    <x v="0"/>
    <x v="0"/>
    <x v="59"/>
    <n v="6682.76875475"/>
    <n v="9475755.2584040202"/>
    <n v="1417.9385231112101"/>
    <n v="0"/>
    <x v="3"/>
    <d v="2023-01-13T00:00:00"/>
    <n v="1"/>
    <x v="1"/>
    <n v="1"/>
    <n v="6682.76875475"/>
    <n v="9475755.258403955"/>
    <n v="0"/>
    <x v="5"/>
    <s v="LONG"/>
    <x v="8"/>
    <n v="9475755.2584040202"/>
    <n v="1417.9385231112101"/>
    <n v="0"/>
    <n v="0"/>
    <s v="BINE"/>
    <s v="ETH COIN LONG"/>
  </r>
  <r>
    <x v="0"/>
    <x v="0"/>
    <x v="59"/>
    <n v="-114.70020413"/>
    <n v="-162637.83804464701"/>
    <n v="1417.9385231112101"/>
    <n v="0"/>
    <x v="4"/>
    <d v="2023-01-13T00:00:00"/>
    <n v="1"/>
    <x v="1"/>
    <n v="1"/>
    <n v="-114.70020413"/>
    <n v="-162637.83804464652"/>
    <n v="0"/>
    <x v="5"/>
    <s v="SHORT"/>
    <x v="10"/>
    <n v="-162637.83804464701"/>
    <n v="1417.9385231112101"/>
    <n v="0"/>
    <n v="0"/>
    <s v="BINE"/>
    <s v="ETH COIN SHORT"/>
  </r>
  <r>
    <x v="0"/>
    <x v="10"/>
    <x v="49"/>
    <n v="2496.2188523499999"/>
    <n v="718442.57987214997"/>
    <n v="287.81233632451398"/>
    <n v="0"/>
    <x v="3"/>
    <d v="2023-01-13T00:00:00"/>
    <n v="1"/>
    <x v="17"/>
    <n v="1"/>
    <n v="2496.2188523499999"/>
    <n v="718442.57987215044"/>
    <n v="0"/>
    <x v="5"/>
    <s v="LONG"/>
    <x v="8"/>
    <n v="718442.57987214997"/>
    <n v="287.81233632451398"/>
    <n v="0"/>
    <n v="0"/>
    <s v="BINE"/>
    <s v="BNB COIN LONG"/>
  </r>
  <r>
    <x v="0"/>
    <x v="10"/>
    <x v="50"/>
    <n v="820.94862506000004"/>
    <n v="15490962.3694188"/>
    <n v="18869.5880552655"/>
    <n v="0"/>
    <x v="3"/>
    <d v="2023-01-13T00:00:00"/>
    <n v="1"/>
    <x v="0"/>
    <n v="1"/>
    <n v="820.94862506000004"/>
    <n v="15490962.369418813"/>
    <n v="0"/>
    <x v="5"/>
    <s v="LONG"/>
    <x v="8"/>
    <n v="15490962.3694188"/>
    <n v="18869.5880552655"/>
    <n v="0"/>
    <n v="0"/>
    <s v="BINE"/>
    <s v="BTC COIN LONG"/>
  </r>
  <r>
    <x v="0"/>
    <x v="10"/>
    <x v="51"/>
    <n v="1957317.4125478"/>
    <n v="1957941.92399934"/>
    <n v="1.00031906498534"/>
    <n v="0"/>
    <x v="3"/>
    <d v="2023-01-13T00:00:00"/>
    <n v="1"/>
    <x v="18"/>
    <n v="1"/>
    <n v="1957317.4125478"/>
    <n v="1957941.9239993403"/>
    <n v="0"/>
    <x v="5"/>
    <s v="LONG"/>
    <x v="8"/>
    <n v="1957941.92399934"/>
    <n v="1.00031906498534"/>
    <n v="0"/>
    <n v="0"/>
    <s v="BINE"/>
    <s v="BUSD COIN LONG"/>
  </r>
  <r>
    <x v="0"/>
    <x v="10"/>
    <x v="82"/>
    <n v="0.15721859999999999"/>
    <n v="3.2886606621322101"/>
    <n v="20.917758217744002"/>
    <n v="0"/>
    <x v="3"/>
    <d v="2023-01-13T00:00:00"/>
    <n v="1"/>
    <x v="41"/>
    <n v="1"/>
    <n v="0.15721859999999999"/>
    <n v="3.288660662132207"/>
    <n v="0"/>
    <x v="5"/>
    <s v="LONG"/>
    <x v="8"/>
    <n v="3.2886606621322101"/>
    <n v="20.917758217744002"/>
    <n v="0"/>
    <n v="0"/>
    <s v="BINE"/>
    <s v="ETC COIN LONG"/>
  </r>
  <r>
    <x v="0"/>
    <x v="10"/>
    <x v="59"/>
    <n v="6859.0860000000002"/>
    <n v="9725762.2727328409"/>
    <n v="1417.9385231112101"/>
    <n v="0"/>
    <x v="3"/>
    <d v="2023-01-13T00:00:00"/>
    <n v="1"/>
    <x v="1"/>
    <n v="1"/>
    <n v="6859.0860000000002"/>
    <n v="9725762.2727327775"/>
    <n v="0"/>
    <x v="5"/>
    <s v="LONG"/>
    <x v="8"/>
    <n v="9725762.2727328409"/>
    <n v="1417.9385231112101"/>
    <n v="0"/>
    <n v="0"/>
    <s v="BINE"/>
    <s v="ETH COIN LONG"/>
  </r>
  <r>
    <x v="0"/>
    <x v="10"/>
    <x v="76"/>
    <n v="1328887.8945897899"/>
    <n v="1329010.2176367899"/>
    <n v="1.00009204918451"/>
    <n v="0"/>
    <x v="3"/>
    <d v="2023-01-13T00:00:00"/>
    <n v="1"/>
    <x v="36"/>
    <n v="1"/>
    <n v="1328887.8945897899"/>
    <n v="1329010.2176367922"/>
    <n v="0"/>
    <x v="5"/>
    <s v="LONG"/>
    <x v="8"/>
    <n v="1329010.2176367899"/>
    <n v="1.00009204918451"/>
    <n v="0"/>
    <n v="0"/>
    <s v="BINE"/>
    <s v="USDT COIN LONG"/>
  </r>
  <r>
    <x v="0"/>
    <x v="1"/>
    <x v="49"/>
    <n v="47.01499536"/>
    <n v="13531.495656847699"/>
    <n v="287.81233632451398"/>
    <n v="0"/>
    <x v="3"/>
    <d v="2023-01-13T00:00:00"/>
    <n v="1"/>
    <x v="17"/>
    <n v="1"/>
    <n v="47.01499536"/>
    <n v="13531.495656847785"/>
    <n v="0"/>
    <x v="5"/>
    <s v="LONG"/>
    <x v="8"/>
    <n v="13531.495656847699"/>
    <n v="287.81233632451398"/>
    <n v="0"/>
    <n v="0"/>
    <s v="BINE"/>
    <s v="BNB COIN LONG"/>
  </r>
  <r>
    <x v="0"/>
    <x v="1"/>
    <x v="51"/>
    <n v="16000004.791549399"/>
    <n v="16005109.8328437"/>
    <n v="1.00031906498534"/>
    <n v="0"/>
    <x v="3"/>
    <d v="2023-01-13T00:00:00"/>
    <n v="1"/>
    <x v="18"/>
    <n v="1"/>
    <n v="16000004.791549399"/>
    <n v="16005109.832843654"/>
    <n v="0"/>
    <x v="5"/>
    <s v="LONG"/>
    <x v="8"/>
    <n v="16005109.8328437"/>
    <n v="1.00031906498534"/>
    <n v="0"/>
    <n v="0"/>
    <s v="BINE"/>
    <s v="BUSD COIN LONG"/>
  </r>
  <r>
    <x v="0"/>
    <x v="1"/>
    <x v="76"/>
    <n v="13400136.677891999"/>
    <n v="13401370.1495455"/>
    <n v="1.00009204918451"/>
    <n v="0"/>
    <x v="3"/>
    <d v="2023-01-13T00:00:00"/>
    <n v="1"/>
    <x v="36"/>
    <n v="1"/>
    <n v="13400136.677891999"/>
    <n v="13401370.149545522"/>
    <n v="0"/>
    <x v="5"/>
    <s v="LONG"/>
    <x v="8"/>
    <n v="13401370.1495455"/>
    <n v="1.00009204918451"/>
    <n v="0"/>
    <n v="0"/>
    <s v="BINE"/>
    <s v="USDT COIN LONG"/>
  </r>
  <r>
    <x v="0"/>
    <x v="1"/>
    <x v="76"/>
    <n v="878081.47598261002"/>
    <n v="878162.30266641104"/>
    <n v="1.00009204918451"/>
    <n v="0"/>
    <x v="4"/>
    <d v="2023-01-13T00:00:00"/>
    <n v="1"/>
    <x v="36"/>
    <n v="1"/>
    <n v="878081.47598261002"/>
    <n v="878162.30266640754"/>
    <n v="0"/>
    <x v="5"/>
    <s v="LONG"/>
    <x v="8"/>
    <n v="878162.30266641104"/>
    <n v="1.00009204918451"/>
    <n v="0"/>
    <n v="0"/>
    <s v="BINE"/>
    <s v="USDT COIN LONG"/>
  </r>
  <r>
    <x v="0"/>
    <x v="2"/>
    <x v="76"/>
    <n v="829745.80743815005"/>
    <n v="829822.18486307794"/>
    <n v="1.00009204918451"/>
    <n v="0"/>
    <x v="3"/>
    <d v="2023-01-13T00:00:00"/>
    <n v="1"/>
    <x v="36"/>
    <n v="1"/>
    <n v="829745.80743815005"/>
    <n v="829822.18486307526"/>
    <n v="0"/>
    <x v="5"/>
    <s v="LONG"/>
    <x v="8"/>
    <n v="829822.18486307794"/>
    <n v="1.00009204918451"/>
    <n v="0"/>
    <n v="0"/>
    <s v="BINE"/>
    <s v="USDT COIN LONG"/>
  </r>
  <r>
    <x v="0"/>
    <x v="2"/>
    <x v="76"/>
    <n v="-507.05590913999998"/>
    <n v="-507.10258322293902"/>
    <n v="1.00009204918451"/>
    <n v="0"/>
    <x v="4"/>
    <d v="2023-01-13T00:00:00"/>
    <n v="1"/>
    <x v="36"/>
    <n v="1"/>
    <n v="-507.05590913999998"/>
    <n v="-507.10258322293731"/>
    <n v="0"/>
    <x v="5"/>
    <s v="SHORT"/>
    <x v="10"/>
    <n v="-507.10258322293902"/>
    <n v="1.00009204918451"/>
    <n v="0"/>
    <n v="0"/>
    <s v="BINE"/>
    <s v="USDT COIN SHORT"/>
  </r>
  <r>
    <x v="5"/>
    <x v="11"/>
    <x v="50"/>
    <n v="7.9996000000000008E-3"/>
    <n v="150.94915660690199"/>
    <n v="18869.5880552655"/>
    <n v="0"/>
    <x v="3"/>
    <d v="2023-01-13T00:00:00"/>
    <n v="1"/>
    <x v="0"/>
    <n v="1"/>
    <n v="7.9996000000000008E-3"/>
    <n v="150.94915660690191"/>
    <n v="0"/>
    <x v="5"/>
    <s v="LONG"/>
    <x v="8"/>
    <n v="150.94915660690199"/>
    <n v="18869.5880552655"/>
    <n v="0"/>
    <n v="0"/>
    <s v="BTFX"/>
    <s v="BTC COIN LONG"/>
  </r>
  <r>
    <x v="5"/>
    <x v="11"/>
    <x v="59"/>
    <n v="0.02"/>
    <n v="28.3587704622243"/>
    <n v="1417.9385231112101"/>
    <n v="0"/>
    <x v="3"/>
    <d v="2023-01-13T00:00:00"/>
    <n v="1"/>
    <x v="1"/>
    <n v="1"/>
    <n v="0.02"/>
    <n v="28.358770462224204"/>
    <n v="0"/>
    <x v="5"/>
    <s v="LONG"/>
    <x v="8"/>
    <n v="28.3587704622243"/>
    <n v="1417.9385231112101"/>
    <n v="0"/>
    <n v="0"/>
    <s v="BTFX"/>
    <s v="ETH COIN LONG"/>
  </r>
  <r>
    <x v="5"/>
    <x v="11"/>
    <x v="83"/>
    <n v="0.02"/>
    <n v="6.8681868233453097E-2"/>
    <n v="3.43409341167265"/>
    <n v="0"/>
    <x v="3"/>
    <d v="2023-01-13T00:00:00"/>
    <n v="1"/>
    <x v="42"/>
    <n v="1"/>
    <n v="0.02"/>
    <n v="6.8681868233453E-2"/>
    <n v="0"/>
    <x v="5"/>
    <s v="LONG"/>
    <x v="8"/>
    <n v="6.8681868233453097E-2"/>
    <n v="3.43409341167265"/>
    <n v="0"/>
    <n v="0"/>
    <s v="BTFX"/>
    <s v="ETHW COIN LONG"/>
  </r>
  <r>
    <x v="5"/>
    <x v="11"/>
    <x v="84"/>
    <n v="2.755467E-2"/>
    <n v="2.755467E-2"/>
    <n v="1"/>
    <n v="0"/>
    <x v="3"/>
    <d v="2023-01-13T00:00:00"/>
    <n v="1"/>
    <x v="43"/>
    <n v="1"/>
    <n v="2.755467E-2"/>
    <n v="2.755467E-2"/>
    <n v="0"/>
    <x v="6"/>
    <s v="LONG"/>
    <x v="9"/>
    <n v="2.755467E-2"/>
    <n v="1"/>
    <n v="0"/>
    <n v="0"/>
    <s v="BTFX"/>
    <s v="USD CASH LONG"/>
  </r>
  <r>
    <x v="5"/>
    <x v="11"/>
    <x v="85"/>
    <n v="29.9885932"/>
    <n v="0"/>
    <n v="0"/>
    <n v="0"/>
    <x v="3"/>
    <d v="2023-01-13T00:00:00"/>
    <n v="1"/>
    <x v="44"/>
    <n v="1"/>
    <n v="29.9885932"/>
    <n v="0"/>
    <n v="0"/>
    <x v="5"/>
    <s v="SHORT"/>
    <x v="10"/>
    <n v="0"/>
    <n v="0"/>
    <n v="0"/>
    <n v="0"/>
    <s v="BTFX"/>
    <s v="UST COIN SHORT"/>
  </r>
  <r>
    <x v="6"/>
    <x v="12"/>
    <x v="48"/>
    <n v="0.21932823000000001"/>
    <n v="26.255884650393501"/>
    <n v="119.710466137412"/>
    <n v="0"/>
    <x v="3"/>
    <d v="2023-01-12T00:06:38"/>
    <n v="1"/>
    <x v="3"/>
    <n v="1"/>
    <n v="0.21932823000000001"/>
    <n v="26.255884650393511"/>
    <n v="0"/>
    <x v="5"/>
    <s v="LONG"/>
    <x v="8"/>
    <n v="26.255884650393501"/>
    <n v="119.710466137412"/>
    <n v="0"/>
    <n v="0"/>
    <s v="BTSE"/>
    <s v="BCH COIN LONG"/>
  </r>
  <r>
    <x v="6"/>
    <x v="12"/>
    <x v="50"/>
    <n v="5.7861299999999997E-2"/>
    <n v="1091.81889534213"/>
    <n v="18869.5880552655"/>
    <n v="0"/>
    <x v="3"/>
    <d v="2023-01-12T00:06:39"/>
    <n v="1"/>
    <x v="0"/>
    <n v="1"/>
    <n v="5.7861299999999997E-2"/>
    <n v="1091.8188953421336"/>
    <n v="0"/>
    <x v="5"/>
    <s v="LONG"/>
    <x v="8"/>
    <n v="1091.81889534213"/>
    <n v="18869.5880552655"/>
    <n v="0"/>
    <n v="0"/>
    <s v="BTSE"/>
    <s v="BTC COIN LONG"/>
  </r>
  <r>
    <x v="6"/>
    <x v="12"/>
    <x v="59"/>
    <n v="0.73541904000000002"/>
    <n v="1042.77898744547"/>
    <n v="1417.9385231112101"/>
    <n v="0"/>
    <x v="3"/>
    <d v="2023-01-12T00:06:40"/>
    <n v="1"/>
    <x v="1"/>
    <n v="1"/>
    <n v="0.73541904000000002"/>
    <n v="1042.7789874454641"/>
    <n v="0"/>
    <x v="5"/>
    <s v="LONG"/>
    <x v="8"/>
    <n v="1042.77898744547"/>
    <n v="1417.9385231112101"/>
    <n v="0"/>
    <n v="0"/>
    <s v="BTSE"/>
    <s v="ETH COIN LONG"/>
  </r>
  <r>
    <x v="6"/>
    <x v="12"/>
    <x v="86"/>
    <n v="22277.5319929"/>
    <n v="980.45458503844304"/>
    <n v="4.4010915811990299E-2"/>
    <n v="0"/>
    <x v="3"/>
    <d v="2023-01-12T00:06:41"/>
    <n v="1"/>
    <x v="45"/>
    <n v="1"/>
    <n v="22277.5319929"/>
    <n v="980.45458503844236"/>
    <n v="0"/>
    <x v="5"/>
    <s v="LONG"/>
    <x v="8"/>
    <n v="980.45458503844304"/>
    <n v="4.4010915811990299E-2"/>
    <n v="0"/>
    <n v="0"/>
    <s v="BTSE"/>
    <s v="FLR COIN LONG"/>
  </r>
  <r>
    <x v="6"/>
    <x v="12"/>
    <x v="87"/>
    <n v="22277.5319929"/>
    <n v="260.80815193398598"/>
    <n v="1.17072282520841E-2"/>
    <n v="0"/>
    <x v="3"/>
    <d v="2023-01-12T00:06:42"/>
    <n v="1"/>
    <x v="46"/>
    <n v="1"/>
    <n v="22277.5319929"/>
    <n v="260.80815193398627"/>
    <n v="0"/>
    <x v="5"/>
    <s v="LONG"/>
    <x v="8"/>
    <n v="260.80815193398598"/>
    <n v="1.17072282520841E-2"/>
    <n v="0"/>
    <n v="0"/>
    <s v="BTSE"/>
    <s v="SGB COIN LONG"/>
  </r>
  <r>
    <x v="6"/>
    <x v="12"/>
    <x v="84"/>
    <n v="125335.8"/>
    <n v="125335.8"/>
    <n v="1"/>
    <n v="0"/>
    <x v="3"/>
    <d v="2023-01-12T00:06:43"/>
    <n v="1"/>
    <x v="43"/>
    <n v="1"/>
    <n v="125335.8"/>
    <n v="125335.8"/>
    <n v="0"/>
    <x v="6"/>
    <s v="LONG"/>
    <x v="9"/>
    <n v="125335.8"/>
    <n v="1"/>
    <n v="0"/>
    <n v="0"/>
    <s v="BTSE"/>
    <s v="USD CASH LONG"/>
  </r>
  <r>
    <x v="6"/>
    <x v="12"/>
    <x v="78"/>
    <n v="86647.684072849996"/>
    <n v="32509.9634460124"/>
    <n v="0.37519714224190098"/>
    <n v="0"/>
    <x v="3"/>
    <d v="2023-01-12T00:06:44"/>
    <n v="1"/>
    <x v="38"/>
    <n v="1"/>
    <n v="86647.684072849996"/>
    <n v="32509.9634460124"/>
    <n v="0"/>
    <x v="5"/>
    <s v="LONG"/>
    <x v="8"/>
    <n v="32509.9634460124"/>
    <n v="0.37519714224190098"/>
    <n v="0"/>
    <n v="0"/>
    <s v="BTSE"/>
    <s v="XRP COIN LONG"/>
  </r>
  <r>
    <x v="7"/>
    <x v="13"/>
    <x v="50"/>
    <n v="1799.26444287"/>
    <n v="33951378.839443803"/>
    <n v="18869.5880552655"/>
    <n v="0"/>
    <x v="3"/>
    <d v="2023-01-13T00:00:00"/>
    <n v="1"/>
    <x v="0"/>
    <n v="1"/>
    <n v="1799.26444287"/>
    <n v="33951378.839443684"/>
    <n v="0"/>
    <x v="5"/>
    <s v="LONG"/>
    <x v="8"/>
    <n v="33951378.839443803"/>
    <n v="18869.5880552655"/>
    <n v="0"/>
    <n v="0"/>
    <s v="BULL"/>
    <s v="BTC COIN LONG"/>
  </r>
  <r>
    <x v="7"/>
    <x v="13"/>
    <x v="84"/>
    <n v="46965458.007700004"/>
    <n v="46965458.007700004"/>
    <n v="1"/>
    <n v="0"/>
    <x v="3"/>
    <d v="2023-01-13T00:00:00"/>
    <n v="1"/>
    <x v="43"/>
    <n v="1"/>
    <n v="46965458.007700004"/>
    <n v="46965458.007700004"/>
    <n v="0"/>
    <x v="6"/>
    <s v="LONG"/>
    <x v="9"/>
    <n v="46965458.007700004"/>
    <n v="1"/>
    <n v="0"/>
    <n v="0"/>
    <s v="BULL"/>
    <s v="USD CASH LONG"/>
  </r>
  <r>
    <x v="7"/>
    <x v="14"/>
    <x v="58"/>
    <n v="5111044.8589000003"/>
    <n v="5061173.7201485196"/>
    <n v="0.990242476806942"/>
    <n v="0"/>
    <x v="3"/>
    <d v="2023-01-13T00:00:00"/>
    <n v="1"/>
    <x v="4"/>
    <n v="1"/>
    <n v="5111044.8589000003"/>
    <n v="5061173.7201485233"/>
    <n v="0"/>
    <x v="5"/>
    <s v="LONG"/>
    <x v="8"/>
    <n v="5061173.7201485196"/>
    <n v="0.990242476806942"/>
    <n v="0"/>
    <n v="0"/>
    <s v="BULL"/>
    <s v="EOS COIN LONG"/>
  </r>
  <r>
    <x v="7"/>
    <x v="14"/>
    <x v="65"/>
    <n v="98449.309477839997"/>
    <n v="628237.68488666101"/>
    <n v="6.38133155243787"/>
    <n v="0"/>
    <x v="3"/>
    <d v="2023-01-13T00:00:00"/>
    <n v="1"/>
    <x v="9"/>
    <n v="1"/>
    <n v="98449.309477839997"/>
    <n v="628237.68488666101"/>
    <n v="0"/>
    <x v="5"/>
    <s v="LONG"/>
    <x v="8"/>
    <n v="628237.68488666101"/>
    <n v="6.38133155243787"/>
    <n v="0"/>
    <n v="0"/>
    <s v="BULL"/>
    <s v="LINK COIN LONG"/>
  </r>
  <r>
    <x v="7"/>
    <x v="14"/>
    <x v="66"/>
    <n v="7784.5861861900003"/>
    <n v="669195.95308882301"/>
    <n v="85.964229450756093"/>
    <n v="0"/>
    <x v="3"/>
    <d v="2023-01-13T00:00:00"/>
    <n v="1"/>
    <x v="5"/>
    <n v="1"/>
    <n v="7784.5861861900003"/>
    <n v="669195.95308882347"/>
    <n v="0"/>
    <x v="5"/>
    <s v="LONG"/>
    <x v="8"/>
    <n v="669195.95308882301"/>
    <n v="85.964229450756093"/>
    <n v="0"/>
    <n v="0"/>
    <s v="BULL"/>
    <s v="LTC COIN LONG"/>
  </r>
  <r>
    <x v="7"/>
    <x v="14"/>
    <x v="84"/>
    <n v="2570926.3349000001"/>
    <n v="2570926.3349000001"/>
    <n v="1"/>
    <n v="0"/>
    <x v="3"/>
    <d v="2023-01-13T00:00:00"/>
    <n v="1"/>
    <x v="43"/>
    <n v="1"/>
    <n v="2570926.3349000001"/>
    <n v="2570926.3349000001"/>
    <n v="0"/>
    <x v="6"/>
    <s v="LONG"/>
    <x v="9"/>
    <n v="2570926.3349000001"/>
    <n v="1"/>
    <n v="0"/>
    <n v="0"/>
    <s v="BULL"/>
    <s v="USD CASH LONG"/>
  </r>
  <r>
    <x v="7"/>
    <x v="15"/>
    <x v="59"/>
    <n v="10506.92560604"/>
    <n v="14898174.576267799"/>
    <n v="1417.9385231112101"/>
    <n v="0"/>
    <x v="3"/>
    <d v="2023-01-13T00:00:00"/>
    <n v="1"/>
    <x v="1"/>
    <n v="1"/>
    <n v="10506.92560604"/>
    <n v="14898174.576267714"/>
    <n v="0"/>
    <x v="5"/>
    <s v="LONG"/>
    <x v="8"/>
    <n v="14898174.576267799"/>
    <n v="1417.9385231112101"/>
    <n v="0"/>
    <n v="0"/>
    <s v="BULL"/>
    <s v="ETH COIN LONG"/>
  </r>
  <r>
    <x v="7"/>
    <x v="15"/>
    <x v="84"/>
    <n v="15310469.9882"/>
    <n v="15310469.9882"/>
    <n v="1"/>
    <n v="0"/>
    <x v="3"/>
    <d v="2023-01-13T00:00:00"/>
    <n v="1"/>
    <x v="43"/>
    <n v="1"/>
    <n v="15310469.9882"/>
    <n v="15310469.9882"/>
    <n v="0"/>
    <x v="6"/>
    <s v="LONG"/>
    <x v="9"/>
    <n v="15310469.9882"/>
    <n v="1"/>
    <n v="0"/>
    <n v="0"/>
    <s v="BULL"/>
    <s v="USD CASH LONG"/>
  </r>
  <r>
    <x v="7"/>
    <x v="16"/>
    <x v="50"/>
    <n v="71.188435069999997"/>
    <n v="1343296.4440699201"/>
    <n v="18869.5880552655"/>
    <n v="0"/>
    <x v="3"/>
    <d v="2023-01-13T00:00:00"/>
    <n v="1"/>
    <x v="0"/>
    <n v="1"/>
    <n v="71.188435069999997"/>
    <n v="1343296.4440699155"/>
    <n v="0"/>
    <x v="5"/>
    <s v="LONG"/>
    <x v="8"/>
    <n v="1343296.4440699201"/>
    <n v="18869.5880552655"/>
    <n v="0"/>
    <n v="0"/>
    <s v="BULL"/>
    <s v="BTC COIN LONG"/>
  </r>
  <r>
    <x v="7"/>
    <x v="16"/>
    <x v="59"/>
    <n v="1029.23054336"/>
    <n v="1459385.6365928301"/>
    <n v="1417.9385231112101"/>
    <n v="0"/>
    <x v="3"/>
    <d v="2023-01-13T00:00:00"/>
    <n v="1"/>
    <x v="1"/>
    <n v="1"/>
    <n v="1029.23054336"/>
    <n v="1459385.6365928266"/>
    <n v="0"/>
    <x v="5"/>
    <s v="LONG"/>
    <x v="8"/>
    <n v="1459385.6365928301"/>
    <n v="1417.9385231112101"/>
    <n v="0"/>
    <n v="0"/>
    <s v="BULL"/>
    <s v="ETH COIN LONG"/>
  </r>
  <r>
    <x v="7"/>
    <x v="16"/>
    <x v="88"/>
    <n v="0.5"/>
    <n v="0.50003607481370005"/>
    <n v="1.0000721496274001"/>
    <n v="0"/>
    <x v="3"/>
    <d v="2023-01-13T00:00:00"/>
    <n v="1"/>
    <x v="47"/>
    <n v="1"/>
    <n v="0.5"/>
    <n v="0.50003607481370005"/>
    <n v="0"/>
    <x v="5"/>
    <s v="LONG"/>
    <x v="8"/>
    <n v="0.50003607481370005"/>
    <n v="1.0000721496274001"/>
    <n v="0"/>
    <n v="0"/>
    <s v="BULL"/>
    <s v="USDC COIN LONG"/>
  </r>
  <r>
    <x v="8"/>
    <x v="17"/>
    <x v="53"/>
    <n v="0.26739257999999999"/>
    <n v="0.18426453966767301"/>
    <n v="0.68911612905516495"/>
    <n v="0"/>
    <x v="3"/>
    <d v="2023-01-13T00:00:00"/>
    <n v="1"/>
    <x v="19"/>
    <n v="1"/>
    <n v="0.26739257999999999"/>
    <n v="0.1842645396676735"/>
    <n v="0"/>
    <x v="5"/>
    <s v="LONG"/>
    <x v="8"/>
    <n v="0.18426453966767301"/>
    <n v="0.68911612905516495"/>
    <n v="0"/>
    <n v="0"/>
    <s v="DEFI"/>
    <s v="CRV COIN LONG"/>
  </r>
  <r>
    <x v="8"/>
    <x v="17"/>
    <x v="53"/>
    <n v="9.7777784299999997"/>
    <n v="6.73802482244069"/>
    <n v="0.68911612905516495"/>
    <n v="0"/>
    <x v="3"/>
    <d v="2023-01-13T00:00:00"/>
    <n v="1"/>
    <x v="19"/>
    <n v="1"/>
    <n v="9.7777784299999997"/>
    <n v="6.7380248224406882"/>
    <n v="0"/>
    <x v="5"/>
    <s v="LONG"/>
    <x v="8"/>
    <n v="6.73802482244069"/>
    <n v="0.68911612905516495"/>
    <n v="0"/>
    <n v="0"/>
    <s v="DEFI"/>
    <s v="CRV COIN LONG"/>
  </r>
  <r>
    <x v="8"/>
    <x v="17"/>
    <x v="89"/>
    <n v="2.800215E-2"/>
    <n v="9.9342361696586501E-2"/>
    <n v="3.54766907885953"/>
    <n v="0"/>
    <x v="3"/>
    <d v="2023-01-13T00:00:00"/>
    <n v="1"/>
    <x v="48"/>
    <n v="1"/>
    <n v="2.800215E-2"/>
    <n v="9.934236169658639E-2"/>
    <n v="0"/>
    <x v="5"/>
    <s v="LONG"/>
    <x v="8"/>
    <n v="9.9342361696586501E-2"/>
    <n v="3.54766907885953"/>
    <n v="0"/>
    <n v="0"/>
    <s v="DEFI"/>
    <s v="CVX COIN LONG"/>
  </r>
  <r>
    <x v="8"/>
    <x v="17"/>
    <x v="59"/>
    <n v="3.67060545"/>
    <n v="5204.6928706969902"/>
    <n v="1417.9385231112101"/>
    <n v="0"/>
    <x v="3"/>
    <d v="2023-01-13T00:00:00"/>
    <n v="1"/>
    <x v="1"/>
    <n v="1"/>
    <n v="3.67060545"/>
    <n v="5204.6928706969584"/>
    <n v="0"/>
    <x v="5"/>
    <s v="LONG"/>
    <x v="8"/>
    <n v="5204.6928706969902"/>
    <n v="1417.9385231112101"/>
    <n v="0"/>
    <n v="0"/>
    <s v="DEFI"/>
    <s v="ETH COIN LONG"/>
  </r>
  <r>
    <x v="8"/>
    <x v="17"/>
    <x v="88"/>
    <n v="13972.219738"/>
    <n v="13973.227828448"/>
    <n v="1.0000721496274001"/>
    <n v="0"/>
    <x v="3"/>
    <d v="2023-01-13T00:00:00"/>
    <n v="1"/>
    <x v="47"/>
    <n v="1"/>
    <n v="13972.219738"/>
    <n v="13973.227828448049"/>
    <n v="0"/>
    <x v="5"/>
    <s v="LONG"/>
    <x v="8"/>
    <n v="13973.227828448"/>
    <n v="1.0000721496274001"/>
    <n v="0"/>
    <n v="0"/>
    <s v="DEFI"/>
    <s v="USDC COIN LONG"/>
  </r>
  <r>
    <x v="8"/>
    <x v="18"/>
    <x v="90"/>
    <n v="180000"/>
    <n v="0"/>
    <n v="0"/>
    <n v="0"/>
    <x v="3"/>
    <d v="2023-01-13T00:00:00"/>
    <n v="1"/>
    <x v="49"/>
    <n v="1"/>
    <n v="180000"/>
    <n v="0"/>
    <n v="0"/>
    <x v="5"/>
    <s v="SHORT"/>
    <x v="10"/>
    <n v="0"/>
    <n v="0"/>
    <n v="0"/>
    <n v="0"/>
    <s v="DEFI"/>
    <s v="$ PLEASE VISIT ACADY.SITE TO RECEIVE REWARD. COIN SHORT"/>
  </r>
  <r>
    <x v="8"/>
    <x v="18"/>
    <x v="91"/>
    <n v="7000"/>
    <n v="0"/>
    <n v="0"/>
    <n v="0"/>
    <x v="3"/>
    <d v="2023-01-13T00:00:00"/>
    <n v="1"/>
    <x v="50"/>
    <n v="1"/>
    <n v="7000"/>
    <n v="0"/>
    <n v="0"/>
    <x v="5"/>
    <s v="SHORT"/>
    <x v="10"/>
    <n v="0"/>
    <n v="0"/>
    <n v="0"/>
    <n v="0"/>
    <s v="DEFI"/>
    <s v="$ USDCBONUS.COM &lt;- VISIT TO CLAIM BONUS COIN SHORT"/>
  </r>
  <r>
    <x v="8"/>
    <x v="18"/>
    <x v="92"/>
    <n v="7000"/>
    <n v="0"/>
    <n v="0"/>
    <n v="0"/>
    <x v="3"/>
    <d v="2023-01-13T00:00:00"/>
    <n v="1"/>
    <x v="51"/>
    <n v="1"/>
    <n v="7000"/>
    <n v="0"/>
    <n v="0"/>
    <x v="5"/>
    <s v="SHORT"/>
    <x v="10"/>
    <n v="0"/>
    <n v="0"/>
    <n v="0"/>
    <n v="0"/>
    <s v="DEFI"/>
    <s v="$ USDCGIFT.COM &lt;- VISIT TO CLAIM BONUS COIN SHORT"/>
  </r>
  <r>
    <x v="8"/>
    <x v="18"/>
    <x v="93"/>
    <n v="7000"/>
    <n v="0"/>
    <n v="0"/>
    <n v="0"/>
    <x v="3"/>
    <d v="2023-01-13T00:00:00"/>
    <n v="1"/>
    <x v="52"/>
    <n v="1"/>
    <n v="7000"/>
    <n v="0"/>
    <n v="0"/>
    <x v="5"/>
    <s v="SHORT"/>
    <x v="10"/>
    <n v="0"/>
    <n v="0"/>
    <n v="0"/>
    <n v="0"/>
    <s v="DEFI"/>
    <s v="$ USDCXMAS.COM &lt;- VISIT TO CLAIM GIFT COIN SHORT"/>
  </r>
  <r>
    <x v="8"/>
    <x v="18"/>
    <x v="94"/>
    <n v="8"/>
    <n v="0"/>
    <n v="0"/>
    <n v="0"/>
    <x v="3"/>
    <d v="2023-01-13T00:00:00"/>
    <n v="1"/>
    <x v="53"/>
    <n v="1"/>
    <n v="8"/>
    <n v="0"/>
    <n v="0"/>
    <x v="5"/>
    <s v="SHORT"/>
    <x v="10"/>
    <n v="0"/>
    <n v="0"/>
    <n v="0"/>
    <n v="0"/>
    <s v="DEFI"/>
    <s v="927$ VISIT AUSDBONUS.COM TO CLAIM COIN SHORT"/>
  </r>
  <r>
    <x v="8"/>
    <x v="18"/>
    <x v="42"/>
    <n v="229.80482918999999"/>
    <n v="15594.816889215601"/>
    <n v="67.861136531304297"/>
    <n v="0"/>
    <x v="3"/>
    <d v="2023-01-13T00:00:00"/>
    <n v="1"/>
    <x v="12"/>
    <n v="1"/>
    <n v="229.80482918999999"/>
    <n v="15594.816889215652"/>
    <n v="0"/>
    <x v="5"/>
    <s v="LONG"/>
    <x v="8"/>
    <n v="15594.816889215601"/>
    <n v="67.861136531304297"/>
    <n v="0"/>
    <n v="0"/>
    <s v="DEFI"/>
    <s v="AAVE COIN LONG"/>
  </r>
  <r>
    <x v="8"/>
    <x v="18"/>
    <x v="46"/>
    <n v="59.005456510000002"/>
    <n v="912.06800851335095"/>
    <n v="15.4573502597811"/>
    <n v="0"/>
    <x v="3"/>
    <d v="2023-01-13T00:00:00"/>
    <n v="1"/>
    <x v="15"/>
    <n v="1"/>
    <n v="59.005456510000002"/>
    <n v="912.06800851335095"/>
    <n v="0"/>
    <x v="5"/>
    <s v="LONG"/>
    <x v="8"/>
    <n v="912.06800851335095"/>
    <n v="15.4573502597811"/>
    <n v="0"/>
    <n v="0"/>
    <s v="DEFI"/>
    <s v="AVAX COIN LONG"/>
  </r>
  <r>
    <x v="8"/>
    <x v="18"/>
    <x v="95"/>
    <n v="25"/>
    <n v="0"/>
    <n v="0"/>
    <n v="0"/>
    <x v="3"/>
    <d v="2023-01-13T00:00:00"/>
    <n v="1"/>
    <x v="54"/>
    <n v="1"/>
    <n v="25"/>
    <n v="0"/>
    <n v="0"/>
    <x v="5"/>
    <s v="SHORT"/>
    <x v="10"/>
    <n v="0"/>
    <n v="0"/>
    <n v="0"/>
    <n v="0"/>
    <s v="DEFI"/>
    <s v="BONUS. VISIT HTTPS://BITBONUS.TECH TO CLAIM REWARD. COIN SHORT"/>
  </r>
  <r>
    <x v="8"/>
    <x v="18"/>
    <x v="59"/>
    <n v="16.8835707"/>
    <n v="23939.865303201801"/>
    <n v="1417.9385231112101"/>
    <n v="0"/>
    <x v="3"/>
    <d v="2023-01-13T00:00:00"/>
    <n v="1"/>
    <x v="1"/>
    <n v="1"/>
    <n v="16.8835707"/>
    <n v="23939.865303201699"/>
    <n v="0"/>
    <x v="5"/>
    <s v="LONG"/>
    <x v="8"/>
    <n v="23939.865303201801"/>
    <n v="1417.9385231112101"/>
    <n v="0"/>
    <n v="0"/>
    <s v="DEFI"/>
    <s v="ETH COIN LONG"/>
  </r>
  <r>
    <x v="8"/>
    <x v="18"/>
    <x v="96"/>
    <n v="480000"/>
    <n v="0"/>
    <n v="0"/>
    <n v="0"/>
    <x v="3"/>
    <d v="2023-01-13T00:00:00"/>
    <n v="1"/>
    <x v="55"/>
    <n v="1"/>
    <n v="480000"/>
    <n v="0"/>
    <n v="0"/>
    <x v="5"/>
    <s v="SHORT"/>
    <x v="10"/>
    <n v="0"/>
    <n v="0"/>
    <n v="0"/>
    <n v="0"/>
    <s v="DEFI"/>
    <s v="INVITATION TOKEN. PLEASE VISIT HTTPS://AAKER.SITE AND CLAIM REWARDS. COIN SHORT"/>
  </r>
  <r>
    <x v="8"/>
    <x v="18"/>
    <x v="97"/>
    <n v="34311.93215886"/>
    <n v="0"/>
    <n v="0"/>
    <n v="0"/>
    <x v="3"/>
    <d v="2023-01-13T00:00:00"/>
    <n v="1"/>
    <x v="56"/>
    <n v="1"/>
    <n v="34311.93215886"/>
    <n v="0"/>
    <n v="0"/>
    <x v="5"/>
    <s v="SHORT"/>
    <x v="10"/>
    <n v="0"/>
    <n v="0"/>
    <n v="0"/>
    <n v="0"/>
    <s v="DEFI"/>
    <s v="OAAVEUSDC/AAVE-02DEC22-67.5C COIN SHORT"/>
  </r>
  <r>
    <x v="8"/>
    <x v="18"/>
    <x v="98"/>
    <n v="32302.942249520001"/>
    <n v="0"/>
    <n v="0"/>
    <n v="0"/>
    <x v="3"/>
    <d v="2023-01-13T00:00:00"/>
    <n v="1"/>
    <x v="57"/>
    <n v="1"/>
    <n v="32302.942249520001"/>
    <n v="0"/>
    <n v="0"/>
    <x v="5"/>
    <s v="SHORT"/>
    <x v="10"/>
    <n v="0"/>
    <n v="0"/>
    <n v="0"/>
    <n v="0"/>
    <s v="DEFI"/>
    <s v="OAAVEUSDC/AAVE-06JAN23-62.5C COIN SHORT"/>
  </r>
  <r>
    <x v="8"/>
    <x v="18"/>
    <x v="99"/>
    <n v="32626.54331546"/>
    <n v="0"/>
    <n v="0"/>
    <n v="0"/>
    <x v="3"/>
    <d v="2023-01-13T00:00:00"/>
    <n v="1"/>
    <x v="58"/>
    <n v="1"/>
    <n v="32626.54331546"/>
    <n v="0"/>
    <n v="0"/>
    <x v="5"/>
    <s v="SHORT"/>
    <x v="10"/>
    <n v="0"/>
    <n v="0"/>
    <n v="0"/>
    <n v="0"/>
    <s v="DEFI"/>
    <s v="OAAVEUSDC/AAVE-13JAN23-62.5C COIN SHORT"/>
  </r>
  <r>
    <x v="8"/>
    <x v="18"/>
    <x v="100"/>
    <n v="33793.379334129997"/>
    <n v="0"/>
    <n v="0"/>
    <n v="0"/>
    <x v="3"/>
    <d v="2023-01-13T00:00:00"/>
    <n v="1"/>
    <x v="59"/>
    <n v="1"/>
    <n v="33793.379334129997"/>
    <n v="0"/>
    <n v="0"/>
    <x v="5"/>
    <s v="SHORT"/>
    <x v="10"/>
    <n v="0"/>
    <n v="0"/>
    <n v="0"/>
    <n v="0"/>
    <s v="DEFI"/>
    <s v="OAAVEUSDC/AAVE-16DEC22-72.5C COIN SHORT"/>
  </r>
  <r>
    <x v="8"/>
    <x v="18"/>
    <x v="101"/>
    <n v="33991.374100820001"/>
    <n v="0"/>
    <n v="0"/>
    <n v="0"/>
    <x v="3"/>
    <d v="2023-01-13T00:00:00"/>
    <n v="1"/>
    <x v="60"/>
    <n v="1"/>
    <n v="33991.374100820001"/>
    <n v="0"/>
    <n v="0"/>
    <x v="5"/>
    <s v="SHORT"/>
    <x v="10"/>
    <n v="0"/>
    <n v="0"/>
    <n v="0"/>
    <n v="0"/>
    <s v="DEFI"/>
    <s v="OAAVEUSDC/AAVE-25NOV22-72.5C COIN SHORT"/>
  </r>
  <r>
    <x v="8"/>
    <x v="18"/>
    <x v="102"/>
    <n v="19597.425537219999"/>
    <n v="0"/>
    <n v="0"/>
    <n v="0"/>
    <x v="3"/>
    <d v="2023-01-13T00:00:00"/>
    <n v="1"/>
    <x v="61"/>
    <n v="1"/>
    <n v="19597.425537219999"/>
    <n v="0"/>
    <n v="0"/>
    <x v="5"/>
    <s v="SHORT"/>
    <x v="10"/>
    <n v="0"/>
    <n v="0"/>
    <n v="0"/>
    <n v="0"/>
    <s v="DEFI"/>
    <s v="OWAVAXUSDC.E/WAVAX-06JAN23-12.25C COIN SHORT"/>
  </r>
  <r>
    <x v="8"/>
    <x v="18"/>
    <x v="103"/>
    <n v="29214.150499390002"/>
    <n v="0"/>
    <n v="0"/>
    <n v="0"/>
    <x v="3"/>
    <d v="2023-01-13T00:00:00"/>
    <n v="1"/>
    <x v="62"/>
    <n v="1"/>
    <n v="29214.150499390002"/>
    <n v="0"/>
    <n v="0"/>
    <x v="5"/>
    <s v="SHORT"/>
    <x v="10"/>
    <n v="0"/>
    <n v="0"/>
    <n v="0"/>
    <n v="0"/>
    <s v="DEFI"/>
    <s v="OWAVAXUSDC.E/WAVAX-09DEC22-15.5C COIN SHORT"/>
  </r>
  <r>
    <x v="8"/>
    <x v="18"/>
    <x v="104"/>
    <n v="20213.414599259999"/>
    <n v="0"/>
    <n v="0"/>
    <n v="0"/>
    <x v="3"/>
    <d v="2023-01-13T00:00:00"/>
    <n v="1"/>
    <x v="63"/>
    <n v="1"/>
    <n v="20213.414599259999"/>
    <n v="0"/>
    <n v="0"/>
    <x v="5"/>
    <s v="SHORT"/>
    <x v="10"/>
    <n v="0"/>
    <n v="0"/>
    <n v="0"/>
    <n v="0"/>
    <s v="DEFI"/>
    <s v="OWAVAXUSDC.E/WAVAX-16DEC22-15.25C COIN SHORT"/>
  </r>
  <r>
    <x v="8"/>
    <x v="18"/>
    <x v="105"/>
    <n v="31925.004081070001"/>
    <n v="0"/>
    <n v="0"/>
    <n v="0"/>
    <x v="3"/>
    <d v="2023-01-13T00:00:00"/>
    <n v="1"/>
    <x v="64"/>
    <n v="1"/>
    <n v="31925.004081070001"/>
    <n v="0"/>
    <n v="0"/>
    <x v="5"/>
    <s v="SHORT"/>
    <x v="10"/>
    <n v="0"/>
    <n v="0"/>
    <n v="0"/>
    <n v="0"/>
    <s v="DEFI"/>
    <s v="OWAVAXUSDC.E/WAVAX-25NOV22-15.5C COIN SHORT"/>
  </r>
  <r>
    <x v="8"/>
    <x v="18"/>
    <x v="106"/>
    <n v="17599.94336709"/>
    <n v="0"/>
    <n v="0"/>
    <n v="0"/>
    <x v="3"/>
    <d v="2023-01-13T00:00:00"/>
    <n v="1"/>
    <x v="65"/>
    <n v="1"/>
    <n v="17599.94336709"/>
    <n v="0"/>
    <n v="0"/>
    <x v="5"/>
    <s v="SHORT"/>
    <x v="10"/>
    <n v="0"/>
    <n v="0"/>
    <n v="0"/>
    <n v="0"/>
    <s v="DEFI"/>
    <s v="OWAVAXUSDC.E/WAVAX-30DEC22-13.25C COIN SHORT"/>
  </r>
  <r>
    <x v="8"/>
    <x v="18"/>
    <x v="107"/>
    <n v="3032"/>
    <n v="0"/>
    <n v="0"/>
    <n v="0"/>
    <x v="3"/>
    <d v="2023-01-13T00:00:00"/>
    <n v="1"/>
    <x v="66"/>
    <n v="1"/>
    <n v="3032"/>
    <n v="0"/>
    <n v="0"/>
    <x v="5"/>
    <s v="SHORT"/>
    <x v="10"/>
    <n v="0"/>
    <n v="0"/>
    <n v="0"/>
    <n v="0"/>
    <s v="DEFI"/>
    <s v="OWETHUSDC/WETH-06JAN23-1300C COIN SHORT"/>
  </r>
  <r>
    <x v="8"/>
    <x v="18"/>
    <x v="108"/>
    <n v="2698"/>
    <n v="0"/>
    <n v="0"/>
    <n v="0"/>
    <x v="3"/>
    <d v="2023-01-13T00:00:00"/>
    <n v="1"/>
    <x v="67"/>
    <n v="1"/>
    <n v="2698"/>
    <n v="0"/>
    <n v="0"/>
    <x v="5"/>
    <s v="SHORT"/>
    <x v="10"/>
    <n v="0"/>
    <n v="0"/>
    <n v="0"/>
    <n v="0"/>
    <s v="DEFI"/>
    <s v="OWETHUSDC/WETH-09DEC22-1450C COIN SHORT"/>
  </r>
  <r>
    <x v="8"/>
    <x v="18"/>
    <x v="109"/>
    <n v="2891"/>
    <n v="0"/>
    <n v="0"/>
    <n v="0"/>
    <x v="3"/>
    <d v="2023-01-13T00:00:00"/>
    <n v="1"/>
    <x v="68"/>
    <n v="1"/>
    <n v="2891"/>
    <n v="0"/>
    <n v="0"/>
    <x v="5"/>
    <s v="SHORT"/>
    <x v="10"/>
    <n v="0"/>
    <n v="0"/>
    <n v="0"/>
    <n v="0"/>
    <s v="DEFI"/>
    <s v="OWETHUSDC/WETH-16DEC22-1450C COIN SHORT"/>
  </r>
  <r>
    <x v="8"/>
    <x v="18"/>
    <x v="110"/>
    <n v="2904"/>
    <n v="0"/>
    <n v="0"/>
    <n v="0"/>
    <x v="3"/>
    <d v="2023-01-13T00:00:00"/>
    <n v="1"/>
    <x v="69"/>
    <n v="1"/>
    <n v="2904"/>
    <n v="0"/>
    <n v="0"/>
    <x v="5"/>
    <s v="SHORT"/>
    <x v="10"/>
    <n v="0"/>
    <n v="0"/>
    <n v="0"/>
    <n v="0"/>
    <s v="DEFI"/>
    <s v="OWETHUSDC/WETH-25NOV22-1400C COIN SHORT"/>
  </r>
  <r>
    <x v="8"/>
    <x v="18"/>
    <x v="111"/>
    <n v="3047"/>
    <n v="0"/>
    <n v="0"/>
    <n v="0"/>
    <x v="3"/>
    <d v="2023-01-13T00:00:00"/>
    <n v="1"/>
    <x v="70"/>
    <n v="1"/>
    <n v="3047"/>
    <n v="0"/>
    <n v="0"/>
    <x v="5"/>
    <s v="SHORT"/>
    <x v="10"/>
    <n v="0"/>
    <n v="0"/>
    <n v="0"/>
    <n v="0"/>
    <s v="DEFI"/>
    <s v="OWETHUSDC/WETH-30DEC22-1350C COIN SHORT"/>
  </r>
  <r>
    <x v="8"/>
    <x v="18"/>
    <x v="112"/>
    <n v="9472.1338239899997"/>
    <n v="0"/>
    <n v="0"/>
    <n v="0"/>
    <x v="3"/>
    <d v="2023-01-13T00:00:00"/>
    <n v="1"/>
    <x v="71"/>
    <n v="1"/>
    <n v="9472.1338239899997"/>
    <n v="0"/>
    <n v="0"/>
    <x v="5"/>
    <s v="SHORT"/>
    <x v="10"/>
    <n v="0"/>
    <n v="0"/>
    <n v="0"/>
    <n v="0"/>
    <s v="DEFI"/>
    <s v="OWETHUSDC/WSTETH-02DEC22-1350C COIN SHORT"/>
  </r>
  <r>
    <x v="8"/>
    <x v="18"/>
    <x v="113"/>
    <n v="5625.02729593"/>
    <n v="0"/>
    <n v="0"/>
    <n v="0"/>
    <x v="3"/>
    <d v="2023-01-13T00:00:00"/>
    <n v="1"/>
    <x v="72"/>
    <n v="1"/>
    <n v="5625.02729593"/>
    <n v="0"/>
    <n v="0"/>
    <x v="5"/>
    <s v="SHORT"/>
    <x v="10"/>
    <n v="0"/>
    <n v="0"/>
    <n v="0"/>
    <n v="0"/>
    <s v="DEFI"/>
    <s v="OWETHUSDC/WSTETH-04NOV22-1700C COIN SHORT"/>
  </r>
  <r>
    <x v="8"/>
    <x v="18"/>
    <x v="114"/>
    <n v="5968"/>
    <n v="0"/>
    <n v="0"/>
    <n v="0"/>
    <x v="3"/>
    <d v="2023-01-13T00:00:00"/>
    <n v="1"/>
    <x v="73"/>
    <n v="1"/>
    <n v="5968"/>
    <n v="0"/>
    <n v="0"/>
    <x v="5"/>
    <s v="SHORT"/>
    <x v="10"/>
    <n v="0"/>
    <n v="0"/>
    <n v="0"/>
    <n v="0"/>
    <s v="DEFI"/>
    <s v="OWETHUSDC/WSTETH-09SEP22-1900C COIN SHORT"/>
  </r>
  <r>
    <x v="8"/>
    <x v="18"/>
    <x v="115"/>
    <n v="4006"/>
    <n v="0"/>
    <n v="0"/>
    <n v="0"/>
    <x v="3"/>
    <d v="2023-01-13T00:00:00"/>
    <n v="1"/>
    <x v="74"/>
    <n v="1"/>
    <n v="4006"/>
    <n v="0"/>
    <n v="0"/>
    <x v="5"/>
    <s v="SHORT"/>
    <x v="10"/>
    <n v="0"/>
    <n v="0"/>
    <n v="0"/>
    <n v="0"/>
    <s v="DEFI"/>
    <s v="OWETHUSDC/WSTETH-30DEC22-1350C COIN SHORT"/>
  </r>
  <r>
    <x v="8"/>
    <x v="18"/>
    <x v="88"/>
    <n v="60000"/>
    <n v="60004.328977644"/>
    <n v="1.0000721496274001"/>
    <n v="0"/>
    <x v="3"/>
    <d v="2023-01-13T00:00:00"/>
    <n v="1"/>
    <x v="47"/>
    <n v="1"/>
    <n v="60000"/>
    <n v="60004.328977644007"/>
    <n v="0"/>
    <x v="5"/>
    <s v="LONG"/>
    <x v="8"/>
    <n v="60004.328977644"/>
    <n v="1.0000721496274001"/>
    <n v="0"/>
    <n v="0"/>
    <s v="DEFI"/>
    <s v="USDC COIN LONG"/>
  </r>
  <r>
    <x v="8"/>
    <x v="18"/>
    <x v="116"/>
    <n v="186.88790811999999"/>
    <n v="2877.3571273807302"/>
    <n v="15.396165307459"/>
    <n v="0"/>
    <x v="3"/>
    <d v="2023-01-13T00:00:00"/>
    <n v="1"/>
    <x v="75"/>
    <n v="1"/>
    <n v="186.88790811999999"/>
    <n v="2877.3571273807293"/>
    <n v="0"/>
    <x v="5"/>
    <s v="LONG"/>
    <x v="8"/>
    <n v="2877.3571273807302"/>
    <n v="15.396165307459"/>
    <n v="0"/>
    <n v="0"/>
    <s v="DEFI"/>
    <s v="WAVAX COIN LONG"/>
  </r>
  <r>
    <x v="8"/>
    <x v="18"/>
    <x v="117"/>
    <n v="128.58989367000001"/>
    <n v="182220.348791973"/>
    <n v="1417.0658641308501"/>
    <n v="0"/>
    <x v="3"/>
    <d v="2023-01-13T00:00:00"/>
    <n v="1"/>
    <x v="76"/>
    <n v="1"/>
    <n v="128.58989367000001"/>
    <n v="182220.34879197268"/>
    <n v="0"/>
    <x v="5"/>
    <s v="LONG"/>
    <x v="8"/>
    <n v="182220.348791973"/>
    <n v="1417.0658641308501"/>
    <n v="0"/>
    <n v="0"/>
    <s v="DEFI"/>
    <s v="WETH COIN LONG"/>
  </r>
  <r>
    <x v="8"/>
    <x v="19"/>
    <x v="53"/>
    <n v="78.748072449999995"/>
    <n v="54.266566857299701"/>
    <n v="0.68911612905516495"/>
    <n v="0"/>
    <x v="3"/>
    <d v="2023-01-13T00:00:00"/>
    <n v="1"/>
    <x v="19"/>
    <n v="1"/>
    <n v="78.748072449999995"/>
    <n v="54.266566857299679"/>
    <n v="0"/>
    <x v="5"/>
    <s v="LONG"/>
    <x v="8"/>
    <n v="54.266566857299701"/>
    <n v="0.68911612905516495"/>
    <n v="0"/>
    <n v="0"/>
    <s v="DEFI"/>
    <s v="CRV COIN LONG"/>
  </r>
  <r>
    <x v="8"/>
    <x v="19"/>
    <x v="89"/>
    <n v="2.51455188"/>
    <n v="8.9207979518641096"/>
    <n v="3.54766907885953"/>
    <n v="0"/>
    <x v="3"/>
    <d v="2023-01-13T00:00:00"/>
    <n v="1"/>
    <x v="48"/>
    <n v="1"/>
    <n v="2.51455188"/>
    <n v="8.920797951864099"/>
    <n v="0"/>
    <x v="5"/>
    <s v="LONG"/>
    <x v="8"/>
    <n v="8.9207979518641096"/>
    <n v="3.54766907885953"/>
    <n v="0"/>
    <n v="0"/>
    <s v="DEFI"/>
    <s v="CVX COIN LONG"/>
  </r>
  <r>
    <x v="8"/>
    <x v="19"/>
    <x v="118"/>
    <n v="172554.34841886"/>
    <n v="172564.61571339701"/>
    <n v="1.0000595018012099"/>
    <n v="0"/>
    <x v="3"/>
    <d v="2023-01-13T00:00:00"/>
    <n v="1"/>
    <x v="77"/>
    <n v="1"/>
    <n v="172554.34841886"/>
    <n v="172564.61571339754"/>
    <n v="0"/>
    <x v="5"/>
    <s v="LONG"/>
    <x v="8"/>
    <n v="172564.61571339701"/>
    <n v="1.0000595018012099"/>
    <n v="0"/>
    <n v="0"/>
    <s v="DEFI"/>
    <s v="DAI COIN LONG"/>
  </r>
  <r>
    <x v="8"/>
    <x v="19"/>
    <x v="59"/>
    <n v="0.49557208000000003"/>
    <n v="702.69074321035498"/>
    <n v="1417.9385231112101"/>
    <n v="0"/>
    <x v="3"/>
    <d v="2023-01-13T00:00:00"/>
    <n v="1"/>
    <x v="1"/>
    <n v="1"/>
    <n v="0.49557208000000003"/>
    <n v="702.69074321035055"/>
    <n v="0"/>
    <x v="5"/>
    <s v="LONG"/>
    <x v="8"/>
    <n v="702.69074321035498"/>
    <n v="1417.9385231112101"/>
    <n v="0"/>
    <n v="0"/>
    <s v="DEFI"/>
    <s v="ETH COIN LONG"/>
  </r>
  <r>
    <x v="8"/>
    <x v="19"/>
    <x v="119"/>
    <n v="516393.62323616998"/>
    <n v="515301.05266681401"/>
    <n v="0.99788422916125696"/>
    <n v="0"/>
    <x v="3"/>
    <d v="2023-01-13T00:00:00"/>
    <n v="1"/>
    <x v="78"/>
    <n v="1"/>
    <n v="516393.62323616998"/>
    <n v="515301.05266681401"/>
    <n v="0"/>
    <x v="5"/>
    <s v="LONG"/>
    <x v="8"/>
    <n v="515301.05266681401"/>
    <n v="0.99788422916125696"/>
    <n v="0"/>
    <n v="0"/>
    <s v="DEFI"/>
    <s v="MIM COIN LONG"/>
  </r>
  <r>
    <x v="8"/>
    <x v="19"/>
    <x v="88"/>
    <n v="192885.46117379001"/>
    <n v="192899.37778794399"/>
    <n v="1.0000721496274001"/>
    <n v="0"/>
    <x v="3"/>
    <d v="2023-01-13T00:00:00"/>
    <n v="1"/>
    <x v="47"/>
    <n v="1"/>
    <n v="192885.46117379001"/>
    <n v="192899.3777879446"/>
    <n v="0"/>
    <x v="5"/>
    <s v="LONG"/>
    <x v="8"/>
    <n v="192899.37778794399"/>
    <n v="1.0000721496274001"/>
    <n v="0"/>
    <n v="0"/>
    <s v="DEFI"/>
    <s v="USDC COIN LONG"/>
  </r>
  <r>
    <x v="8"/>
    <x v="19"/>
    <x v="76"/>
    <n v="132056.27534242999"/>
    <n v="132068.43101488499"/>
    <n v="1.00009204918451"/>
    <n v="0"/>
    <x v="3"/>
    <d v="2023-01-13T00:00:00"/>
    <n v="1"/>
    <x v="36"/>
    <n v="1"/>
    <n v="132056.27534242999"/>
    <n v="132068.4310148847"/>
    <n v="0"/>
    <x v="5"/>
    <s v="LONG"/>
    <x v="8"/>
    <n v="132068.43101488499"/>
    <n v="1.00009204918451"/>
    <n v="0"/>
    <n v="0"/>
    <s v="DEFI"/>
    <s v="USDT COIN LONG"/>
  </r>
  <r>
    <x v="8"/>
    <x v="20"/>
    <x v="59"/>
    <n v="2.34866376"/>
    <n v="3330.2608231392401"/>
    <n v="1417.9385231112101"/>
    <n v="0"/>
    <x v="3"/>
    <d v="2023-01-13T00:00:00"/>
    <n v="1"/>
    <x v="1"/>
    <n v="1"/>
    <n v="2.34866376"/>
    <n v="3330.2608231392214"/>
    <n v="0"/>
    <x v="5"/>
    <s v="LONG"/>
    <x v="8"/>
    <n v="3330.2608231392401"/>
    <n v="1417.9385231112101"/>
    <n v="0"/>
    <n v="0"/>
    <s v="DEFI"/>
    <s v="ETH COIN LONG"/>
  </r>
  <r>
    <x v="8"/>
    <x v="21"/>
    <x v="59"/>
    <n v="9.8779060000000002E-2"/>
    <n v="140.062634450714"/>
    <n v="1417.9385231112101"/>
    <n v="0"/>
    <x v="3"/>
    <d v="2023-01-13T00:00:00"/>
    <n v="1"/>
    <x v="1"/>
    <n v="1"/>
    <n v="9.8779060000000002E-2"/>
    <n v="140.0626344507136"/>
    <n v="0"/>
    <x v="5"/>
    <s v="LONG"/>
    <x v="8"/>
    <n v="140.062634450714"/>
    <n v="1417.9385231112101"/>
    <n v="0"/>
    <n v="0"/>
    <s v="DEFI"/>
    <s v="ETH COIN LONG"/>
  </r>
  <r>
    <x v="8"/>
    <x v="21"/>
    <x v="120"/>
    <n v="196525.25441796001"/>
    <n v="0"/>
    <n v="0"/>
    <n v="0"/>
    <x v="3"/>
    <d v="2023-01-13T00:00:00"/>
    <n v="1"/>
    <x v="79"/>
    <n v="1"/>
    <n v="196525.25441796001"/>
    <n v="0"/>
    <n v="0"/>
    <x v="5"/>
    <s v="SHORT"/>
    <x v="10"/>
    <n v="0"/>
    <n v="0"/>
    <n v="0"/>
    <n v="0"/>
    <s v="DEFI"/>
    <s v="OBALUSDC/BAL-30DEC22-7.6C COIN SHORT"/>
  </r>
  <r>
    <x v="8"/>
    <x v="21"/>
    <x v="121"/>
    <n v="201000.92417708001"/>
    <n v="0"/>
    <n v="0"/>
    <n v="0"/>
    <x v="3"/>
    <d v="2023-01-13T00:00:00"/>
    <n v="1"/>
    <x v="80"/>
    <n v="1"/>
    <n v="201000.92417708001"/>
    <n v="0"/>
    <n v="0"/>
    <x v="5"/>
    <s v="SHORT"/>
    <x v="10"/>
    <n v="0"/>
    <n v="0"/>
    <n v="0"/>
    <n v="0"/>
    <s v="DEFI"/>
    <s v="OPERPUSDC/PERP-30DEC22-0.54C COIN SHORT"/>
  </r>
  <r>
    <x v="8"/>
    <x v="21"/>
    <x v="122"/>
    <n v="100050250.667"/>
    <n v="0"/>
    <n v="0"/>
    <n v="0"/>
    <x v="3"/>
    <d v="2023-01-13T00:00:00"/>
    <n v="1"/>
    <x v="81"/>
    <n v="1"/>
    <n v="100050250.667"/>
    <n v="0"/>
    <n v="0"/>
    <x v="5"/>
    <s v="SHORT"/>
    <x v="10"/>
    <n v="0"/>
    <n v="0"/>
    <n v="0"/>
    <n v="0"/>
    <s v="DEFI"/>
    <s v="OSPELLUSDC/SPELL-30DEC22-0.00079C COIN SHORT"/>
  </r>
  <r>
    <x v="8"/>
    <x v="22"/>
    <x v="53"/>
    <n v="82.967645259999998"/>
    <n v="57.174342538393297"/>
    <n v="0.68911612905516495"/>
    <n v="0"/>
    <x v="3"/>
    <d v="2023-01-13T00:00:00"/>
    <n v="1"/>
    <x v="19"/>
    <n v="1"/>
    <n v="82.967645259999998"/>
    <n v="57.174342538393304"/>
    <n v="0"/>
    <x v="5"/>
    <s v="LONG"/>
    <x v="8"/>
    <n v="57.174342538393297"/>
    <n v="0.68911612905516495"/>
    <n v="0"/>
    <n v="0"/>
    <s v="DEFI"/>
    <s v="CRV COIN LONG"/>
  </r>
  <r>
    <x v="8"/>
    <x v="22"/>
    <x v="89"/>
    <n v="3.47592108"/>
    <n v="12.331417736072"/>
    <n v="3.54766907885953"/>
    <n v="0"/>
    <x v="3"/>
    <d v="2023-01-13T00:00:00"/>
    <n v="1"/>
    <x v="48"/>
    <n v="1"/>
    <n v="3.47592108"/>
    <n v="12.331417736072023"/>
    <n v="0"/>
    <x v="5"/>
    <s v="LONG"/>
    <x v="8"/>
    <n v="12.331417736072"/>
    <n v="3.54766907885953"/>
    <n v="0"/>
    <n v="0"/>
    <s v="DEFI"/>
    <s v="CVX COIN LONG"/>
  </r>
  <r>
    <x v="8"/>
    <x v="22"/>
    <x v="59"/>
    <n v="502.25244882999999"/>
    <n v="712163.09552300302"/>
    <n v="1417.9385231112101"/>
    <n v="0"/>
    <x v="3"/>
    <d v="2023-01-13T00:00:00"/>
    <n v="1"/>
    <x v="1"/>
    <n v="1"/>
    <n v="502.25244882999999"/>
    <n v="712163.09552299883"/>
    <n v="0"/>
    <x v="5"/>
    <s v="LONG"/>
    <x v="8"/>
    <n v="712163.09552300302"/>
    <n v="1417.9385231112101"/>
    <n v="0"/>
    <n v="0"/>
    <s v="DEFI"/>
    <s v="ETH COIN LONG"/>
  </r>
  <r>
    <x v="8"/>
    <x v="22"/>
    <x v="59"/>
    <n v="8.0888086799999996"/>
    <n v="11469.433433448399"/>
    <n v="1417.9385231112101"/>
    <n v="0"/>
    <x v="3"/>
    <d v="2023-01-13T00:00:00"/>
    <n v="1"/>
    <x v="1"/>
    <n v="1"/>
    <n v="8.0888086799999996"/>
    <n v="11469.433433448336"/>
    <n v="0"/>
    <x v="5"/>
    <s v="LONG"/>
    <x v="8"/>
    <n v="11469.433433448399"/>
    <n v="1417.9385231112101"/>
    <n v="0"/>
    <n v="0"/>
    <s v="DEFI"/>
    <s v="ETH COIN LONG"/>
  </r>
  <r>
    <x v="8"/>
    <x v="22"/>
    <x v="59"/>
    <n v="494.97593741999998"/>
    <n v="701845.44968090602"/>
    <n v="1417.9385231112101"/>
    <n v="0"/>
    <x v="3"/>
    <d v="2023-01-13T00:00:00"/>
    <n v="1"/>
    <x v="1"/>
    <n v="1"/>
    <n v="494.97593741999998"/>
    <n v="701845.44968090148"/>
    <n v="0"/>
    <x v="5"/>
    <s v="LONG"/>
    <x v="8"/>
    <n v="701845.44968090602"/>
    <n v="1417.9385231112101"/>
    <n v="0"/>
    <n v="0"/>
    <s v="DEFI"/>
    <s v="ETH COIN LONG"/>
  </r>
  <r>
    <x v="8"/>
    <x v="22"/>
    <x v="123"/>
    <n v="4.9449780900000002"/>
    <n v="31.966226316242999"/>
    <n v="6.4643817898580496"/>
    <n v="0"/>
    <x v="3"/>
    <d v="2023-01-13T00:00:00"/>
    <n v="1"/>
    <x v="82"/>
    <n v="1"/>
    <n v="4.9449780900000002"/>
    <n v="31.966226316243041"/>
    <n v="0"/>
    <x v="5"/>
    <s v="LONG"/>
    <x v="8"/>
    <n v="31.966226316242999"/>
    <n v="6.4643817898580496"/>
    <n v="0"/>
    <n v="0"/>
    <s v="DEFI"/>
    <s v="FXS COIN LONG"/>
  </r>
  <r>
    <x v="8"/>
    <x v="22"/>
    <x v="123"/>
    <n v="603.23998956000003"/>
    <n v="3899.5736034258198"/>
    <n v="6.4643817898580496"/>
    <n v="0"/>
    <x v="3"/>
    <d v="2023-01-13T00:00:00"/>
    <n v="1"/>
    <x v="82"/>
    <n v="1"/>
    <n v="603.23998956000003"/>
    <n v="3899.5736034258243"/>
    <n v="0"/>
    <x v="5"/>
    <s v="LONG"/>
    <x v="8"/>
    <n v="3899.5736034258198"/>
    <n v="6.4643817898580496"/>
    <n v="0"/>
    <n v="0"/>
    <s v="DEFI"/>
    <s v="FXS COIN LONG"/>
  </r>
  <r>
    <x v="8"/>
    <x v="23"/>
    <x v="88"/>
    <n v="12009760.042401001"/>
    <n v="12010626.5421132"/>
    <n v="1.0000721496274001"/>
    <n v="0"/>
    <x v="3"/>
    <d v="2023-01-13T00:00:00"/>
    <n v="1"/>
    <x v="47"/>
    <n v="1"/>
    <n v="12009760.042401001"/>
    <n v="12010626.542113224"/>
    <n v="0"/>
    <x v="5"/>
    <s v="LONG"/>
    <x v="8"/>
    <n v="12010626.5421132"/>
    <n v="1.0000721496274001"/>
    <n v="0"/>
    <n v="0"/>
    <s v="DEFI"/>
    <s v="USDC COIN LONG"/>
  </r>
  <r>
    <x v="1"/>
    <x v="3"/>
    <x v="88"/>
    <n v="15672.084394"/>
    <n v="15673.2151290496"/>
    <n v="1.0000721496274001"/>
    <n v="0"/>
    <x v="3"/>
    <d v="2023-01-13T00:00:00"/>
    <n v="1"/>
    <x v="47"/>
    <n v="1"/>
    <n v="15672.084394"/>
    <n v="15673.215129049609"/>
    <n v="0"/>
    <x v="5"/>
    <s v="LONG"/>
    <x v="8"/>
    <n v="15673.2151290496"/>
    <n v="1.0000721496274001"/>
    <n v="0"/>
    <n v="0"/>
    <s v="DYDX"/>
    <s v="USDC COIN LONG"/>
  </r>
  <r>
    <x v="2"/>
    <x v="24"/>
    <x v="43"/>
    <n v="1E-8"/>
    <n v="3.2975847474337499E-9"/>
    <n v="0.329758474743375"/>
    <n v="0"/>
    <x v="3"/>
    <d v="2023-01-13T00:00:00"/>
    <n v="1"/>
    <x v="13"/>
    <n v="1"/>
    <n v="1E-8"/>
    <n v="3.2975847474337499E-9"/>
    <n v="0"/>
    <x v="5"/>
    <s v="LONG"/>
    <x v="8"/>
    <n v="3.2975847474337499E-9"/>
    <n v="0.329758474743375"/>
    <n v="0"/>
    <n v="0"/>
    <s v="FUB2"/>
    <s v="ADA COIN LONG"/>
  </r>
  <r>
    <x v="2"/>
    <x v="24"/>
    <x v="48"/>
    <n v="4.9999999999999998E-8"/>
    <n v="5.9855233068706001E-6"/>
    <n v="119.710466137412"/>
    <n v="0"/>
    <x v="3"/>
    <d v="2023-01-13T00:00:00"/>
    <n v="1"/>
    <x v="3"/>
    <n v="1"/>
    <n v="4.9999999999999998E-8"/>
    <n v="5.9855233068705993E-6"/>
    <n v="0"/>
    <x v="5"/>
    <s v="LONG"/>
    <x v="8"/>
    <n v="5.9855233068706001E-6"/>
    <n v="119.710466137412"/>
    <n v="0"/>
    <n v="0"/>
    <s v="FUB2"/>
    <s v="BCH COIN LONG"/>
  </r>
  <r>
    <x v="2"/>
    <x v="24"/>
    <x v="124"/>
    <n v="0.47315189000000002"/>
    <n v="19.942399223761299"/>
    <n v="42.1479859749927"/>
    <n v="0"/>
    <x v="3"/>
    <d v="2023-01-13T00:00:00"/>
    <n v="1"/>
    <x v="83"/>
    <n v="1"/>
    <n v="0.47315189000000002"/>
    <n v="19.942399223761289"/>
    <n v="0"/>
    <x v="5"/>
    <s v="LONG"/>
    <x v="8"/>
    <n v="19.942399223761299"/>
    <n v="42.1479859749927"/>
    <n v="0"/>
    <n v="0"/>
    <s v="FUB2"/>
    <s v="BSV COIN LONG"/>
  </r>
  <r>
    <x v="2"/>
    <x v="24"/>
    <x v="50"/>
    <n v="4.0000000000000001E-8"/>
    <n v="7.5478352221062302E-4"/>
    <n v="18869.5880552655"/>
    <n v="0"/>
    <x v="3"/>
    <d v="2023-01-13T00:00:00"/>
    <n v="1"/>
    <x v="0"/>
    <n v="1"/>
    <n v="4.0000000000000001E-8"/>
    <n v="7.5478352221061999E-4"/>
    <n v="0"/>
    <x v="5"/>
    <s v="LONG"/>
    <x v="8"/>
    <n v="7.5478352221062302E-4"/>
    <n v="18869.5880552655"/>
    <n v="0"/>
    <n v="0"/>
    <s v="FUB2"/>
    <s v="BTC COIN LONG"/>
  </r>
  <r>
    <x v="2"/>
    <x v="24"/>
    <x v="58"/>
    <n v="2.9999999999999997E-8"/>
    <n v="2.9707274304208201E-8"/>
    <n v="0.990242476806942"/>
    <n v="0"/>
    <x v="3"/>
    <d v="2023-01-13T00:00:00"/>
    <n v="1"/>
    <x v="4"/>
    <n v="1"/>
    <n v="2.9999999999999997E-8"/>
    <n v="2.9707274304208257E-8"/>
    <n v="0"/>
    <x v="5"/>
    <s v="LONG"/>
    <x v="8"/>
    <n v="2.9707274304208201E-8"/>
    <n v="0.990242476806942"/>
    <n v="0"/>
    <n v="0"/>
    <s v="FUB2"/>
    <s v="EOS COIN LONG"/>
  </r>
  <r>
    <x v="2"/>
    <x v="24"/>
    <x v="82"/>
    <n v="1E-8"/>
    <n v="2.0917758217744E-7"/>
    <n v="20.917758217744002"/>
    <n v="0"/>
    <x v="3"/>
    <d v="2023-01-13T00:00:00"/>
    <n v="1"/>
    <x v="41"/>
    <n v="1"/>
    <n v="1E-8"/>
    <n v="2.0917758217744002E-7"/>
    <n v="0"/>
    <x v="5"/>
    <s v="LONG"/>
    <x v="8"/>
    <n v="2.0917758217744E-7"/>
    <n v="20.917758217744002"/>
    <n v="0"/>
    <n v="0"/>
    <s v="FUB2"/>
    <s v="ETC COIN LONG"/>
  </r>
  <r>
    <x v="2"/>
    <x v="24"/>
    <x v="59"/>
    <n v="2.9999999999999997E-8"/>
    <n v="4.2538155693336497E-5"/>
    <n v="1417.9385231112101"/>
    <n v="0"/>
    <x v="3"/>
    <d v="2023-01-13T00:00:00"/>
    <n v="1"/>
    <x v="1"/>
    <n v="1"/>
    <n v="2.9999999999999997E-8"/>
    <n v="4.2538155693336301E-5"/>
    <n v="0"/>
    <x v="5"/>
    <s v="LONG"/>
    <x v="8"/>
    <n v="4.2538155693336497E-5"/>
    <n v="1417.9385231112101"/>
    <n v="0"/>
    <n v="0"/>
    <s v="FUB2"/>
    <s v="ETH COIN LONG"/>
  </r>
  <r>
    <x v="2"/>
    <x v="24"/>
    <x v="66"/>
    <n v="1E-8"/>
    <n v="8.5964229450756099E-7"/>
    <n v="85.964229450756093"/>
    <n v="0"/>
    <x v="3"/>
    <d v="2023-01-13T00:00:00"/>
    <n v="1"/>
    <x v="5"/>
    <n v="1"/>
    <n v="1E-8"/>
    <n v="8.5964229450756099E-7"/>
    <n v="0"/>
    <x v="5"/>
    <s v="LONG"/>
    <x v="8"/>
    <n v="8.5964229450756099E-7"/>
    <n v="85.964229450756093"/>
    <n v="0"/>
    <n v="0"/>
    <s v="FUB2"/>
    <s v="LTC COIN LONG"/>
  </r>
  <r>
    <x v="2"/>
    <x v="24"/>
    <x v="125"/>
    <n v="1E-8"/>
    <n v="5.7111199630631599E-10"/>
    <n v="5.7111199630631597E-2"/>
    <n v="0"/>
    <x v="3"/>
    <d v="2023-01-13T00:00:00"/>
    <n v="1"/>
    <x v="84"/>
    <n v="1"/>
    <n v="1E-8"/>
    <n v="5.7111199630631599E-10"/>
    <n v="0"/>
    <x v="5"/>
    <s v="LONG"/>
    <x v="8"/>
    <n v="5.7111199630631599E-10"/>
    <n v="5.7111199630631597E-2"/>
    <n v="0"/>
    <n v="0"/>
    <s v="FUB2"/>
    <s v="TRX COIN LONG"/>
  </r>
  <r>
    <x v="2"/>
    <x v="24"/>
    <x v="78"/>
    <n v="9.9999999999999995E-8"/>
    <n v="3.7519714224190102E-8"/>
    <n v="0.37519714224190098"/>
    <n v="0"/>
    <x v="3"/>
    <d v="2023-01-13T00:00:00"/>
    <n v="1"/>
    <x v="38"/>
    <n v="1"/>
    <n v="9.9999999999999995E-8"/>
    <n v="3.7519714224190096E-8"/>
    <n v="0"/>
    <x v="5"/>
    <s v="LONG"/>
    <x v="8"/>
    <n v="3.7519714224190102E-8"/>
    <n v="0.37519714224190098"/>
    <n v="0"/>
    <n v="0"/>
    <s v="FUB2"/>
    <s v="XRP COIN LONG"/>
  </r>
  <r>
    <x v="2"/>
    <x v="25"/>
    <x v="43"/>
    <n v="5.7406599999999999E-3"/>
    <n v="1.8930312856203001E-3"/>
    <n v="0.329758474743375"/>
    <n v="0"/>
    <x v="3"/>
    <d v="2023-01-13T00:00:00"/>
    <n v="1"/>
    <x v="13"/>
    <n v="1"/>
    <n v="5.7406599999999999E-3"/>
    <n v="1.8930312856203031E-3"/>
    <n v="0"/>
    <x v="5"/>
    <s v="LONG"/>
    <x v="8"/>
    <n v="1.8930312856203001E-3"/>
    <n v="0.329758474743375"/>
    <n v="0"/>
    <n v="0"/>
    <s v="FUBI"/>
    <s v="ADA COIN LONG"/>
  </r>
  <r>
    <x v="2"/>
    <x v="25"/>
    <x v="48"/>
    <n v="0.72885027999999996"/>
    <n v="87.251006763183298"/>
    <n v="119.710466137412"/>
    <n v="0"/>
    <x v="3"/>
    <d v="2023-01-13T00:00:00"/>
    <n v="1"/>
    <x v="3"/>
    <n v="1"/>
    <n v="0.72885027999999996"/>
    <n v="87.251006763183256"/>
    <n v="0"/>
    <x v="5"/>
    <s v="LONG"/>
    <x v="8"/>
    <n v="87.251006763183298"/>
    <n v="119.710466137412"/>
    <n v="0"/>
    <n v="0"/>
    <s v="FUBI"/>
    <s v="BCH COIN LONG"/>
  </r>
  <r>
    <x v="2"/>
    <x v="25"/>
    <x v="124"/>
    <n v="0.11285791000000001"/>
    <n v="4.7567336078469902"/>
    <n v="42.1479859749927"/>
    <n v="0"/>
    <x v="3"/>
    <d v="2023-01-13T00:00:00"/>
    <n v="1"/>
    <x v="83"/>
    <n v="1"/>
    <n v="0.11285791000000001"/>
    <n v="4.7567336078469884"/>
    <n v="0"/>
    <x v="5"/>
    <s v="LONG"/>
    <x v="8"/>
    <n v="4.7567336078469902"/>
    <n v="42.1479859749927"/>
    <n v="0"/>
    <n v="0"/>
    <s v="FUBI"/>
    <s v="BSV COIN LONG"/>
  </r>
  <r>
    <x v="2"/>
    <x v="25"/>
    <x v="50"/>
    <n v="5.1900000000000003E-6"/>
    <n v="9.7933162006828306E-2"/>
    <n v="18869.5880552655"/>
    <n v="0"/>
    <x v="3"/>
    <d v="2023-01-13T00:00:00"/>
    <n v="1"/>
    <x v="0"/>
    <n v="1"/>
    <n v="5.1900000000000003E-6"/>
    <n v="9.7933162006827945E-2"/>
    <n v="0"/>
    <x v="5"/>
    <s v="LONG"/>
    <x v="8"/>
    <n v="9.7933162006828306E-2"/>
    <n v="18869.5880552655"/>
    <n v="0"/>
    <n v="0"/>
    <s v="FUBI"/>
    <s v="BTC COIN LONG"/>
  </r>
  <r>
    <x v="2"/>
    <x v="25"/>
    <x v="56"/>
    <n v="0.97764076"/>
    <n v="5.1125507867595497"/>
    <n v="5.2294779390740098"/>
    <n v="0"/>
    <x v="3"/>
    <d v="2023-01-13T00:00:00"/>
    <n v="1"/>
    <x v="22"/>
    <n v="1"/>
    <n v="0.97764076"/>
    <n v="5.1125507867595488"/>
    <n v="0"/>
    <x v="5"/>
    <s v="LONG"/>
    <x v="8"/>
    <n v="5.1125507867595497"/>
    <n v="5.2294779390740098"/>
    <n v="0"/>
    <n v="0"/>
    <s v="FUBI"/>
    <s v="DOT COIN LONG"/>
  </r>
  <r>
    <x v="2"/>
    <x v="25"/>
    <x v="58"/>
    <n v="3.7085149999999997E-2"/>
    <n v="3.6723290788756899E-2"/>
    <n v="0.990242476806942"/>
    <n v="0"/>
    <x v="3"/>
    <d v="2023-01-13T00:00:00"/>
    <n v="1"/>
    <x v="4"/>
    <n v="1"/>
    <n v="3.7085149999999997E-2"/>
    <n v="3.6723290788756961E-2"/>
    <n v="0"/>
    <x v="5"/>
    <s v="LONG"/>
    <x v="8"/>
    <n v="3.6723290788756899E-2"/>
    <n v="0.990242476806942"/>
    <n v="0"/>
    <n v="0"/>
    <s v="FUBI"/>
    <s v="EOS COIN LONG"/>
  </r>
  <r>
    <x v="2"/>
    <x v="25"/>
    <x v="82"/>
    <n v="0.70701212999999996"/>
    <n v="14.7891087923522"/>
    <n v="20.917758217744002"/>
    <n v="0"/>
    <x v="3"/>
    <d v="2023-01-13T00:00:00"/>
    <n v="1"/>
    <x v="41"/>
    <n v="1"/>
    <n v="0.70701212999999996"/>
    <n v="14.78910879235219"/>
    <n v="0"/>
    <x v="5"/>
    <s v="LONG"/>
    <x v="8"/>
    <n v="14.7891087923522"/>
    <n v="20.917758217744002"/>
    <n v="0"/>
    <n v="0"/>
    <s v="FUBI"/>
    <s v="ETC COIN LONG"/>
  </r>
  <r>
    <x v="2"/>
    <x v="25"/>
    <x v="59"/>
    <n v="9.5337999999999998E-4"/>
    <n v="1.3518342291637699"/>
    <n v="1417.9385231112101"/>
    <n v="0"/>
    <x v="3"/>
    <d v="2023-01-13T00:00:00"/>
    <n v="1"/>
    <x v="1"/>
    <n v="1"/>
    <n v="9.5337999999999998E-4"/>
    <n v="1.3518342291637655"/>
    <n v="0"/>
    <x v="5"/>
    <s v="LONG"/>
    <x v="8"/>
    <n v="1.3518342291637699"/>
    <n v="1417.9385231112101"/>
    <n v="0"/>
    <n v="0"/>
    <s v="FUBI"/>
    <s v="ETH COIN LONG"/>
  </r>
  <r>
    <x v="2"/>
    <x v="25"/>
    <x v="65"/>
    <n v="6.244243E-2"/>
    <n v="0.39846584876989299"/>
    <n v="6.38133155243787"/>
    <n v="0"/>
    <x v="3"/>
    <d v="2023-01-13T00:00:00"/>
    <n v="1"/>
    <x v="9"/>
    <n v="1"/>
    <n v="6.244243E-2"/>
    <n v="0.39846584876989305"/>
    <n v="0"/>
    <x v="5"/>
    <s v="LONG"/>
    <x v="8"/>
    <n v="0.39846584876989299"/>
    <n v="6.38133155243787"/>
    <n v="0"/>
    <n v="0"/>
    <s v="FUBI"/>
    <s v="LINK COIN LONG"/>
  </r>
  <r>
    <x v="2"/>
    <x v="25"/>
    <x v="66"/>
    <n v="7.1564416099999999"/>
    <n v="615.19798861297795"/>
    <n v="85.964229450756093"/>
    <n v="0"/>
    <x v="3"/>
    <d v="2023-01-13T00:00:00"/>
    <n v="1"/>
    <x v="5"/>
    <n v="1"/>
    <n v="7.1564416099999999"/>
    <n v="615.19798861297829"/>
    <n v="0"/>
    <x v="5"/>
    <s v="LONG"/>
    <x v="8"/>
    <n v="615.19798861297795"/>
    <n v="85.964229450756093"/>
    <n v="0"/>
    <n v="0"/>
    <s v="FUBI"/>
    <s v="LTC COIN LONG"/>
  </r>
  <r>
    <x v="2"/>
    <x v="25"/>
    <x v="125"/>
    <n v="0.95766242000000001"/>
    <n v="5.46932496473738E-2"/>
    <n v="5.7111199630631597E-2"/>
    <n v="0"/>
    <x v="3"/>
    <d v="2023-01-13T00:00:00"/>
    <n v="1"/>
    <x v="84"/>
    <n v="1"/>
    <n v="0.95766242000000001"/>
    <n v="5.4693249647373765E-2"/>
    <n v="0"/>
    <x v="5"/>
    <s v="LONG"/>
    <x v="8"/>
    <n v="5.46932496473738E-2"/>
    <n v="5.7111199630631597E-2"/>
    <n v="0"/>
    <n v="0"/>
    <s v="FUBI"/>
    <s v="TRX COIN LONG"/>
  </r>
  <r>
    <x v="2"/>
    <x v="25"/>
    <x v="78"/>
    <n v="0.54364484000000002"/>
    <n v="0.20397399036255501"/>
    <n v="0.37519714224190098"/>
    <n v="0"/>
    <x v="3"/>
    <d v="2023-01-13T00:00:00"/>
    <n v="1"/>
    <x v="38"/>
    <n v="1"/>
    <n v="0.54364484000000002"/>
    <n v="0.20397399036255551"/>
    <n v="0"/>
    <x v="5"/>
    <s v="LONG"/>
    <x v="8"/>
    <n v="0.20397399036255501"/>
    <n v="0.37519714224190098"/>
    <n v="0"/>
    <n v="0"/>
    <s v="FUBI"/>
    <s v="XRP COIN LONG"/>
  </r>
  <r>
    <x v="9"/>
    <x v="26"/>
    <x v="50"/>
    <n v="9.9829999999999998E-5"/>
    <n v="1.88375097555716"/>
    <n v="18869.5880552655"/>
    <n v="0"/>
    <x v="3"/>
    <d v="2023-01-13T00:00:00"/>
    <n v="1"/>
    <x v="0"/>
    <n v="1"/>
    <n v="9.9829999999999998E-5"/>
    <n v="1.8837509755571549"/>
    <n v="0"/>
    <x v="5"/>
    <s v="LONG"/>
    <x v="8"/>
    <n v="1.88375097555716"/>
    <n v="18869.5880552655"/>
    <n v="0"/>
    <n v="0"/>
    <s v="GATE"/>
    <s v="BTC COIN LONG"/>
  </r>
  <r>
    <x v="9"/>
    <x v="26"/>
    <x v="76"/>
    <n v="10195.00440553"/>
    <n v="10195.9428473716"/>
    <n v="1.00009204918451"/>
    <n v="0"/>
    <x v="3"/>
    <d v="2023-01-13T00:00:00"/>
    <n v="1"/>
    <x v="36"/>
    <n v="1"/>
    <n v="10195.00440553"/>
    <n v="10195.942847371605"/>
    <n v="0"/>
    <x v="5"/>
    <s v="LONG"/>
    <x v="8"/>
    <n v="10195.9428473716"/>
    <n v="1.00009204918451"/>
    <n v="0"/>
    <n v="0"/>
    <s v="GATE"/>
    <s v="USDT COIN LONG"/>
  </r>
  <r>
    <x v="9"/>
    <x v="27"/>
    <x v="50"/>
    <n v="1.899957E-2"/>
    <n v="358.51405912718201"/>
    <n v="18869.5880552655"/>
    <n v="0"/>
    <x v="3"/>
    <d v="2023-01-13T00:00:00"/>
    <n v="1"/>
    <x v="0"/>
    <n v="1"/>
    <n v="1.899957E-2"/>
    <n v="358.51405912718076"/>
    <n v="0"/>
    <x v="5"/>
    <s v="LONG"/>
    <x v="8"/>
    <n v="358.51405912718201"/>
    <n v="18869.5880552655"/>
    <n v="0"/>
    <n v="0"/>
    <s v="GATE"/>
    <s v="BTC COIN LONG"/>
  </r>
  <r>
    <x v="9"/>
    <x v="27"/>
    <x v="126"/>
    <n v="9.9825000000000001E-4"/>
    <n v="3.40920543791141E-4"/>
    <n v="0.34151820064226501"/>
    <n v="0"/>
    <x v="3"/>
    <d v="2023-01-13T00:00:00"/>
    <n v="1"/>
    <x v="85"/>
    <n v="1"/>
    <n v="9.9825000000000001E-4"/>
    <n v="3.4092054379114106E-4"/>
    <n v="0"/>
    <x v="5"/>
    <s v="LONG"/>
    <x v="8"/>
    <n v="3.40920543791141E-4"/>
    <n v="0.34151820064226501"/>
    <n v="0"/>
    <n v="0"/>
    <s v="GATE"/>
    <s v="ETHF COIN LONG"/>
  </r>
  <r>
    <x v="9"/>
    <x v="27"/>
    <x v="83"/>
    <n v="9.9825000000000001E-4"/>
    <n v="3.42808374820222E-3"/>
    <n v="3.43409341167265"/>
    <n v="0"/>
    <x v="3"/>
    <d v="2023-01-13T00:00:00"/>
    <n v="1"/>
    <x v="42"/>
    <n v="1"/>
    <n v="9.9825000000000001E-4"/>
    <n v="3.428083748202223E-3"/>
    <n v="0"/>
    <x v="5"/>
    <s v="LONG"/>
    <x v="8"/>
    <n v="3.42808374820222E-3"/>
    <n v="3.43409341167265"/>
    <n v="0"/>
    <n v="0"/>
    <s v="GATE"/>
    <s v="ETHW COIN LONG"/>
  </r>
  <r>
    <x v="9"/>
    <x v="27"/>
    <x v="127"/>
    <n v="9.5929999999999998E-5"/>
    <n v="4.0479294959959199E-6"/>
    <n v="4.2196700677534803E-2"/>
    <n v="0"/>
    <x v="3"/>
    <d v="2023-01-13T00:00:00"/>
    <n v="1"/>
    <x v="86"/>
    <n v="1"/>
    <n v="9.5929999999999998E-5"/>
    <n v="4.0479294959959132E-6"/>
    <n v="0"/>
    <x v="5"/>
    <s v="LONG"/>
    <x v="8"/>
    <n v="4.0479294959959199E-6"/>
    <n v="4.2196700677534803E-2"/>
    <n v="0"/>
    <n v="0"/>
    <s v="GATE"/>
    <s v="ROSE COIN LONG"/>
  </r>
  <r>
    <x v="9"/>
    <x v="27"/>
    <x v="76"/>
    <n v="71.681742360000001"/>
    <n v="71.688340605928701"/>
    <n v="1.00009204918451"/>
    <n v="0"/>
    <x v="3"/>
    <d v="2023-01-13T00:00:00"/>
    <n v="1"/>
    <x v="36"/>
    <n v="1"/>
    <n v="71.681742360000001"/>
    <n v="71.688340605928502"/>
    <n v="0"/>
    <x v="5"/>
    <s v="LONG"/>
    <x v="8"/>
    <n v="71.688340605928701"/>
    <n v="1.00009204918451"/>
    <n v="0"/>
    <n v="0"/>
    <s v="GATE"/>
    <s v="USDT COIN LONG"/>
  </r>
  <r>
    <x v="9"/>
    <x v="28"/>
    <x v="50"/>
    <n v="1.995E-4"/>
    <n v="3.7644828170254798"/>
    <n v="18869.5880552655"/>
    <n v="0"/>
    <x v="3"/>
    <d v="2023-01-13T00:00:00"/>
    <n v="1"/>
    <x v="0"/>
    <n v="1"/>
    <n v="1.995E-4"/>
    <n v="3.7644828170254674"/>
    <n v="0"/>
    <x v="5"/>
    <s v="LONG"/>
    <x v="8"/>
    <n v="3.7644828170254798"/>
    <n v="18869.5880552655"/>
    <n v="0"/>
    <n v="0"/>
    <s v="GATE"/>
    <s v="BTC COIN LONG"/>
  </r>
  <r>
    <x v="9"/>
    <x v="28"/>
    <x v="59"/>
    <n v="9.9825000000000001E-4"/>
    <n v="1.4154571306957699"/>
    <n v="1417.9385231112101"/>
    <n v="0"/>
    <x v="3"/>
    <d v="2023-01-13T00:00:00"/>
    <n v="1"/>
    <x v="1"/>
    <n v="1"/>
    <n v="9.9825000000000001E-4"/>
    <n v="1.4154571306957655"/>
    <n v="0"/>
    <x v="5"/>
    <s v="LONG"/>
    <x v="8"/>
    <n v="1.4154571306957699"/>
    <n v="1417.9385231112101"/>
    <n v="0"/>
    <n v="0"/>
    <s v="GATE"/>
    <s v="ETH COIN LONG"/>
  </r>
  <r>
    <x v="9"/>
    <x v="28"/>
    <x v="76"/>
    <n v="59.393906000000001"/>
    <n v="59.399373160612399"/>
    <n v="1.00009204918451"/>
    <n v="0"/>
    <x v="3"/>
    <d v="2023-01-13T00:00:00"/>
    <n v="1"/>
    <x v="36"/>
    <n v="1"/>
    <n v="59.393906000000001"/>
    <n v="59.399373160612164"/>
    <n v="0"/>
    <x v="5"/>
    <s v="LONG"/>
    <x v="8"/>
    <n v="59.399373160612399"/>
    <n v="1.00009204918451"/>
    <n v="0"/>
    <n v="0"/>
    <s v="GATE"/>
    <s v="USDT COIN LONG"/>
  </r>
  <r>
    <x v="9"/>
    <x v="29"/>
    <x v="76"/>
    <n v="10045.794859"/>
    <n v="10046.719566224499"/>
    <n v="1.00009204918451"/>
    <n v="0"/>
    <x v="3"/>
    <d v="2023-01-13T00:00:00"/>
    <n v="1"/>
    <x v="36"/>
    <n v="1"/>
    <n v="10045.794859"/>
    <n v="10046.719566224525"/>
    <n v="0"/>
    <x v="5"/>
    <s v="LONG"/>
    <x v="8"/>
    <n v="10046.719566224499"/>
    <n v="1.00009204918451"/>
    <n v="0"/>
    <n v="0"/>
    <s v="GATE"/>
    <s v="USDT COIN LONG"/>
  </r>
  <r>
    <x v="2"/>
    <x v="30"/>
    <x v="76"/>
    <n v="1E-8"/>
    <n v="1.00009204918451E-8"/>
    <n v="1.00009204918451"/>
    <n v="0"/>
    <x v="3"/>
    <d v="2023-01-12T00:00:00"/>
    <n v="1"/>
    <x v="36"/>
    <n v="1"/>
    <n v="1E-8"/>
    <n v="1.00009204918451E-8"/>
    <n v="0"/>
    <x v="5"/>
    <s v="LONG"/>
    <x v="8"/>
    <n v="1.00009204918451E-8"/>
    <n v="1.00009204918451"/>
    <n v="0"/>
    <n v="0"/>
    <s v="HUB2"/>
    <s v="USDT COIN LONG"/>
  </r>
  <r>
    <x v="2"/>
    <x v="30"/>
    <x v="78"/>
    <n v="7.4209999999999996E-5"/>
    <n v="2.78433799257714E-5"/>
    <n v="0.37519714224190098"/>
    <n v="0"/>
    <x v="3"/>
    <d v="2023-01-12T00:00:00"/>
    <n v="1"/>
    <x v="38"/>
    <n v="1"/>
    <n v="7.4209999999999996E-5"/>
    <n v="2.7843379925771471E-5"/>
    <n v="0"/>
    <x v="5"/>
    <s v="LONG"/>
    <x v="8"/>
    <n v="2.78433799257714E-5"/>
    <n v="0.37519714224190098"/>
    <n v="0"/>
    <n v="0"/>
    <s v="HUB2"/>
    <s v="XRP COIN LONG"/>
  </r>
  <r>
    <x v="2"/>
    <x v="31"/>
    <x v="43"/>
    <n v="1E-8"/>
    <n v="3.2975847474337499E-9"/>
    <n v="0.329758474743375"/>
    <n v="0"/>
    <x v="3"/>
    <d v="2023-01-13T00:00:00"/>
    <n v="1"/>
    <x v="13"/>
    <n v="1"/>
    <n v="1E-8"/>
    <n v="3.2975847474337499E-9"/>
    <n v="0"/>
    <x v="5"/>
    <s v="LONG"/>
    <x v="8"/>
    <n v="3.2975847474337499E-9"/>
    <n v="0.329758474743375"/>
    <n v="0"/>
    <n v="0"/>
    <s v="HUB2"/>
    <s v="ADA COIN LONG"/>
  </r>
  <r>
    <x v="2"/>
    <x v="31"/>
    <x v="48"/>
    <n v="1E-8"/>
    <n v="1.1971046613741201E-6"/>
    <n v="119.710466137412"/>
    <n v="0"/>
    <x v="3"/>
    <d v="2023-01-13T00:00:00"/>
    <n v="1"/>
    <x v="3"/>
    <n v="1"/>
    <n v="1E-8"/>
    <n v="1.1971046613741201E-6"/>
    <n v="0"/>
    <x v="5"/>
    <s v="LONG"/>
    <x v="8"/>
    <n v="1.1971046613741201E-6"/>
    <n v="119.710466137412"/>
    <n v="0"/>
    <n v="0"/>
    <s v="HUB2"/>
    <s v="BCH COIN LONG"/>
  </r>
  <r>
    <x v="2"/>
    <x v="31"/>
    <x v="124"/>
    <n v="1E-8"/>
    <n v="4.2147985974992698E-7"/>
    <n v="42.1479859749927"/>
    <n v="0"/>
    <x v="3"/>
    <d v="2023-01-13T00:00:00"/>
    <n v="1"/>
    <x v="83"/>
    <n v="1"/>
    <n v="1E-8"/>
    <n v="4.2147985974992703E-7"/>
    <n v="0"/>
    <x v="5"/>
    <s v="LONG"/>
    <x v="8"/>
    <n v="4.2147985974992698E-7"/>
    <n v="42.1479859749927"/>
    <n v="0"/>
    <n v="0"/>
    <s v="HUB2"/>
    <s v="BSV COIN LONG"/>
  </r>
  <r>
    <x v="2"/>
    <x v="31"/>
    <x v="58"/>
    <n v="1E-8"/>
    <n v="9.9024247680694202E-9"/>
    <n v="0.990242476806942"/>
    <n v="0"/>
    <x v="3"/>
    <d v="2023-01-13T00:00:00"/>
    <n v="1"/>
    <x v="4"/>
    <n v="1"/>
    <n v="1E-8"/>
    <n v="9.9024247680694202E-9"/>
    <n v="0"/>
    <x v="5"/>
    <s v="LONG"/>
    <x v="8"/>
    <n v="9.9024247680694202E-9"/>
    <n v="0.990242476806942"/>
    <n v="0"/>
    <n v="0"/>
    <s v="HUB2"/>
    <s v="EOS COIN LONG"/>
  </r>
  <r>
    <x v="2"/>
    <x v="31"/>
    <x v="82"/>
    <n v="1E-8"/>
    <n v="2.0917758217744E-7"/>
    <n v="20.917758217744002"/>
    <n v="0"/>
    <x v="3"/>
    <d v="2023-01-13T00:00:00"/>
    <n v="1"/>
    <x v="41"/>
    <n v="1"/>
    <n v="1E-8"/>
    <n v="2.0917758217744002E-7"/>
    <n v="0"/>
    <x v="5"/>
    <s v="LONG"/>
    <x v="8"/>
    <n v="2.0917758217744E-7"/>
    <n v="20.917758217744002"/>
    <n v="0"/>
    <n v="0"/>
    <s v="HUB2"/>
    <s v="ETC COIN LONG"/>
  </r>
  <r>
    <x v="2"/>
    <x v="31"/>
    <x v="59"/>
    <n v="1E-8"/>
    <n v="1.41793852311121E-5"/>
    <n v="1417.9385231112101"/>
    <n v="0"/>
    <x v="3"/>
    <d v="2023-01-13T00:00:00"/>
    <n v="1"/>
    <x v="1"/>
    <n v="1"/>
    <n v="1E-8"/>
    <n v="1.4179385231112102E-5"/>
    <n v="0"/>
    <x v="5"/>
    <s v="LONG"/>
    <x v="8"/>
    <n v="1.41793852311121E-5"/>
    <n v="1417.9385231112101"/>
    <n v="0"/>
    <n v="0"/>
    <s v="HUB2"/>
    <s v="ETH COIN LONG"/>
  </r>
  <r>
    <x v="2"/>
    <x v="31"/>
    <x v="65"/>
    <n v="1E-8"/>
    <n v="6.3813315524378703E-8"/>
    <n v="6.38133155243787"/>
    <n v="0"/>
    <x v="3"/>
    <d v="2023-01-13T00:00:00"/>
    <n v="1"/>
    <x v="9"/>
    <n v="1"/>
    <n v="1E-8"/>
    <n v="6.3813315524378703E-8"/>
    <n v="0"/>
    <x v="5"/>
    <s v="LONG"/>
    <x v="8"/>
    <n v="6.3813315524378703E-8"/>
    <n v="6.38133155243787"/>
    <n v="0"/>
    <n v="0"/>
    <s v="HUB2"/>
    <s v="LINK COIN LONG"/>
  </r>
  <r>
    <x v="2"/>
    <x v="31"/>
    <x v="66"/>
    <n v="1E-8"/>
    <n v="8.5964229450756099E-7"/>
    <n v="85.964229450756093"/>
    <n v="0"/>
    <x v="3"/>
    <d v="2023-01-13T00:00:00"/>
    <n v="1"/>
    <x v="5"/>
    <n v="1"/>
    <n v="1E-8"/>
    <n v="8.5964229450756099E-7"/>
    <n v="0"/>
    <x v="5"/>
    <s v="LONG"/>
    <x v="8"/>
    <n v="8.5964229450756099E-7"/>
    <n v="85.964229450756093"/>
    <n v="0"/>
    <n v="0"/>
    <s v="HUB2"/>
    <s v="LTC COIN LONG"/>
  </r>
  <r>
    <x v="2"/>
    <x v="31"/>
    <x v="76"/>
    <n v="3.2621029500000001"/>
    <n v="3.2624032239163401"/>
    <n v="1.00009204918451"/>
    <n v="0"/>
    <x v="3"/>
    <d v="2023-01-13T00:00:00"/>
    <n v="1"/>
    <x v="36"/>
    <n v="1"/>
    <n v="3.2621029500000001"/>
    <n v="3.2624032239163352"/>
    <n v="0"/>
    <x v="5"/>
    <s v="LONG"/>
    <x v="8"/>
    <n v="3.2624032239163401"/>
    <n v="1.00009204918451"/>
    <n v="0"/>
    <n v="0"/>
    <s v="HUB2"/>
    <s v="USDT COIN LONG"/>
  </r>
  <r>
    <x v="2"/>
    <x v="31"/>
    <x v="78"/>
    <n v="6.4869999999999994E-5"/>
    <n v="2.4339038617232101E-5"/>
    <n v="0.37519714224190098"/>
    <n v="0"/>
    <x v="3"/>
    <d v="2023-01-13T00:00:00"/>
    <n v="1"/>
    <x v="38"/>
    <n v="1"/>
    <n v="6.4869999999999994E-5"/>
    <n v="2.4339038617232115E-5"/>
    <n v="0"/>
    <x v="5"/>
    <s v="LONG"/>
    <x v="8"/>
    <n v="2.4339038617232101E-5"/>
    <n v="0.37519714224190098"/>
    <n v="0"/>
    <n v="0"/>
    <s v="HUB2"/>
    <s v="XRP COIN LONG"/>
  </r>
  <r>
    <x v="2"/>
    <x v="4"/>
    <x v="42"/>
    <n v="0.10014646000000001"/>
    <n v="6.7960525951868096"/>
    <n v="67.861136531304297"/>
    <n v="0"/>
    <x v="3"/>
    <d v="2023-01-13T00:00:00"/>
    <n v="1"/>
    <x v="12"/>
    <n v="1"/>
    <n v="0.10014646000000001"/>
    <n v="6.7960525951868052"/>
    <n v="0"/>
    <x v="5"/>
    <s v="LONG"/>
    <x v="8"/>
    <n v="6.7960525951868096"/>
    <n v="67.861136531304297"/>
    <n v="0"/>
    <n v="0"/>
    <s v="HUBI"/>
    <s v="AAVE COIN LONG"/>
  </r>
  <r>
    <x v="2"/>
    <x v="4"/>
    <x v="43"/>
    <n v="3.2091999999999998E-4"/>
    <n v="1.05826089714644E-4"/>
    <n v="0.329758474743375"/>
    <n v="0"/>
    <x v="3"/>
    <d v="2023-01-13T00:00:00"/>
    <n v="1"/>
    <x v="13"/>
    <n v="1"/>
    <n v="3.2091999999999998E-4"/>
    <n v="1.058260897146439E-4"/>
    <n v="0"/>
    <x v="5"/>
    <s v="LONG"/>
    <x v="8"/>
    <n v="1.05826089714644E-4"/>
    <n v="0.329758474743375"/>
    <n v="0"/>
    <n v="0"/>
    <s v="HUBI"/>
    <s v="ADA COIN LONG"/>
  </r>
  <r>
    <x v="2"/>
    <x v="4"/>
    <x v="48"/>
    <n v="5.3552000000000005E-4"/>
    <n v="6.4107348825906907E-2"/>
    <n v="119.710466137412"/>
    <n v="0"/>
    <x v="3"/>
    <d v="2023-01-13T00:00:00"/>
    <n v="1"/>
    <x v="3"/>
    <n v="1"/>
    <n v="5.3552000000000005E-4"/>
    <n v="6.4107348825906879E-2"/>
    <n v="0"/>
    <x v="5"/>
    <s v="LONG"/>
    <x v="8"/>
    <n v="6.4107348825906907E-2"/>
    <n v="119.710466137412"/>
    <n v="0"/>
    <n v="0"/>
    <s v="HUBI"/>
    <s v="BCH COIN LONG"/>
  </r>
  <r>
    <x v="2"/>
    <x v="4"/>
    <x v="124"/>
    <n v="2.9999999999999997E-8"/>
    <n v="1.2644395792497801E-6"/>
    <n v="42.1479859749927"/>
    <n v="0"/>
    <x v="3"/>
    <d v="2023-01-13T00:00:00"/>
    <n v="1"/>
    <x v="83"/>
    <n v="1"/>
    <n v="2.9999999999999997E-8"/>
    <n v="1.2644395792497809E-6"/>
    <n v="0"/>
    <x v="5"/>
    <s v="LONG"/>
    <x v="8"/>
    <n v="1.2644395792497801E-6"/>
    <n v="42.1479859749927"/>
    <n v="0"/>
    <n v="0"/>
    <s v="HUBI"/>
    <s v="BSV COIN LONG"/>
  </r>
  <r>
    <x v="2"/>
    <x v="4"/>
    <x v="50"/>
    <n v="18.041232239999999"/>
    <n v="340430.62037817598"/>
    <n v="18869.5880552655"/>
    <n v="0"/>
    <x v="3"/>
    <d v="2023-01-13T00:00:00"/>
    <n v="1"/>
    <x v="0"/>
    <n v="1"/>
    <n v="18.041232239999999"/>
    <n v="340430.62037817482"/>
    <n v="0"/>
    <x v="5"/>
    <s v="LONG"/>
    <x v="8"/>
    <n v="340430.62037817598"/>
    <n v="18869.5880552655"/>
    <n v="0"/>
    <n v="0"/>
    <s v="HUBI"/>
    <s v="BTC COIN LONG"/>
  </r>
  <r>
    <x v="2"/>
    <x v="4"/>
    <x v="50"/>
    <n v="-0.70682544000000003"/>
    <n v="-13337.5048797818"/>
    <n v="18869.5880552655"/>
    <n v="0"/>
    <x v="4"/>
    <d v="2023-01-13T00:00:00"/>
    <n v="1"/>
    <x v="0"/>
    <n v="1"/>
    <n v="-0.70682544000000003"/>
    <n v="-13337.504879781782"/>
    <n v="0"/>
    <x v="5"/>
    <s v="SHORT"/>
    <x v="10"/>
    <n v="-13337.5048797818"/>
    <n v="18869.5880552655"/>
    <n v="0"/>
    <n v="0"/>
    <s v="HUBI"/>
    <s v="BTC COIN SHORT"/>
  </r>
  <r>
    <x v="2"/>
    <x v="4"/>
    <x v="56"/>
    <n v="3.8972899999999999E-3"/>
    <n v="2.03807920771737E-2"/>
    <n v="5.2294779390740098"/>
    <n v="0"/>
    <x v="3"/>
    <d v="2023-01-13T00:00:00"/>
    <n v="1"/>
    <x v="22"/>
    <n v="1"/>
    <n v="3.8972899999999999E-3"/>
    <n v="2.0380792077173748E-2"/>
    <n v="0"/>
    <x v="5"/>
    <s v="LONG"/>
    <x v="8"/>
    <n v="2.03807920771737E-2"/>
    <n v="5.2294779390740098"/>
    <n v="0"/>
    <n v="0"/>
    <s v="HUBI"/>
    <s v="DOT COIN LONG"/>
  </r>
  <r>
    <x v="2"/>
    <x v="4"/>
    <x v="82"/>
    <n v="0.1010306"/>
    <n v="2.1133336633936102"/>
    <n v="20.917758217744002"/>
    <n v="0"/>
    <x v="3"/>
    <d v="2023-01-13T00:00:00"/>
    <n v="1"/>
    <x v="41"/>
    <n v="1"/>
    <n v="0.1010306"/>
    <n v="2.1133336633936071"/>
    <n v="0"/>
    <x v="5"/>
    <s v="LONG"/>
    <x v="8"/>
    <n v="2.1133336633936102"/>
    <n v="20.917758217744002"/>
    <n v="0"/>
    <n v="0"/>
    <s v="HUBI"/>
    <s v="ETC COIN LONG"/>
  </r>
  <r>
    <x v="2"/>
    <x v="4"/>
    <x v="59"/>
    <n v="146.63241235999999"/>
    <n v="207915.74622197301"/>
    <n v="1417.9385231112101"/>
    <n v="0"/>
    <x v="3"/>
    <d v="2023-01-13T00:00:00"/>
    <n v="1"/>
    <x v="1"/>
    <n v="1"/>
    <n v="146.63241235999999"/>
    <n v="207915.74622197234"/>
    <n v="0"/>
    <x v="5"/>
    <s v="LONG"/>
    <x v="8"/>
    <n v="207915.74622197301"/>
    <n v="1417.9385231112101"/>
    <n v="0"/>
    <n v="0"/>
    <s v="HUBI"/>
    <s v="ETH COIN LONG"/>
  </r>
  <r>
    <x v="2"/>
    <x v="4"/>
    <x v="59"/>
    <n v="-2.6088340000000002E-2"/>
    <n v="-36.991662290023299"/>
    <n v="1417.9385231112101"/>
    <n v="0"/>
    <x v="4"/>
    <d v="2023-01-13T00:00:00"/>
    <n v="1"/>
    <x v="1"/>
    <n v="1"/>
    <n v="-2.6088340000000002E-2"/>
    <n v="-36.991662290023108"/>
    <n v="0"/>
    <x v="5"/>
    <s v="SHORT"/>
    <x v="10"/>
    <n v="-36.991662290023299"/>
    <n v="1417.9385231112101"/>
    <n v="0"/>
    <n v="0"/>
    <s v="HUBI"/>
    <s v="ETH COIN SHORT"/>
  </r>
  <r>
    <x v="2"/>
    <x v="4"/>
    <x v="65"/>
    <n v="9.5620999999999998E-4"/>
    <n v="6.1018930437566196E-3"/>
    <n v="6.38133155243787"/>
    <n v="0"/>
    <x v="3"/>
    <d v="2023-01-13T00:00:00"/>
    <n v="1"/>
    <x v="9"/>
    <n v="1"/>
    <n v="9.5620999999999998E-4"/>
    <n v="6.1018930437566152E-3"/>
    <n v="0"/>
    <x v="5"/>
    <s v="LONG"/>
    <x v="8"/>
    <n v="6.1018930437566196E-3"/>
    <n v="6.38133155243787"/>
    <n v="0"/>
    <n v="0"/>
    <s v="HUBI"/>
    <s v="LINK COIN LONG"/>
  </r>
  <r>
    <x v="2"/>
    <x v="4"/>
    <x v="66"/>
    <n v="2.4771099999999998E-3"/>
    <n v="0.21294285241476199"/>
    <n v="85.964229450756093"/>
    <n v="0"/>
    <x v="3"/>
    <d v="2023-01-13T00:00:00"/>
    <n v="1"/>
    <x v="5"/>
    <n v="1"/>
    <n v="2.4771099999999998E-3"/>
    <n v="0.21294285241476241"/>
    <n v="0"/>
    <x v="5"/>
    <s v="LONG"/>
    <x v="8"/>
    <n v="0.21294285241476199"/>
    <n v="85.964229450756093"/>
    <n v="0"/>
    <n v="0"/>
    <s v="HUBI"/>
    <s v="LTC COIN LONG"/>
  </r>
  <r>
    <x v="2"/>
    <x v="4"/>
    <x v="72"/>
    <n v="71073.205401560001"/>
    <n v="0.67316157360309703"/>
    <n v="9.4713833405960602E-6"/>
    <n v="0"/>
    <x v="3"/>
    <d v="2023-01-13T00:00:00"/>
    <n v="1"/>
    <x v="11"/>
    <n v="1"/>
    <n v="71073.205401560001"/>
    <n v="0.67316157360309736"/>
    <n v="0"/>
    <x v="5"/>
    <s v="LONG"/>
    <x v="8"/>
    <n v="0.67316157360309703"/>
    <n v="9.4713833405960602E-6"/>
    <n v="0"/>
    <n v="0"/>
    <s v="HUBI"/>
    <s v="SHIB COIN LONG"/>
  </r>
  <r>
    <x v="2"/>
    <x v="4"/>
    <x v="125"/>
    <n v="4.8644999999999998E-4"/>
    <n v="2.7781743060320699E-5"/>
    <n v="5.7111199630631597E-2"/>
    <n v="0"/>
    <x v="3"/>
    <d v="2023-01-13T00:00:00"/>
    <n v="1"/>
    <x v="84"/>
    <n v="1"/>
    <n v="4.8644999999999998E-4"/>
    <n v="2.7781743060320739E-5"/>
    <n v="0"/>
    <x v="5"/>
    <s v="LONG"/>
    <x v="8"/>
    <n v="2.7781743060320699E-5"/>
    <n v="5.7111199630631597E-2"/>
    <n v="0"/>
    <n v="0"/>
    <s v="HUBI"/>
    <s v="TRX COIN LONG"/>
  </r>
  <r>
    <x v="2"/>
    <x v="4"/>
    <x v="78"/>
    <n v="1.9184000000000001E-4"/>
    <n v="7.1977819767686302E-5"/>
    <n v="0.37519714224190098"/>
    <n v="0"/>
    <x v="3"/>
    <d v="2023-01-13T00:00:00"/>
    <n v="1"/>
    <x v="38"/>
    <n v="1"/>
    <n v="1.9184000000000001E-4"/>
    <n v="7.1977819767686288E-5"/>
    <n v="0"/>
    <x v="5"/>
    <s v="LONG"/>
    <x v="8"/>
    <n v="7.1977819767686302E-5"/>
    <n v="0.37519714224190098"/>
    <n v="0"/>
    <n v="0"/>
    <s v="HUBI"/>
    <s v="XRP COIN LONG"/>
  </r>
  <r>
    <x v="2"/>
    <x v="4"/>
    <x v="128"/>
    <n v="2.4299999999999999E-3"/>
    <n v="2.9853911400186601"/>
    <n v="1228.5560246990401"/>
    <n v="0"/>
    <x v="3"/>
    <d v="2023-01-13T00:00:00"/>
    <n v="1"/>
    <x v="87"/>
    <n v="1"/>
    <n v="2.4299999999999999E-3"/>
    <n v="2.9853911400186672"/>
    <n v="0"/>
    <x v="5"/>
    <s v="LONG"/>
    <x v="8"/>
    <n v="2.9853911400186601"/>
    <n v="1228.5560246990401"/>
    <n v="0"/>
    <n v="0"/>
    <s v="HUBI"/>
    <s v="YFII COIN LONG"/>
  </r>
  <r>
    <x v="2"/>
    <x v="5"/>
    <x v="76"/>
    <n v="38063.850801009998"/>
    <n v="38067.3545474356"/>
    <n v="1.00009204918451"/>
    <n v="0"/>
    <x v="3"/>
    <d v="2023-01-13T00:00:00"/>
    <n v="1"/>
    <x v="36"/>
    <n v="1"/>
    <n v="38063.850801009998"/>
    <n v="38067.354547435541"/>
    <n v="0"/>
    <x v="5"/>
    <s v="LONG"/>
    <x v="8"/>
    <n v="38067.3545474356"/>
    <n v="1.00009204918451"/>
    <n v="0"/>
    <n v="0"/>
    <s v="HUBI"/>
    <s v="USDT COIN LONG"/>
  </r>
  <r>
    <x v="2"/>
    <x v="5"/>
    <x v="76"/>
    <n v="170.33860000000001"/>
    <n v="170.354279529221"/>
    <n v="1.00009204918451"/>
    <n v="0"/>
    <x v="4"/>
    <d v="2023-01-13T00:00:00"/>
    <n v="1"/>
    <x v="36"/>
    <n v="1"/>
    <n v="170.33860000000001"/>
    <n v="170.35427952922058"/>
    <n v="0"/>
    <x v="5"/>
    <s v="LONG"/>
    <x v="8"/>
    <n v="170.354279529221"/>
    <n v="1.00009204918451"/>
    <n v="0"/>
    <n v="0"/>
    <s v="HUBI"/>
    <s v="USDT COIN LONG"/>
  </r>
  <r>
    <x v="2"/>
    <x v="32"/>
    <x v="129"/>
    <n v="377.09760540000002"/>
    <n v="9.8431534717962399E-2"/>
    <n v="2.6102402483715799E-4"/>
    <n v="0"/>
    <x v="3"/>
    <d v="2023-01-13T00:00:00"/>
    <n v="1"/>
    <x v="88"/>
    <n v="1"/>
    <n v="377.09760540000002"/>
    <n v="9.8431534717962413E-2"/>
    <n v="0"/>
    <x v="5"/>
    <s v="LONG"/>
    <x v="8"/>
    <n v="9.8431534717962399E-2"/>
    <n v="2.6102402483715799E-4"/>
    <n v="0"/>
    <n v="0"/>
    <s v="HUBI"/>
    <s v="AAC COIN LONG"/>
  </r>
  <r>
    <x v="2"/>
    <x v="32"/>
    <x v="43"/>
    <n v="1.1000000000000001E-7"/>
    <n v="3.62734322217713E-8"/>
    <n v="0.329758474743375"/>
    <n v="0"/>
    <x v="3"/>
    <d v="2023-01-13T00:00:00"/>
    <n v="1"/>
    <x v="13"/>
    <n v="1"/>
    <n v="1.1000000000000001E-7"/>
    <n v="3.6273432221771254E-8"/>
    <n v="0"/>
    <x v="5"/>
    <s v="LONG"/>
    <x v="8"/>
    <n v="3.62734322217713E-8"/>
    <n v="0.329758474743375"/>
    <n v="0"/>
    <n v="0"/>
    <s v="HUBI"/>
    <s v="ADA COIN LONG"/>
  </r>
  <r>
    <x v="2"/>
    <x v="32"/>
    <x v="44"/>
    <n v="2.6E-7"/>
    <n v="5.5256887809946897E-8"/>
    <n v="0.21252649157671899"/>
    <n v="0"/>
    <x v="3"/>
    <d v="2023-01-13T00:00:00"/>
    <n v="1"/>
    <x v="14"/>
    <n v="1"/>
    <n v="2.6E-7"/>
    <n v="5.5256887809946937E-8"/>
    <n v="0"/>
    <x v="5"/>
    <s v="LONG"/>
    <x v="8"/>
    <n v="5.5256887809946897E-8"/>
    <n v="0.21252649157671899"/>
    <n v="0"/>
    <n v="0"/>
    <s v="HUBI"/>
    <s v="ALGO COIN LONG"/>
  </r>
  <r>
    <x v="2"/>
    <x v="32"/>
    <x v="130"/>
    <n v="0.53247394999999997"/>
    <n v="1.6120070397661099E-2"/>
    <n v="3.0273913677206402E-2"/>
    <n v="0"/>
    <x v="3"/>
    <d v="2023-01-13T00:00:00"/>
    <n v="1"/>
    <x v="89"/>
    <n v="1"/>
    <n v="0.53247394999999997"/>
    <n v="1.6120070397661116E-2"/>
    <n v="0"/>
    <x v="5"/>
    <s v="LONG"/>
    <x v="8"/>
    <n v="1.6120070397661099E-2"/>
    <n v="3.0273913677206402E-2"/>
    <n v="0"/>
    <n v="0"/>
    <s v="HUBI"/>
    <s v="ARPA COIN LONG"/>
  </r>
  <r>
    <x v="2"/>
    <x v="32"/>
    <x v="45"/>
    <n v="4.3657420000000002E-2"/>
    <n v="0.53588137669726599"/>
    <n v="12.274691832390999"/>
    <n v="0"/>
    <x v="3"/>
    <d v="2023-01-13T00:00:00"/>
    <n v="1"/>
    <x v="10"/>
    <n v="1"/>
    <n v="4.3657420000000002E-2"/>
    <n v="0.53588137669726355"/>
    <n v="0"/>
    <x v="5"/>
    <s v="LONG"/>
    <x v="8"/>
    <n v="0.53588137669726599"/>
    <n v="12.274691832390999"/>
    <n v="0"/>
    <n v="0"/>
    <s v="HUBI"/>
    <s v="ATOM COIN LONG"/>
  </r>
  <r>
    <x v="2"/>
    <x v="32"/>
    <x v="46"/>
    <n v="1.5389969999999999E-2"/>
    <n v="0.23788815677752301"/>
    <n v="15.4573502597811"/>
    <n v="0"/>
    <x v="3"/>
    <d v="2023-01-13T00:00:00"/>
    <n v="1"/>
    <x v="15"/>
    <n v="1"/>
    <n v="1.5389969999999999E-2"/>
    <n v="0.23788815677752331"/>
    <n v="0"/>
    <x v="5"/>
    <s v="LONG"/>
    <x v="8"/>
    <n v="0.23788815677752301"/>
    <n v="15.4573502597811"/>
    <n v="0"/>
    <n v="0"/>
    <s v="HUBI"/>
    <s v="AVAX COIN LONG"/>
  </r>
  <r>
    <x v="2"/>
    <x v="32"/>
    <x v="47"/>
    <n v="2.0454320000000002E-2"/>
    <n v="4.1885132344188104E-3"/>
    <n v="0.20477401519184199"/>
    <n v="0"/>
    <x v="3"/>
    <d v="2023-01-13T00:00:00"/>
    <n v="1"/>
    <x v="16"/>
    <n v="1"/>
    <n v="2.0454320000000002E-2"/>
    <n v="4.1885132344187974E-3"/>
    <n v="0"/>
    <x v="5"/>
    <s v="LONG"/>
    <x v="8"/>
    <n v="4.1885132344188104E-3"/>
    <n v="0.20477401519184199"/>
    <n v="0"/>
    <n v="0"/>
    <s v="HUBI"/>
    <s v="BAT COIN LONG"/>
  </r>
  <r>
    <x v="2"/>
    <x v="32"/>
    <x v="48"/>
    <n v="22.00176016"/>
    <n v="2633.8409645971401"/>
    <n v="119.710466137412"/>
    <n v="0"/>
    <x v="3"/>
    <d v="2023-01-13T00:00:00"/>
    <n v="1"/>
    <x v="3"/>
    <n v="1"/>
    <n v="22.00176016"/>
    <n v="2633.8409645971406"/>
    <n v="0"/>
    <x v="5"/>
    <s v="LONG"/>
    <x v="8"/>
    <n v="2633.8409645971401"/>
    <n v="119.710466137412"/>
    <n v="0"/>
    <n v="0"/>
    <s v="HUBI"/>
    <s v="BCH COIN LONG"/>
  </r>
  <r>
    <x v="2"/>
    <x v="32"/>
    <x v="131"/>
    <n v="2.5033500000000001E-3"/>
    <n v="1.13535741150493E-4"/>
    <n v="4.5353522739726197E-2"/>
    <n v="0"/>
    <x v="3"/>
    <d v="2023-01-13T00:00:00"/>
    <n v="1"/>
    <x v="90"/>
    <n v="1"/>
    <n v="2.5033500000000001E-3"/>
    <n v="1.1353574115049359E-4"/>
    <n v="0"/>
    <x v="5"/>
    <s v="LONG"/>
    <x v="8"/>
    <n v="1.13535741150493E-4"/>
    <n v="4.5353522739726197E-2"/>
    <n v="0"/>
    <n v="0"/>
    <s v="HUBI"/>
    <s v="BHD COIN LONG"/>
  </r>
  <r>
    <x v="2"/>
    <x v="32"/>
    <x v="132"/>
    <n v="115.29838952"/>
    <n v="6.7795787076243297"/>
    <n v="5.8800289716521299E-2"/>
    <n v="0"/>
    <x v="3"/>
    <d v="2023-01-13T00:00:00"/>
    <n v="1"/>
    <x v="91"/>
    <n v="1"/>
    <n v="115.29838952"/>
    <n v="6.7795787076243235"/>
    <n v="0"/>
    <x v="5"/>
    <s v="LONG"/>
    <x v="8"/>
    <n v="6.7795787076243297"/>
    <n v="5.8800289716521299E-2"/>
    <n v="0"/>
    <n v="0"/>
    <s v="HUBI"/>
    <s v="BLZ COIN LONG"/>
  </r>
  <r>
    <x v="2"/>
    <x v="32"/>
    <x v="133"/>
    <n v="14.7502"/>
    <n v="2.82684210675981"/>
    <n v="0.19164771370963199"/>
    <n v="0"/>
    <x v="3"/>
    <d v="2023-01-13T00:00:00"/>
    <n v="1"/>
    <x v="92"/>
    <n v="1"/>
    <n v="14.7502"/>
    <n v="2.8268421067598135"/>
    <n v="0"/>
    <x v="5"/>
    <s v="LONG"/>
    <x v="8"/>
    <n v="2.82684210675981"/>
    <n v="0.19164771370963199"/>
    <n v="0"/>
    <n v="0"/>
    <s v="HUBI"/>
    <s v="BOBA COIN LONG"/>
  </r>
  <r>
    <x v="2"/>
    <x v="32"/>
    <x v="124"/>
    <n v="1.807E-4"/>
    <n v="7.6161410656811904E-3"/>
    <n v="42.1479859749927"/>
    <n v="0"/>
    <x v="3"/>
    <d v="2023-01-13T00:00:00"/>
    <n v="1"/>
    <x v="83"/>
    <n v="1"/>
    <n v="1.807E-4"/>
    <n v="7.6161410656811809E-3"/>
    <n v="0"/>
    <x v="5"/>
    <s v="LONG"/>
    <x v="8"/>
    <n v="7.6161410656811904E-3"/>
    <n v="42.1479859749927"/>
    <n v="0"/>
    <n v="0"/>
    <s v="HUBI"/>
    <s v="BSV COIN LONG"/>
  </r>
  <r>
    <x v="2"/>
    <x v="32"/>
    <x v="50"/>
    <n v="108.63868278"/>
    <n v="2049967.1909252701"/>
    <n v="18869.5880552655"/>
    <n v="0"/>
    <x v="3"/>
    <d v="2023-01-13T00:00:00"/>
    <n v="1"/>
    <x v="0"/>
    <n v="1"/>
    <n v="108.63868278"/>
    <n v="2049967.1909252657"/>
    <n v="0"/>
    <x v="5"/>
    <s v="LONG"/>
    <x v="8"/>
    <n v="2049967.1909252701"/>
    <n v="18869.5880552655"/>
    <n v="0"/>
    <n v="0"/>
    <s v="HUBI"/>
    <s v="BTC COIN LONG"/>
  </r>
  <r>
    <x v="2"/>
    <x v="32"/>
    <x v="134"/>
    <n v="0.33565571999999999"/>
    <n v="5.0099972829981999E-3"/>
    <n v="1.49260000187043E-2"/>
    <n v="0"/>
    <x v="3"/>
    <d v="2023-01-13T00:00:00"/>
    <n v="1"/>
    <x v="93"/>
    <n v="1"/>
    <n v="0.33565571999999999"/>
    <n v="5.0099972829982051E-3"/>
    <n v="0"/>
    <x v="5"/>
    <s v="LONG"/>
    <x v="8"/>
    <n v="5.0099972829981999E-3"/>
    <n v="1.49260000187043E-2"/>
    <n v="0"/>
    <n v="0"/>
    <s v="HUBI"/>
    <s v="BTM COIN LONG"/>
  </r>
  <r>
    <x v="2"/>
    <x v="32"/>
    <x v="135"/>
    <n v="1367501156.8785999"/>
    <n v="935.32266578065196"/>
    <n v="6.8396480769024001E-7"/>
    <n v="0"/>
    <x v="3"/>
    <d v="2023-01-13T00:00:00"/>
    <n v="1"/>
    <x v="94"/>
    <n v="1"/>
    <n v="1367501156.8785999"/>
    <n v="935.3226657806523"/>
    <n v="0"/>
    <x v="5"/>
    <s v="LONG"/>
    <x v="8"/>
    <n v="935.32266578065196"/>
    <n v="6.8396480769024001E-7"/>
    <n v="0"/>
    <n v="0"/>
    <s v="HUBI"/>
    <s v="BTT COIN LONG"/>
  </r>
  <r>
    <x v="2"/>
    <x v="32"/>
    <x v="136"/>
    <n v="1.7855998900000001"/>
    <n v="4.3801594662575801E-3"/>
    <n v="2.4530464471845198E-3"/>
    <n v="0"/>
    <x v="3"/>
    <d v="2023-01-13T00:00:00"/>
    <n v="1"/>
    <x v="95"/>
    <n v="1"/>
    <n v="1.7855998900000001"/>
    <n v="4.3801594662575697E-3"/>
    <n v="0"/>
    <x v="5"/>
    <s v="LONG"/>
    <x v="8"/>
    <n v="4.3801594662575801E-3"/>
    <n v="2.4530464471845198E-3"/>
    <n v="0"/>
    <n v="0"/>
    <s v="HUBI"/>
    <s v="CMT COIN LONG"/>
  </r>
  <r>
    <x v="2"/>
    <x v="32"/>
    <x v="137"/>
    <n v="0.30791584"/>
    <n v="2.04778472878973E-2"/>
    <n v="6.6504689358940702E-2"/>
    <n v="0"/>
    <x v="3"/>
    <d v="2023-01-13T00:00:00"/>
    <n v="1"/>
    <x v="96"/>
    <n v="1"/>
    <n v="0.30791584"/>
    <n v="2.0477847287897286E-2"/>
    <n v="0"/>
    <x v="5"/>
    <s v="LONG"/>
    <x v="8"/>
    <n v="2.04778472878973E-2"/>
    <n v="6.6504689358940702E-2"/>
    <n v="0"/>
    <n v="0"/>
    <s v="HUBI"/>
    <s v="CRO COIN LONG"/>
  </r>
  <r>
    <x v="2"/>
    <x v="32"/>
    <x v="54"/>
    <n v="5.6119999999999998E-5"/>
    <n v="2.7698860571246102E-3"/>
    <n v="49.356487119112799"/>
    <n v="0"/>
    <x v="3"/>
    <d v="2023-01-13T00:00:00"/>
    <n v="1"/>
    <x v="20"/>
    <n v="1"/>
    <n v="5.6119999999999998E-5"/>
    <n v="2.7698860571246102E-3"/>
    <n v="0"/>
    <x v="5"/>
    <s v="LONG"/>
    <x v="8"/>
    <n v="2.7698860571246102E-3"/>
    <n v="49.356487119112799"/>
    <n v="0"/>
    <n v="0"/>
    <s v="HUBI"/>
    <s v="DASH COIN LONG"/>
  </r>
  <r>
    <x v="2"/>
    <x v="32"/>
    <x v="138"/>
    <n v="5.9800000000000001E-4"/>
    <n v="6.9374385267831303E-6"/>
    <n v="1.16010677705403E-2"/>
    <n v="0"/>
    <x v="3"/>
    <d v="2023-01-13T00:00:00"/>
    <n v="1"/>
    <x v="97"/>
    <n v="1"/>
    <n v="5.9800000000000001E-4"/>
    <n v="6.937438526783099E-6"/>
    <n v="0"/>
    <x v="5"/>
    <s v="LONG"/>
    <x v="8"/>
    <n v="6.9374385267831303E-6"/>
    <n v="1.16010677705403E-2"/>
    <n v="0"/>
    <n v="0"/>
    <s v="HUBI"/>
    <s v="DON COIN LONG"/>
  </r>
  <r>
    <x v="2"/>
    <x v="32"/>
    <x v="56"/>
    <n v="40059.791036850002"/>
    <n v="209491.793471121"/>
    <n v="5.2294779390740098"/>
    <n v="0"/>
    <x v="3"/>
    <d v="2023-01-13T00:00:00"/>
    <n v="1"/>
    <x v="22"/>
    <n v="1"/>
    <n v="40059.791036850002"/>
    <n v="209491.79347112184"/>
    <n v="0"/>
    <x v="5"/>
    <s v="LONG"/>
    <x v="8"/>
    <n v="209491.793471121"/>
    <n v="5.2294779390740098"/>
    <n v="0"/>
    <n v="0"/>
    <s v="HUBI"/>
    <s v="DOT COIN LONG"/>
  </r>
  <r>
    <x v="2"/>
    <x v="32"/>
    <x v="57"/>
    <n v="1E-8"/>
    <n v="3.04096198903759E-9"/>
    <n v="0.304096198903759"/>
    <n v="0"/>
    <x v="3"/>
    <d v="2023-01-13T00:00:00"/>
    <n v="1"/>
    <x v="23"/>
    <n v="1"/>
    <n v="1E-8"/>
    <n v="3.04096198903759E-9"/>
    <n v="0"/>
    <x v="5"/>
    <s v="LONG"/>
    <x v="8"/>
    <n v="3.04096198903759E-9"/>
    <n v="0.304096198903759"/>
    <n v="0"/>
    <n v="0"/>
    <s v="HUBI"/>
    <s v="ENJ COIN LONG"/>
  </r>
  <r>
    <x v="2"/>
    <x v="32"/>
    <x v="58"/>
    <n v="2110.8363221999998"/>
    <n v="2090.23978782938"/>
    <n v="0.990242476806942"/>
    <n v="0"/>
    <x v="3"/>
    <d v="2023-01-13T00:00:00"/>
    <n v="1"/>
    <x v="4"/>
    <n v="1"/>
    <n v="2110.8363221999998"/>
    <n v="2090.2397878293841"/>
    <n v="0"/>
    <x v="5"/>
    <s v="LONG"/>
    <x v="8"/>
    <n v="2090.23978782938"/>
    <n v="0.990242476806942"/>
    <n v="0"/>
    <n v="0"/>
    <s v="HUBI"/>
    <s v="EOS COIN LONG"/>
  </r>
  <r>
    <x v="2"/>
    <x v="32"/>
    <x v="82"/>
    <n v="8859.7328020599998"/>
    <n v="185325.74862730701"/>
    <n v="20.917758217744002"/>
    <n v="0"/>
    <x v="3"/>
    <d v="2023-01-13T00:00:00"/>
    <n v="1"/>
    <x v="41"/>
    <n v="1"/>
    <n v="8859.7328020599998"/>
    <n v="185325.74862730666"/>
    <n v="0"/>
    <x v="5"/>
    <s v="LONG"/>
    <x v="8"/>
    <n v="185325.74862730701"/>
    <n v="20.917758217744002"/>
    <n v="0"/>
    <n v="0"/>
    <s v="HUBI"/>
    <s v="ETC COIN LONG"/>
  </r>
  <r>
    <x v="2"/>
    <x v="32"/>
    <x v="59"/>
    <n v="4854.4770517999996"/>
    <n v="6883350.0213065902"/>
    <n v="1417.9385231112101"/>
    <n v="0"/>
    <x v="3"/>
    <d v="2023-01-13T00:00:00"/>
    <n v="1"/>
    <x v="1"/>
    <n v="1"/>
    <n v="4854.4770517999996"/>
    <n v="6883350.0213065529"/>
    <n v="0"/>
    <x v="5"/>
    <s v="LONG"/>
    <x v="8"/>
    <n v="6883350.0213065902"/>
    <n v="1417.9385231112101"/>
    <n v="0"/>
    <n v="0"/>
    <s v="HUBI"/>
    <s v="ETH COIN LONG"/>
  </r>
  <r>
    <x v="2"/>
    <x v="32"/>
    <x v="126"/>
    <n v="9823.8364263999993"/>
    <n v="3355.0189397480699"/>
    <n v="0.34151820064226501"/>
    <n v="0"/>
    <x v="3"/>
    <d v="2023-01-13T00:00:00"/>
    <n v="1"/>
    <x v="85"/>
    <n v="1"/>
    <n v="9823.8364263999993"/>
    <n v="3355.0189397480667"/>
    <n v="0"/>
    <x v="5"/>
    <s v="LONG"/>
    <x v="8"/>
    <n v="3355.0189397480699"/>
    <n v="0.34151820064226501"/>
    <n v="0"/>
    <n v="0"/>
    <s v="HUBI"/>
    <s v="ETHF COIN LONG"/>
  </r>
  <r>
    <x v="2"/>
    <x v="32"/>
    <x v="83"/>
    <n v="3460.93190667"/>
    <n v="11885.1634589431"/>
    <n v="3.43409341167265"/>
    <n v="0"/>
    <x v="3"/>
    <d v="2023-01-13T00:00:00"/>
    <n v="1"/>
    <x v="42"/>
    <n v="1"/>
    <n v="3460.93190667"/>
    <n v="11885.163458943111"/>
    <n v="0"/>
    <x v="5"/>
    <s v="LONG"/>
    <x v="8"/>
    <n v="11885.1634589431"/>
    <n v="3.43409341167265"/>
    <n v="0"/>
    <n v="0"/>
    <s v="HUBI"/>
    <s v="ETHW COIN LONG"/>
  </r>
  <r>
    <x v="2"/>
    <x v="32"/>
    <x v="139"/>
    <n v="106105.15993081999"/>
    <n v="115077.732305167"/>
    <n v="1.0845630163527999"/>
    <n v="0"/>
    <x v="3"/>
    <d v="2023-01-13T00:00:00"/>
    <n v="1"/>
    <x v="98"/>
    <n v="1"/>
    <n v="106105.15993081999"/>
    <n v="115077.73230516638"/>
    <n v="0"/>
    <x v="5"/>
    <s v="LONG"/>
    <x v="8"/>
    <n v="115077.732305167"/>
    <n v="1.0845630163527999"/>
    <n v="0"/>
    <n v="0"/>
    <s v="HUBI"/>
    <s v="EUROC COIN LONG"/>
  </r>
  <r>
    <x v="2"/>
    <x v="32"/>
    <x v="61"/>
    <n v="1.0244641699999999"/>
    <n v="3.9475318864603102"/>
    <n v="3.8532649574853499"/>
    <n v="0"/>
    <x v="3"/>
    <d v="2023-01-13T00:00:00"/>
    <n v="1"/>
    <x v="25"/>
    <n v="1"/>
    <n v="1.0244641699999999"/>
    <n v="3.9475318864603137"/>
    <n v="0"/>
    <x v="5"/>
    <s v="LONG"/>
    <x v="8"/>
    <n v="3.9475318864603102"/>
    <n v="3.8532649574853499"/>
    <n v="0"/>
    <n v="0"/>
    <s v="HUBI"/>
    <s v="FIL COIN LONG"/>
  </r>
  <r>
    <x v="2"/>
    <x v="32"/>
    <x v="86"/>
    <n v="1214222.2371169401"/>
    <n v="53439.032654800198"/>
    <n v="4.4010915811990299E-2"/>
    <n v="0"/>
    <x v="3"/>
    <d v="2023-01-13T00:00:00"/>
    <n v="1"/>
    <x v="45"/>
    <n v="1"/>
    <n v="1214222.2371169401"/>
    <n v="53439.032654800176"/>
    <n v="0"/>
    <x v="5"/>
    <s v="LONG"/>
    <x v="8"/>
    <n v="53439.032654800198"/>
    <n v="4.4010915811990299E-2"/>
    <n v="0"/>
    <n v="0"/>
    <s v="HUBI"/>
    <s v="FLR COIN LONG"/>
  </r>
  <r>
    <x v="2"/>
    <x v="32"/>
    <x v="140"/>
    <n v="0.68557060000000003"/>
    <n v="0.94664344380638399"/>
    <n v="1.3808110263281099"/>
    <n v="0"/>
    <x v="3"/>
    <d v="2023-01-13T00:00:00"/>
    <n v="1"/>
    <x v="99"/>
    <n v="1"/>
    <n v="0.68557060000000003"/>
    <n v="0.9466434438063781"/>
    <n v="0"/>
    <x v="5"/>
    <s v="LONG"/>
    <x v="8"/>
    <n v="0.94664344380638399"/>
    <n v="1.3808110263281099"/>
    <n v="0"/>
    <n v="0"/>
    <s v="HUBI"/>
    <s v="FTT COIN LONG"/>
  </r>
  <r>
    <x v="2"/>
    <x v="32"/>
    <x v="141"/>
    <n v="54.776400000000002"/>
    <n v="123.290471367386"/>
    <n v="2.2507954405069799"/>
    <n v="0"/>
    <x v="3"/>
    <d v="2023-01-13T00:00:00"/>
    <n v="1"/>
    <x v="100"/>
    <n v="1"/>
    <n v="54.776400000000002"/>
    <n v="123.29047136738654"/>
    <n v="0"/>
    <x v="5"/>
    <s v="LONG"/>
    <x v="8"/>
    <n v="123.290471367386"/>
    <n v="2.2507954405069799"/>
    <n v="0"/>
    <n v="0"/>
    <s v="HUBI"/>
    <s v="GAS COIN LONG"/>
  </r>
  <r>
    <x v="2"/>
    <x v="32"/>
    <x v="64"/>
    <n v="3.4060489999999999E-2"/>
    <n v="1.62290185554767E-3"/>
    <n v="4.7647636764699498E-2"/>
    <n v="0"/>
    <x v="3"/>
    <d v="2023-01-13T00:00:00"/>
    <n v="1"/>
    <x v="28"/>
    <n v="1"/>
    <n v="3.4060489999999999E-2"/>
    <n v="1.6229018555476795E-3"/>
    <n v="0"/>
    <x v="5"/>
    <s v="LONG"/>
    <x v="8"/>
    <n v="1.62290185554767E-3"/>
    <n v="4.7647636764699498E-2"/>
    <n v="0"/>
    <n v="0"/>
    <s v="HUBI"/>
    <s v="HBAR COIN LONG"/>
  </r>
  <r>
    <x v="2"/>
    <x v="32"/>
    <x v="142"/>
    <n v="5337.6979873099999"/>
    <n v="1.0398940855485499"/>
    <n v="1.9482070510936099E-4"/>
    <n v="0"/>
    <x v="3"/>
    <d v="2023-01-13T00:00:00"/>
    <n v="1"/>
    <x v="101"/>
    <n v="1"/>
    <n v="5337.6979873099999"/>
    <n v="1.0398940855485512"/>
    <n v="0"/>
    <x v="5"/>
    <s v="LONG"/>
    <x v="8"/>
    <n v="1.0398940855485499"/>
    <n v="1.9482070510936099E-4"/>
    <n v="0"/>
    <n v="0"/>
    <s v="HUBI"/>
    <s v="HPT COIN LONG"/>
  </r>
  <r>
    <x v="2"/>
    <x v="32"/>
    <x v="143"/>
    <n v="1594.9850023900001"/>
    <n v="8106.9204874240804"/>
    <n v="5.0827565621471598"/>
    <n v="0"/>
    <x v="3"/>
    <d v="2023-01-13T00:00:00"/>
    <n v="1"/>
    <x v="102"/>
    <n v="1"/>
    <n v="1594.9850023900001"/>
    <n v="8106.9204874240759"/>
    <n v="0"/>
    <x v="5"/>
    <s v="LONG"/>
    <x v="8"/>
    <n v="8106.9204874240804"/>
    <n v="5.0827565621471598"/>
    <n v="0"/>
    <n v="0"/>
    <s v="HUBI"/>
    <s v="HT COIN LONG"/>
  </r>
  <r>
    <x v="2"/>
    <x v="32"/>
    <x v="144"/>
    <n v="14.785856219999999"/>
    <n v="0.121917236886426"/>
    <n v="8.2455310718845091E-3"/>
    <n v="0"/>
    <x v="3"/>
    <d v="2023-01-13T00:00:00"/>
    <n v="1"/>
    <x v="103"/>
    <n v="1"/>
    <n v="14.785856219999999"/>
    <n v="0.12191723688642683"/>
    <n v="0"/>
    <x v="5"/>
    <s v="LONG"/>
    <x v="8"/>
    <n v="0.121917236886426"/>
    <n v="8.2455310718845091E-3"/>
    <n v="0"/>
    <n v="0"/>
    <s v="HUBI"/>
    <s v="IOST COIN LONG"/>
  </r>
  <r>
    <x v="2"/>
    <x v="32"/>
    <x v="145"/>
    <n v="0.81765067999999996"/>
    <n v="1.1689388986948599E-2"/>
    <n v="1.4296311704833E-2"/>
    <n v="0"/>
    <x v="3"/>
    <d v="2023-01-13T00:00:00"/>
    <n v="1"/>
    <x v="104"/>
    <n v="1"/>
    <n v="0.81765067999999996"/>
    <n v="1.1689388986948662E-2"/>
    <n v="0"/>
    <x v="5"/>
    <s v="LONG"/>
    <x v="8"/>
    <n v="1.1689388986948599E-2"/>
    <n v="1.4296311704833E-2"/>
    <n v="0"/>
    <n v="0"/>
    <s v="HUBI"/>
    <s v="IRIS COIN LONG"/>
  </r>
  <r>
    <x v="2"/>
    <x v="32"/>
    <x v="146"/>
    <n v="9.1121815000000002"/>
    <n v="0.20061593833102701"/>
    <n v="2.20162359947535E-2"/>
    <n v="0"/>
    <x v="3"/>
    <d v="2023-01-13T00:00:00"/>
    <n v="1"/>
    <x v="105"/>
    <n v="1"/>
    <n v="9.1121815000000002"/>
    <n v="0.20061593833102695"/>
    <n v="0"/>
    <x v="5"/>
    <s v="LONG"/>
    <x v="8"/>
    <n v="0.20061593833102701"/>
    <n v="2.20162359947535E-2"/>
    <n v="0"/>
    <n v="0"/>
    <s v="HUBI"/>
    <s v="JST COIN LONG"/>
  </r>
  <r>
    <x v="2"/>
    <x v="32"/>
    <x v="147"/>
    <n v="1.4966E-4"/>
    <n v="4.2395197801870397E-3"/>
    <n v="28.327674597000101"/>
    <n v="0"/>
    <x v="3"/>
    <d v="2023-01-13T00:00:00"/>
    <n v="1"/>
    <x v="106"/>
    <n v="1"/>
    <n v="1.4966E-4"/>
    <n v="4.2395197801870354E-3"/>
    <n v="0"/>
    <x v="5"/>
    <s v="LONG"/>
    <x v="8"/>
    <n v="4.2395197801870397E-3"/>
    <n v="28.327674597000101"/>
    <n v="0"/>
    <n v="0"/>
    <s v="HUBI"/>
    <s v="KSM COIN LONG"/>
  </r>
  <r>
    <x v="2"/>
    <x v="32"/>
    <x v="148"/>
    <n v="0.24234807999999999"/>
    <n v="3.0956421739687298E-4"/>
    <n v="1.2773537029749601E-3"/>
    <n v="0"/>
    <x v="3"/>
    <d v="2023-01-13T00:00:00"/>
    <n v="1"/>
    <x v="107"/>
    <n v="1"/>
    <n v="0.24234807999999999"/>
    <n v="3.0956421739687185E-4"/>
    <n v="0"/>
    <x v="5"/>
    <s v="LONG"/>
    <x v="8"/>
    <n v="3.0956421739687298E-4"/>
    <n v="1.2773537029749601E-3"/>
    <n v="0"/>
    <n v="0"/>
    <s v="HUBI"/>
    <s v="LAMB COIN LONG"/>
  </r>
  <r>
    <x v="2"/>
    <x v="32"/>
    <x v="149"/>
    <n v="1E-8"/>
    <n v="0"/>
    <n v="0"/>
    <n v="0"/>
    <x v="3"/>
    <d v="2023-01-13T00:00:00"/>
    <n v="1"/>
    <x v="108"/>
    <n v="1"/>
    <n v="1E-8"/>
    <n v="0"/>
    <n v="0"/>
    <x v="5"/>
    <s v="SHORT"/>
    <x v="10"/>
    <n v="0"/>
    <n v="0"/>
    <n v="0"/>
    <n v="0"/>
    <s v="HUBI"/>
    <s v="LEND COIN SHORT"/>
  </r>
  <r>
    <x v="2"/>
    <x v="32"/>
    <x v="65"/>
    <n v="538.90453062999995"/>
    <n v="3438.9284850609401"/>
    <n v="6.38133155243787"/>
    <n v="0"/>
    <x v="3"/>
    <d v="2023-01-13T00:00:00"/>
    <n v="1"/>
    <x v="9"/>
    <n v="1"/>
    <n v="538.90453062999995"/>
    <n v="3438.9284850609392"/>
    <n v="0"/>
    <x v="5"/>
    <s v="LONG"/>
    <x v="8"/>
    <n v="3438.9284850609401"/>
    <n v="6.38133155243787"/>
    <n v="0"/>
    <n v="0"/>
    <s v="HUBI"/>
    <s v="LINK COIN LONG"/>
  </r>
  <r>
    <x v="2"/>
    <x v="32"/>
    <x v="150"/>
    <n v="4.3289484800000002"/>
    <n v="1.2336208176422599E-6"/>
    <n v="2.8497008530862999E-7"/>
    <n v="0"/>
    <x v="3"/>
    <d v="2023-01-13T00:00:00"/>
    <n v="1"/>
    <x v="109"/>
    <n v="1"/>
    <n v="4.3289484800000002"/>
    <n v="1.2336208176422642E-6"/>
    <n v="0"/>
    <x v="5"/>
    <s v="LONG"/>
    <x v="8"/>
    <n v="1.2336208176422599E-6"/>
    <n v="2.8497008530862999E-7"/>
    <n v="0"/>
    <n v="0"/>
    <s v="HUBI"/>
    <s v="LOL COIN LONG"/>
  </r>
  <r>
    <x v="2"/>
    <x v="32"/>
    <x v="66"/>
    <n v="7241.7835004299995"/>
    <n v="622534.33846366405"/>
    <n v="85.964229450756093"/>
    <n v="0"/>
    <x v="3"/>
    <d v="2023-01-13T00:00:00"/>
    <n v="1"/>
    <x v="5"/>
    <n v="1"/>
    <n v="7241.7835004299995"/>
    <n v="622534.33846366417"/>
    <n v="0"/>
    <x v="5"/>
    <s v="LONG"/>
    <x v="8"/>
    <n v="622534.33846366405"/>
    <n v="85.964229450756093"/>
    <n v="0"/>
    <n v="0"/>
    <s v="HUBI"/>
    <s v="LTC COIN LONG"/>
  </r>
  <r>
    <x v="2"/>
    <x v="32"/>
    <x v="151"/>
    <n v="0.66495972999999997"/>
    <n v="1.7157540226222701E-4"/>
    <n v="2.5802374868960399E-4"/>
    <n v="0"/>
    <x v="3"/>
    <d v="2023-01-13T00:00:00"/>
    <n v="1"/>
    <x v="110"/>
    <n v="1"/>
    <n v="0.66495972999999997"/>
    <n v="1.715754022622269E-4"/>
    <n v="0"/>
    <x v="5"/>
    <s v="LONG"/>
    <x v="8"/>
    <n v="1.7157540226222701E-4"/>
    <n v="2.5802374868960399E-4"/>
    <n v="0"/>
    <n v="0"/>
    <s v="HUBI"/>
    <s v="LXT COIN LONG"/>
  </r>
  <r>
    <x v="2"/>
    <x v="32"/>
    <x v="67"/>
    <n v="0.34"/>
    <n v="0.14023380532507301"/>
    <n v="0.41245236860315698"/>
    <n v="0"/>
    <x v="3"/>
    <d v="2023-01-13T00:00:00"/>
    <n v="1"/>
    <x v="29"/>
    <n v="1"/>
    <n v="0.34"/>
    <n v="0.14023380532507337"/>
    <n v="0"/>
    <x v="5"/>
    <s v="LONG"/>
    <x v="8"/>
    <n v="0.14023380532507301"/>
    <n v="0.41245236860315698"/>
    <n v="0"/>
    <n v="0"/>
    <s v="HUBI"/>
    <s v="MANA COIN LONG"/>
  </r>
  <r>
    <x v="2"/>
    <x v="32"/>
    <x v="152"/>
    <n v="0.89105878000000005"/>
    <n v="6.3991039922190902"/>
    <n v="7.18146112899431"/>
    <n v="0"/>
    <x v="3"/>
    <d v="2023-01-13T00:00:00"/>
    <n v="1"/>
    <x v="111"/>
    <n v="1"/>
    <n v="0.89105878000000005"/>
    <n v="6.3991039922190929"/>
    <n v="0"/>
    <x v="5"/>
    <s v="LONG"/>
    <x v="8"/>
    <n v="6.3991039922190902"/>
    <n v="7.18146112899431"/>
    <n v="0"/>
    <n v="0"/>
    <s v="HUBI"/>
    <s v="NEO COIN LONG"/>
  </r>
  <r>
    <x v="2"/>
    <x v="32"/>
    <x v="153"/>
    <n v="40.704174029999997"/>
    <n v="6.5557813758032801E-3"/>
    <n v="1.6105919188954699E-4"/>
    <n v="0"/>
    <x v="3"/>
    <d v="2023-01-13T00:00:00"/>
    <n v="1"/>
    <x v="112"/>
    <n v="1"/>
    <n v="40.704174029999997"/>
    <n v="6.5557813758032853E-3"/>
    <n v="0"/>
    <x v="5"/>
    <s v="LONG"/>
    <x v="8"/>
    <n v="6.5557813758032801E-3"/>
    <n v="1.6105919188954699E-4"/>
    <n v="0"/>
    <n v="0"/>
    <s v="HUBI"/>
    <s v="NEW COIN LONG"/>
  </r>
  <r>
    <x v="2"/>
    <x v="32"/>
    <x v="154"/>
    <n v="3049025070.2014399"/>
    <n v="1303.0554985349399"/>
    <n v="4.2736791877177001E-7"/>
    <n v="0"/>
    <x v="3"/>
    <d v="2023-01-13T00:00:00"/>
    <n v="1"/>
    <x v="113"/>
    <n v="1"/>
    <n v="3049025070.2014399"/>
    <n v="1303.0554985349393"/>
    <n v="0"/>
    <x v="5"/>
    <s v="LONG"/>
    <x v="8"/>
    <n v="1303.0554985349399"/>
    <n v="4.2736791877177001E-7"/>
    <n v="0"/>
    <n v="0"/>
    <s v="HUBI"/>
    <s v="NFT COIN LONG"/>
  </r>
  <r>
    <x v="2"/>
    <x v="32"/>
    <x v="155"/>
    <n v="4.3068300000000002E-3"/>
    <n v="8.8743929915522204E-4"/>
    <n v="0.20605394203050101"/>
    <n v="0"/>
    <x v="3"/>
    <d v="2023-01-13T00:00:00"/>
    <n v="1"/>
    <x v="114"/>
    <n v="1"/>
    <n v="4.3068300000000002E-3"/>
    <n v="8.8743929915522269E-4"/>
    <n v="0"/>
    <x v="5"/>
    <s v="LONG"/>
    <x v="8"/>
    <n v="8.8743929915522204E-4"/>
    <n v="0.20605394203050101"/>
    <n v="0"/>
    <n v="0"/>
    <s v="HUBI"/>
    <s v="NULS COIN LONG"/>
  </r>
  <r>
    <x v="2"/>
    <x v="32"/>
    <x v="156"/>
    <n v="0.34782034000000001"/>
    <n v="8.4954954190642806E-2"/>
    <n v="0.24424952891093901"/>
    <n v="0"/>
    <x v="3"/>
    <d v="2023-01-13T00:00:00"/>
    <n v="1"/>
    <x v="115"/>
    <n v="1"/>
    <n v="0.34782034000000001"/>
    <n v="8.495495419064264E-2"/>
    <n v="0"/>
    <x v="5"/>
    <s v="LONG"/>
    <x v="8"/>
    <n v="8.4954954190642806E-2"/>
    <n v="0.24424952891093901"/>
    <n v="0"/>
    <n v="0"/>
    <s v="HUBI"/>
    <s v="ONG COIN LONG"/>
  </r>
  <r>
    <x v="2"/>
    <x v="32"/>
    <x v="71"/>
    <n v="78631.814589489994"/>
    <n v="5765.2321127505302"/>
    <n v="7.3319331912265404E-2"/>
    <n v="0"/>
    <x v="3"/>
    <d v="2023-01-13T00:00:00"/>
    <n v="1"/>
    <x v="32"/>
    <n v="1"/>
    <n v="78631.814589489994"/>
    <n v="5765.2321127505302"/>
    <n v="0"/>
    <x v="5"/>
    <s v="LONG"/>
    <x v="8"/>
    <n v="5765.2321127505302"/>
    <n v="7.3319331912265404E-2"/>
    <n v="0"/>
    <n v="0"/>
    <s v="HUBI"/>
    <s v="OXT COIN LONG"/>
  </r>
  <r>
    <x v="2"/>
    <x v="32"/>
    <x v="157"/>
    <n v="3.0962099999999998E-3"/>
    <n v="6.8010097540225998E-3"/>
    <n v="2.1965595854359301"/>
    <n v="0"/>
    <x v="3"/>
    <d v="2023-01-13T00:00:00"/>
    <n v="1"/>
    <x v="116"/>
    <n v="1"/>
    <n v="3.0962099999999998E-3"/>
    <n v="6.8010097540225807E-3"/>
    <n v="0"/>
    <x v="5"/>
    <s v="LONG"/>
    <x v="8"/>
    <n v="6.8010097540225998E-3"/>
    <n v="2.1965595854359301"/>
    <n v="0"/>
    <n v="0"/>
    <s v="HUBI"/>
    <s v="QTUM COIN LONG"/>
  </r>
  <r>
    <x v="2"/>
    <x v="32"/>
    <x v="158"/>
    <n v="2.6598900000000002E-2"/>
    <n v="6.4412294033312095E-4"/>
    <n v="2.42161495525424E-2"/>
    <n v="0"/>
    <x v="3"/>
    <d v="2023-01-13T00:00:00"/>
    <n v="1"/>
    <x v="117"/>
    <n v="1"/>
    <n v="2.6598900000000002E-2"/>
    <n v="6.4412294033312008E-4"/>
    <n v="0"/>
    <x v="5"/>
    <s v="LONG"/>
    <x v="8"/>
    <n v="6.4412294033312095E-4"/>
    <n v="2.42161495525424E-2"/>
    <n v="0"/>
    <n v="0"/>
    <s v="HUBI"/>
    <s v="REI COIN LONG"/>
  </r>
  <r>
    <x v="2"/>
    <x v="32"/>
    <x v="87"/>
    <n v="1214222.2371159999"/>
    <n v="14215.176878673101"/>
    <n v="1.1707228252084E-2"/>
    <n v="0"/>
    <x v="3"/>
    <d v="2023-01-13T00:00:00"/>
    <n v="1"/>
    <x v="46"/>
    <n v="1"/>
    <n v="1214222.2371159999"/>
    <n v="14215.176878673194"/>
    <n v="0"/>
    <x v="5"/>
    <s v="LONG"/>
    <x v="8"/>
    <n v="14215.176878673101"/>
    <n v="1.1707228252084E-2"/>
    <n v="0"/>
    <n v="0"/>
    <s v="HUBI"/>
    <s v="SGB COIN LONG"/>
  </r>
  <r>
    <x v="2"/>
    <x v="32"/>
    <x v="72"/>
    <n v="1884988.30453923"/>
    <n v="17.853446824831199"/>
    <n v="9.4713833405960602E-6"/>
    <n v="0"/>
    <x v="3"/>
    <d v="2023-01-13T00:00:00"/>
    <n v="1"/>
    <x v="11"/>
    <n v="1"/>
    <n v="1884988.30453923"/>
    <n v="17.853446824831277"/>
    <n v="0"/>
    <x v="5"/>
    <s v="LONG"/>
    <x v="8"/>
    <n v="17.853446824831199"/>
    <n v="9.4713833405960602E-6"/>
    <n v="0"/>
    <n v="0"/>
    <s v="HUBI"/>
    <s v="SHIB COIN LONG"/>
  </r>
  <r>
    <x v="2"/>
    <x v="32"/>
    <x v="73"/>
    <n v="0.14106867000000001"/>
    <n v="2.3444264614525099"/>
    <n v="16.6190441963655"/>
    <n v="0"/>
    <x v="3"/>
    <d v="2023-01-13T00:00:00"/>
    <n v="1"/>
    <x v="33"/>
    <n v="1"/>
    <n v="0.14106867000000001"/>
    <n v="2.3444264614525001"/>
    <n v="0"/>
    <x v="5"/>
    <s v="LONG"/>
    <x v="8"/>
    <n v="2.3444264614525099"/>
    <n v="16.6190441963655"/>
    <n v="0"/>
    <n v="0"/>
    <s v="HUBI"/>
    <s v="SOL COIN LONG"/>
  </r>
  <r>
    <x v="2"/>
    <x v="32"/>
    <x v="159"/>
    <n v="38753.774400000002"/>
    <n v="6256.6543580955404"/>
    <n v="0.16144632245409199"/>
    <n v="0"/>
    <x v="3"/>
    <d v="2023-01-13T00:00:00"/>
    <n v="1"/>
    <x v="118"/>
    <n v="1"/>
    <n v="38753.774400000002"/>
    <n v="6256.6543580955358"/>
    <n v="0"/>
    <x v="5"/>
    <s v="LONG"/>
    <x v="8"/>
    <n v="6256.6543580955404"/>
    <n v="0.16144632245409199"/>
    <n v="0"/>
    <n v="0"/>
    <s v="HUBI"/>
    <s v="SOLO COIN LONG"/>
  </r>
  <r>
    <x v="2"/>
    <x v="32"/>
    <x v="160"/>
    <n v="29.76350429"/>
    <n v="8.8686409626250899"/>
    <n v="0.29797032218429897"/>
    <n v="0"/>
    <x v="3"/>
    <d v="2023-01-13T00:00:00"/>
    <n v="1"/>
    <x v="119"/>
    <n v="1"/>
    <n v="29.76350429"/>
    <n v="8.8686409626250651"/>
    <n v="0"/>
    <x v="5"/>
    <s v="LONG"/>
    <x v="8"/>
    <n v="8.8686409626250899"/>
    <n v="0.29797032218429897"/>
    <n v="0"/>
    <n v="0"/>
    <s v="HUBI"/>
    <s v="STORJ COIN LONG"/>
  </r>
  <r>
    <x v="2"/>
    <x v="32"/>
    <x v="125"/>
    <n v="44.266270740000003"/>
    <n v="2.5280998251357198"/>
    <n v="5.7111199630631597E-2"/>
    <n v="0"/>
    <x v="3"/>
    <d v="2023-01-13T00:00:00"/>
    <n v="1"/>
    <x v="84"/>
    <n v="1"/>
    <n v="44.266270740000003"/>
    <n v="2.5280998251357265"/>
    <n v="0"/>
    <x v="5"/>
    <s v="LONG"/>
    <x v="8"/>
    <n v="2.5280998251357198"/>
    <n v="5.7111199630631597E-2"/>
    <n v="0"/>
    <n v="0"/>
    <s v="HUBI"/>
    <s v="TRX COIN LONG"/>
  </r>
  <r>
    <x v="2"/>
    <x v="32"/>
    <x v="161"/>
    <n v="6.3152970000000003E-2"/>
    <n v="2.2172842281770701E-4"/>
    <n v="3.5109737961287902E-3"/>
    <n v="0"/>
    <x v="3"/>
    <d v="2023-01-13T00:00:00"/>
    <n v="1"/>
    <x v="120"/>
    <n v="1"/>
    <n v="6.3152970000000003E-2"/>
    <n v="2.2172842281770761E-4"/>
    <n v="0"/>
    <x v="5"/>
    <s v="LONG"/>
    <x v="8"/>
    <n v="2.2172842281770701E-4"/>
    <n v="3.5109737961287902E-3"/>
    <n v="0"/>
    <n v="0"/>
    <s v="HUBI"/>
    <s v="TT COIN LONG"/>
  </r>
  <r>
    <x v="2"/>
    <x v="32"/>
    <x v="162"/>
    <n v="20"/>
    <n v="19.997862390323"/>
    <n v="0.99989311951615301"/>
    <n v="0"/>
    <x v="3"/>
    <d v="2023-01-13T00:00:00"/>
    <n v="1"/>
    <x v="121"/>
    <n v="1"/>
    <n v="20"/>
    <n v="19.997862390323061"/>
    <n v="0"/>
    <x v="5"/>
    <s v="LONG"/>
    <x v="8"/>
    <n v="19.997862390323"/>
    <n v="0.99989311951615301"/>
    <n v="0"/>
    <n v="0"/>
    <s v="HUBI"/>
    <s v="TUSD COIN LONG"/>
  </r>
  <r>
    <x v="2"/>
    <x v="32"/>
    <x v="75"/>
    <n v="1E-8"/>
    <n v="6.1733812820777396E-8"/>
    <n v="6.1733812820777398"/>
    <n v="0"/>
    <x v="3"/>
    <d v="2023-01-13T00:00:00"/>
    <n v="1"/>
    <x v="35"/>
    <n v="1"/>
    <n v="1E-8"/>
    <n v="6.1733812820777396E-8"/>
    <n v="0"/>
    <x v="5"/>
    <s v="LONG"/>
    <x v="8"/>
    <n v="6.1733812820777396E-8"/>
    <n v="6.1733812820777398"/>
    <n v="0"/>
    <n v="0"/>
    <s v="HUBI"/>
    <s v="UNI COIN LONG"/>
  </r>
  <r>
    <x v="2"/>
    <x v="32"/>
    <x v="88"/>
    <n v="5.6000000000000004E-7"/>
    <n v="5.6004040379134398E-7"/>
    <n v="1.0000721496274001"/>
    <n v="0"/>
    <x v="3"/>
    <d v="2023-01-13T00:00:00"/>
    <n v="1"/>
    <x v="47"/>
    <n v="1"/>
    <n v="5.6000000000000004E-7"/>
    <n v="5.6004040379134409E-7"/>
    <n v="0"/>
    <x v="5"/>
    <s v="LONG"/>
    <x v="8"/>
    <n v="5.6004040379134398E-7"/>
    <n v="1.0000721496274001"/>
    <n v="0"/>
    <n v="0"/>
    <s v="HUBI"/>
    <s v="USDC COIN LONG"/>
  </r>
  <r>
    <x v="2"/>
    <x v="32"/>
    <x v="163"/>
    <n v="0.34680431"/>
    <n v="0.34621618871566701"/>
    <n v="0.99830416962138402"/>
    <n v="0"/>
    <x v="3"/>
    <d v="2023-01-13T00:00:00"/>
    <n v="1"/>
    <x v="122"/>
    <n v="1"/>
    <n v="0.34680431"/>
    <n v="0.34621618871566706"/>
    <n v="0"/>
    <x v="5"/>
    <s v="LONG"/>
    <x v="8"/>
    <n v="0.34621618871566701"/>
    <n v="0.99830416962138402"/>
    <n v="0"/>
    <n v="0"/>
    <s v="HUBI"/>
    <s v="USDP COIN LONG"/>
  </r>
  <r>
    <x v="2"/>
    <x v="32"/>
    <x v="76"/>
    <n v="2871094.4364123498"/>
    <n v="2871358.7183138798"/>
    <n v="1.00009204918451"/>
    <n v="0"/>
    <x v="3"/>
    <d v="2023-01-13T00:00:00"/>
    <n v="1"/>
    <x v="36"/>
    <n v="1"/>
    <n v="2871094.4364123498"/>
    <n v="2871358.7183138728"/>
    <n v="0"/>
    <x v="5"/>
    <s v="LONG"/>
    <x v="8"/>
    <n v="2871358.7183138798"/>
    <n v="1.00009204918451"/>
    <n v="0"/>
    <n v="0"/>
    <s v="HUBI"/>
    <s v="USDT COIN LONG"/>
  </r>
  <r>
    <x v="2"/>
    <x v="32"/>
    <x v="164"/>
    <n v="25.959481520000001"/>
    <n v="0.48913662714363099"/>
    <n v="1.8842311113447498E-2"/>
    <n v="0"/>
    <x v="3"/>
    <d v="2023-01-13T00:00:00"/>
    <n v="1"/>
    <x v="123"/>
    <n v="1"/>
    <n v="25.959481520000001"/>
    <n v="0.48913662714363099"/>
    <n v="0"/>
    <x v="5"/>
    <s v="LONG"/>
    <x v="8"/>
    <n v="0.48913662714363099"/>
    <n v="1.8842311113447498E-2"/>
    <n v="0"/>
    <n v="0"/>
    <s v="HUBI"/>
    <s v="VET COIN LONG"/>
  </r>
  <r>
    <x v="2"/>
    <x v="32"/>
    <x v="165"/>
    <n v="0.20872535"/>
    <n v="2.25420236368514E-4"/>
    <n v="1.0799849484909899E-3"/>
    <n v="0"/>
    <x v="3"/>
    <d v="2023-01-13T00:00:00"/>
    <n v="1"/>
    <x v="124"/>
    <n v="1"/>
    <n v="0.20872535"/>
    <n v="2.2542023636851384E-4"/>
    <n v="0"/>
    <x v="5"/>
    <s v="LONG"/>
    <x v="8"/>
    <n v="2.25420236368514E-4"/>
    <n v="1.0799849484909899E-3"/>
    <n v="0"/>
    <n v="0"/>
    <s v="HUBI"/>
    <s v="VSYS COIN LONG"/>
  </r>
  <r>
    <x v="2"/>
    <x v="32"/>
    <x v="166"/>
    <n v="97856389.900000006"/>
    <n v="2672.58922903138"/>
    <n v="2.7311340953437101E-5"/>
    <n v="0"/>
    <x v="3"/>
    <d v="2023-01-13T00:00:00"/>
    <n v="1"/>
    <x v="125"/>
    <n v="1"/>
    <n v="97856389.900000006"/>
    <n v="2672.5892290313786"/>
    <n v="0"/>
    <x v="5"/>
    <s v="LONG"/>
    <x v="8"/>
    <n v="2672.58922903138"/>
    <n v="2.7311340953437101E-5"/>
    <n v="0"/>
    <n v="0"/>
    <s v="HUBI"/>
    <s v="XEC COIN LONG"/>
  </r>
  <r>
    <x v="2"/>
    <x v="32"/>
    <x v="77"/>
    <n v="0.55556267999999998"/>
    <n v="4.5358239391654502E-2"/>
    <n v="8.1643783905093401E-2"/>
    <n v="0"/>
    <x v="3"/>
    <d v="2023-01-13T00:00:00"/>
    <n v="1"/>
    <x v="37"/>
    <n v="1"/>
    <n v="0.55556267999999998"/>
    <n v="4.5358239391654551E-2"/>
    <n v="0"/>
    <x v="5"/>
    <s v="LONG"/>
    <x v="8"/>
    <n v="4.5358239391654502E-2"/>
    <n v="8.1643783905093401E-2"/>
    <n v="0"/>
    <n v="0"/>
    <s v="HUBI"/>
    <s v="XLM COIN LONG"/>
  </r>
  <r>
    <x v="2"/>
    <x v="32"/>
    <x v="78"/>
    <n v="351.63120758000002"/>
    <n v="131.93102420708399"/>
    <n v="0.37519714224190098"/>
    <n v="0"/>
    <x v="3"/>
    <d v="2023-01-13T00:00:00"/>
    <n v="1"/>
    <x v="38"/>
    <n v="1"/>
    <n v="351.63120758000002"/>
    <n v="131.93102420708468"/>
    <n v="0"/>
    <x v="5"/>
    <s v="LONG"/>
    <x v="8"/>
    <n v="131.93102420708399"/>
    <n v="0.37519714224190098"/>
    <n v="0"/>
    <n v="0"/>
    <s v="HUBI"/>
    <s v="XRP COIN LONG"/>
  </r>
  <r>
    <x v="2"/>
    <x v="32"/>
    <x v="79"/>
    <n v="3.9304560899999998"/>
    <n v="3.4950788489567901"/>
    <n v="0.88922984226921997"/>
    <n v="0"/>
    <x v="3"/>
    <d v="2023-01-13T00:00:00"/>
    <n v="1"/>
    <x v="39"/>
    <n v="1"/>
    <n v="3.9304560899999998"/>
    <n v="3.495078848956795"/>
    <n v="0"/>
    <x v="5"/>
    <s v="LONG"/>
    <x v="8"/>
    <n v="3.4950788489567901"/>
    <n v="0.88922984226921997"/>
    <n v="0"/>
    <n v="0"/>
    <s v="HUBI"/>
    <s v="XTZ COIN LONG"/>
  </r>
  <r>
    <x v="2"/>
    <x v="32"/>
    <x v="128"/>
    <n v="1.329583E-2"/>
    <n v="16.3346720498742"/>
    <n v="1228.5560246990401"/>
    <n v="0"/>
    <x v="3"/>
    <d v="2023-01-13T00:00:00"/>
    <n v="1"/>
    <x v="87"/>
    <n v="1"/>
    <n v="1.329583E-2"/>
    <n v="16.334672049874239"/>
    <n v="0"/>
    <x v="5"/>
    <s v="LONG"/>
    <x v="8"/>
    <n v="16.3346720498742"/>
    <n v="1228.5560246990401"/>
    <n v="0"/>
    <n v="0"/>
    <s v="HUBI"/>
    <s v="YFII COIN LONG"/>
  </r>
  <r>
    <x v="2"/>
    <x v="32"/>
    <x v="167"/>
    <n v="2.173E-4"/>
    <n v="9.8461120696399299E-3"/>
    <n v="45.3111462017484"/>
    <n v="0"/>
    <x v="3"/>
    <d v="2023-01-13T00:00:00"/>
    <n v="1"/>
    <x v="126"/>
    <n v="1"/>
    <n v="2.173E-4"/>
    <n v="9.8461120696399264E-3"/>
    <n v="0"/>
    <x v="5"/>
    <s v="LONG"/>
    <x v="8"/>
    <n v="9.8461120696399299E-3"/>
    <n v="45.3111462017484"/>
    <n v="0"/>
    <n v="0"/>
    <s v="HUBI"/>
    <s v="ZEC COIN LONG"/>
  </r>
  <r>
    <x v="2"/>
    <x v="32"/>
    <x v="81"/>
    <n v="1471148.6227112999"/>
    <n v="35270.023095900899"/>
    <n v="2.39744799073386E-2"/>
    <n v="0"/>
    <x v="3"/>
    <d v="2023-01-13T00:00:00"/>
    <n v="1"/>
    <x v="7"/>
    <n v="1"/>
    <n v="1471148.6227112999"/>
    <n v="35270.023095900913"/>
    <n v="0"/>
    <x v="5"/>
    <s v="LONG"/>
    <x v="8"/>
    <n v="35270.023095900899"/>
    <n v="2.39744799073386E-2"/>
    <n v="0"/>
    <n v="0"/>
    <s v="HUBI"/>
    <s v="ZIL COIN LONG"/>
  </r>
  <r>
    <x v="2"/>
    <x v="33"/>
    <x v="48"/>
    <n v="1E-8"/>
    <n v="1.1971046613741201E-6"/>
    <n v="119.710466137412"/>
    <n v="0"/>
    <x v="3"/>
    <d v="2023-01-13T00:00:00"/>
    <n v="1"/>
    <x v="3"/>
    <n v="1"/>
    <n v="1E-8"/>
    <n v="1.1971046613741201E-6"/>
    <n v="0"/>
    <x v="5"/>
    <s v="LONG"/>
    <x v="8"/>
    <n v="1.1971046613741201E-6"/>
    <n v="119.710466137412"/>
    <n v="0"/>
    <n v="0"/>
    <s v="HUBI"/>
    <s v="BCH COIN LONG"/>
  </r>
  <r>
    <x v="2"/>
    <x v="33"/>
    <x v="82"/>
    <n v="1E-8"/>
    <n v="2.0917758217744E-7"/>
    <n v="20.917758217744002"/>
    <n v="0"/>
    <x v="3"/>
    <d v="2023-01-13T00:00:00"/>
    <n v="1"/>
    <x v="41"/>
    <n v="1"/>
    <n v="1E-8"/>
    <n v="2.0917758217744002E-7"/>
    <n v="0"/>
    <x v="5"/>
    <s v="LONG"/>
    <x v="8"/>
    <n v="2.0917758217744E-7"/>
    <n v="20.917758217744002"/>
    <n v="0"/>
    <n v="0"/>
    <s v="HUBI"/>
    <s v="ETC COIN LONG"/>
  </r>
  <r>
    <x v="2"/>
    <x v="33"/>
    <x v="66"/>
    <n v="1E-8"/>
    <n v="8.5964229450756099E-7"/>
    <n v="85.964229450756093"/>
    <n v="0"/>
    <x v="3"/>
    <d v="2023-01-13T00:00:00"/>
    <n v="1"/>
    <x v="5"/>
    <n v="1"/>
    <n v="1E-8"/>
    <n v="8.5964229450756099E-7"/>
    <n v="0"/>
    <x v="5"/>
    <s v="LONG"/>
    <x v="8"/>
    <n v="8.5964229450756099E-7"/>
    <n v="85.964229450756093"/>
    <n v="0"/>
    <n v="0"/>
    <s v="HUBI"/>
    <s v="LTC COIN LONG"/>
  </r>
  <r>
    <x v="2"/>
    <x v="33"/>
    <x v="125"/>
    <n v="1E-8"/>
    <n v="5.7111199630631599E-10"/>
    <n v="5.7111199630631597E-2"/>
    <n v="0"/>
    <x v="3"/>
    <d v="2023-01-13T00:00:00"/>
    <n v="1"/>
    <x v="84"/>
    <n v="1"/>
    <n v="1E-8"/>
    <n v="5.7111199630631599E-10"/>
    <n v="0"/>
    <x v="5"/>
    <s v="LONG"/>
    <x v="8"/>
    <n v="5.7111199630631599E-10"/>
    <n v="5.7111199630631597E-2"/>
    <n v="0"/>
    <n v="0"/>
    <s v="HUBI"/>
    <s v="TRX COIN LONG"/>
  </r>
  <r>
    <x v="2"/>
    <x v="33"/>
    <x v="76"/>
    <n v="0.90999770000000002"/>
    <n v="0.91008146454619399"/>
    <n v="1.00009204918451"/>
    <n v="0"/>
    <x v="3"/>
    <d v="2023-01-13T00:00:00"/>
    <n v="1"/>
    <x v="36"/>
    <n v="1"/>
    <n v="0.90999770000000002"/>
    <n v="0.91008146454619099"/>
    <n v="0"/>
    <x v="5"/>
    <s v="LONG"/>
    <x v="8"/>
    <n v="0.91008146454619399"/>
    <n v="1.00009204918451"/>
    <n v="0"/>
    <n v="0"/>
    <s v="HUBI"/>
    <s v="USDT COIN LONG"/>
  </r>
  <r>
    <x v="2"/>
    <x v="33"/>
    <x v="78"/>
    <n v="7.6039999999999997E-5"/>
    <n v="2.8529990696074101E-5"/>
    <n v="0.37519714224190098"/>
    <n v="0"/>
    <x v="3"/>
    <d v="2023-01-13T00:00:00"/>
    <n v="1"/>
    <x v="38"/>
    <n v="1"/>
    <n v="7.6039999999999997E-5"/>
    <n v="2.8529990696074148E-5"/>
    <n v="0"/>
    <x v="5"/>
    <s v="LONG"/>
    <x v="8"/>
    <n v="2.8529990696074101E-5"/>
    <n v="0.37519714224190098"/>
    <n v="0"/>
    <n v="0"/>
    <s v="HUBI"/>
    <s v="XRP COIN LONG"/>
  </r>
  <r>
    <x v="10"/>
    <x v="34"/>
    <x v="45"/>
    <n v="0.331542"/>
    <n v="4.0695758794946002"/>
    <n v="12.274691832390999"/>
    <n v="0"/>
    <x v="3"/>
    <d v="2023-01-12T22:00:34"/>
    <n v="1"/>
    <x v="10"/>
    <n v="1"/>
    <n v="0.331542"/>
    <n v="4.0695758794945771"/>
    <n v="0"/>
    <x v="5"/>
    <s v="LONG"/>
    <x v="8"/>
    <n v="4.0695758794946002"/>
    <n v="12.274691832390999"/>
    <n v="0"/>
    <n v="0"/>
    <s v="KRKE"/>
    <s v="ATOM COIN LONG"/>
  </r>
  <r>
    <x v="10"/>
    <x v="34"/>
    <x v="48"/>
    <n v="1.7695412699999999"/>
    <n v="211.83261028108799"/>
    <n v="119.710466137412"/>
    <n v="0"/>
    <x v="3"/>
    <d v="2023-01-12T22:00:33"/>
    <n v="1"/>
    <x v="3"/>
    <n v="1"/>
    <n v="1.7695412699999999"/>
    <n v="211.83261028108802"/>
    <n v="0"/>
    <x v="5"/>
    <s v="LONG"/>
    <x v="8"/>
    <n v="211.83261028108799"/>
    <n v="119.710466137412"/>
    <n v="0"/>
    <n v="0"/>
    <s v="KRKE"/>
    <s v="BCH COIN LONG"/>
  </r>
  <r>
    <x v="10"/>
    <x v="34"/>
    <x v="50"/>
    <n v="1.8847760000000002E-2"/>
    <n v="355.64946696451199"/>
    <n v="18869.5880552655"/>
    <n v="0"/>
    <x v="3"/>
    <d v="2023-01-12T22:00:33"/>
    <n v="1"/>
    <x v="0"/>
    <n v="1"/>
    <n v="1.8847760000000002E-2"/>
    <n v="355.64946696451091"/>
    <n v="0"/>
    <x v="5"/>
    <s v="LONG"/>
    <x v="8"/>
    <n v="355.64946696451199"/>
    <n v="18869.5880552655"/>
    <n v="0"/>
    <n v="0"/>
    <s v="KRKE"/>
    <s v="BTC COIN LONG"/>
  </r>
  <r>
    <x v="10"/>
    <x v="34"/>
    <x v="58"/>
    <n v="9.9499194400000004"/>
    <n v="9.8528328702951509"/>
    <n v="0.990242476806942"/>
    <n v="0"/>
    <x v="3"/>
    <d v="2023-01-12T22:00:34"/>
    <n v="1"/>
    <x v="4"/>
    <n v="1"/>
    <n v="9.9499194400000004"/>
    <n v="9.852832870295142"/>
    <n v="0"/>
    <x v="5"/>
    <s v="LONG"/>
    <x v="8"/>
    <n v="9.8528328702951509"/>
    <n v="0.990242476806942"/>
    <n v="0"/>
    <n v="0"/>
    <s v="KRKE"/>
    <s v="EOS COIN LONG"/>
  </r>
  <r>
    <x v="10"/>
    <x v="34"/>
    <x v="83"/>
    <n v="3.4037359"/>
    <n v="11.6887470292637"/>
    <n v="3.43409341167265"/>
    <n v="0"/>
    <x v="3"/>
    <d v="2023-01-12T22:00:34"/>
    <n v="1"/>
    <x v="42"/>
    <n v="1"/>
    <n v="3.4037359"/>
    <n v="11.688747029263679"/>
    <n v="0"/>
    <x v="5"/>
    <s v="LONG"/>
    <x v="8"/>
    <n v="11.6887470292637"/>
    <n v="3.43409341167265"/>
    <n v="0"/>
    <n v="0"/>
    <s v="KRKE"/>
    <s v="ETHW COIN LONG"/>
  </r>
  <r>
    <x v="10"/>
    <x v="34"/>
    <x v="66"/>
    <n v="9.1421368100000002"/>
    <n v="785.89674640504302"/>
    <n v="85.964229450756093"/>
    <n v="0"/>
    <x v="3"/>
    <d v="2023-01-12T22:00:34"/>
    <n v="1"/>
    <x v="5"/>
    <n v="1"/>
    <n v="9.1421368100000002"/>
    <n v="785.89674640504336"/>
    <n v="0"/>
    <x v="5"/>
    <s v="LONG"/>
    <x v="8"/>
    <n v="785.89674640504302"/>
    <n v="85.964229450756093"/>
    <n v="0"/>
    <n v="0"/>
    <s v="KRKE"/>
    <s v="LTC COIN LONG"/>
  </r>
  <r>
    <x v="10"/>
    <x v="34"/>
    <x v="71"/>
    <n v="700512.94058015"/>
    <n v="51361.140799233101"/>
    <n v="7.3319331912265404E-2"/>
    <n v="0"/>
    <x v="3"/>
    <d v="2023-01-12T22:00:33"/>
    <n v="1"/>
    <x v="32"/>
    <n v="1"/>
    <n v="700512.94058015"/>
    <n v="51361.140799233071"/>
    <n v="0"/>
    <x v="5"/>
    <s v="LONG"/>
    <x v="8"/>
    <n v="51361.140799233101"/>
    <n v="7.3319331912265404E-2"/>
    <n v="0"/>
    <n v="0"/>
    <s v="KRKE"/>
    <s v="OXT COIN LONG"/>
  </r>
  <r>
    <x v="10"/>
    <x v="34"/>
    <x v="87"/>
    <n v="0.10834547999999999"/>
    <n v="1.26842526444161E-3"/>
    <n v="1.1707228252084E-2"/>
    <n v="0"/>
    <x v="3"/>
    <d v="2023-01-12T22:00:34"/>
    <n v="1"/>
    <x v="46"/>
    <n v="1"/>
    <n v="0.10834547999999999"/>
    <n v="1.2684252644416128E-3"/>
    <n v="0"/>
    <x v="5"/>
    <s v="LONG"/>
    <x v="8"/>
    <n v="1.26842526444161E-3"/>
    <n v="1.1707228252084E-2"/>
    <n v="0"/>
    <n v="0"/>
    <s v="KRKE"/>
    <s v="SGB COIN LONG"/>
  </r>
  <r>
    <x v="10"/>
    <x v="34"/>
    <x v="84"/>
    <n v="128214.5635"/>
    <n v="128214.5635"/>
    <n v="1"/>
    <n v="0"/>
    <x v="3"/>
    <d v="2023-01-12T22:00:33"/>
    <n v="1"/>
    <x v="43"/>
    <n v="1"/>
    <n v="128214.5635"/>
    <n v="128214.5635"/>
    <n v="0"/>
    <x v="6"/>
    <s v="LONG"/>
    <x v="9"/>
    <n v="128214.5635"/>
    <n v="1"/>
    <n v="0"/>
    <n v="0"/>
    <s v="KRKE"/>
    <s v="USD CASH LONG"/>
  </r>
  <r>
    <x v="10"/>
    <x v="34"/>
    <x v="76"/>
    <n v="1.182861E-2"/>
    <n v="1.18296988139044E-2"/>
    <n v="1.00009204918451"/>
    <n v="0"/>
    <x v="3"/>
    <d v="2023-01-12T22:00:34"/>
    <n v="1"/>
    <x v="36"/>
    <n v="1"/>
    <n v="1.182861E-2"/>
    <n v="1.1829698813904386E-2"/>
    <n v="0"/>
    <x v="5"/>
    <s v="LONG"/>
    <x v="8"/>
    <n v="1.18296988139044E-2"/>
    <n v="1.00009204918451"/>
    <n v="0"/>
    <n v="0"/>
    <s v="KRKE"/>
    <s v="USDT COIN LONG"/>
  </r>
  <r>
    <x v="10"/>
    <x v="34"/>
    <x v="77"/>
    <n v="8.93329E-3"/>
    <n v="7.2934759832153195E-4"/>
    <n v="8.1643783905093401E-2"/>
    <n v="0"/>
    <x v="3"/>
    <d v="2023-01-12T22:00:34"/>
    <n v="1"/>
    <x v="37"/>
    <n v="1"/>
    <n v="8.93329E-3"/>
    <n v="7.2934759832153184E-4"/>
    <n v="0"/>
    <x v="5"/>
    <s v="LONG"/>
    <x v="8"/>
    <n v="7.2934759832153195E-4"/>
    <n v="8.1643783905093401E-2"/>
    <n v="0"/>
    <n v="0"/>
    <s v="KRKE"/>
    <s v="XLM COIN LONG"/>
  </r>
  <r>
    <x v="10"/>
    <x v="34"/>
    <x v="78"/>
    <n v="0.71704489000000005"/>
    <n v="0.26903319358715799"/>
    <n v="0.37519714224190098"/>
    <n v="0"/>
    <x v="3"/>
    <d v="2023-01-12T22:00:34"/>
    <n v="1"/>
    <x v="38"/>
    <n v="1"/>
    <n v="0.71704489000000005"/>
    <n v="0.26903319358715827"/>
    <n v="0"/>
    <x v="5"/>
    <s v="LONG"/>
    <x v="8"/>
    <n v="0.26903319358715799"/>
    <n v="0.37519714224190098"/>
    <n v="0"/>
    <n v="0"/>
    <s v="KRKE"/>
    <s v="XRP COIN LONG"/>
  </r>
  <r>
    <x v="11"/>
    <x v="35"/>
    <x v="42"/>
    <n v="300"/>
    <n v="20358.340959391298"/>
    <n v="67.861136531304297"/>
    <n v="0"/>
    <x v="3"/>
    <d v="2023-01-12T00:00:00"/>
    <n v="1"/>
    <x v="12"/>
    <n v="1"/>
    <n v="300"/>
    <n v="20358.340959391287"/>
    <n v="0"/>
    <x v="5"/>
    <s v="LONG"/>
    <x v="8"/>
    <n v="20358.340959391298"/>
    <n v="67.861136531304297"/>
    <n v="0"/>
    <n v="0"/>
    <s v="LEND"/>
    <s v="AAVE COIN LONG"/>
  </r>
  <r>
    <x v="11"/>
    <x v="35"/>
    <x v="43"/>
    <n v="150000"/>
    <n v="49463.771211506297"/>
    <n v="0.329758474743375"/>
    <n v="0"/>
    <x v="3"/>
    <d v="2023-01-12T00:00:00"/>
    <n v="1"/>
    <x v="13"/>
    <n v="1"/>
    <n v="150000"/>
    <n v="49463.771211506246"/>
    <n v="0"/>
    <x v="5"/>
    <s v="LONG"/>
    <x v="8"/>
    <n v="49463.771211506297"/>
    <n v="0.329758474743375"/>
    <n v="0"/>
    <n v="0"/>
    <s v="LEND"/>
    <s v="ADA COIN LONG"/>
  </r>
  <r>
    <x v="11"/>
    <x v="35"/>
    <x v="44"/>
    <n v="35000"/>
    <n v="7438.4272051851603"/>
    <n v="0.21252649157671899"/>
    <n v="0"/>
    <x v="3"/>
    <d v="2023-01-12T00:00:00"/>
    <n v="1"/>
    <x v="14"/>
    <n v="1"/>
    <n v="35000"/>
    <n v="7438.4272051851649"/>
    <n v="0"/>
    <x v="5"/>
    <s v="LONG"/>
    <x v="8"/>
    <n v="7438.4272051851603"/>
    <n v="0.21252649157671899"/>
    <n v="0"/>
    <n v="0"/>
    <s v="LEND"/>
    <s v="ALGO COIN LONG"/>
  </r>
  <r>
    <x v="11"/>
    <x v="35"/>
    <x v="46"/>
    <n v="3000"/>
    <n v="46372.050779343299"/>
    <n v="15.4573502597811"/>
    <n v="0"/>
    <x v="3"/>
    <d v="2023-01-12T00:00:00"/>
    <n v="1"/>
    <x v="15"/>
    <n v="1"/>
    <n v="3000"/>
    <n v="46372.050779343299"/>
    <n v="0"/>
    <x v="5"/>
    <s v="LONG"/>
    <x v="8"/>
    <n v="46372.050779343299"/>
    <n v="15.4573502597811"/>
    <n v="0"/>
    <n v="0"/>
    <s v="LEND"/>
    <s v="AVAX COIN LONG"/>
  </r>
  <r>
    <x v="11"/>
    <x v="35"/>
    <x v="47"/>
    <n v="100000"/>
    <n v="20477.401519184201"/>
    <n v="0.20477401519184199"/>
    <n v="0"/>
    <x v="3"/>
    <d v="2023-01-12T00:00:00"/>
    <n v="1"/>
    <x v="16"/>
    <n v="1"/>
    <n v="100000"/>
    <n v="20477.401519184197"/>
    <n v="0"/>
    <x v="5"/>
    <s v="LONG"/>
    <x v="8"/>
    <n v="20477.401519184201"/>
    <n v="0.20477401519184199"/>
    <n v="0"/>
    <n v="0"/>
    <s v="LEND"/>
    <s v="BAT COIN LONG"/>
  </r>
  <r>
    <x v="11"/>
    <x v="35"/>
    <x v="48"/>
    <n v="5627"/>
    <n v="673610.792955218"/>
    <n v="119.710466137412"/>
    <n v="0"/>
    <x v="3"/>
    <d v="2023-01-12T00:00:00"/>
    <n v="1"/>
    <x v="3"/>
    <n v="1"/>
    <n v="5627"/>
    <n v="673610.7929552173"/>
    <n v="0"/>
    <x v="5"/>
    <s v="LONG"/>
    <x v="8"/>
    <n v="673610.792955218"/>
    <n v="119.710466137412"/>
    <n v="0"/>
    <n v="0"/>
    <s v="LEND"/>
    <s v="BCH COIN LONG"/>
  </r>
  <r>
    <x v="11"/>
    <x v="35"/>
    <x v="54"/>
    <n v="100"/>
    <n v="4935.6487119112799"/>
    <n v="49.356487119112799"/>
    <n v="0"/>
    <x v="3"/>
    <d v="2023-01-12T00:00:00"/>
    <n v="1"/>
    <x v="20"/>
    <n v="1"/>
    <n v="100"/>
    <n v="4935.6487119112799"/>
    <n v="0"/>
    <x v="5"/>
    <s v="LONG"/>
    <x v="8"/>
    <n v="4935.6487119112799"/>
    <n v="49.356487119112799"/>
    <n v="0"/>
    <n v="0"/>
    <s v="LEND"/>
    <s v="DASH COIN LONG"/>
  </r>
  <r>
    <x v="11"/>
    <x v="35"/>
    <x v="55"/>
    <n v="600000"/>
    <n v="48171.441601568797"/>
    <n v="8.0285736002614697E-2"/>
    <n v="0"/>
    <x v="3"/>
    <d v="2023-01-12T00:00:00"/>
    <n v="1"/>
    <x v="21"/>
    <n v="1"/>
    <n v="600000"/>
    <n v="48171.441601568818"/>
    <n v="0"/>
    <x v="5"/>
    <s v="LONG"/>
    <x v="8"/>
    <n v="48171.441601568797"/>
    <n v="8.0285736002614697E-2"/>
    <n v="0"/>
    <n v="0"/>
    <s v="LEND"/>
    <s v="DOGE COIN LONG"/>
  </r>
  <r>
    <x v="11"/>
    <x v="35"/>
    <x v="56"/>
    <n v="5000"/>
    <n v="26147.389695369999"/>
    <n v="5.2294779390740098"/>
    <n v="0"/>
    <x v="3"/>
    <d v="2023-01-12T00:00:00"/>
    <n v="1"/>
    <x v="22"/>
    <n v="1"/>
    <n v="5000"/>
    <n v="26147.38969537005"/>
    <n v="0"/>
    <x v="5"/>
    <s v="LONG"/>
    <x v="8"/>
    <n v="26147.389695369999"/>
    <n v="5.2294779390740098"/>
    <n v="0"/>
    <n v="0"/>
    <s v="LEND"/>
    <s v="DOT COIN LONG"/>
  </r>
  <r>
    <x v="11"/>
    <x v="35"/>
    <x v="57"/>
    <n v="15000"/>
    <n v="4561.4429835563797"/>
    <n v="0.304096198903759"/>
    <n v="0"/>
    <x v="3"/>
    <d v="2023-01-12T00:00:00"/>
    <n v="1"/>
    <x v="23"/>
    <n v="1"/>
    <n v="15000"/>
    <n v="4561.4429835563851"/>
    <n v="0"/>
    <x v="5"/>
    <s v="LONG"/>
    <x v="8"/>
    <n v="4561.4429835563797"/>
    <n v="0.304096198903759"/>
    <n v="0"/>
    <n v="0"/>
    <s v="LEND"/>
    <s v="ENJ COIN LONG"/>
  </r>
  <r>
    <x v="11"/>
    <x v="35"/>
    <x v="58"/>
    <n v="30000"/>
    <n v="29707.2743042082"/>
    <n v="0.990242476806942"/>
    <n v="0"/>
    <x v="3"/>
    <d v="2023-01-12T00:00:00"/>
    <n v="1"/>
    <x v="4"/>
    <n v="1"/>
    <n v="30000"/>
    <n v="29707.274304208258"/>
    <n v="0"/>
    <x v="5"/>
    <s v="LONG"/>
    <x v="8"/>
    <n v="29707.2743042082"/>
    <n v="0.990242476806942"/>
    <n v="0"/>
    <n v="0"/>
    <s v="LEND"/>
    <s v="EOS COIN LONG"/>
  </r>
  <r>
    <x v="11"/>
    <x v="35"/>
    <x v="82"/>
    <n v="98000"/>
    <n v="2049940.3053389101"/>
    <n v="20.917758217744002"/>
    <n v="0"/>
    <x v="3"/>
    <d v="2023-01-12T00:00:00"/>
    <n v="1"/>
    <x v="41"/>
    <n v="1"/>
    <n v="98000"/>
    <n v="2049940.3053389122"/>
    <n v="0"/>
    <x v="5"/>
    <s v="LONG"/>
    <x v="8"/>
    <n v="2049940.3053389101"/>
    <n v="20.917758217744002"/>
    <n v="0"/>
    <n v="0"/>
    <s v="LEND"/>
    <s v="ETC COIN LONG"/>
  </r>
  <r>
    <x v="11"/>
    <x v="35"/>
    <x v="62"/>
    <n v="30000"/>
    <n v="8203.4051788677698"/>
    <n v="0.27344683929559199"/>
    <n v="0"/>
    <x v="3"/>
    <d v="2023-01-12T00:00:00"/>
    <n v="1"/>
    <x v="26"/>
    <n v="1"/>
    <n v="30000"/>
    <n v="8203.4051788677589"/>
    <n v="0"/>
    <x v="5"/>
    <s v="LONG"/>
    <x v="8"/>
    <n v="8203.4051788677698"/>
    <n v="0.27344683929559199"/>
    <n v="0"/>
    <n v="0"/>
    <s v="LEND"/>
    <s v="FTM COIN LONG"/>
  </r>
  <r>
    <x v="11"/>
    <x v="35"/>
    <x v="63"/>
    <n v="50000"/>
    <n v="3675.0979151612801"/>
    <n v="7.3501958303225604E-2"/>
    <n v="0"/>
    <x v="3"/>
    <d v="2023-01-12T00:00:00"/>
    <n v="1"/>
    <x v="27"/>
    <n v="1"/>
    <n v="50000"/>
    <n v="3675.0979151612801"/>
    <n v="0"/>
    <x v="5"/>
    <s v="LONG"/>
    <x v="8"/>
    <n v="3675.0979151612801"/>
    <n v="7.3501958303225604E-2"/>
    <n v="0"/>
    <n v="0"/>
    <s v="LEND"/>
    <s v="GRT COIN LONG"/>
  </r>
  <r>
    <x v="11"/>
    <x v="35"/>
    <x v="64"/>
    <n v="125000"/>
    <n v="5955.95459558743"/>
    <n v="4.7647636764699498E-2"/>
    <n v="0"/>
    <x v="3"/>
    <d v="2023-01-12T00:00:00"/>
    <n v="1"/>
    <x v="28"/>
    <n v="1"/>
    <n v="125000"/>
    <n v="5955.9545955874373"/>
    <n v="0"/>
    <x v="5"/>
    <s v="LONG"/>
    <x v="8"/>
    <n v="5955.95459558743"/>
    <n v="4.7647636764699498E-2"/>
    <n v="0"/>
    <n v="0"/>
    <s v="LEND"/>
    <s v="HBAR COIN LONG"/>
  </r>
  <r>
    <x v="11"/>
    <x v="35"/>
    <x v="65"/>
    <n v="7000"/>
    <n v="44669.3208670651"/>
    <n v="6.38133155243787"/>
    <n v="0"/>
    <x v="3"/>
    <d v="2023-01-12T00:00:00"/>
    <n v="1"/>
    <x v="9"/>
    <n v="1"/>
    <n v="7000"/>
    <n v="44669.320867065093"/>
    <n v="0"/>
    <x v="5"/>
    <s v="LONG"/>
    <x v="8"/>
    <n v="44669.3208670651"/>
    <n v="6.38133155243787"/>
    <n v="0"/>
    <n v="0"/>
    <s v="LEND"/>
    <s v="LINK COIN LONG"/>
  </r>
  <r>
    <x v="11"/>
    <x v="35"/>
    <x v="66"/>
    <n v="500"/>
    <n v="42982.114725378"/>
    <n v="85.964229450756093"/>
    <n v="0"/>
    <x v="3"/>
    <d v="2023-01-12T00:00:00"/>
    <n v="1"/>
    <x v="5"/>
    <n v="1"/>
    <n v="500"/>
    <n v="42982.114725378044"/>
    <n v="0"/>
    <x v="5"/>
    <s v="LONG"/>
    <x v="8"/>
    <n v="42982.114725378"/>
    <n v="85.964229450756093"/>
    <n v="0"/>
    <n v="0"/>
    <s v="LEND"/>
    <s v="LTC COIN LONG"/>
  </r>
  <r>
    <x v="11"/>
    <x v="35"/>
    <x v="67"/>
    <n v="45000"/>
    <n v="18560.356587142"/>
    <n v="0.41245236860315698"/>
    <n v="0"/>
    <x v="3"/>
    <d v="2023-01-12T00:00:00"/>
    <n v="1"/>
    <x v="29"/>
    <n v="1"/>
    <n v="45000"/>
    <n v="18560.356587142065"/>
    <n v="0"/>
    <x v="5"/>
    <s v="LONG"/>
    <x v="8"/>
    <n v="18560.356587142"/>
    <n v="0.41245236860315698"/>
    <n v="0"/>
    <n v="0"/>
    <s v="LEND"/>
    <s v="MANA COIN LONG"/>
  </r>
  <r>
    <x v="11"/>
    <x v="35"/>
    <x v="68"/>
    <n v="50000"/>
    <n v="45814.455718261699"/>
    <n v="0.91628911436523497"/>
    <n v="0"/>
    <x v="3"/>
    <d v="2023-01-12T00:00:00"/>
    <n v="1"/>
    <x v="30"/>
    <n v="1"/>
    <n v="50000"/>
    <n v="45814.45571826175"/>
    <n v="0"/>
    <x v="5"/>
    <s v="LONG"/>
    <x v="8"/>
    <n v="45814.455718261699"/>
    <n v="0.91628911436523497"/>
    <n v="0"/>
    <n v="0"/>
    <s v="LEND"/>
    <s v="MATIC COIN LONG"/>
  </r>
  <r>
    <x v="11"/>
    <x v="35"/>
    <x v="71"/>
    <n v="80000"/>
    <n v="5865.54655298123"/>
    <n v="7.3319331912265404E-2"/>
    <n v="0"/>
    <x v="3"/>
    <d v="2023-01-12T00:00:00"/>
    <n v="1"/>
    <x v="32"/>
    <n v="1"/>
    <n v="80000"/>
    <n v="5865.5465529812327"/>
    <n v="0"/>
    <x v="5"/>
    <s v="LONG"/>
    <x v="8"/>
    <n v="5865.54655298123"/>
    <n v="7.3319331912265404E-2"/>
    <n v="0"/>
    <n v="0"/>
    <s v="LEND"/>
    <s v="OXT COIN LONG"/>
  </r>
  <r>
    <x v="11"/>
    <x v="35"/>
    <x v="73"/>
    <n v="3500"/>
    <n v="58166.654687279501"/>
    <n v="16.6190441963655"/>
    <n v="0"/>
    <x v="3"/>
    <d v="2023-01-12T00:00:00"/>
    <n v="1"/>
    <x v="33"/>
    <n v="1"/>
    <n v="3500"/>
    <n v="58166.654687279253"/>
    <n v="0"/>
    <x v="5"/>
    <s v="LONG"/>
    <x v="8"/>
    <n v="58166.654687279501"/>
    <n v="16.6190441963655"/>
    <n v="0"/>
    <n v="0"/>
    <s v="LEND"/>
    <s v="SOL COIN LONG"/>
  </r>
  <r>
    <x v="11"/>
    <x v="35"/>
    <x v="74"/>
    <n v="21600"/>
    <n v="24574.094963555199"/>
    <n v="1.1376895816460699"/>
    <n v="0"/>
    <x v="3"/>
    <d v="2023-01-12T00:00:00"/>
    <n v="1"/>
    <x v="34"/>
    <n v="1"/>
    <n v="21600"/>
    <n v="24574.094963555111"/>
    <n v="0"/>
    <x v="5"/>
    <s v="LONG"/>
    <x v="8"/>
    <n v="24574.094963555199"/>
    <n v="1.1376895816460699"/>
    <n v="0"/>
    <n v="0"/>
    <s v="LEND"/>
    <s v="SUSHI COIN LONG"/>
  </r>
  <r>
    <x v="11"/>
    <x v="35"/>
    <x v="75"/>
    <n v="6000"/>
    <n v="37040.287692466401"/>
    <n v="6.1733812820777398"/>
    <n v="0"/>
    <x v="3"/>
    <d v="2023-01-12T00:00:00"/>
    <n v="1"/>
    <x v="35"/>
    <n v="1"/>
    <n v="6000"/>
    <n v="37040.287692466438"/>
    <n v="0"/>
    <x v="5"/>
    <s v="LONG"/>
    <x v="8"/>
    <n v="37040.287692466401"/>
    <n v="6.1733812820777398"/>
    <n v="0"/>
    <n v="0"/>
    <s v="LEND"/>
    <s v="UNI COIN LONG"/>
  </r>
  <r>
    <x v="11"/>
    <x v="35"/>
    <x v="76"/>
    <n v="10000000"/>
    <n v="10000920.491845099"/>
    <n v="1.00009204918451"/>
    <n v="0"/>
    <x v="3"/>
    <d v="2023-01-12T00:00:00"/>
    <n v="1"/>
    <x v="36"/>
    <n v="1"/>
    <n v="10000000"/>
    <n v="10000920.491845099"/>
    <n v="0"/>
    <x v="5"/>
    <s v="LONG"/>
    <x v="8"/>
    <n v="10000920.491845099"/>
    <n v="1.00009204918451"/>
    <n v="0"/>
    <n v="0"/>
    <s v="LEND"/>
    <s v="USDT COIN LONG"/>
  </r>
  <r>
    <x v="11"/>
    <x v="35"/>
    <x v="77"/>
    <n v="100000"/>
    <n v="8164.3783905093396"/>
    <n v="8.1643783905093401E-2"/>
    <n v="0"/>
    <x v="3"/>
    <d v="2023-01-12T00:00:00"/>
    <n v="1"/>
    <x v="37"/>
    <n v="1"/>
    <n v="100000"/>
    <n v="8164.3783905093396"/>
    <n v="0"/>
    <x v="5"/>
    <s v="LONG"/>
    <x v="8"/>
    <n v="8164.3783905093396"/>
    <n v="8.1643783905093401E-2"/>
    <n v="0"/>
    <n v="0"/>
    <s v="LEND"/>
    <s v="XLM COIN LONG"/>
  </r>
  <r>
    <x v="11"/>
    <x v="35"/>
    <x v="79"/>
    <n v="5000"/>
    <n v="4446.1492113460999"/>
    <n v="0.88922984226921997"/>
    <n v="0"/>
    <x v="3"/>
    <d v="2023-01-12T00:00:00"/>
    <n v="1"/>
    <x v="39"/>
    <n v="1"/>
    <n v="5000"/>
    <n v="4446.1492113460999"/>
    <n v="0"/>
    <x v="5"/>
    <s v="LONG"/>
    <x v="8"/>
    <n v="4446.1492113460999"/>
    <n v="0.88922984226921997"/>
    <n v="0"/>
    <n v="0"/>
    <s v="LEND"/>
    <s v="XTZ COIN LONG"/>
  </r>
  <r>
    <x v="12"/>
    <x v="36"/>
    <x v="59"/>
    <n v="5.0000000000000001E-4"/>
    <n v="0.70896926155560902"/>
    <n v="1417.9385231112101"/>
    <n v="0"/>
    <x v="3"/>
    <d v="2023-01-12T00:00:01"/>
    <n v="1"/>
    <x v="1"/>
    <n v="1"/>
    <n v="5.0000000000000001E-4"/>
    <n v="0.70896926155560502"/>
    <n v="0"/>
    <x v="5"/>
    <s v="LONG"/>
    <x v="8"/>
    <n v="0.70896926155560902"/>
    <n v="1417.9385231112101"/>
    <n v="0"/>
    <n v="0"/>
    <s v="LMAC"/>
    <s v="ETH COIN LONG"/>
  </r>
  <r>
    <x v="12"/>
    <x v="36"/>
    <x v="84"/>
    <n v="2.63E-3"/>
    <n v="2.63E-3"/>
    <n v="1"/>
    <n v="0"/>
    <x v="3"/>
    <d v="2023-01-12T00:00:01"/>
    <n v="1"/>
    <x v="43"/>
    <n v="1"/>
    <n v="2.63E-3"/>
    <n v="2.63E-3"/>
    <n v="0"/>
    <x v="6"/>
    <s v="LONG"/>
    <x v="9"/>
    <n v="2.63E-3"/>
    <n v="1"/>
    <n v="0"/>
    <n v="0"/>
    <s v="LMAC"/>
    <s v="USD CASH LONG"/>
  </r>
  <r>
    <x v="13"/>
    <x v="37"/>
    <x v="84"/>
    <n v="10138.725630000001"/>
    <n v="10138.725630000001"/>
    <n v="1"/>
    <n v="0"/>
    <x v="3"/>
    <d v="2023-01-12T00:00:01"/>
    <n v="1"/>
    <x v="43"/>
    <n v="1"/>
    <n v="10138.725630000001"/>
    <n v="10138.725630000001"/>
    <n v="0"/>
    <x v="6"/>
    <s v="LONG"/>
    <x v="9"/>
    <n v="10138.725630000001"/>
    <n v="1"/>
    <n v="0"/>
    <n v="0"/>
    <s v="LMAX"/>
    <s v="USD CASH LONG"/>
  </r>
  <r>
    <x v="3"/>
    <x v="38"/>
    <x v="50"/>
    <n v="2.6E-7"/>
    <n v="4.9060928943690501E-3"/>
    <n v="18869.5880552655"/>
    <n v="0"/>
    <x v="3"/>
    <d v="2023-01-13T00:00:00"/>
    <n v="1"/>
    <x v="0"/>
    <n v="1"/>
    <n v="2.6E-7"/>
    <n v="4.9060928943690301E-3"/>
    <n v="0"/>
    <x v="5"/>
    <s v="LONG"/>
    <x v="8"/>
    <n v="4.9060928943690501E-3"/>
    <n v="18869.5880552655"/>
    <n v="0"/>
    <n v="0"/>
    <s v="OKEX"/>
    <s v="BTC COIN LONG"/>
  </r>
  <r>
    <x v="3"/>
    <x v="38"/>
    <x v="59"/>
    <n v="6.7499999999999997E-6"/>
    <n v="9.5710850310007298E-3"/>
    <n v="1417.9385231112101"/>
    <n v="0"/>
    <x v="3"/>
    <d v="2023-01-13T00:00:00"/>
    <n v="1"/>
    <x v="1"/>
    <n v="1"/>
    <n v="6.7499999999999997E-6"/>
    <n v="9.5710850310006673E-3"/>
    <n v="0"/>
    <x v="5"/>
    <s v="LONG"/>
    <x v="8"/>
    <n v="9.5710850310007298E-3"/>
    <n v="1417.9385231112101"/>
    <n v="0"/>
    <n v="0"/>
    <s v="OKEX"/>
    <s v="ETH COIN LONG"/>
  </r>
  <r>
    <x v="3"/>
    <x v="38"/>
    <x v="78"/>
    <n v="0.44933625999999999"/>
    <n v="0.168589680657663"/>
    <n v="0.37519714224190098"/>
    <n v="0"/>
    <x v="3"/>
    <d v="2023-01-13T00:00:00"/>
    <n v="1"/>
    <x v="38"/>
    <n v="1"/>
    <n v="0.44933625999999999"/>
    <n v="0.1685896806576638"/>
    <n v="0"/>
    <x v="5"/>
    <s v="LONG"/>
    <x v="8"/>
    <n v="0.168589680657663"/>
    <n v="0.37519714224190098"/>
    <n v="0"/>
    <n v="0"/>
    <s v="OKEX"/>
    <s v="XRP COIN LONG"/>
  </r>
  <r>
    <x v="3"/>
    <x v="39"/>
    <x v="76"/>
    <n v="9.0007799999999999E-3"/>
    <n v="9.0016085144589905E-3"/>
    <n v="1.00009204918451"/>
    <n v="0"/>
    <x v="3"/>
    <d v="2023-01-13T00:00:00"/>
    <n v="1"/>
    <x v="36"/>
    <n v="1"/>
    <n v="9.0007799999999999E-3"/>
    <n v="9.0016085144589541E-3"/>
    <n v="0"/>
    <x v="5"/>
    <s v="LONG"/>
    <x v="8"/>
    <n v="9.0016085144589905E-3"/>
    <n v="1.00009204918451"/>
    <n v="0"/>
    <n v="0"/>
    <s v="OKEX"/>
    <s v="USDT COIN LONG"/>
  </r>
  <r>
    <x v="3"/>
    <x v="7"/>
    <x v="50"/>
    <n v="1.3863722599999999"/>
    <n v="26160.2734374475"/>
    <n v="18869.5880552655"/>
    <n v="0"/>
    <x v="3"/>
    <d v="2023-01-13T00:00:00"/>
    <n v="1"/>
    <x v="0"/>
    <n v="1"/>
    <n v="1.3863722599999999"/>
    <n v="26160.273437447435"/>
    <n v="0"/>
    <x v="5"/>
    <s v="LONG"/>
    <x v="8"/>
    <n v="26160.2734374475"/>
    <n v="18869.5880552655"/>
    <n v="0"/>
    <n v="0"/>
    <s v="OKEX"/>
    <s v="BTC COIN LONG"/>
  </r>
  <r>
    <x v="3"/>
    <x v="7"/>
    <x v="76"/>
    <n v="14155.78589843"/>
    <n v="14157.0889269781"/>
    <n v="1.00009204918451"/>
    <n v="0"/>
    <x v="3"/>
    <d v="2023-01-13T00:00:00"/>
    <n v="1"/>
    <x v="36"/>
    <n v="1"/>
    <n v="14155.78589843"/>
    <n v="14157.088926978049"/>
    <n v="0"/>
    <x v="5"/>
    <s v="LONG"/>
    <x v="8"/>
    <n v="14157.0889269781"/>
    <n v="1.00009204918451"/>
    <n v="0"/>
    <n v="0"/>
    <s v="OKEX"/>
    <s v="USDT COIN LONG"/>
  </r>
  <r>
    <x v="3"/>
    <x v="7"/>
    <x v="76"/>
    <n v="-17651.770061800002"/>
    <n v="-17653.394892839398"/>
    <n v="1.00009204918451"/>
    <n v="0"/>
    <x v="4"/>
    <d v="2023-01-13T00:00:00"/>
    <n v="1"/>
    <x v="36"/>
    <n v="1"/>
    <n v="-17651.770061800002"/>
    <n v="-17653.394892839347"/>
    <n v="0"/>
    <x v="5"/>
    <s v="SHORT"/>
    <x v="10"/>
    <n v="-17653.394892839398"/>
    <n v="1.00009204918451"/>
    <n v="0"/>
    <n v="0"/>
    <s v="OKEX"/>
    <s v="USDT COIN SHORT"/>
  </r>
  <r>
    <x v="3"/>
    <x v="6"/>
    <x v="50"/>
    <n v="719.02328516"/>
    <n v="13567673.1931129"/>
    <n v="18869.5880552655"/>
    <n v="0"/>
    <x v="3"/>
    <d v="2023-01-13T00:00:00"/>
    <n v="1"/>
    <x v="0"/>
    <n v="1"/>
    <n v="719.02328516"/>
    <n v="13567673.193112895"/>
    <n v="0"/>
    <x v="5"/>
    <s v="LONG"/>
    <x v="8"/>
    <n v="13567673.1931129"/>
    <n v="18869.5880552655"/>
    <n v="0"/>
    <n v="0"/>
    <s v="OKEX"/>
    <s v="BTC COIN LONG"/>
  </r>
  <r>
    <x v="3"/>
    <x v="6"/>
    <x v="50"/>
    <n v="-32.644600570000001"/>
    <n v="-615990.16498458805"/>
    <n v="18869.5880552655"/>
    <n v="0"/>
    <x v="4"/>
    <d v="2023-01-13T00:00:00"/>
    <n v="1"/>
    <x v="0"/>
    <n v="1"/>
    <n v="-32.644600570000001"/>
    <n v="-615990.16498458537"/>
    <n v="0"/>
    <x v="5"/>
    <s v="SHORT"/>
    <x v="10"/>
    <n v="-615990.16498458805"/>
    <n v="18869.5880552655"/>
    <n v="0"/>
    <n v="0"/>
    <s v="OKEX"/>
    <s v="BTC COIN SHORT"/>
  </r>
  <r>
    <x v="3"/>
    <x v="6"/>
    <x v="59"/>
    <n v="8955.2959333500003"/>
    <n v="12698059.089758201"/>
    <n v="1417.9385231112101"/>
    <n v="0"/>
    <x v="3"/>
    <d v="2023-01-13T00:00:00"/>
    <n v="1"/>
    <x v="1"/>
    <n v="1"/>
    <n v="8955.2959333500003"/>
    <n v="12698059.089758124"/>
    <n v="0"/>
    <x v="5"/>
    <s v="LONG"/>
    <x v="8"/>
    <n v="12698059.089758201"/>
    <n v="1417.9385231112101"/>
    <n v="0"/>
    <n v="0"/>
    <s v="OKEX"/>
    <s v="ETH COIN LONG"/>
  </r>
  <r>
    <x v="3"/>
    <x v="6"/>
    <x v="59"/>
    <n v="-270.77938137000001"/>
    <n v="-383948.51610874699"/>
    <n v="1417.9385231112101"/>
    <n v="0"/>
    <x v="4"/>
    <d v="2023-01-13T00:00:00"/>
    <n v="1"/>
    <x v="1"/>
    <n v="1"/>
    <n v="-270.77938137000001"/>
    <n v="-383948.51610874495"/>
    <n v="0"/>
    <x v="5"/>
    <s v="SHORT"/>
    <x v="10"/>
    <n v="-383948.51610874699"/>
    <n v="1417.9385231112101"/>
    <n v="0"/>
    <n v="0"/>
    <s v="OKEX"/>
    <s v="ETH COIN SHORT"/>
  </r>
  <r>
    <x v="3"/>
    <x v="6"/>
    <x v="71"/>
    <n v="604136.71778894996"/>
    <n v="44294.900531954598"/>
    <n v="7.3319331912265404E-2"/>
    <n v="0"/>
    <x v="3"/>
    <d v="2023-01-13T00:00:00"/>
    <n v="1"/>
    <x v="32"/>
    <n v="1"/>
    <n v="604136.71778894996"/>
    <n v="44294.900531954634"/>
    <n v="0"/>
    <x v="5"/>
    <s v="LONG"/>
    <x v="8"/>
    <n v="44294.900531954598"/>
    <n v="7.3319331912265404E-2"/>
    <n v="0"/>
    <n v="0"/>
    <s v="OKEX"/>
    <s v="OXT COIN LONG"/>
  </r>
  <r>
    <x v="3"/>
    <x v="6"/>
    <x v="72"/>
    <n v="78952990042.466797"/>
    <n v="747794.03457846702"/>
    <n v="9.4713833405960602E-6"/>
    <n v="0"/>
    <x v="3"/>
    <d v="2023-01-13T00:00:00"/>
    <n v="1"/>
    <x v="11"/>
    <n v="1"/>
    <n v="78952990042.466797"/>
    <n v="747794.03457846667"/>
    <n v="0"/>
    <x v="5"/>
    <s v="LONG"/>
    <x v="8"/>
    <n v="747794.03457846702"/>
    <n v="9.4713833405960602E-6"/>
    <n v="0"/>
    <n v="0"/>
    <s v="OKEX"/>
    <s v="SHIB COIN LONG"/>
  </r>
  <r>
    <x v="3"/>
    <x v="6"/>
    <x v="76"/>
    <n v="2962793.3999678502"/>
    <n v="2963066.1226841998"/>
    <n v="1.00009204918451"/>
    <n v="0"/>
    <x v="3"/>
    <d v="2023-01-13T00:00:00"/>
    <n v="1"/>
    <x v="36"/>
    <n v="1"/>
    <n v="2962793.3999678502"/>
    <n v="2963066.1226841887"/>
    <n v="0"/>
    <x v="5"/>
    <s v="LONG"/>
    <x v="8"/>
    <n v="2963066.1226841998"/>
    <n v="1.00009204918451"/>
    <n v="0"/>
    <n v="0"/>
    <s v="OKEX"/>
    <s v="USDT COIN LONG"/>
  </r>
  <r>
    <x v="3"/>
    <x v="6"/>
    <x v="76"/>
    <n v="582247.84443457995"/>
    <n v="582301.43987384497"/>
    <n v="1.00009204918451"/>
    <n v="0"/>
    <x v="4"/>
    <d v="2023-01-13T00:00:00"/>
    <n v="1"/>
    <x v="36"/>
    <n v="1"/>
    <n v="582247.84443457995"/>
    <n v="582301.43987384287"/>
    <n v="0"/>
    <x v="5"/>
    <s v="LONG"/>
    <x v="8"/>
    <n v="582301.43987384497"/>
    <n v="1.00009204918451"/>
    <n v="0"/>
    <n v="0"/>
    <s v="OKEX"/>
    <s v="USDT COIN LONG"/>
  </r>
  <r>
    <x v="3"/>
    <x v="6"/>
    <x v="81"/>
    <n v="3469624.0473292298"/>
    <n v="83182.432008713396"/>
    <n v="2.39744799073386E-2"/>
    <n v="0"/>
    <x v="3"/>
    <d v="2023-01-13T00:00:00"/>
    <n v="1"/>
    <x v="7"/>
    <n v="1"/>
    <n v="3469624.0473292298"/>
    <n v="83182.432008713455"/>
    <n v="0"/>
    <x v="5"/>
    <s v="LONG"/>
    <x v="8"/>
    <n v="83182.432008713396"/>
    <n v="2.39744799073386E-2"/>
    <n v="0"/>
    <n v="0"/>
    <s v="OKEX"/>
    <s v="ZIL COIN LONG"/>
  </r>
  <r>
    <x v="3"/>
    <x v="40"/>
    <x v="124"/>
    <n v="9.4549999999999994E-5"/>
    <n v="3.9850920739355599E-3"/>
    <n v="42.1479859749927"/>
    <n v="0"/>
    <x v="3"/>
    <d v="2023-01-13T00:00:00"/>
    <n v="1"/>
    <x v="83"/>
    <n v="1"/>
    <n v="9.4549999999999994E-5"/>
    <n v="3.9850920739355599E-3"/>
    <n v="0"/>
    <x v="5"/>
    <s v="LONG"/>
    <x v="8"/>
    <n v="3.9850920739355599E-3"/>
    <n v="42.1479859749927"/>
    <n v="0"/>
    <n v="0"/>
    <s v="OKEX"/>
    <s v="BSV COIN LONG"/>
  </r>
  <r>
    <x v="3"/>
    <x v="40"/>
    <x v="56"/>
    <n v="1E-8"/>
    <n v="5.2294779390740102E-8"/>
    <n v="5.2294779390740098"/>
    <n v="0"/>
    <x v="3"/>
    <d v="2023-01-13T00:00:00"/>
    <n v="1"/>
    <x v="22"/>
    <n v="1"/>
    <n v="1E-8"/>
    <n v="5.2294779390740102E-8"/>
    <n v="0"/>
    <x v="5"/>
    <s v="LONG"/>
    <x v="8"/>
    <n v="5.2294779390740102E-8"/>
    <n v="5.2294779390740098"/>
    <n v="0"/>
    <n v="0"/>
    <s v="OKEX"/>
    <s v="DOT COIN LONG"/>
  </r>
  <r>
    <x v="3"/>
    <x v="40"/>
    <x v="83"/>
    <n v="8.7929999999999993E-5"/>
    <n v="3.0195983368837601E-4"/>
    <n v="3.43409341167265"/>
    <n v="0"/>
    <x v="3"/>
    <d v="2023-01-13T00:00:00"/>
    <n v="1"/>
    <x v="42"/>
    <n v="1"/>
    <n v="8.7929999999999993E-5"/>
    <n v="3.0195983368837612E-4"/>
    <n v="0"/>
    <x v="5"/>
    <s v="LONG"/>
    <x v="8"/>
    <n v="3.0195983368837601E-4"/>
    <n v="3.43409341167265"/>
    <n v="0"/>
    <n v="0"/>
    <s v="OKEX"/>
    <s v="ETHW COIN LONG"/>
  </r>
  <r>
    <x v="3"/>
    <x v="40"/>
    <x v="66"/>
    <n v="1E-8"/>
    <n v="8.5964229450756099E-7"/>
    <n v="85.964229450756093"/>
    <n v="0"/>
    <x v="3"/>
    <d v="2023-01-13T00:00:00"/>
    <n v="1"/>
    <x v="5"/>
    <n v="1"/>
    <n v="1E-8"/>
    <n v="8.5964229450756099E-7"/>
    <n v="0"/>
    <x v="5"/>
    <s v="LONG"/>
    <x v="8"/>
    <n v="8.5964229450756099E-7"/>
    <n v="85.964229450756093"/>
    <n v="0"/>
    <n v="0"/>
    <s v="OKEX"/>
    <s v="LTC COIN LONG"/>
  </r>
  <r>
    <x v="3"/>
    <x v="40"/>
    <x v="72"/>
    <n v="10000000000"/>
    <n v="94713.833405960599"/>
    <n v="9.4713833405960602E-6"/>
    <n v="0"/>
    <x v="3"/>
    <d v="2023-01-13T00:00:00"/>
    <n v="1"/>
    <x v="11"/>
    <n v="1"/>
    <n v="10000000000"/>
    <n v="94713.833405960599"/>
    <n v="0"/>
    <x v="5"/>
    <s v="LONG"/>
    <x v="8"/>
    <n v="94713.833405960599"/>
    <n v="9.4713833405960602E-6"/>
    <n v="0"/>
    <n v="0"/>
    <s v="OKEX"/>
    <s v="SHIB COIN LONG"/>
  </r>
  <r>
    <x v="3"/>
    <x v="40"/>
    <x v="88"/>
    <n v="5.2E-7"/>
    <n v="5.2003751780624803E-7"/>
    <n v="1.0000721496274001"/>
    <n v="0"/>
    <x v="3"/>
    <d v="2023-01-13T00:00:00"/>
    <n v="1"/>
    <x v="47"/>
    <n v="1"/>
    <n v="5.2E-7"/>
    <n v="5.2003751780624803E-7"/>
    <n v="0"/>
    <x v="5"/>
    <s v="LONG"/>
    <x v="8"/>
    <n v="5.2003751780624803E-7"/>
    <n v="1.0000721496274001"/>
    <n v="0"/>
    <n v="0"/>
    <s v="OKEX"/>
    <s v="USDC COIN LONG"/>
  </r>
  <r>
    <x v="3"/>
    <x v="40"/>
    <x v="166"/>
    <n v="5.47"/>
    <n v="1.4939303501530001E-4"/>
    <n v="2.7311340953437101E-5"/>
    <n v="0"/>
    <x v="3"/>
    <d v="2023-01-13T00:00:00"/>
    <n v="1"/>
    <x v="125"/>
    <n v="1"/>
    <n v="5.47"/>
    <n v="1.4939303501530093E-4"/>
    <n v="0"/>
    <x v="5"/>
    <s v="LONG"/>
    <x v="8"/>
    <n v="1.4939303501530001E-4"/>
    <n v="2.7311340953437101E-5"/>
    <n v="0"/>
    <n v="0"/>
    <s v="OKEX"/>
    <s v="XEC COIN LONG"/>
  </r>
  <r>
    <x v="3"/>
    <x v="40"/>
    <x v="78"/>
    <n v="4.4000000000000002E-7"/>
    <n v="1.65086742586436E-7"/>
    <n v="0.37519714224190098"/>
    <n v="0"/>
    <x v="3"/>
    <d v="2023-01-13T00:00:00"/>
    <n v="1"/>
    <x v="38"/>
    <n v="1"/>
    <n v="4.4000000000000002E-7"/>
    <n v="1.6508674258643645E-7"/>
    <n v="0"/>
    <x v="5"/>
    <s v="LONG"/>
    <x v="8"/>
    <n v="1.65086742586436E-7"/>
    <n v="0.37519714224190098"/>
    <n v="0"/>
    <n v="0"/>
    <s v="OKEX"/>
    <s v="XRP COIN LONG"/>
  </r>
  <r>
    <x v="14"/>
    <x v="41"/>
    <x v="59"/>
    <n v="7.1361999999999999E-4"/>
    <n v="1.01186928886262"/>
    <n v="1417.9385231112101"/>
    <n v="0"/>
    <x v="3"/>
    <d v="2023-01-13T00:58:02"/>
    <n v="1"/>
    <x v="1"/>
    <n v="1"/>
    <n v="7.1361999999999999E-4"/>
    <n v="1.0118692888626217"/>
    <n v="0"/>
    <x v="5"/>
    <s v="LONG"/>
    <x v="8"/>
    <n v="1.01186928886262"/>
    <n v="1417.9385231112101"/>
    <n v="0"/>
    <n v="0"/>
    <s v="PITX"/>
    <s v="ETH COIN LONG"/>
  </r>
  <r>
    <x v="14"/>
    <x v="41"/>
    <x v="60"/>
    <n v="0.01"/>
    <n v="1.0852199999999999E-2"/>
    <n v="1.0852200000000001"/>
    <n v="0"/>
    <x v="3"/>
    <d v="2023-01-13T00:58:02"/>
    <n v="1"/>
    <x v="24"/>
    <n v="1"/>
    <n v="0.01"/>
    <n v="1.0852200000000001E-2"/>
    <n v="0"/>
    <x v="6"/>
    <s v="LONG"/>
    <x v="9"/>
    <n v="1.0852199999999999E-2"/>
    <n v="1.0852200000000001"/>
    <n v="0"/>
    <n v="0"/>
    <s v="PITX"/>
    <s v="EUR CASH LONG"/>
  </r>
  <r>
    <x v="14"/>
    <x v="41"/>
    <x v="168"/>
    <n v="0.01"/>
    <n v="1.2211649999999999E-2"/>
    <n v="1.2211650000000001"/>
    <n v="0"/>
    <x v="3"/>
    <d v="2023-01-13T00:58:02"/>
    <n v="1"/>
    <x v="127"/>
    <n v="1"/>
    <n v="0.01"/>
    <n v="1.2211650000000001E-2"/>
    <n v="0"/>
    <x v="5"/>
    <s v="LONG"/>
    <x v="8"/>
    <n v="1.2211649999999999E-2"/>
    <n v="1.2211650000000001"/>
    <n v="0"/>
    <n v="0"/>
    <s v="PITX"/>
    <s v="GBP COIN LONG"/>
  </r>
  <r>
    <x v="14"/>
    <x v="41"/>
    <x v="169"/>
    <n v="0.10983253"/>
    <n v="2.6601917850581499E-4"/>
    <n v="2.4220436195525599E-3"/>
    <n v="0"/>
    <x v="3"/>
    <d v="2023-01-13T00:58:02"/>
    <n v="1"/>
    <x v="128"/>
    <n v="1"/>
    <n v="0.10983253"/>
    <n v="2.660191785058151E-4"/>
    <n v="0"/>
    <x v="5"/>
    <s v="LONG"/>
    <x v="8"/>
    <n v="2.6601917850581499E-4"/>
    <n v="2.4220436195525599E-3"/>
    <n v="0"/>
    <n v="0"/>
    <s v="PITX"/>
    <s v="TRY COIN LONG"/>
  </r>
  <r>
    <x v="14"/>
    <x v="41"/>
    <x v="84"/>
    <n v="6.5778299999999998E-3"/>
    <n v="6.5778299999999998E-3"/>
    <n v="1"/>
    <n v="0"/>
    <x v="3"/>
    <d v="2023-01-13T00:58:02"/>
    <n v="1"/>
    <x v="43"/>
    <n v="1"/>
    <n v="6.5778299999999998E-3"/>
    <n v="6.5778299999999998E-3"/>
    <n v="0"/>
    <x v="6"/>
    <s v="LONG"/>
    <x v="9"/>
    <n v="6.5778299999999998E-3"/>
    <n v="1"/>
    <n v="0"/>
    <n v="0"/>
    <s v="PITX"/>
    <s v="USD CASH LONG"/>
  </r>
  <r>
    <x v="14"/>
    <x v="41"/>
    <x v="76"/>
    <n v="9.9996000000000004E-4"/>
    <n v="1.0000520455025401E-3"/>
    <n v="1.00009204918451"/>
    <n v="0"/>
    <x v="3"/>
    <d v="2023-01-13T00:58:02"/>
    <n v="1"/>
    <x v="36"/>
    <n v="1"/>
    <n v="9.9996000000000004E-4"/>
    <n v="1.0000520455025427E-3"/>
    <n v="0"/>
    <x v="5"/>
    <s v="LONG"/>
    <x v="8"/>
    <n v="1.0000520455025401E-3"/>
    <n v="1.00009204918451"/>
    <n v="0"/>
    <n v="0"/>
    <s v="PITX"/>
    <s v="USDT COIN LONG"/>
  </r>
  <r>
    <x v="14"/>
    <x v="41"/>
    <x v="77"/>
    <n v="9.9999999999999995E-8"/>
    <n v="8.1643783905093393E-9"/>
    <n v="8.1643783905093401E-2"/>
    <n v="0"/>
    <x v="3"/>
    <d v="2023-01-13T00:58:02"/>
    <n v="1"/>
    <x v="37"/>
    <n v="1"/>
    <n v="9.9999999999999995E-8"/>
    <n v="8.1643783905093393E-9"/>
    <n v="0"/>
    <x v="5"/>
    <s v="LONG"/>
    <x v="8"/>
    <n v="8.1643783905093393E-9"/>
    <n v="8.1643783905093401E-2"/>
    <n v="0"/>
    <n v="0"/>
    <s v="PITX"/>
    <s v="XLM COIN LONG"/>
  </r>
  <r>
    <x v="15"/>
    <x v="42"/>
    <x v="170"/>
    <n v="3449324.2188823698"/>
    <n v="27668.2027522961"/>
    <n v="8.0213401224605903E-3"/>
    <n v="0"/>
    <x v="3"/>
    <d v="2023-01-13T00:00:00"/>
    <n v="1"/>
    <x v="129"/>
    <n v="1"/>
    <n v="3449324.2188823698"/>
    <n v="27668.202752296187"/>
    <n v="0"/>
    <x v="5"/>
    <s v="LONG"/>
    <x v="8"/>
    <n v="27668.2027522961"/>
    <n v="8.0213401224605903E-3"/>
    <n v="0"/>
    <n v="0"/>
    <s v="SHFT"/>
    <s v="SHFT COIN LONG"/>
  </r>
  <r>
    <x v="16"/>
    <x v="43"/>
    <x v="50"/>
    <n v="130.56228007999999"/>
    <n v="2463656.4406658001"/>
    <n v="18869.5880552655"/>
    <n v="0"/>
    <x v="3"/>
    <d v="2023-01-13T00:00:00"/>
    <n v="1"/>
    <x v="0"/>
    <n v="1"/>
    <n v="130.56228007999999"/>
    <n v="2463656.4406657964"/>
    <n v="0"/>
    <x v="5"/>
    <s v="LONG"/>
    <x v="8"/>
    <n v="2463656.4406658001"/>
    <n v="18869.5880552655"/>
    <n v="0"/>
    <n v="0"/>
    <s v="WOOX"/>
    <s v="BTC COIN LONG"/>
  </r>
  <r>
    <x v="16"/>
    <x v="43"/>
    <x v="59"/>
    <n v="2169.3453886699999"/>
    <n v="3075998.3965288699"/>
    <n v="1417.9385231112101"/>
    <n v="0"/>
    <x v="3"/>
    <d v="2023-01-13T00:00:00"/>
    <n v="1"/>
    <x v="1"/>
    <n v="1"/>
    <n v="2169.3453886699999"/>
    <n v="3075998.3965288536"/>
    <n v="0"/>
    <x v="5"/>
    <s v="LONG"/>
    <x v="8"/>
    <n v="3075998.3965288699"/>
    <n v="1417.9385231112101"/>
    <n v="0"/>
    <n v="0"/>
    <s v="WOOX"/>
    <s v="ETH COIN LONG"/>
  </r>
  <r>
    <x v="16"/>
    <x v="43"/>
    <x v="171"/>
    <n v="1644286.05309931"/>
    <n v="281459.93846142199"/>
    <n v="0.17117455805873899"/>
    <n v="0"/>
    <x v="3"/>
    <d v="2023-01-13T00:00:00"/>
    <n v="1"/>
    <x v="130"/>
    <n v="1"/>
    <n v="1644286.05309931"/>
    <n v="281459.93846142263"/>
    <n v="0"/>
    <x v="5"/>
    <s v="LONG"/>
    <x v="8"/>
    <n v="281459.93846142199"/>
    <n v="0.17117455805873899"/>
    <n v="0"/>
    <n v="0"/>
    <s v="WOOX"/>
    <s v="WOO COIN LONG"/>
  </r>
  <r>
    <x v="17"/>
    <x v="44"/>
    <x v="42"/>
    <n v="1.34894162"/>
    <n v="91.5407114475789"/>
    <n v="67.861136531304297"/>
    <n v="0"/>
    <x v="3"/>
    <d v="2023-01-12T23:35:39"/>
    <n v="1"/>
    <x v="12"/>
    <n v="1"/>
    <n v="1.34894162"/>
    <n v="91.540711447578801"/>
    <n v="0"/>
    <x v="5"/>
    <s v="LONG"/>
    <x v="8"/>
    <n v="91.5407114475789"/>
    <n v="67.861136531304297"/>
    <n v="0"/>
    <n v="0"/>
    <s v="FBLK"/>
    <s v="AAVE COIN LONG"/>
  </r>
  <r>
    <x v="17"/>
    <x v="44"/>
    <x v="43"/>
    <n v="559"/>
    <n v="184.33498738154699"/>
    <n v="0.329758474743375"/>
    <n v="0"/>
    <x v="3"/>
    <d v="2023-01-12T23:35:39"/>
    <n v="1"/>
    <x v="13"/>
    <n v="1"/>
    <n v="559"/>
    <n v="184.33498738154663"/>
    <n v="0"/>
    <x v="5"/>
    <s v="LONG"/>
    <x v="8"/>
    <n v="184.33498738154699"/>
    <n v="0.329758474743375"/>
    <n v="0"/>
    <n v="0"/>
    <s v="FBLK"/>
    <s v="ADA COIN LONG"/>
  </r>
  <r>
    <x v="17"/>
    <x v="44"/>
    <x v="44"/>
    <n v="116.66666600000001"/>
    <n v="24.794757208932801"/>
    <n v="0.21252649157671899"/>
    <n v="0"/>
    <x v="3"/>
    <d v="2023-01-12T23:35:39"/>
    <n v="1"/>
    <x v="14"/>
    <n v="1"/>
    <n v="116.66666600000001"/>
    <n v="24.794757208932889"/>
    <n v="0"/>
    <x v="5"/>
    <s v="LONG"/>
    <x v="8"/>
    <n v="24.794757208932801"/>
    <n v="0.21252649157671899"/>
    <n v="0"/>
    <n v="0"/>
    <s v="FBLK"/>
    <s v="ALGO COIN LONG"/>
  </r>
  <r>
    <x v="17"/>
    <x v="44"/>
    <x v="46"/>
    <n v="170.43333855999899"/>
    <n v="2634.4478100657702"/>
    <n v="15.4573502597811"/>
    <n v="0"/>
    <x v="3"/>
    <d v="2023-01-12T23:35:39"/>
    <n v="1"/>
    <x v="15"/>
    <n v="1"/>
    <n v="170.43333855999899"/>
    <n v="2634.4478100657602"/>
    <n v="0"/>
    <x v="5"/>
    <s v="LONG"/>
    <x v="8"/>
    <n v="2634.4478100657702"/>
    <n v="15.4573502597811"/>
    <n v="0"/>
    <n v="0"/>
    <s v="FBLK"/>
    <s v="AVAX COIN LONG"/>
  </r>
  <r>
    <x v="17"/>
    <x v="44"/>
    <x v="47"/>
    <n v="333.33333333000002"/>
    <n v="68.258005063265003"/>
    <n v="0.20477401519184199"/>
    <n v="0"/>
    <x v="3"/>
    <d v="2023-01-12T23:35:39"/>
    <n v="1"/>
    <x v="16"/>
    <n v="1"/>
    <n v="333.33333333000002"/>
    <n v="68.258005063264747"/>
    <n v="0"/>
    <x v="5"/>
    <s v="LONG"/>
    <x v="8"/>
    <n v="68.258005063265003"/>
    <n v="0.20477401519184199"/>
    <n v="0"/>
    <n v="0"/>
    <s v="FBLK"/>
    <s v="BAT COIN LONG"/>
  </r>
  <r>
    <x v="17"/>
    <x v="44"/>
    <x v="48"/>
    <n v="5171.2119944799997"/>
    <n v="619048.19835457695"/>
    <n v="119.710466137412"/>
    <n v="0"/>
    <x v="3"/>
    <d v="2023-01-12T23:35:39"/>
    <n v="1"/>
    <x v="3"/>
    <n v="1"/>
    <n v="5171.2119944799997"/>
    <n v="619048.19835457671"/>
    <n v="0"/>
    <x v="5"/>
    <s v="LONG"/>
    <x v="8"/>
    <n v="619048.19835457695"/>
    <n v="119.710466137412"/>
    <n v="0"/>
    <n v="0"/>
    <s v="FBLK"/>
    <s v="BCH COIN LONG"/>
  </r>
  <r>
    <x v="17"/>
    <x v="44"/>
    <x v="49"/>
    <n v="1.7652E-4"/>
    <n v="5.0804633608003198E-2"/>
    <n v="287.81233632451398"/>
    <n v="0"/>
    <x v="3"/>
    <d v="2023-01-12T23:35:39"/>
    <n v="1"/>
    <x v="17"/>
    <n v="1"/>
    <n v="1.7652E-4"/>
    <n v="5.0804633608003205E-2"/>
    <n v="0"/>
    <x v="5"/>
    <s v="LONG"/>
    <x v="8"/>
    <n v="5.0804633608003198E-2"/>
    <n v="287.81233632451398"/>
    <n v="0"/>
    <n v="0"/>
    <s v="FBLK"/>
    <s v="BNB COIN LONG"/>
  </r>
  <r>
    <x v="17"/>
    <x v="44"/>
    <x v="50"/>
    <n v="135.14263080000001"/>
    <n v="2550085.7719008401"/>
    <n v="18869.5880552655"/>
    <n v="0"/>
    <x v="3"/>
    <d v="2023-01-12T23:35:39"/>
    <n v="1"/>
    <x v="0"/>
    <n v="1"/>
    <n v="135.14263080000001"/>
    <n v="2550085.7719008354"/>
    <n v="0"/>
    <x v="5"/>
    <s v="LONG"/>
    <x v="8"/>
    <n v="2550085.7719008401"/>
    <n v="18869.5880552655"/>
    <n v="0"/>
    <n v="0"/>
    <s v="FBLK"/>
    <s v="BTC COIN LONG"/>
  </r>
  <r>
    <x v="17"/>
    <x v="44"/>
    <x v="52"/>
    <n v="2921.9333411799998"/>
    <n v="110175.64054287699"/>
    <n v="37.706418209521303"/>
    <n v="0"/>
    <x v="3"/>
    <d v="2023-01-12T23:35:39"/>
    <n v="1"/>
    <x v="8"/>
    <n v="1"/>
    <n v="2921.9333411799998"/>
    <n v="110175.64054287696"/>
    <n v="0"/>
    <x v="5"/>
    <s v="LONG"/>
    <x v="8"/>
    <n v="110175.64054287699"/>
    <n v="37.706418209521303"/>
    <n v="0"/>
    <n v="0"/>
    <s v="FBLK"/>
    <s v="COMP COIN LONG"/>
  </r>
  <r>
    <x v="17"/>
    <x v="44"/>
    <x v="54"/>
    <n v="2.9907231299999899"/>
    <n v="147.61158764267699"/>
    <n v="49.356487119112799"/>
    <n v="0"/>
    <x v="3"/>
    <d v="2023-01-12T23:35:39"/>
    <n v="1"/>
    <x v="20"/>
    <n v="1"/>
    <n v="2.9907231299999899"/>
    <n v="147.61158764267722"/>
    <n v="0"/>
    <x v="5"/>
    <s v="LONG"/>
    <x v="8"/>
    <n v="147.61158764267699"/>
    <n v="49.356487119112799"/>
    <n v="0"/>
    <n v="0"/>
    <s v="FBLK"/>
    <s v="DASH COIN LONG"/>
  </r>
  <r>
    <x v="17"/>
    <x v="44"/>
    <x v="55"/>
    <n v="2000"/>
    <n v="160.571472005229"/>
    <n v="8.0285736002614697E-2"/>
    <n v="0"/>
    <x v="3"/>
    <d v="2023-01-12T23:35:39"/>
    <n v="1"/>
    <x v="21"/>
    <n v="1"/>
    <n v="2000"/>
    <n v="160.5714720052294"/>
    <n v="0"/>
    <x v="5"/>
    <s v="LONG"/>
    <x v="8"/>
    <n v="160.571472005229"/>
    <n v="8.0285736002614697E-2"/>
    <n v="0"/>
    <n v="0"/>
    <s v="FBLK"/>
    <s v="DOGE COIN LONG"/>
  </r>
  <r>
    <x v="17"/>
    <x v="44"/>
    <x v="56"/>
    <n v="322.31185354000002"/>
    <n v="1685.5227275894799"/>
    <n v="5.2294779390740098"/>
    <n v="0"/>
    <x v="3"/>
    <d v="2023-01-12T23:35:39"/>
    <n v="1"/>
    <x v="22"/>
    <n v="1"/>
    <n v="322.31185354000002"/>
    <n v="1685.5227275894833"/>
    <n v="0"/>
    <x v="5"/>
    <s v="LONG"/>
    <x v="8"/>
    <n v="1685.5227275894799"/>
    <n v="5.2294779390740098"/>
    <n v="0"/>
    <n v="0"/>
    <s v="FBLK"/>
    <s v="DOT COIN LONG"/>
  </r>
  <r>
    <x v="17"/>
    <x v="44"/>
    <x v="57"/>
    <n v="516.67744242000003"/>
    <n v="157.11964629923699"/>
    <n v="0.304096198903759"/>
    <n v="0"/>
    <x v="3"/>
    <d v="2023-01-12T23:35:39"/>
    <n v="1"/>
    <x v="23"/>
    <n v="1"/>
    <n v="516.67744242000003"/>
    <n v="157.11964629923781"/>
    <n v="0"/>
    <x v="5"/>
    <s v="LONG"/>
    <x v="8"/>
    <n v="157.11964629923699"/>
    <n v="0.304096198903759"/>
    <n v="0"/>
    <n v="0"/>
    <s v="FBLK"/>
    <s v="ENJ COIN LONG"/>
  </r>
  <r>
    <x v="17"/>
    <x v="44"/>
    <x v="58"/>
    <n v="186334.70740000001"/>
    <n v="184516.542170873"/>
    <n v="0.990242476806942"/>
    <n v="0"/>
    <x v="3"/>
    <d v="2023-01-12T23:35:39"/>
    <n v="1"/>
    <x v="4"/>
    <n v="1"/>
    <n v="186334.70740000001"/>
    <n v="184516.54217087282"/>
    <n v="0"/>
    <x v="5"/>
    <s v="LONG"/>
    <x v="8"/>
    <n v="184516.542170873"/>
    <n v="0.990242476806942"/>
    <n v="0"/>
    <n v="0"/>
    <s v="FBLK"/>
    <s v="EOS COIN LONG"/>
  </r>
  <r>
    <x v="17"/>
    <x v="44"/>
    <x v="82"/>
    <n v="98844.463872979904"/>
    <n v="2067604.59645753"/>
    <n v="20.917758217744002"/>
    <n v="0"/>
    <x v="3"/>
    <d v="2023-01-12T23:35:39"/>
    <n v="1"/>
    <x v="41"/>
    <n v="1"/>
    <n v="98844.463872979904"/>
    <n v="2067604.5964575254"/>
    <n v="0"/>
    <x v="5"/>
    <s v="LONG"/>
    <x v="8"/>
    <n v="2067604.59645753"/>
    <n v="20.917758217744002"/>
    <n v="0"/>
    <n v="0"/>
    <s v="FBLK"/>
    <s v="ETC COIN LONG"/>
  </r>
  <r>
    <x v="17"/>
    <x v="44"/>
    <x v="59"/>
    <n v="1175.8957334300001"/>
    <n v="1667347.8595925099"/>
    <n v="1417.9385231112101"/>
    <n v="0"/>
    <x v="3"/>
    <d v="2023-01-12T23:35:39"/>
    <n v="1"/>
    <x v="1"/>
    <n v="1"/>
    <n v="1175.8957334300001"/>
    <n v="1667347.8595925076"/>
    <n v="0"/>
    <x v="5"/>
    <s v="LONG"/>
    <x v="8"/>
    <n v="1667347.8595925099"/>
    <n v="1417.9385231112101"/>
    <n v="0"/>
    <n v="0"/>
    <s v="FBLK"/>
    <s v="ETH COIN LONG"/>
  </r>
  <r>
    <x v="17"/>
    <x v="44"/>
    <x v="83"/>
    <n v="1268.1820227400001"/>
    <n v="4355.0555290931297"/>
    <n v="3.43409341167265"/>
    <n v="0"/>
    <x v="3"/>
    <d v="2023-01-12T23:35:39"/>
    <n v="1"/>
    <x v="42"/>
    <n v="1"/>
    <n v="1268.1820227400001"/>
    <n v="4355.0555290931288"/>
    <n v="0"/>
    <x v="5"/>
    <s v="LONG"/>
    <x v="8"/>
    <n v="4355.0555290931297"/>
    <n v="3.43409341167265"/>
    <n v="0"/>
    <n v="0"/>
    <s v="FBLK"/>
    <s v="ETHW COIN LONG"/>
  </r>
  <r>
    <x v="17"/>
    <x v="44"/>
    <x v="139"/>
    <n v="235746.127034"/>
    <n v="255681.53062948701"/>
    <n v="1.0845630163527999"/>
    <n v="0"/>
    <x v="3"/>
    <d v="2023-01-12T23:35:39"/>
    <n v="1"/>
    <x v="98"/>
    <n v="1"/>
    <n v="235746.127034"/>
    <n v="255681.53062948541"/>
    <n v="0"/>
    <x v="5"/>
    <s v="LONG"/>
    <x v="8"/>
    <n v="255681.53062948701"/>
    <n v="1.0845630163527999"/>
    <n v="0"/>
    <n v="0"/>
    <s v="FBLK"/>
    <s v="EUROC COIN LONG"/>
  </r>
  <r>
    <x v="17"/>
    <x v="44"/>
    <x v="62"/>
    <n v="3173.41253207"/>
    <n v="867.75962667556405"/>
    <n v="0.27344683929559199"/>
    <n v="0"/>
    <x v="3"/>
    <d v="2023-01-12T23:35:39"/>
    <n v="1"/>
    <x v="26"/>
    <n v="1"/>
    <n v="3173.41253207"/>
    <n v="867.75962667556291"/>
    <n v="0"/>
    <x v="5"/>
    <s v="LONG"/>
    <x v="8"/>
    <n v="867.75962667556405"/>
    <n v="0.27344683929559199"/>
    <n v="0"/>
    <n v="0"/>
    <s v="FBLK"/>
    <s v="FTM COIN LONG"/>
  </r>
  <r>
    <x v="17"/>
    <x v="44"/>
    <x v="140"/>
    <n v="2.53888889"/>
    <n v="3.5057257739339498"/>
    <n v="1.3808110263281099"/>
    <n v="0"/>
    <x v="3"/>
    <d v="2023-01-12T23:35:39"/>
    <n v="1"/>
    <x v="99"/>
    <n v="1"/>
    <n v="2.53888889"/>
    <n v="3.5057257739339356"/>
    <n v="0"/>
    <x v="5"/>
    <s v="LONG"/>
    <x v="8"/>
    <n v="3.5057257739339498"/>
    <n v="1.3808110263281099"/>
    <n v="0"/>
    <n v="0"/>
    <s v="FBLK"/>
    <s v="FTT COIN LONG"/>
  </r>
  <r>
    <x v="17"/>
    <x v="44"/>
    <x v="63"/>
    <n v="8497.41400307"/>
    <n v="624.57656973889596"/>
    <n v="7.3501958303225604E-2"/>
    <n v="0"/>
    <x v="3"/>
    <d v="2023-01-12T23:35:39"/>
    <n v="1"/>
    <x v="27"/>
    <n v="1"/>
    <n v="8497.41400307"/>
    <n v="624.57656973889652"/>
    <n v="0"/>
    <x v="5"/>
    <s v="LONG"/>
    <x v="8"/>
    <n v="624.57656973889596"/>
    <n v="7.3501958303225604E-2"/>
    <n v="0"/>
    <n v="0"/>
    <s v="FBLK"/>
    <s v="GRT COIN LONG"/>
  </r>
  <r>
    <x v="17"/>
    <x v="44"/>
    <x v="64"/>
    <n v="255118.81084801001"/>
    <n v="12155.808431128"/>
    <n v="4.7647636764699498E-2"/>
    <n v="0"/>
    <x v="3"/>
    <d v="2023-01-12T23:35:39"/>
    <n v="1"/>
    <x v="28"/>
    <n v="1"/>
    <n v="255118.81084801001"/>
    <n v="12155.808431128058"/>
    <n v="0"/>
    <x v="5"/>
    <s v="LONG"/>
    <x v="8"/>
    <n v="12155.808431128"/>
    <n v="4.7647636764699498E-2"/>
    <n v="0"/>
    <n v="0"/>
    <s v="FBLK"/>
    <s v="HBAR COIN LONG"/>
  </r>
  <r>
    <x v="17"/>
    <x v="44"/>
    <x v="147"/>
    <n v="9.2269799999999992E-3"/>
    <n v="0.26137888695302802"/>
    <n v="28.327674597000101"/>
    <n v="0"/>
    <x v="3"/>
    <d v="2023-01-12T23:35:39"/>
    <n v="1"/>
    <x v="106"/>
    <n v="1"/>
    <n v="9.2269799999999992E-3"/>
    <n v="0.26137888695302797"/>
    <n v="0"/>
    <x v="5"/>
    <s v="LONG"/>
    <x v="8"/>
    <n v="0.26137888695302802"/>
    <n v="28.327674597000101"/>
    <n v="0"/>
    <n v="0"/>
    <s v="FBLK"/>
    <s v="KSM COIN LONG"/>
  </r>
  <r>
    <x v="17"/>
    <x v="44"/>
    <x v="65"/>
    <n v="23.333333329999999"/>
    <n v="148.89773620227899"/>
    <n v="6.38133155243787"/>
    <n v="0"/>
    <x v="3"/>
    <d v="2023-01-12T23:35:39"/>
    <n v="1"/>
    <x v="9"/>
    <n v="1"/>
    <n v="23.333333329999999"/>
    <n v="148.89773620227919"/>
    <n v="0"/>
    <x v="5"/>
    <s v="LONG"/>
    <x v="8"/>
    <n v="148.89773620227899"/>
    <n v="6.38133155243787"/>
    <n v="0"/>
    <n v="0"/>
    <s v="FBLK"/>
    <s v="LINK COIN LONG"/>
  </r>
  <r>
    <x v="17"/>
    <x v="44"/>
    <x v="66"/>
    <n v="1.6666666699999999"/>
    <n v="143.27371603780699"/>
    <n v="85.964229450756093"/>
    <n v="0"/>
    <x v="3"/>
    <d v="2023-01-12T23:35:39"/>
    <n v="1"/>
    <x v="5"/>
    <n v="1"/>
    <n v="1.6666666699999999"/>
    <n v="143.27371603780759"/>
    <n v="0"/>
    <x v="5"/>
    <s v="LONG"/>
    <x v="8"/>
    <n v="143.27371603780699"/>
    <n v="85.964229450756093"/>
    <n v="0"/>
    <n v="0"/>
    <s v="FBLK"/>
    <s v="LTC COIN LONG"/>
  </r>
  <r>
    <x v="17"/>
    <x v="44"/>
    <x v="67"/>
    <n v="150.97894937000001"/>
    <n v="62.271625276872697"/>
    <n v="0.41245236860315698"/>
    <n v="0"/>
    <x v="3"/>
    <d v="2023-01-12T23:35:39"/>
    <n v="1"/>
    <x v="29"/>
    <n v="1"/>
    <n v="150.97894937000001"/>
    <n v="62.271625276872619"/>
    <n v="0"/>
    <x v="5"/>
    <s v="LONG"/>
    <x v="8"/>
    <n v="62.271625276872697"/>
    <n v="0.41245236860315698"/>
    <n v="0"/>
    <n v="0"/>
    <s v="FBLK"/>
    <s v="MANA COIN LONG"/>
  </r>
  <r>
    <x v="17"/>
    <x v="44"/>
    <x v="68"/>
    <n v="2464.7238741799902"/>
    <n v="2258.3996558272402"/>
    <n v="0.91628911436523497"/>
    <n v="0"/>
    <x v="3"/>
    <d v="2023-01-12T23:35:39"/>
    <n v="1"/>
    <x v="30"/>
    <n v="1"/>
    <n v="2464.7238741799902"/>
    <n v="2258.3996558272338"/>
    <n v="0"/>
    <x v="5"/>
    <s v="LONG"/>
    <x v="8"/>
    <n v="2258.3996558272402"/>
    <n v="0.91628911436523497"/>
    <n v="0"/>
    <n v="0"/>
    <s v="FBLK"/>
    <s v="MATIC COIN LONG"/>
  </r>
  <r>
    <x v="17"/>
    <x v="44"/>
    <x v="69"/>
    <n v="3.27084449"/>
    <n v="2134.4735182886802"/>
    <n v="652.57566503526505"/>
    <n v="0"/>
    <x v="3"/>
    <d v="2023-01-12T23:35:39"/>
    <n v="1"/>
    <x v="31"/>
    <n v="1"/>
    <n v="3.27084449"/>
    <n v="2134.4735182886825"/>
    <n v="0"/>
    <x v="5"/>
    <s v="LONG"/>
    <x v="8"/>
    <n v="2134.4735182886802"/>
    <n v="652.57566503526505"/>
    <n v="0"/>
    <n v="0"/>
    <s v="FBLK"/>
    <s v="MKR COIN LONG"/>
  </r>
  <r>
    <x v="17"/>
    <x v="44"/>
    <x v="70"/>
    <n v="204.55099999999999"/>
    <n v="247.97144936939401"/>
    <n v="1.21227199754288"/>
    <n v="0"/>
    <x v="3"/>
    <d v="2023-01-12T23:35:39"/>
    <n v="1"/>
    <x v="6"/>
    <n v="1"/>
    <n v="204.55099999999999"/>
    <n v="247.97144936939361"/>
    <n v="0"/>
    <x v="5"/>
    <s v="LONG"/>
    <x v="8"/>
    <n v="247.97144936939401"/>
    <n v="1.21227199754288"/>
    <n v="0"/>
    <n v="0"/>
    <s v="FBLK"/>
    <s v="OMG COIN LONG"/>
  </r>
  <r>
    <x v="17"/>
    <x v="44"/>
    <x v="71"/>
    <n v="837715.31955742999"/>
    <n v="61420.727562620697"/>
    <n v="7.3319331912265404E-2"/>
    <n v="0"/>
    <x v="3"/>
    <d v="2023-01-12T23:35:39"/>
    <n v="1"/>
    <x v="32"/>
    <n v="1"/>
    <n v="837715.31955742999"/>
    <n v="61420.72756262069"/>
    <n v="0"/>
    <x v="5"/>
    <s v="LONG"/>
    <x v="8"/>
    <n v="61420.727562620697"/>
    <n v="7.3319331912265404E-2"/>
    <n v="0"/>
    <n v="0"/>
    <s v="FBLK"/>
    <s v="OXT COIN LONG"/>
  </r>
  <r>
    <x v="17"/>
    <x v="44"/>
    <x v="72"/>
    <n v="1682891321.7256501"/>
    <n v="15939.308828626001"/>
    <n v="9.4713833405960602E-6"/>
    <n v="0"/>
    <x v="3"/>
    <d v="2023-01-12T23:35:39"/>
    <n v="1"/>
    <x v="11"/>
    <n v="1"/>
    <n v="1682891321.7256501"/>
    <n v="15939.308828626006"/>
    <n v="0"/>
    <x v="5"/>
    <s v="LONG"/>
    <x v="8"/>
    <n v="15939.308828626001"/>
    <n v="9.4713833405960602E-6"/>
    <n v="0"/>
    <n v="0"/>
    <s v="FBLK"/>
    <s v="SHIB COIN LONG"/>
  </r>
  <r>
    <x v="17"/>
    <x v="44"/>
    <x v="73"/>
    <n v="11.66666667"/>
    <n v="193.888849012995"/>
    <n v="16.6190441963655"/>
    <n v="0"/>
    <x v="3"/>
    <d v="2023-01-12T23:35:39"/>
    <n v="1"/>
    <x v="33"/>
    <n v="1"/>
    <n v="11.66666667"/>
    <n v="193.88884901299431"/>
    <n v="0"/>
    <x v="5"/>
    <s v="LONG"/>
    <x v="8"/>
    <n v="193.888849012995"/>
    <n v="16.6190441963655"/>
    <n v="0"/>
    <n v="0"/>
    <s v="FBLK"/>
    <s v="SOL COIN LONG"/>
  </r>
  <r>
    <x v="17"/>
    <x v="44"/>
    <x v="74"/>
    <n v="719.80145141000003"/>
    <n v="818.91061212288105"/>
    <n v="1.1376895816460699"/>
    <n v="0"/>
    <x v="3"/>
    <d v="2023-01-12T23:35:39"/>
    <n v="1"/>
    <x v="34"/>
    <n v="1"/>
    <n v="719.80145141000003"/>
    <n v="818.91061212287684"/>
    <n v="0"/>
    <x v="5"/>
    <s v="LONG"/>
    <x v="8"/>
    <n v="818.91061212288105"/>
    <n v="1.1376895816460699"/>
    <n v="0"/>
    <n v="0"/>
    <s v="FBLK"/>
    <s v="SUSHI COIN LONG"/>
  </r>
  <r>
    <x v="17"/>
    <x v="44"/>
    <x v="75"/>
    <n v="308.31158293999999"/>
    <n v="1903.3249551695501"/>
    <n v="6.1733812820777398"/>
    <n v="0"/>
    <x v="3"/>
    <d v="2023-01-12T23:35:39"/>
    <n v="1"/>
    <x v="35"/>
    <n v="1"/>
    <n v="308.31158293999999"/>
    <n v="1903.3249551695546"/>
    <n v="0"/>
    <x v="5"/>
    <s v="LONG"/>
    <x v="8"/>
    <n v="1903.3249551695501"/>
    <n v="6.1733812820777398"/>
    <n v="0"/>
    <n v="0"/>
    <s v="FBLK"/>
    <s v="UNI COIN LONG"/>
  </r>
  <r>
    <x v="17"/>
    <x v="44"/>
    <x v="88"/>
    <n v="18401408.683667999"/>
    <n v="18402736.3384481"/>
    <n v="1.0000721496274001"/>
    <n v="0"/>
    <x v="3"/>
    <d v="2023-01-12T23:35:39"/>
    <n v="1"/>
    <x v="47"/>
    <n v="1"/>
    <n v="18401408.683667999"/>
    <n v="18402736.338448163"/>
    <n v="0"/>
    <x v="5"/>
    <s v="LONG"/>
    <x v="8"/>
    <n v="18402736.3384481"/>
    <n v="1.0000721496274001"/>
    <n v="0"/>
    <n v="0"/>
    <s v="FBLK"/>
    <s v="USDC COIN LONG"/>
  </r>
  <r>
    <x v="17"/>
    <x v="44"/>
    <x v="76"/>
    <n v="1579950.0448429999"/>
    <n v="1580095.4779562"/>
    <n v="1.00009204918451"/>
    <n v="0"/>
    <x v="3"/>
    <d v="2023-01-12T23:35:39"/>
    <n v="1"/>
    <x v="36"/>
    <n v="1"/>
    <n v="1579950.0448429999"/>
    <n v="1580095.4779561942"/>
    <n v="0"/>
    <x v="5"/>
    <s v="LONG"/>
    <x v="8"/>
    <n v="1580095.4779562"/>
    <n v="1.00009204918451"/>
    <n v="0"/>
    <n v="0"/>
    <s v="FBLK"/>
    <s v="USDT COIN LONG"/>
  </r>
  <r>
    <x v="17"/>
    <x v="44"/>
    <x v="77"/>
    <n v="25070.457326"/>
    <n v="2046.8470003258101"/>
    <n v="8.1643783905093401E-2"/>
    <n v="0"/>
    <x v="3"/>
    <d v="2023-01-12T23:35:39"/>
    <n v="1"/>
    <x v="37"/>
    <n v="1"/>
    <n v="25070.457326"/>
    <n v="2046.8470003258096"/>
    <n v="0"/>
    <x v="5"/>
    <s v="LONG"/>
    <x v="8"/>
    <n v="2046.8470003258101"/>
    <n v="8.1643783905093401E-2"/>
    <n v="0"/>
    <n v="0"/>
    <s v="FBLK"/>
    <s v="XLM COIN LONG"/>
  </r>
  <r>
    <x v="17"/>
    <x v="44"/>
    <x v="78"/>
    <n v="283.58991600000002"/>
    <n v="106.40212605182001"/>
    <n v="0.37519714224190098"/>
    <n v="0"/>
    <x v="3"/>
    <d v="2023-01-12T23:35:39"/>
    <n v="1"/>
    <x v="38"/>
    <n v="1"/>
    <n v="283.58991600000002"/>
    <n v="106.40212605182076"/>
    <n v="0"/>
    <x v="5"/>
    <s v="LONG"/>
    <x v="8"/>
    <n v="106.40212605182001"/>
    <n v="0.37519714224190098"/>
    <n v="0"/>
    <n v="0"/>
    <s v="FBLK"/>
    <s v="XRP COIN LONG"/>
  </r>
  <r>
    <x v="17"/>
    <x v="44"/>
    <x v="79"/>
    <n v="599.81476599999996"/>
    <n v="533.37318976092899"/>
    <n v="0.88922984226922097"/>
    <n v="0"/>
    <x v="3"/>
    <d v="2023-01-12T23:35:39"/>
    <n v="1"/>
    <x v="39"/>
    <n v="1"/>
    <n v="599.81476599999996"/>
    <n v="533.37318976092911"/>
    <n v="0"/>
    <x v="5"/>
    <s v="LONG"/>
    <x v="8"/>
    <n v="533.37318976092899"/>
    <n v="0.88922984226922097"/>
    <n v="0"/>
    <n v="0"/>
    <s v="FBLK"/>
    <s v="XTZ COIN LONG"/>
  </r>
  <r>
    <x v="17"/>
    <x v="44"/>
    <x v="80"/>
    <n v="3.444444E-2"/>
    <n v="214.737571186076"/>
    <n v="6234.31738724961"/>
    <n v="0"/>
    <x v="3"/>
    <d v="2023-01-12T23:35:39"/>
    <n v="1"/>
    <x v="40"/>
    <n v="1"/>
    <n v="3.444444E-2"/>
    <n v="214.73757118607597"/>
    <n v="0"/>
    <x v="5"/>
    <s v="LONG"/>
    <x v="8"/>
    <n v="214.737571186076"/>
    <n v="6234.31738724961"/>
    <n v="0"/>
    <n v="0"/>
    <s v="FBLK"/>
    <s v="YFI COIN LONG"/>
  </r>
  <r>
    <x v="0"/>
    <x v="45"/>
    <x v="42"/>
    <n v="-900"/>
    <n v="-61075.022878173899"/>
    <n v="67.861136531304297"/>
    <n v="0"/>
    <x v="5"/>
    <d v="2023-01-13T00:00:00"/>
    <n v="1"/>
    <x v="12"/>
    <n v="1"/>
    <n v="-900"/>
    <n v="-61075.02287817387"/>
    <n v="0"/>
    <x v="5"/>
    <s v="SHORT"/>
    <x v="10"/>
    <n v="-61075.022878173899"/>
    <n v="67.861136531304297"/>
    <n v="0"/>
    <n v="0"/>
    <s v="BINE"/>
    <s v="AAVE COIN SHORT"/>
  </r>
  <r>
    <x v="0"/>
    <x v="45"/>
    <x v="43"/>
    <n v="-450000"/>
    <n v="-148391.313634519"/>
    <n v="0.329758474743375"/>
    <n v="0"/>
    <x v="5"/>
    <d v="2023-01-13T00:00:00"/>
    <n v="1"/>
    <x v="13"/>
    <n v="1"/>
    <n v="-450000"/>
    <n v="-148391.31363451874"/>
    <n v="0"/>
    <x v="5"/>
    <s v="SHORT"/>
    <x v="10"/>
    <n v="-148391.313634519"/>
    <n v="0.329758474743375"/>
    <n v="0"/>
    <n v="0"/>
    <s v="BINE"/>
    <s v="ADA COIN SHORT"/>
  </r>
  <r>
    <x v="0"/>
    <x v="45"/>
    <x v="44"/>
    <n v="-244800"/>
    <n v="-52026.485137980802"/>
    <n v="0.21252649157671899"/>
    <n v="0"/>
    <x v="5"/>
    <d v="2023-01-13T00:00:00"/>
    <n v="1"/>
    <x v="14"/>
    <n v="1"/>
    <n v="-244800"/>
    <n v="-52026.48513798081"/>
    <n v="0"/>
    <x v="5"/>
    <s v="SHORT"/>
    <x v="10"/>
    <n v="-52026.485137980802"/>
    <n v="0.21252649157671899"/>
    <n v="0"/>
    <n v="0"/>
    <s v="BINE"/>
    <s v="ALGO COIN SHORT"/>
  </r>
  <r>
    <x v="0"/>
    <x v="45"/>
    <x v="46"/>
    <n v="-6000"/>
    <n v="-92744.101558686598"/>
    <n v="15.4573502597811"/>
    <n v="0"/>
    <x v="5"/>
    <d v="2023-01-13T00:00:00"/>
    <n v="1"/>
    <x v="15"/>
    <n v="1"/>
    <n v="-6000"/>
    <n v="-92744.101558686598"/>
    <n v="0"/>
    <x v="5"/>
    <s v="SHORT"/>
    <x v="10"/>
    <n v="-92744.101558686598"/>
    <n v="15.4573502597811"/>
    <n v="0"/>
    <n v="0"/>
    <s v="BINE"/>
    <s v="AVAX COIN SHORT"/>
  </r>
  <r>
    <x v="0"/>
    <x v="45"/>
    <x v="47"/>
    <n v="-200000"/>
    <n v="-40954.803038368504"/>
    <n v="0.20477401519184199"/>
    <n v="0"/>
    <x v="5"/>
    <d v="2023-01-13T00:00:00"/>
    <n v="1"/>
    <x v="16"/>
    <n v="1"/>
    <n v="-200000"/>
    <n v="-40954.803038368394"/>
    <n v="0"/>
    <x v="5"/>
    <s v="SHORT"/>
    <x v="10"/>
    <n v="-40954.803038368504"/>
    <n v="0.20477401519184199"/>
    <n v="0"/>
    <n v="0"/>
    <s v="BINE"/>
    <s v="BAT COIN SHORT"/>
  </r>
  <r>
    <x v="0"/>
    <x v="45"/>
    <x v="48"/>
    <n v="-90"/>
    <n v="-10773.941952367"/>
    <n v="119.710466137412"/>
    <n v="0"/>
    <x v="5"/>
    <d v="2023-01-13T00:00:00"/>
    <n v="1"/>
    <x v="3"/>
    <n v="1"/>
    <n v="-90"/>
    <n v="-10773.94195236708"/>
    <n v="0"/>
    <x v="5"/>
    <s v="SHORT"/>
    <x v="10"/>
    <n v="-10773.941952367"/>
    <n v="119.710466137412"/>
    <n v="0"/>
    <n v="0"/>
    <s v="BINE"/>
    <s v="BCH COIN SHORT"/>
  </r>
  <r>
    <x v="0"/>
    <x v="45"/>
    <x v="52"/>
    <n v="-4800"/>
    <n v="-180990.80740570201"/>
    <n v="37.706418209521303"/>
    <n v="0"/>
    <x v="5"/>
    <d v="2023-01-13T00:00:00"/>
    <n v="1"/>
    <x v="8"/>
    <n v="1"/>
    <n v="-4800"/>
    <n v="-180990.80740570225"/>
    <n v="0"/>
    <x v="5"/>
    <s v="SHORT"/>
    <x v="10"/>
    <n v="-180990.80740570201"/>
    <n v="37.706418209521303"/>
    <n v="0"/>
    <n v="0"/>
    <s v="BINE"/>
    <s v="COMP COIN SHORT"/>
  </r>
  <r>
    <x v="0"/>
    <x v="45"/>
    <x v="54"/>
    <n v="-1000"/>
    <n v="-49356.487119112797"/>
    <n v="49.356487119112799"/>
    <n v="0"/>
    <x v="5"/>
    <d v="2023-01-13T00:00:00"/>
    <n v="1"/>
    <x v="20"/>
    <n v="1"/>
    <n v="-1000"/>
    <n v="-49356.487119112797"/>
    <n v="0"/>
    <x v="5"/>
    <s v="SHORT"/>
    <x v="10"/>
    <n v="-49356.487119112797"/>
    <n v="49.356487119112799"/>
    <n v="0"/>
    <n v="0"/>
    <s v="BINE"/>
    <s v="DASH COIN SHORT"/>
  </r>
  <r>
    <x v="0"/>
    <x v="45"/>
    <x v="55"/>
    <n v="-1100000"/>
    <n v="-88314.309602876194"/>
    <n v="8.0285736002614697E-2"/>
    <n v="0"/>
    <x v="5"/>
    <d v="2023-01-13T00:00:00"/>
    <n v="1"/>
    <x v="21"/>
    <n v="1"/>
    <n v="-1100000"/>
    <n v="-88314.309602876165"/>
    <n v="0"/>
    <x v="5"/>
    <s v="SHORT"/>
    <x v="10"/>
    <n v="-88314.309602876194"/>
    <n v="8.0285736002614697E-2"/>
    <n v="0"/>
    <n v="0"/>
    <s v="BINE"/>
    <s v="DOGE COIN SHORT"/>
  </r>
  <r>
    <x v="0"/>
    <x v="45"/>
    <x v="56"/>
    <n v="-10000"/>
    <n v="-52294.779390740099"/>
    <n v="5.2294779390740098"/>
    <n v="0"/>
    <x v="5"/>
    <d v="2023-01-13T00:00:00"/>
    <n v="1"/>
    <x v="22"/>
    <n v="1"/>
    <n v="-10000"/>
    <n v="-52294.779390740099"/>
    <n v="0"/>
    <x v="5"/>
    <s v="SHORT"/>
    <x v="10"/>
    <n v="-52294.779390740099"/>
    <n v="5.2294779390740098"/>
    <n v="0"/>
    <n v="0"/>
    <s v="BINE"/>
    <s v="DOT COIN SHORT"/>
  </r>
  <r>
    <x v="0"/>
    <x v="45"/>
    <x v="57"/>
    <n v="-60000"/>
    <n v="-18245.7719342255"/>
    <n v="0.304096198903759"/>
    <n v="0"/>
    <x v="5"/>
    <d v="2023-01-13T00:00:00"/>
    <n v="1"/>
    <x v="23"/>
    <n v="1"/>
    <n v="-60000"/>
    <n v="-18245.77193422554"/>
    <n v="0"/>
    <x v="5"/>
    <s v="SHORT"/>
    <x v="10"/>
    <n v="-18245.7719342255"/>
    <n v="0.304096198903759"/>
    <n v="0"/>
    <n v="0"/>
    <s v="BINE"/>
    <s v="ENJ COIN SHORT"/>
  </r>
  <r>
    <x v="0"/>
    <x v="45"/>
    <x v="58"/>
    <n v="-115336.6"/>
    <n v="-114211.200450491"/>
    <n v="0.990242476806942"/>
    <n v="0"/>
    <x v="5"/>
    <d v="2023-01-13T00:00:00"/>
    <n v="1"/>
    <x v="4"/>
    <n v="1"/>
    <n v="-115336.6"/>
    <n v="-114211.20045049155"/>
    <n v="0"/>
    <x v="5"/>
    <s v="SHORT"/>
    <x v="10"/>
    <n v="-114211.200450491"/>
    <n v="0.990242476806942"/>
    <n v="0"/>
    <n v="0"/>
    <s v="BINE"/>
    <s v="EOS COIN SHORT"/>
  </r>
  <r>
    <x v="0"/>
    <x v="45"/>
    <x v="62"/>
    <n v="-300000"/>
    <n v="-82034.051788677694"/>
    <n v="0.27344683929559199"/>
    <n v="0"/>
    <x v="5"/>
    <d v="2023-01-13T00:00:00"/>
    <n v="1"/>
    <x v="26"/>
    <n v="1"/>
    <n v="-300000"/>
    <n v="-82034.051788677592"/>
    <n v="0"/>
    <x v="5"/>
    <s v="SHORT"/>
    <x v="10"/>
    <n v="-82034.051788677694"/>
    <n v="0.27344683929559199"/>
    <n v="0"/>
    <n v="0"/>
    <s v="BINE"/>
    <s v="FTM COIN SHORT"/>
  </r>
  <r>
    <x v="0"/>
    <x v="45"/>
    <x v="63"/>
    <n v="-240000"/>
    <n v="-17640.469992774099"/>
    <n v="7.3501958303225604E-2"/>
    <n v="0"/>
    <x v="5"/>
    <d v="2023-01-13T00:00:00"/>
    <n v="1"/>
    <x v="27"/>
    <n v="1"/>
    <n v="-240000"/>
    <n v="-17640.469992774146"/>
    <n v="0"/>
    <x v="5"/>
    <s v="SHORT"/>
    <x v="10"/>
    <n v="-17640.469992774099"/>
    <n v="7.3501958303225604E-2"/>
    <n v="0"/>
    <n v="0"/>
    <s v="BINE"/>
    <s v="GRT COIN SHORT"/>
  </r>
  <r>
    <x v="0"/>
    <x v="45"/>
    <x v="64"/>
    <n v="-628800"/>
    <n v="-29960.833997643"/>
    <n v="4.7647636764699498E-2"/>
    <n v="0"/>
    <x v="5"/>
    <d v="2023-01-13T00:00:00"/>
    <n v="1"/>
    <x v="28"/>
    <n v="1"/>
    <n v="-628800"/>
    <n v="-29960.833997643043"/>
    <n v="0"/>
    <x v="5"/>
    <s v="SHORT"/>
    <x v="10"/>
    <n v="-29960.833997643"/>
    <n v="4.7647636764699498E-2"/>
    <n v="0"/>
    <n v="0"/>
    <s v="BINE"/>
    <s v="HBAR COIN SHORT"/>
  </r>
  <r>
    <x v="0"/>
    <x v="45"/>
    <x v="65"/>
    <n v="-20654.13"/>
    <n v="-131800.85145715301"/>
    <n v="6.38133155243787"/>
    <n v="0"/>
    <x v="5"/>
    <d v="2023-01-13T00:00:00"/>
    <n v="1"/>
    <x v="9"/>
    <n v="1"/>
    <n v="-20654.13"/>
    <n v="-131800.85145715359"/>
    <n v="0"/>
    <x v="5"/>
    <s v="SHORT"/>
    <x v="10"/>
    <n v="-131800.85145715301"/>
    <n v="6.38133155243787"/>
    <n v="0"/>
    <n v="0"/>
    <s v="BINE"/>
    <s v="LINK COIN SHORT"/>
  </r>
  <r>
    <x v="0"/>
    <x v="45"/>
    <x v="66"/>
    <n v="-1610.2"/>
    <n v="-138419.60226160701"/>
    <n v="85.964229450756093"/>
    <n v="0"/>
    <x v="5"/>
    <d v="2023-01-13T00:00:00"/>
    <n v="1"/>
    <x v="5"/>
    <n v="1"/>
    <n v="-1610.2"/>
    <n v="-138419.60226160748"/>
    <n v="0"/>
    <x v="5"/>
    <s v="SHORT"/>
    <x v="10"/>
    <n v="-138419.60226160701"/>
    <n v="85.964229450756093"/>
    <n v="0"/>
    <n v="0"/>
    <s v="BINE"/>
    <s v="LTC COIN SHORT"/>
  </r>
  <r>
    <x v="0"/>
    <x v="45"/>
    <x v="67"/>
    <n v="-90000"/>
    <n v="-37120.713174284101"/>
    <n v="0.41245236860315698"/>
    <n v="0"/>
    <x v="5"/>
    <d v="2023-01-13T00:00:00"/>
    <n v="1"/>
    <x v="29"/>
    <n v="1"/>
    <n v="-90000"/>
    <n v="-37120.71317428413"/>
    <n v="0"/>
    <x v="5"/>
    <s v="SHORT"/>
    <x v="10"/>
    <n v="-37120.713174284101"/>
    <n v="0.41245236860315698"/>
    <n v="0"/>
    <n v="0"/>
    <s v="BINE"/>
    <s v="MANA COIN SHORT"/>
  </r>
  <r>
    <x v="0"/>
    <x v="45"/>
    <x v="68"/>
    <n v="-100000"/>
    <n v="-91628.9114365235"/>
    <n v="0.91628911436523497"/>
    <n v="0"/>
    <x v="5"/>
    <d v="2023-01-13T00:00:00"/>
    <n v="1"/>
    <x v="30"/>
    <n v="1"/>
    <n v="-100000"/>
    <n v="-91628.9114365235"/>
    <n v="0"/>
    <x v="5"/>
    <s v="SHORT"/>
    <x v="10"/>
    <n v="-91628.9114365235"/>
    <n v="0.91628911436523497"/>
    <n v="0"/>
    <n v="0"/>
    <s v="BINE"/>
    <s v="MATIC COIN SHORT"/>
  </r>
  <r>
    <x v="0"/>
    <x v="45"/>
    <x v="69"/>
    <n v="-14"/>
    <n v="-9136.0593104937107"/>
    <n v="652.57566503526505"/>
    <n v="0"/>
    <x v="5"/>
    <d v="2023-01-13T00:00:00"/>
    <n v="1"/>
    <x v="31"/>
    <n v="1"/>
    <n v="-14"/>
    <n v="-9136.0593104937107"/>
    <n v="0"/>
    <x v="5"/>
    <s v="SHORT"/>
    <x v="10"/>
    <n v="-9136.0593104937107"/>
    <n v="652.57566503526505"/>
    <n v="0"/>
    <n v="0"/>
    <s v="BINE"/>
    <s v="MKR COIN SHORT"/>
  </r>
  <r>
    <x v="0"/>
    <x v="45"/>
    <x v="72"/>
    <n v="-6000000000"/>
    <n v="-56828.300043576302"/>
    <n v="9.4713833405960602E-6"/>
    <n v="0"/>
    <x v="5"/>
    <d v="2023-01-13T00:00:00"/>
    <n v="1"/>
    <x v="11"/>
    <n v="1"/>
    <n v="-6000000000"/>
    <n v="-56828.300043576361"/>
    <n v="0"/>
    <x v="5"/>
    <s v="SHORT"/>
    <x v="10"/>
    <n v="-56828.300043576302"/>
    <n v="9.4713833405960602E-6"/>
    <n v="0"/>
    <n v="0"/>
    <s v="BINE"/>
    <s v="SHIB COIN SHORT"/>
  </r>
  <r>
    <x v="0"/>
    <x v="45"/>
    <x v="73"/>
    <n v="-8500"/>
    <n v="-141261.87566910699"/>
    <n v="16.6190441963655"/>
    <n v="0"/>
    <x v="5"/>
    <d v="2023-01-13T00:00:00"/>
    <n v="1"/>
    <x v="33"/>
    <n v="1"/>
    <n v="-8500"/>
    <n v="-141261.87566910675"/>
    <n v="0"/>
    <x v="5"/>
    <s v="SHORT"/>
    <x v="10"/>
    <n v="-141261.87566910699"/>
    <n v="16.6190441963655"/>
    <n v="0"/>
    <n v="0"/>
    <s v="BINE"/>
    <s v="SOL COIN SHORT"/>
  </r>
  <r>
    <x v="0"/>
    <x v="45"/>
    <x v="74"/>
    <n v="-43200"/>
    <n v="-49148.189927110499"/>
    <n v="1.1376895816460699"/>
    <n v="0"/>
    <x v="5"/>
    <d v="2023-01-13T00:00:00"/>
    <n v="1"/>
    <x v="34"/>
    <n v="1"/>
    <n v="-43200"/>
    <n v="-49148.189927110223"/>
    <n v="0"/>
    <x v="5"/>
    <s v="SHORT"/>
    <x v="10"/>
    <n v="-49148.189927110499"/>
    <n v="1.1376895816460699"/>
    <n v="0"/>
    <n v="0"/>
    <s v="BINE"/>
    <s v="SUSHI COIN SHORT"/>
  </r>
  <r>
    <x v="0"/>
    <x v="45"/>
    <x v="75"/>
    <n v="-12000"/>
    <n v="-74080.575384932905"/>
    <n v="6.1733812820777398"/>
    <n v="0"/>
    <x v="5"/>
    <d v="2023-01-13T00:00:00"/>
    <n v="1"/>
    <x v="35"/>
    <n v="1"/>
    <n v="-12000"/>
    <n v="-74080.575384932876"/>
    <n v="0"/>
    <x v="5"/>
    <s v="SHORT"/>
    <x v="10"/>
    <n v="-74080.575384932905"/>
    <n v="6.1733812820777398"/>
    <n v="0"/>
    <n v="0"/>
    <s v="BINE"/>
    <s v="UNI COIN SHORT"/>
  </r>
  <r>
    <x v="0"/>
    <x v="45"/>
    <x v="164"/>
    <n v="-100"/>
    <n v="-1.8842311113447501"/>
    <n v="1.8842311113447498E-2"/>
    <n v="0"/>
    <x v="5"/>
    <d v="2023-01-13T00:00:00"/>
    <n v="1"/>
    <x v="123"/>
    <n v="1"/>
    <n v="-100"/>
    <n v="-1.8842311113447499"/>
    <n v="0"/>
    <x v="5"/>
    <s v="SHORT"/>
    <x v="10"/>
    <n v="-1.8842311113447501"/>
    <n v="1.8842311113447498E-2"/>
    <n v="0"/>
    <n v="0"/>
    <s v="BINE"/>
    <s v="VET COIN SHORT"/>
  </r>
  <r>
    <x v="0"/>
    <x v="45"/>
    <x v="77"/>
    <n v="-1000000"/>
    <n v="-81643.783905093398"/>
    <n v="8.1643783905093401E-2"/>
    <n v="0"/>
    <x v="5"/>
    <d v="2023-01-13T00:00:00"/>
    <n v="1"/>
    <x v="37"/>
    <n v="1"/>
    <n v="-1000000"/>
    <n v="-81643.783905093398"/>
    <n v="0"/>
    <x v="5"/>
    <s v="SHORT"/>
    <x v="10"/>
    <n v="-81643.783905093398"/>
    <n v="8.1643783905093401E-2"/>
    <n v="0"/>
    <n v="0"/>
    <s v="BINE"/>
    <s v="XLM COIN SHORT"/>
  </r>
  <r>
    <x v="0"/>
    <x v="45"/>
    <x v="79"/>
    <n v="-68160"/>
    <n v="-60609.906049069999"/>
    <n v="0.88922984226921997"/>
    <n v="0"/>
    <x v="5"/>
    <d v="2023-01-13T00:00:00"/>
    <n v="1"/>
    <x v="39"/>
    <n v="1"/>
    <n v="-68160"/>
    <n v="-60609.906049070036"/>
    <n v="0"/>
    <x v="5"/>
    <s v="SHORT"/>
    <x v="10"/>
    <n v="-60609.906049069999"/>
    <n v="0.88922984226921997"/>
    <n v="0"/>
    <n v="0"/>
    <s v="BINE"/>
    <s v="XTZ COIN SHORT"/>
  </r>
  <r>
    <x v="8"/>
    <x v="46"/>
    <x v="76"/>
    <n v="-9993078.3940130007"/>
    <n v="-9993998.2487299498"/>
    <n v="1.00009204918451"/>
    <n v="0"/>
    <x v="5"/>
    <d v="2023-01-13T00:00:00"/>
    <n v="1"/>
    <x v="36"/>
    <n v="1"/>
    <n v="-9993078.3940130007"/>
    <n v="-9993998.2487299144"/>
    <n v="0"/>
    <x v="5"/>
    <s v="SHORT"/>
    <x v="10"/>
    <n v="-9993998.2487299498"/>
    <n v="1.00009204918451"/>
    <n v="0"/>
    <n v="0"/>
    <s v="DEFI"/>
    <s v="USDT COIN SHORT"/>
  </r>
  <r>
    <x v="7"/>
    <x v="47"/>
    <x v="50"/>
    <n v="-3350"/>
    <n v="-63213119.985139698"/>
    <n v="18869.5880552655"/>
    <n v="0"/>
    <x v="6"/>
    <d v="2023-01-12T00:00:00"/>
    <n v="1"/>
    <x v="0"/>
    <n v="1"/>
    <n v="-3350"/>
    <n v="-63213119.985139422"/>
    <n v="0"/>
    <x v="5"/>
    <s v="SHORT"/>
    <x v="10"/>
    <n v="-63213119.985139698"/>
    <n v="18869.5880552655"/>
    <n v="0"/>
    <n v="0"/>
    <s v="LEND"/>
    <s v="BTC COIN SHORT"/>
  </r>
  <r>
    <x v="7"/>
    <x v="47"/>
    <x v="58"/>
    <n v="-4350822.18"/>
    <n v="-4308368.9316697801"/>
    <n v="0.990242476806943"/>
    <n v="0"/>
    <x v="6"/>
    <d v="2023-01-12T00:00:00"/>
    <n v="1"/>
    <x v="4"/>
    <n v="1"/>
    <n v="-4350822.18"/>
    <n v="-4308368.9316697782"/>
    <n v="0"/>
    <x v="5"/>
    <s v="SHORT"/>
    <x v="10"/>
    <n v="-4308368.9316697801"/>
    <n v="0.990242476806943"/>
    <n v="0"/>
    <n v="0"/>
    <s v="LEND"/>
    <s v="EOS COIN SHORT"/>
  </r>
  <r>
    <x v="7"/>
    <x v="47"/>
    <x v="59"/>
    <n v="-6499.9949999999999"/>
    <n v="-9216593.3105303105"/>
    <n v="1417.9385231112101"/>
    <n v="0"/>
    <x v="6"/>
    <d v="2023-01-12T00:00:00"/>
    <n v="1"/>
    <x v="1"/>
    <n v="1"/>
    <n v="-6499.9949999999999"/>
    <n v="-9216593.310530249"/>
    <n v="0"/>
    <x v="5"/>
    <s v="SHORT"/>
    <x v="10"/>
    <n v="-9216593.3105303105"/>
    <n v="1417.9385231112101"/>
    <n v="0"/>
    <n v="0"/>
    <s v="LEND"/>
    <s v="ETH COIN SHORT"/>
  </r>
  <r>
    <x v="11"/>
    <x v="35"/>
    <x v="50"/>
    <n v="-1340.01684679"/>
    <n v="-25285565.886043198"/>
    <n v="18869.5880552655"/>
    <n v="0"/>
    <x v="7"/>
    <d v="2023-01-12T00:00:00"/>
    <n v="1"/>
    <x v="0"/>
    <n v="1"/>
    <n v="-1340.01684679"/>
    <n v="-25285565.886043124"/>
    <n v="0"/>
    <x v="5"/>
    <s v="SHORT"/>
    <x v="10"/>
    <n v="-25285565.886043198"/>
    <n v="18869.5880552655"/>
    <n v="0"/>
    <n v="0"/>
    <s v="LEND"/>
    <s v="BTC COIN SHORT"/>
  </r>
  <r>
    <x v="11"/>
    <x v="35"/>
    <x v="59"/>
    <n v="-25855"/>
    <n v="-36660800.515040502"/>
    <n v="1417.9385231112101"/>
    <n v="0"/>
    <x v="7"/>
    <d v="2023-01-12T00:00:00"/>
    <n v="1"/>
    <x v="1"/>
    <n v="1"/>
    <n v="-25855"/>
    <n v="-36660800.515040338"/>
    <n v="0"/>
    <x v="5"/>
    <s v="SHORT"/>
    <x v="10"/>
    <n v="-36660800.515040502"/>
    <n v="1417.9385231112101"/>
    <n v="0"/>
    <n v="0"/>
    <s v="LEND"/>
    <s v="ETH COIN SHORT"/>
  </r>
  <r>
    <x v="11"/>
    <x v="35"/>
    <x v="139"/>
    <n v="-15000000"/>
    <n v="-16268445.245292099"/>
    <n v="1.0845630163527999"/>
    <n v="0"/>
    <x v="7"/>
    <d v="2023-01-12T00:00:00"/>
    <n v="1"/>
    <x v="98"/>
    <n v="1"/>
    <n v="-15000000"/>
    <n v="-16268445.245291999"/>
    <n v="0"/>
    <x v="5"/>
    <s v="SHORT"/>
    <x v="10"/>
    <n v="-16268445.245292099"/>
    <n v="1.0845630163527999"/>
    <n v="0"/>
    <n v="0"/>
    <s v="LEND"/>
    <s v="EUROC COIN SHORT"/>
  </r>
  <r>
    <x v="11"/>
    <x v="35"/>
    <x v="84"/>
    <n v="-42800000"/>
    <n v="-42800000"/>
    <n v="1"/>
    <n v="0"/>
    <x v="7"/>
    <d v="2023-01-12T00:00:00"/>
    <n v="1"/>
    <x v="43"/>
    <n v="1"/>
    <n v="-42800000"/>
    <n v="-42800000"/>
    <n v="0"/>
    <x v="6"/>
    <s v="SHORT"/>
    <x v="11"/>
    <n v="-42800000"/>
    <n v="1"/>
    <n v="0"/>
    <n v="0"/>
    <s v="LEND"/>
    <s v="USD CASH SHORT"/>
  </r>
  <r>
    <x v="11"/>
    <x v="35"/>
    <x v="88"/>
    <n v="-89706000"/>
    <n v="-89712472.254475504"/>
    <n v="1.0000721496274001"/>
    <n v="0"/>
    <x v="7"/>
    <d v="2023-01-12T00:00:00"/>
    <n v="1"/>
    <x v="47"/>
    <n v="1"/>
    <n v="-89706000"/>
    <n v="-89712472.254475549"/>
    <n v="0"/>
    <x v="5"/>
    <s v="SHORT"/>
    <x v="10"/>
    <n v="-89712472.254475504"/>
    <n v="1.0000721496274001"/>
    <n v="0"/>
    <n v="0"/>
    <s v="LEND"/>
    <s v="USDC COIN SHORT"/>
  </r>
  <r>
    <x v="11"/>
    <x v="35"/>
    <x v="81"/>
    <n v="-20000000"/>
    <n v="-479489.59814677201"/>
    <n v="2.39744799073386E-2"/>
    <n v="0"/>
    <x v="7"/>
    <d v="2023-01-12T00:00:00"/>
    <n v="1"/>
    <x v="7"/>
    <n v="1"/>
    <n v="-20000000"/>
    <n v="-479489.59814677201"/>
    <n v="0"/>
    <x v="5"/>
    <s v="SHORT"/>
    <x v="10"/>
    <n v="-479489.59814677201"/>
    <n v="2.39744799073386E-2"/>
    <n v="0"/>
    <n v="0"/>
    <s v="LEND"/>
    <s v="ZIL COIN SHORT"/>
  </r>
  <r>
    <x v="2"/>
    <x v="48"/>
    <x v="48"/>
    <n v="-5000"/>
    <n v="-598552.33068706002"/>
    <n v="119.710466137412"/>
    <n v="0"/>
    <x v="6"/>
    <d v="2023-01-12T00:00:00"/>
    <n v="1"/>
    <x v="3"/>
    <n v="1"/>
    <n v="-5000"/>
    <n v="-598552.33068706002"/>
    <n v="0"/>
    <x v="5"/>
    <s v="SHORT"/>
    <x v="10"/>
    <n v="-598552.33068706002"/>
    <n v="119.710466137412"/>
    <n v="0"/>
    <n v="0"/>
    <s v="LEND"/>
    <s v="BCH COIN SHORT"/>
  </r>
  <r>
    <x v="2"/>
    <x v="48"/>
    <x v="56"/>
    <n v="-40000"/>
    <n v="-209179.11756295999"/>
    <n v="5.2294779390740098"/>
    <n v="0"/>
    <x v="6"/>
    <d v="2023-01-12T00:00:00"/>
    <n v="1"/>
    <x v="22"/>
    <n v="1"/>
    <n v="-40000"/>
    <n v="-209179.1175629604"/>
    <n v="0"/>
    <x v="5"/>
    <s v="SHORT"/>
    <x v="10"/>
    <n v="-209179.11756295999"/>
    <n v="5.2294779390740098"/>
    <n v="0"/>
    <n v="0"/>
    <s v="LEND"/>
    <s v="DOT COIN SHORT"/>
  </r>
  <r>
    <x v="2"/>
    <x v="48"/>
    <x v="58"/>
    <n v="-160000"/>
    <n v="-158438.79628911"/>
    <n v="0.990242476806942"/>
    <n v="0"/>
    <x v="6"/>
    <d v="2023-01-12T00:00:00"/>
    <n v="1"/>
    <x v="4"/>
    <n v="1"/>
    <n v="-160000"/>
    <n v="-158438.79628911073"/>
    <n v="0"/>
    <x v="5"/>
    <s v="SHORT"/>
    <x v="10"/>
    <n v="-158438.79628911"/>
    <n v="0.990242476806942"/>
    <n v="0"/>
    <n v="0"/>
    <s v="LEND"/>
    <s v="EOS COIN SHORT"/>
  </r>
  <r>
    <x v="2"/>
    <x v="48"/>
    <x v="82"/>
    <n v="-108000"/>
    <n v="-2259117.88751635"/>
    <n v="20.917758217744002"/>
    <n v="0"/>
    <x v="6"/>
    <d v="2023-01-12T00:00:00"/>
    <n v="1"/>
    <x v="41"/>
    <n v="1"/>
    <n v="-108000"/>
    <n v="-2259117.8875163523"/>
    <n v="0"/>
    <x v="5"/>
    <s v="SHORT"/>
    <x v="10"/>
    <n v="-2259117.88751635"/>
    <n v="20.917758217744002"/>
    <n v="0"/>
    <n v="0"/>
    <s v="LEND"/>
    <s v="ETC COIN SHORT"/>
  </r>
  <r>
    <x v="2"/>
    <x v="48"/>
    <x v="59"/>
    <n v="-4600"/>
    <n v="-6522517.2063116096"/>
    <n v="1417.9385231112101"/>
    <n v="0"/>
    <x v="6"/>
    <d v="2023-01-12T00:00:00"/>
    <n v="1"/>
    <x v="1"/>
    <n v="1"/>
    <n v="-4600"/>
    <n v="-6522517.2063115668"/>
    <n v="0"/>
    <x v="5"/>
    <s v="SHORT"/>
    <x v="10"/>
    <n v="-6522517.2063116096"/>
    <n v="1417.9385231112101"/>
    <n v="0"/>
    <n v="0"/>
    <s v="LEND"/>
    <s v="ETH COIN SHORT"/>
  </r>
  <r>
    <x v="2"/>
    <x v="48"/>
    <x v="65"/>
    <n v="-17000"/>
    <n v="-108482.636391443"/>
    <n v="6.38133155243787"/>
    <n v="0"/>
    <x v="6"/>
    <d v="2023-01-12T00:00:00"/>
    <n v="1"/>
    <x v="9"/>
    <n v="1"/>
    <n v="-17000"/>
    <n v="-108482.63639144378"/>
    <n v="0"/>
    <x v="5"/>
    <s v="SHORT"/>
    <x v="10"/>
    <n v="-108482.636391443"/>
    <n v="6.38133155243787"/>
    <n v="0"/>
    <n v="0"/>
    <s v="LEND"/>
    <s v="LINK COIN SHORT"/>
  </r>
  <r>
    <x v="2"/>
    <x v="48"/>
    <x v="66"/>
    <n v="-11800"/>
    <n v="-1014377.90751892"/>
    <n v="85.964229450756093"/>
    <n v="0"/>
    <x v="6"/>
    <d v="2023-01-12T00:00:00"/>
    <n v="1"/>
    <x v="5"/>
    <n v="1"/>
    <n v="-11800"/>
    <n v="-1014377.9075189219"/>
    <n v="0"/>
    <x v="5"/>
    <s v="SHORT"/>
    <x v="10"/>
    <n v="-1014377.90751892"/>
    <n v="85.964229450756093"/>
    <n v="0"/>
    <n v="0"/>
    <s v="LEND"/>
    <s v="LTC COIN SHORT"/>
  </r>
  <r>
    <x v="18"/>
    <x v="49"/>
    <x v="71"/>
    <n v="-2600208"/>
    <n v="-190645.51339292701"/>
    <n v="7.3319331912265404E-2"/>
    <n v="0"/>
    <x v="8"/>
    <d v="2023-01-12T00:00:00"/>
    <n v="1"/>
    <x v="32"/>
    <n v="1"/>
    <n v="-2600208"/>
    <n v="-190645.51339292779"/>
    <n v="0"/>
    <x v="5"/>
    <s v="SHORT"/>
    <x v="10"/>
    <n v="-190645.51339292701"/>
    <n v="7.3319331912265404E-2"/>
    <n v="0"/>
    <n v="0"/>
    <s v="LEND"/>
    <s v="OXT COIN SHORT"/>
  </r>
  <r>
    <x v="18"/>
    <x v="49"/>
    <x v="88"/>
    <n v="-1000000"/>
    <n v="-1000072.1496274"/>
    <n v="1.0000721496274001"/>
    <n v="0"/>
    <x v="8"/>
    <d v="2023-01-12T00:00:00"/>
    <n v="1"/>
    <x v="47"/>
    <n v="1"/>
    <n v="-1000000"/>
    <n v="-1000072.1496274001"/>
    <n v="0"/>
    <x v="5"/>
    <s v="SHORT"/>
    <x v="10"/>
    <n v="-1000072.1496274"/>
    <n v="1.0000721496274001"/>
    <n v="0"/>
    <n v="0"/>
    <s v="LEND"/>
    <s v="USDC COIN SHORT"/>
  </r>
  <r>
    <x v="19"/>
    <x v="50"/>
    <x v="78"/>
    <n v="-201.17"/>
    <n v="-75.478409104803205"/>
    <n v="0.37519714224190098"/>
    <n v="0"/>
    <x v="8"/>
    <d v="2023-01-12T00:00:00"/>
    <n v="1"/>
    <x v="38"/>
    <n v="1"/>
    <n v="-201.17"/>
    <n v="-75.47840910480322"/>
    <n v="0"/>
    <x v="5"/>
    <s v="SHORT"/>
    <x v="10"/>
    <n v="-75.478409104803205"/>
    <n v="0.37519714224190098"/>
    <n v="0"/>
    <n v="0"/>
    <s v="LEND"/>
    <s v="XRP COIN SHORT"/>
  </r>
  <r>
    <x v="3"/>
    <x v="51"/>
    <x v="48"/>
    <n v="-12.89958137"/>
    <n v="-1544.21489878017"/>
    <n v="119.710466137412"/>
    <n v="0"/>
    <x v="5"/>
    <d v="2023-01-13T00:00:00"/>
    <n v="1"/>
    <x v="3"/>
    <n v="1"/>
    <n v="-12.89958137"/>
    <n v="-1544.2148987801756"/>
    <n v="0"/>
    <x v="5"/>
    <s v="SHORT"/>
    <x v="10"/>
    <n v="-1544.21489878017"/>
    <n v="119.710466137412"/>
    <n v="0"/>
    <n v="0"/>
    <s v="OKEX"/>
    <s v="BCH COIN SHORT"/>
  </r>
  <r>
    <x v="3"/>
    <x v="51"/>
    <x v="58"/>
    <n v="-22178.1698817"/>
    <n v="-21961.7658746997"/>
    <n v="0.990242476806942"/>
    <n v="0"/>
    <x v="5"/>
    <d v="2023-01-13T00:00:00"/>
    <n v="1"/>
    <x v="4"/>
    <n v="1"/>
    <n v="-22178.1698817"/>
    <n v="-21961.765874699733"/>
    <n v="0"/>
    <x v="5"/>
    <s v="SHORT"/>
    <x v="10"/>
    <n v="-21961.7658746997"/>
    <n v="0.990242476806942"/>
    <n v="0"/>
    <n v="0"/>
    <s v="OKEX"/>
    <s v="EOS COIN SHORT"/>
  </r>
  <r>
    <x v="3"/>
    <x v="51"/>
    <x v="61"/>
    <n v="-3.6961340000000002E-2"/>
    <n v="-0.142421836203701"/>
    <n v="3.8532649574853499"/>
    <n v="0"/>
    <x v="5"/>
    <d v="2023-01-13T00:00:00"/>
    <n v="1"/>
    <x v="25"/>
    <n v="1"/>
    <n v="-3.6961340000000002E-2"/>
    <n v="-0.14242183620370158"/>
    <n v="0"/>
    <x v="5"/>
    <s v="SHORT"/>
    <x v="10"/>
    <n v="-0.142421836203701"/>
    <n v="3.8532649574853499"/>
    <n v="0"/>
    <n v="0"/>
    <s v="OKEX"/>
    <s v="FIL COIN SHORT"/>
  </r>
  <r>
    <x v="3"/>
    <x v="51"/>
    <x v="66"/>
    <n v="-304.03511947999999"/>
    <n v="-26136.144772066698"/>
    <n v="85.964229450756093"/>
    <n v="0"/>
    <x v="5"/>
    <d v="2023-01-13T00:00:00"/>
    <n v="1"/>
    <x v="5"/>
    <n v="1"/>
    <n v="-304.03511947999999"/>
    <n v="-26136.144772066764"/>
    <n v="0"/>
    <x v="5"/>
    <s v="SHORT"/>
    <x v="10"/>
    <n v="-26136.144772066698"/>
    <n v="85.964229450756093"/>
    <n v="0"/>
    <n v="0"/>
    <s v="OKEX"/>
    <s v="LTC COIN SHORT"/>
  </r>
  <r>
    <x v="3"/>
    <x v="51"/>
    <x v="78"/>
    <n v="-1352.6511590499999"/>
    <n v="-507.51084932575498"/>
    <n v="0.37519714224190098"/>
    <n v="0"/>
    <x v="5"/>
    <d v="2023-01-13T00:00:00"/>
    <n v="1"/>
    <x v="38"/>
    <n v="1"/>
    <n v="-1352.6511590499999"/>
    <n v="-507.51084932575503"/>
    <n v="0"/>
    <x v="5"/>
    <s v="SHORT"/>
    <x v="10"/>
    <n v="-507.51084932575498"/>
    <n v="0.37519714224190098"/>
    <n v="0"/>
    <n v="0"/>
    <s v="OKEX"/>
    <s v="XRP COIN SHORT"/>
  </r>
  <r>
    <x v="16"/>
    <x v="52"/>
    <x v="76"/>
    <n v="-2376627.8714167802"/>
    <n v="-2376846.6380742299"/>
    <n v="1.00009204918451"/>
    <n v="0"/>
    <x v="5"/>
    <d v="2023-01-13T00:00:00"/>
    <n v="1"/>
    <x v="36"/>
    <n v="1"/>
    <n v="-2376627.8714167802"/>
    <n v="-2376846.6380742276"/>
    <n v="0"/>
    <x v="5"/>
    <s v="SHORT"/>
    <x v="10"/>
    <n v="-2376846.6380742299"/>
    <n v="1.00009204918451"/>
    <n v="0"/>
    <n v="0"/>
    <s v="WOOX"/>
    <s v="USDT COIN SHORT"/>
  </r>
  <r>
    <x v="20"/>
    <x v="53"/>
    <x v="84"/>
    <n v="79941.919999999998"/>
    <n v="79941.919999999998"/>
    <n v="1"/>
    <n v="0"/>
    <x v="9"/>
    <d v="2023-01-13T00:00:00"/>
    <n v="1"/>
    <x v="43"/>
    <n v="1"/>
    <n v="79941.919999999998"/>
    <n v="79941.919999999998"/>
    <n v="0"/>
    <x v="6"/>
    <s v="LONG"/>
    <x v="9"/>
    <n v="79941.919999999998"/>
    <n v="1"/>
    <n v="0"/>
    <n v="0"/>
    <s v="WEDBUSH"/>
    <s v="USD CASH LONG"/>
  </r>
  <r>
    <x v="21"/>
    <x v="54"/>
    <x v="84"/>
    <n v="830007.48"/>
    <n v="830007.48"/>
    <n v="1"/>
    <n v="0"/>
    <x v="3"/>
    <d v="2023-01-13T00:00:00"/>
    <n v="1"/>
    <x v="43"/>
    <n v="1"/>
    <n v="830007.48"/>
    <n v="830007.48"/>
    <n v="0"/>
    <x v="6"/>
    <s v="LONG"/>
    <x v="9"/>
    <n v="830007.48"/>
    <n v="1"/>
    <n v="0"/>
    <n v="0"/>
    <s v="CASH"/>
    <s v="USD CASH LONG"/>
  </r>
  <r>
    <x v="4"/>
    <x v="55"/>
    <x v="84"/>
    <n v="27324183.52"/>
    <n v="27324183.52"/>
    <n v="1"/>
    <n v="0"/>
    <x v="9"/>
    <d v="2023-01-13T00:00:00"/>
    <n v="1"/>
    <x v="43"/>
    <n v="1"/>
    <n v="27324183.52"/>
    <n v="27324183.52"/>
    <n v="0"/>
    <x v="6"/>
    <s v="LONG"/>
    <x v="9"/>
    <n v="27324183.52"/>
    <n v="1"/>
    <n v="0"/>
    <n v="0"/>
    <s v="ED&amp;F"/>
    <s v="USD CASH LONG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s v=""/>
    <s v=""/>
    <s v=""/>
    <s v=""/>
    <x v="7"/>
    <s v=""/>
    <x v="12"/>
    <s v=""/>
    <s v=""/>
    <s v=""/>
    <s v=""/>
    <s v=""/>
    <s v=""/>
  </r>
  <r>
    <x v="22"/>
    <x v="56"/>
    <x v="172"/>
    <m/>
    <m/>
    <m/>
    <m/>
    <x v="10"/>
    <m/>
    <m/>
    <x v="131"/>
    <m/>
    <m/>
    <m/>
    <m/>
    <x v="8"/>
    <m/>
    <x v="13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1">
  <r>
    <s v="AAVE"/>
    <n v="628.35861419000003"/>
    <n v="42641.129708168803"/>
    <n v="67.861136531304297"/>
    <n v="0"/>
    <s v="ASSET"/>
    <d v="2023-01-13T00:00:00"/>
    <n v="1"/>
    <x v="0"/>
    <n v="0"/>
    <s v="COIN"/>
    <s v="LONG"/>
    <s v="COIN LONG"/>
    <n v="0"/>
    <n v="0"/>
    <n v="0"/>
    <n v="0"/>
    <s v="BINE"/>
    <s v="AAVE COIN LONG"/>
  </r>
  <r>
    <s v="ADA"/>
    <n v="291912.33526399999"/>
    <n v="96260.566435433502"/>
    <n v="0.329758474743375"/>
    <n v="0"/>
    <s v="ASSET"/>
    <d v="2023-01-13T00:00:00"/>
    <n v="1"/>
    <x v="1"/>
    <n v="0"/>
    <s v="COIN"/>
    <s v="LONG"/>
    <s v="COIN LONG"/>
    <n v="0"/>
    <n v="0"/>
    <n v="0"/>
    <n v="0"/>
    <s v="BINE"/>
    <s v="ADA COIN LONG"/>
  </r>
  <r>
    <s v="ALGO"/>
    <n v="215007.15676099999"/>
    <n v="45694.716690300898"/>
    <n v="0.21252649157671899"/>
    <n v="0"/>
    <s v="ASSET"/>
    <d v="2023-01-13T00:00:00"/>
    <n v="1"/>
    <x v="2"/>
    <n v="0"/>
    <s v="COIN"/>
    <s v="LONG"/>
    <s v="COIN LONG"/>
    <n v="0"/>
    <n v="0"/>
    <n v="0"/>
    <n v="0"/>
    <s v="BINE"/>
    <s v="ALGO COIN LONG"/>
  </r>
  <r>
    <s v="ATOM"/>
    <n v="4.2548999999999998E-3"/>
    <n v="5.2227586277640702E-2"/>
    <n v="12.274691832390999"/>
    <n v="0"/>
    <s v="ASSET"/>
    <d v="2023-01-13T00:00:00"/>
    <n v="1"/>
    <x v="3"/>
    <n v="0"/>
    <s v="COIN"/>
    <s v="LONG"/>
    <s v="COIN LONG"/>
    <n v="0"/>
    <n v="0"/>
    <n v="0"/>
    <n v="0"/>
    <s v="BINE"/>
    <s v="ATOM COIN LONG"/>
  </r>
  <r>
    <s v="AVAX"/>
    <n v="3951.2305524499998"/>
    <n v="61075.554606368001"/>
    <n v="15.4573502597811"/>
    <n v="0"/>
    <s v="ASSET"/>
    <d v="2023-01-13T00:00:00"/>
    <n v="1"/>
    <x v="4"/>
    <n v="0"/>
    <s v="COIN"/>
    <s v="LONG"/>
    <s v="COIN LONG"/>
    <n v="0"/>
    <n v="0"/>
    <n v="0"/>
    <n v="0"/>
    <s v="BINE"/>
    <s v="AVAX COIN LONG"/>
  </r>
  <r>
    <s v="BAT"/>
    <n v="99068.070622019994"/>
    <n v="20286.566598580001"/>
    <n v="0.20477401519184199"/>
    <n v="0"/>
    <s v="ASSET"/>
    <d v="2023-01-13T00:00:00"/>
    <n v="1"/>
    <x v="5"/>
    <n v="0"/>
    <s v="COIN"/>
    <s v="LONG"/>
    <s v="COIN LONG"/>
    <n v="0"/>
    <n v="0"/>
    <n v="0"/>
    <n v="0"/>
    <s v="BINE"/>
    <s v="BAT COIN LONG"/>
  </r>
  <r>
    <s v="BCH"/>
    <n v="647.60989974999995"/>
    <n v="77525.682974275202"/>
    <n v="119.710466137412"/>
    <n v="0"/>
    <s v="ASSET"/>
    <d v="2023-01-13T00:00:00"/>
    <n v="1"/>
    <x v="6"/>
    <n v="0"/>
    <s v="COIN"/>
    <s v="LONG"/>
    <s v="COIN LONG"/>
    <n v="0"/>
    <n v="0"/>
    <n v="0"/>
    <n v="0"/>
    <s v="BINE"/>
    <s v="BCH COIN LONG"/>
  </r>
  <r>
    <s v="BNB"/>
    <n v="36.319834"/>
    <n v="10453.2962784585"/>
    <n v="287.81233632451398"/>
    <n v="0"/>
    <s v="ASSET"/>
    <d v="2023-01-13T00:00:00"/>
    <n v="1"/>
    <x v="7"/>
    <n v="0"/>
    <s v="COIN"/>
    <s v="LONG"/>
    <s v="COIN LONG"/>
    <n v="0"/>
    <n v="0"/>
    <n v="0"/>
    <n v="0"/>
    <s v="BINE"/>
    <s v="BNB COIN LONG"/>
  </r>
  <r>
    <s v="BTC"/>
    <n v="54.877967439999999"/>
    <n v="1035524.63890307"/>
    <n v="18869.5880552655"/>
    <n v="0"/>
    <s v="ASSET"/>
    <d v="2023-01-13T00:00:00"/>
    <n v="1"/>
    <x v="8"/>
    <n v="0"/>
    <s v="COIN"/>
    <s v="LONG"/>
    <s v="COIN LONG"/>
    <n v="0"/>
    <n v="0"/>
    <n v="0"/>
    <n v="0"/>
    <s v="BINE"/>
    <s v="BTC COIN LONG"/>
  </r>
  <r>
    <s v="BUSD"/>
    <n v="926.54662797000003"/>
    <n v="926.84225655627404"/>
    <n v="1.00031906498534"/>
    <n v="0"/>
    <s v="ASSET"/>
    <d v="2023-01-13T00:00:00"/>
    <n v="1"/>
    <x v="9"/>
    <n v="0"/>
    <s v="COIN"/>
    <s v="LONG"/>
    <s v="COIN LONG"/>
    <n v="0"/>
    <n v="0"/>
    <n v="0"/>
    <n v="0"/>
    <s v="BINE"/>
    <s v="BUSD COIN LONG"/>
  </r>
  <r>
    <s v="COMP"/>
    <n v="2144.7124639100002"/>
    <n v="80869.425103363305"/>
    <n v="37.706418209521303"/>
    <n v="0"/>
    <s v="ASSET"/>
    <d v="2023-01-13T00:00:00"/>
    <n v="1"/>
    <x v="10"/>
    <n v="0"/>
    <s v="COIN"/>
    <s v="LONG"/>
    <s v="COIN LONG"/>
    <n v="0"/>
    <n v="0"/>
    <n v="0"/>
    <n v="0"/>
    <s v="BINE"/>
    <s v="COMP COIN LONG"/>
  </r>
  <r>
    <s v="CRV"/>
    <n v="1.5637979999999999E-2"/>
    <n v="1.0776384243842E-2"/>
    <n v="0.68911612905516495"/>
    <n v="0"/>
    <s v="ASSET"/>
    <d v="2023-01-13T00:00:00"/>
    <n v="1"/>
    <x v="11"/>
    <n v="0"/>
    <s v="COIN"/>
    <s v="LONG"/>
    <s v="COIN LONG"/>
    <n v="0"/>
    <n v="0"/>
    <n v="0"/>
    <n v="0"/>
    <s v="BINE"/>
    <s v="CRV COIN LONG"/>
  </r>
  <r>
    <s v="DASH"/>
    <n v="897.22841947999996"/>
    <n v="44284.042928966599"/>
    <n v="49.356487119112799"/>
    <n v="0"/>
    <s v="ASSET"/>
    <d v="2023-01-13T00:00:00"/>
    <n v="1"/>
    <x v="12"/>
    <n v="0"/>
    <s v="COIN"/>
    <s v="LONG"/>
    <s v="COIN LONG"/>
    <n v="0"/>
    <n v="0"/>
    <n v="0"/>
    <n v="0"/>
    <s v="BINE"/>
    <s v="DASH COIN LONG"/>
  </r>
  <r>
    <s v="DOGE"/>
    <n v="572364.17811884999"/>
    <n v="45952.679301803502"/>
    <n v="8.0285736002614697E-2"/>
    <n v="0"/>
    <s v="ASSET"/>
    <d v="2023-01-13T00:00:00"/>
    <n v="1"/>
    <x v="13"/>
    <n v="0"/>
    <s v="COIN"/>
    <s v="LONG"/>
    <s v="COIN LONG"/>
    <n v="0"/>
    <n v="0"/>
    <n v="0"/>
    <n v="0"/>
    <s v="BINE"/>
    <s v="DOGE COIN LONG"/>
  </r>
  <r>
    <s v="DOT"/>
    <n v="4160.7489116799998"/>
    <n v="21758.5446436567"/>
    <n v="5.2294779390740098"/>
    <n v="0"/>
    <s v="ASSET"/>
    <d v="2023-01-13T00:00:00"/>
    <n v="1"/>
    <x v="14"/>
    <n v="0"/>
    <s v="COIN"/>
    <s v="LONG"/>
    <s v="COIN LONG"/>
    <n v="0"/>
    <n v="0"/>
    <n v="0"/>
    <n v="0"/>
    <s v="BINE"/>
    <s v="DOT COIN LONG"/>
  </r>
  <r>
    <s v="ENJ"/>
    <n v="46415.886590100003"/>
    <n v="14114.894680797301"/>
    <n v="0.304096198903759"/>
    <n v="0"/>
    <s v="ASSET"/>
    <d v="2023-01-13T00:00:00"/>
    <n v="1"/>
    <x v="15"/>
    <n v="0"/>
    <s v="COIN"/>
    <s v="LONG"/>
    <s v="COIN LONG"/>
    <n v="0"/>
    <n v="0"/>
    <n v="0"/>
    <n v="0"/>
    <s v="BINE"/>
    <s v="ENJ COIN LONG"/>
  </r>
  <r>
    <s v="EOS"/>
    <n v="91912.112699999998"/>
    <n v="91015.278128606806"/>
    <n v="0.990242476806942"/>
    <n v="0"/>
    <s v="ASSET"/>
    <d v="2023-01-13T00:00:00"/>
    <n v="1"/>
    <x v="16"/>
    <n v="0"/>
    <s v="COIN"/>
    <s v="LONG"/>
    <s v="COIN LONG"/>
    <n v="0"/>
    <n v="0"/>
    <n v="0"/>
    <n v="0"/>
    <s v="BINE"/>
    <s v="EOS COIN LONG"/>
  </r>
  <r>
    <s v="ETH"/>
    <n v="30.1417"/>
    <n v="42739.0775820614"/>
    <n v="1417.9385231112101"/>
    <n v="0"/>
    <s v="ASSET"/>
    <d v="2023-01-13T00:00:00"/>
    <n v="1"/>
    <x v="17"/>
    <n v="0"/>
    <s v="COIN"/>
    <s v="LONG"/>
    <s v="COIN LONG"/>
    <n v="0"/>
    <n v="0"/>
    <n v="0"/>
    <n v="0"/>
    <s v="BINE"/>
    <s v="ETH COIN LONG"/>
  </r>
  <r>
    <s v="EUR"/>
    <n v="799777.3893865"/>
    <n v="867934.41851001699"/>
    <n v="1.0852200000000001"/>
    <n v="0"/>
    <s v="ASSET"/>
    <d v="2023-01-13T00:00:00"/>
    <n v="1"/>
    <x v="18"/>
    <n v="0"/>
    <s v="CASH"/>
    <s v="LONG"/>
    <s v="CASH LONG"/>
    <n v="0"/>
    <n v="0"/>
    <n v="0"/>
    <n v="0"/>
    <s v="BINE"/>
    <s v="EUR CASH LONG"/>
  </r>
  <r>
    <s v="FIL"/>
    <n v="0.19800000000000001"/>
    <n v="0.7629464615821"/>
    <n v="3.8532649574853499"/>
    <n v="0"/>
    <s v="ASSET"/>
    <d v="2023-01-13T00:00:00"/>
    <n v="1"/>
    <x v="19"/>
    <n v="0"/>
    <s v="COIN"/>
    <s v="LONG"/>
    <s v="COIN LONG"/>
    <n v="0"/>
    <n v="0"/>
    <n v="0"/>
    <n v="0"/>
    <s v="BINE"/>
    <s v="FIL COIN LONG"/>
  </r>
  <r>
    <s v="FTM"/>
    <n v="270803.45285949"/>
    <n v="74050.348254760494"/>
    <n v="0.27344683929559199"/>
    <n v="0"/>
    <s v="ASSET"/>
    <d v="2023-01-13T00:00:00"/>
    <n v="1"/>
    <x v="20"/>
    <n v="0"/>
    <s v="COIN"/>
    <s v="LONG"/>
    <s v="COIN LONG"/>
    <n v="0"/>
    <n v="0"/>
    <n v="0"/>
    <n v="0"/>
    <s v="BINE"/>
    <s v="FTM COIN LONG"/>
  </r>
  <r>
    <s v="GRT"/>
    <n v="186945.44699999999"/>
    <n v="13740.856450371801"/>
    <n v="7.3501958303225604E-2"/>
    <n v="0"/>
    <s v="ASSET"/>
    <d v="2023-01-13T00:00:00"/>
    <n v="1"/>
    <x v="21"/>
    <n v="0"/>
    <s v="COIN"/>
    <s v="LONG"/>
    <s v="COIN LONG"/>
    <n v="0"/>
    <n v="0"/>
    <n v="0"/>
    <n v="0"/>
    <s v="BINE"/>
    <s v="GRT COIN LONG"/>
  </r>
  <r>
    <s v="HBAR"/>
    <n v="249422.74733057999"/>
    <n v="11884.4044656608"/>
    <n v="4.7647636764699498E-2"/>
    <n v="0"/>
    <s v="ASSET"/>
    <d v="2023-01-13T00:00:00"/>
    <n v="1"/>
    <x v="22"/>
    <n v="0"/>
    <s v="COIN"/>
    <s v="LONG"/>
    <s v="COIN LONG"/>
    <n v="0"/>
    <n v="0"/>
    <n v="0"/>
    <n v="0"/>
    <s v="BINE"/>
    <s v="HBAR COIN LONG"/>
  </r>
  <r>
    <s v="LINK"/>
    <n v="8419.0230946600004"/>
    <n v="53724.577714657004"/>
    <n v="6.38133155243787"/>
    <n v="0"/>
    <s v="ASSET"/>
    <d v="2023-01-13T00:00:00"/>
    <n v="1"/>
    <x v="23"/>
    <n v="0"/>
    <s v="COIN"/>
    <s v="LONG"/>
    <s v="COIN LONG"/>
    <n v="0"/>
    <n v="0"/>
    <n v="0"/>
    <n v="0"/>
    <s v="BINE"/>
    <s v="LINK COIN LONG"/>
  </r>
  <r>
    <s v="LTC"/>
    <n v="975.24722336000002"/>
    <n v="83836.376080131799"/>
    <n v="85.964229450756093"/>
    <n v="0"/>
    <s v="ASSET"/>
    <d v="2023-01-13T00:00:00"/>
    <n v="1"/>
    <x v="24"/>
    <n v="0"/>
    <s v="COIN"/>
    <s v="LONG"/>
    <s v="COIN LONG"/>
    <n v="0"/>
    <n v="0"/>
    <n v="0"/>
    <n v="0"/>
    <s v="BINE"/>
    <s v="LTC COIN LONG"/>
  </r>
  <r>
    <s v="MANA"/>
    <n v="54984.847193989997"/>
    <n v="22678.630462443802"/>
    <n v="0.41245236860315698"/>
    <n v="0"/>
    <s v="ASSET"/>
    <d v="2023-01-13T00:00:00"/>
    <n v="1"/>
    <x v="25"/>
    <n v="0"/>
    <s v="COIN"/>
    <s v="LONG"/>
    <s v="COIN LONG"/>
    <n v="0"/>
    <n v="0"/>
    <n v="0"/>
    <n v="0"/>
    <s v="BINE"/>
    <s v="MANA COIN LONG"/>
  </r>
  <r>
    <s v="MATIC"/>
    <n v="47252.316829759999"/>
    <n v="43296.783539646203"/>
    <n v="0.91628911436523497"/>
    <n v="0"/>
    <s v="ASSET"/>
    <d v="2023-01-13T00:00:00"/>
    <n v="1"/>
    <x v="26"/>
    <n v="0"/>
    <s v="COIN"/>
    <s v="LONG"/>
    <s v="COIN LONG"/>
    <n v="0"/>
    <n v="0"/>
    <n v="0"/>
    <n v="0"/>
    <s v="BINE"/>
    <s v="MATIC COIN LONG"/>
  </r>
  <r>
    <s v="MKR"/>
    <n v="11.133492329999999"/>
    <n v="7265.4461614147704"/>
    <n v="652.57566503526505"/>
    <n v="0"/>
    <s v="ASSET"/>
    <d v="2023-01-13T00:00:00"/>
    <n v="1"/>
    <x v="27"/>
    <n v="0"/>
    <s v="COIN"/>
    <s v="LONG"/>
    <s v="COIN LONG"/>
    <n v="0"/>
    <n v="0"/>
    <n v="0"/>
    <n v="0"/>
    <s v="BINE"/>
    <s v="MKR COIN LONG"/>
  </r>
  <r>
    <s v="OMG"/>
    <n v="24199.849819300001"/>
    <n v="29336.8002806806"/>
    <n v="1.21227199754288"/>
    <n v="0"/>
    <s v="ASSET"/>
    <d v="2023-01-13T00:00:00"/>
    <n v="1"/>
    <x v="28"/>
    <n v="0"/>
    <s v="COIN"/>
    <s v="LONG"/>
    <s v="COIN LONG"/>
    <n v="0"/>
    <n v="0"/>
    <n v="0"/>
    <n v="0"/>
    <s v="BINE"/>
    <s v="OMG COIN LONG"/>
  </r>
  <r>
    <s v="OXT"/>
    <n v="313858.75941951998"/>
    <n v="23011.9145554516"/>
    <n v="7.3319331912265404E-2"/>
    <n v="0"/>
    <s v="ASSET"/>
    <d v="2023-01-13T00:00:00"/>
    <n v="1"/>
    <x v="29"/>
    <n v="0"/>
    <s v="COIN"/>
    <s v="LONG"/>
    <s v="COIN LONG"/>
    <n v="0"/>
    <n v="0"/>
    <n v="0"/>
    <n v="0"/>
    <s v="BINE"/>
    <s v="OXT COIN LONG"/>
  </r>
  <r>
    <s v="SHIB"/>
    <n v="81762615062.479996"/>
    <n v="774405.07018634095"/>
    <n v="9.4713833405960602E-6"/>
    <n v="0"/>
    <s v="ASSET"/>
    <d v="2023-01-13T00:00:00"/>
    <n v="1"/>
    <x v="30"/>
    <n v="0"/>
    <s v="COIN"/>
    <s v="LONG"/>
    <s v="COIN LONG"/>
    <n v="0"/>
    <n v="0"/>
    <n v="0"/>
    <n v="0"/>
    <s v="BINE"/>
    <s v="SHIB COIN LONG"/>
  </r>
  <r>
    <s v="SOL"/>
    <n v="5426.8777341900004"/>
    <n v="90189.520912775901"/>
    <n v="16.6190441963655"/>
    <n v="0"/>
    <s v="ASSET"/>
    <d v="2023-01-13T00:00:00"/>
    <n v="1"/>
    <x v="31"/>
    <n v="0"/>
    <s v="COIN"/>
    <s v="LONG"/>
    <s v="COIN LONG"/>
    <n v="0"/>
    <n v="0"/>
    <n v="0"/>
    <n v="0"/>
    <s v="BINE"/>
    <s v="SOL COIN LONG"/>
  </r>
  <r>
    <s v="SUSHI"/>
    <n v="20883.602943549999"/>
    <n v="23759.057496110101"/>
    <n v="1.1376895816460699"/>
    <n v="0"/>
    <s v="ASSET"/>
    <d v="2023-01-13T00:00:00"/>
    <n v="1"/>
    <x v="32"/>
    <n v="0"/>
    <s v="COIN"/>
    <s v="LONG"/>
    <s v="COIN LONG"/>
    <n v="0"/>
    <n v="0"/>
    <n v="0"/>
    <n v="0"/>
    <s v="BINE"/>
    <s v="SUSHI COIN LONG"/>
  </r>
  <r>
    <s v="UNI"/>
    <n v="5710.7047593899997"/>
    <n v="35254.357869090498"/>
    <n v="6.1733812820777398"/>
    <n v="0"/>
    <s v="ASSET"/>
    <d v="2023-01-13T00:00:00"/>
    <n v="1"/>
    <x v="33"/>
    <n v="0"/>
    <s v="COIN"/>
    <s v="LONG"/>
    <s v="COIN LONG"/>
    <n v="0"/>
    <n v="0"/>
    <n v="0"/>
    <n v="0"/>
    <s v="BINE"/>
    <s v="UNI COIN LONG"/>
  </r>
  <r>
    <s v="USDT"/>
    <n v="618871.51817801001"/>
    <n v="618928.48479657702"/>
    <n v="1.00009204918451"/>
    <n v="0"/>
    <s v="ASSET"/>
    <d v="2023-01-13T00:00:00"/>
    <n v="1"/>
    <x v="34"/>
    <n v="0"/>
    <s v="COIN"/>
    <s v="LONG"/>
    <s v="COIN LONG"/>
    <n v="0"/>
    <n v="0"/>
    <n v="0"/>
    <n v="0"/>
    <s v="BINE"/>
    <s v="USDT COIN LONG"/>
  </r>
  <r>
    <s v="XLM"/>
    <n v="877798.90472430002"/>
    <n v="71666.824089438407"/>
    <n v="8.1643783905093401E-2"/>
    <n v="0"/>
    <s v="ASSET"/>
    <d v="2023-01-13T00:00:00"/>
    <n v="1"/>
    <x v="35"/>
    <n v="0"/>
    <s v="COIN"/>
    <s v="LONG"/>
    <s v="COIN LONG"/>
    <n v="0"/>
    <n v="0"/>
    <n v="0"/>
    <n v="0"/>
    <s v="BINE"/>
    <s v="XLM COIN LONG"/>
  </r>
  <r>
    <s v="XRP"/>
    <n v="30000"/>
    <n v="11255.914267257"/>
    <n v="0.37519714224190098"/>
    <n v="0"/>
    <s v="ASSET"/>
    <d v="2023-01-13T00:00:00"/>
    <n v="1"/>
    <x v="36"/>
    <n v="0"/>
    <s v="COIN"/>
    <s v="LONG"/>
    <s v="COIN LONG"/>
    <n v="0"/>
    <n v="0"/>
    <n v="0"/>
    <n v="0"/>
    <s v="BINE"/>
    <s v="XRP COIN LONG"/>
  </r>
  <r>
    <s v="XTZ"/>
    <n v="62752.228199999998"/>
    <n v="55801.153984328099"/>
    <n v="0.88922984226921997"/>
    <n v="0"/>
    <s v="ASSET"/>
    <d v="2023-01-13T00:00:00"/>
    <n v="1"/>
    <x v="37"/>
    <n v="0"/>
    <s v="COIN"/>
    <s v="LONG"/>
    <s v="COIN LONG"/>
    <n v="0"/>
    <n v="0"/>
    <n v="0"/>
    <n v="0"/>
    <s v="BINE"/>
    <s v="XTZ COIN LONG"/>
  </r>
  <r>
    <s v="YFI"/>
    <n v="7.6026700000000003E-2"/>
    <n v="473.97457770520998"/>
    <n v="6234.31738724961"/>
    <n v="0"/>
    <s v="ASSET"/>
    <d v="2023-01-13T00:00:00"/>
    <n v="1"/>
    <x v="38"/>
    <n v="0"/>
    <s v="COIN"/>
    <s v="LONG"/>
    <s v="COIN LONG"/>
    <n v="0"/>
    <n v="0"/>
    <n v="0"/>
    <n v="0"/>
    <s v="BINE"/>
    <s v="YFI COIN LONG"/>
  </r>
  <r>
    <s v="ZIL"/>
    <n v="18966318.7722039"/>
    <n v="454707.62832038099"/>
    <n v="2.39744799073386E-2"/>
    <n v="0"/>
    <s v="ASSET"/>
    <d v="2023-01-13T00:00:00"/>
    <n v="1"/>
    <x v="39"/>
    <n v="0"/>
    <s v="COIN"/>
    <s v="LONG"/>
    <s v="COIN LONG"/>
    <n v="0"/>
    <n v="0"/>
    <n v="0"/>
    <n v="0"/>
    <s v="BINE"/>
    <s v="ZIL COIN LONG"/>
  </r>
  <r>
    <s v="BTC"/>
    <n v="954.60935715000005"/>
    <n v="18013085.3231223"/>
    <n v="18869.5880552655"/>
    <n v="0"/>
    <s v="ASSET"/>
    <d v="2023-01-13T00:00:00"/>
    <n v="1"/>
    <x v="8"/>
    <n v="0"/>
    <s v="COIN"/>
    <s v="LONG"/>
    <s v="COIN LONG"/>
    <n v="0"/>
    <n v="0"/>
    <n v="0"/>
    <n v="0"/>
    <s v="BINE"/>
    <s v="BTC COIN LONG"/>
  </r>
  <r>
    <s v="BTC"/>
    <n v="-21.15213086"/>
    <n v="-399131.99581927003"/>
    <n v="18869.5880552655"/>
    <n v="0"/>
    <s v="UNREALIZED"/>
    <d v="2023-01-13T00:00:00"/>
    <n v="1"/>
    <x v="8"/>
    <n v="0"/>
    <s v="COIN"/>
    <s v="SHORT"/>
    <s v="COIN SHORT"/>
    <n v="0"/>
    <n v="0"/>
    <n v="0"/>
    <n v="0"/>
    <s v="BINE"/>
    <s v="BTC COIN SHORT"/>
  </r>
  <r>
    <s v="ETH"/>
    <n v="6682.76875475"/>
    <n v="9475755.2584040202"/>
    <n v="1417.9385231112101"/>
    <n v="0"/>
    <s v="ASSET"/>
    <d v="2023-01-13T00:00:00"/>
    <n v="1"/>
    <x v="17"/>
    <n v="0"/>
    <s v="COIN"/>
    <s v="LONG"/>
    <s v="COIN LONG"/>
    <n v="0"/>
    <n v="0"/>
    <n v="0"/>
    <n v="0"/>
    <s v="BINE"/>
    <s v="ETH COIN LONG"/>
  </r>
  <r>
    <s v="ETH"/>
    <n v="-114.70020413"/>
    <n v="-162637.83804464701"/>
    <n v="1417.9385231112101"/>
    <n v="0"/>
    <s v="UNREALIZED"/>
    <d v="2023-01-13T00:00:00"/>
    <n v="1"/>
    <x v="17"/>
    <n v="0"/>
    <s v="COIN"/>
    <s v="SHORT"/>
    <s v="COIN SHORT"/>
    <n v="0"/>
    <n v="0"/>
    <n v="0"/>
    <n v="0"/>
    <s v="BINE"/>
    <s v="ETH COIN SHORT"/>
  </r>
  <r>
    <s v="BNB"/>
    <n v="2496.2188523499999"/>
    <n v="718442.57987214997"/>
    <n v="287.81233632451398"/>
    <n v="0"/>
    <s v="ASSET"/>
    <d v="2023-01-13T00:00:00"/>
    <n v="1"/>
    <x v="7"/>
    <n v="0"/>
    <s v="COIN"/>
    <s v="LONG"/>
    <s v="COIN LONG"/>
    <n v="0"/>
    <n v="0"/>
    <n v="0"/>
    <n v="0"/>
    <s v="BINE"/>
    <s v="BNB COIN LONG"/>
  </r>
  <r>
    <s v="BTC"/>
    <n v="820.94862506000004"/>
    <n v="15490962.3694188"/>
    <n v="18869.5880552655"/>
    <n v="0"/>
    <s v="ASSET"/>
    <d v="2023-01-13T00:00:00"/>
    <n v="1"/>
    <x v="8"/>
    <n v="0"/>
    <s v="COIN"/>
    <s v="LONG"/>
    <s v="COIN LONG"/>
    <n v="0"/>
    <n v="0"/>
    <n v="0"/>
    <n v="0"/>
    <s v="BINE"/>
    <s v="BTC COIN LONG"/>
  </r>
  <r>
    <s v="BUSD"/>
    <n v="1957317.4125478"/>
    <n v="1957941.92399934"/>
    <n v="1.00031906498534"/>
    <n v="0"/>
    <s v="ASSET"/>
    <d v="2023-01-13T00:00:00"/>
    <n v="1"/>
    <x v="9"/>
    <n v="0"/>
    <s v="COIN"/>
    <s v="LONG"/>
    <s v="COIN LONG"/>
    <n v="0"/>
    <n v="0"/>
    <n v="0"/>
    <n v="0"/>
    <s v="BINE"/>
    <s v="BUSD COIN LONG"/>
  </r>
  <r>
    <s v="ETC"/>
    <n v="0.15721859999999999"/>
    <n v="3.2886606621322101"/>
    <n v="20.917758217744002"/>
    <n v="0"/>
    <s v="ASSET"/>
    <d v="2023-01-13T00:00:00"/>
    <n v="1"/>
    <x v="40"/>
    <n v="0"/>
    <s v="COIN"/>
    <s v="LONG"/>
    <s v="COIN LONG"/>
    <n v="0"/>
    <n v="0"/>
    <n v="0"/>
    <n v="0"/>
    <s v="BINE"/>
    <s v="ETC COIN LONG"/>
  </r>
  <r>
    <s v="ETH"/>
    <n v="6859.0860000000002"/>
    <n v="9725762.2727328409"/>
    <n v="1417.9385231112101"/>
    <n v="0"/>
    <s v="ASSET"/>
    <d v="2023-01-13T00:00:00"/>
    <n v="1"/>
    <x v="17"/>
    <n v="0"/>
    <s v="COIN"/>
    <s v="LONG"/>
    <s v="COIN LONG"/>
    <n v="0"/>
    <n v="0"/>
    <n v="0"/>
    <n v="0"/>
    <s v="BINE"/>
    <s v="ETH COIN LONG"/>
  </r>
  <r>
    <s v="USDT"/>
    <n v="1328887.8945897899"/>
    <n v="1329010.2176367899"/>
    <n v="1.00009204918451"/>
    <n v="0"/>
    <s v="ASSET"/>
    <d v="2023-01-13T00:00:00"/>
    <n v="1"/>
    <x v="34"/>
    <n v="0"/>
    <s v="COIN"/>
    <s v="LONG"/>
    <s v="COIN LONG"/>
    <n v="0"/>
    <n v="0"/>
    <n v="0"/>
    <n v="0"/>
    <s v="BINE"/>
    <s v="USDT COIN LONG"/>
  </r>
  <r>
    <s v="BNB"/>
    <n v="47.01499536"/>
    <n v="13531.495656847699"/>
    <n v="287.81233632451398"/>
    <n v="0"/>
    <s v="ASSET"/>
    <d v="2023-01-13T00:00:00"/>
    <n v="1"/>
    <x v="7"/>
    <n v="0"/>
    <s v="COIN"/>
    <s v="LONG"/>
    <s v="COIN LONG"/>
    <n v="0"/>
    <n v="0"/>
    <n v="0"/>
    <n v="0"/>
    <s v="BINE"/>
    <s v="BNB COIN LONG"/>
  </r>
  <r>
    <s v="BUSD"/>
    <n v="16000004.791549399"/>
    <n v="16005109.8328437"/>
    <n v="1.00031906498534"/>
    <n v="0"/>
    <s v="ASSET"/>
    <d v="2023-01-13T00:00:00"/>
    <n v="1"/>
    <x v="9"/>
    <n v="0"/>
    <s v="COIN"/>
    <s v="LONG"/>
    <s v="COIN LONG"/>
    <n v="0"/>
    <n v="0"/>
    <n v="0"/>
    <n v="0"/>
    <s v="BINE"/>
    <s v="BUSD COIN LONG"/>
  </r>
  <r>
    <s v="USDT"/>
    <n v="13400136.677891999"/>
    <n v="13401370.1495455"/>
    <n v="1.00009204918451"/>
    <n v="0"/>
    <s v="ASSET"/>
    <d v="2023-01-13T00:00:00"/>
    <n v="1"/>
    <x v="34"/>
    <n v="0"/>
    <s v="COIN"/>
    <s v="LONG"/>
    <s v="COIN LONG"/>
    <n v="0"/>
    <n v="0"/>
    <n v="0"/>
    <n v="0"/>
    <s v="BINE"/>
    <s v="USDT COIN LONG"/>
  </r>
  <r>
    <s v="USDT"/>
    <n v="878081.47598261002"/>
    <n v="878162.30266641104"/>
    <n v="1.00009204918451"/>
    <n v="0"/>
    <s v="UNREALIZED"/>
    <d v="2023-01-13T00:00:00"/>
    <n v="1"/>
    <x v="34"/>
    <n v="0"/>
    <s v="COIN"/>
    <s v="LONG"/>
    <s v="COIN LONG"/>
    <n v="0"/>
    <n v="0"/>
    <n v="0"/>
    <n v="0"/>
    <s v="BINE"/>
    <s v="USDT COIN LONG"/>
  </r>
  <r>
    <s v="USDT"/>
    <n v="829745.80743815005"/>
    <n v="829822.18486307794"/>
    <n v="1.00009204918451"/>
    <n v="0"/>
    <s v="ASSET"/>
    <d v="2023-01-13T00:00:00"/>
    <n v="1"/>
    <x v="34"/>
    <n v="0"/>
    <s v="COIN"/>
    <s v="LONG"/>
    <s v="COIN LONG"/>
    <n v="0"/>
    <n v="0"/>
    <n v="0"/>
    <n v="0"/>
    <s v="BINE"/>
    <s v="USDT COIN LONG"/>
  </r>
  <r>
    <s v="USDT"/>
    <n v="-507.05590913999998"/>
    <n v="-507.10258322293902"/>
    <n v="1.00009204918451"/>
    <n v="0"/>
    <s v="UNREALIZED"/>
    <d v="2023-01-13T00:00:00"/>
    <n v="1"/>
    <x v="34"/>
    <n v="0"/>
    <s v="COIN"/>
    <s v="SHORT"/>
    <s v="COIN SHORT"/>
    <n v="0"/>
    <n v="0"/>
    <n v="0"/>
    <n v="0"/>
    <s v="BINE"/>
    <s v="USDT COIN SHORT"/>
  </r>
  <r>
    <s v="BTC"/>
    <n v="7.9996000000000008E-3"/>
    <n v="150.94915660690199"/>
    <n v="18869.5880552655"/>
    <n v="0"/>
    <s v="ASSET"/>
    <d v="2023-01-13T00:00:00"/>
    <n v="1"/>
    <x v="8"/>
    <n v="0"/>
    <s v="COIN"/>
    <s v="LONG"/>
    <s v="COIN LONG"/>
    <n v="0"/>
    <n v="0"/>
    <n v="0"/>
    <n v="0"/>
    <s v="BTFX"/>
    <s v="BTC COIN LONG"/>
  </r>
  <r>
    <s v="ETH"/>
    <n v="0.02"/>
    <n v="28.3587704622243"/>
    <n v="1417.9385231112101"/>
    <n v="0"/>
    <s v="ASSET"/>
    <d v="2023-01-13T00:00:00"/>
    <n v="1"/>
    <x v="17"/>
    <n v="0"/>
    <s v="COIN"/>
    <s v="LONG"/>
    <s v="COIN LONG"/>
    <n v="0"/>
    <n v="0"/>
    <n v="0"/>
    <n v="0"/>
    <s v="BTFX"/>
    <s v="ETH COIN LONG"/>
  </r>
  <r>
    <s v="ETHW"/>
    <n v="0.02"/>
    <n v="6.8681868233453097E-2"/>
    <n v="3.43409341167265"/>
    <n v="0"/>
    <s v="ASSET"/>
    <d v="2023-01-13T00:00:00"/>
    <n v="1"/>
    <x v="41"/>
    <n v="0"/>
    <s v="COIN"/>
    <s v="LONG"/>
    <s v="COIN LONG"/>
    <n v="0"/>
    <n v="0"/>
    <n v="0"/>
    <n v="0"/>
    <s v="BTFX"/>
    <s v="ETHW COIN LONG"/>
  </r>
  <r>
    <s v="USD"/>
    <n v="2.755467E-2"/>
    <n v="2.755467E-2"/>
    <n v="1"/>
    <n v="0"/>
    <s v="ASSET"/>
    <d v="2023-01-13T00:00:00"/>
    <n v="1"/>
    <x v="42"/>
    <n v="0"/>
    <s v="CASH"/>
    <s v="LONG"/>
    <s v="CASH LONG"/>
    <n v="0"/>
    <n v="0"/>
    <n v="0"/>
    <n v="0"/>
    <s v="BTFX"/>
    <s v="USD CASH LONG"/>
  </r>
  <r>
    <s v="UST"/>
    <n v="29.9885932"/>
    <n v="0"/>
    <n v="0"/>
    <n v="0"/>
    <s v="ASSET"/>
    <d v="2023-01-13T00:00:00"/>
    <n v="1"/>
    <x v="43"/>
    <n v="0"/>
    <s v="COIN"/>
    <s v="SHORT"/>
    <s v="COIN SHORT"/>
    <n v="0"/>
    <n v="0"/>
    <n v="0"/>
    <n v="0"/>
    <s v="BTFX"/>
    <s v="UST COIN SHORT"/>
  </r>
  <r>
    <s v="BCH"/>
    <n v="0.21932823000000001"/>
    <n v="26.255884650393501"/>
    <n v="119.710466137412"/>
    <n v="0"/>
    <s v="ASSET"/>
    <d v="2023-01-12T00:06:38"/>
    <n v="1"/>
    <x v="6"/>
    <n v="0"/>
    <s v="COIN"/>
    <s v="LONG"/>
    <s v="COIN LONG"/>
    <n v="0"/>
    <n v="0"/>
    <n v="0"/>
    <n v="0"/>
    <s v="BTSE"/>
    <s v="BCH COIN LONG"/>
  </r>
  <r>
    <s v="BTC"/>
    <n v="5.7861299999999997E-2"/>
    <n v="1091.81889534213"/>
    <n v="18869.5880552655"/>
    <n v="0"/>
    <s v="ASSET"/>
    <d v="2023-01-12T00:06:39"/>
    <n v="1"/>
    <x v="8"/>
    <n v="0"/>
    <s v="COIN"/>
    <s v="LONG"/>
    <s v="COIN LONG"/>
    <n v="0"/>
    <n v="0"/>
    <n v="0"/>
    <n v="0"/>
    <s v="BTSE"/>
    <s v="BTC COIN LONG"/>
  </r>
  <r>
    <s v="ETH"/>
    <n v="0.73541904000000002"/>
    <n v="1042.77898744547"/>
    <n v="1417.9385231112101"/>
    <n v="0"/>
    <s v="ASSET"/>
    <d v="2023-01-12T00:06:40"/>
    <n v="1"/>
    <x v="17"/>
    <n v="0"/>
    <s v="COIN"/>
    <s v="LONG"/>
    <s v="COIN LONG"/>
    <n v="0"/>
    <n v="0"/>
    <n v="0"/>
    <n v="0"/>
    <s v="BTSE"/>
    <s v="ETH COIN LONG"/>
  </r>
  <r>
    <s v="FLR"/>
    <n v="22277.5319929"/>
    <n v="980.45458503844304"/>
    <n v="4.4010915811990299E-2"/>
    <n v="0"/>
    <s v="ASSET"/>
    <d v="2023-01-12T00:06:41"/>
    <n v="1"/>
    <x v="44"/>
    <n v="0"/>
    <s v="COIN"/>
    <s v="LONG"/>
    <s v="COIN LONG"/>
    <n v="0"/>
    <n v="0"/>
    <n v="0"/>
    <n v="0"/>
    <s v="BTSE"/>
    <s v="FLR COIN LONG"/>
  </r>
  <r>
    <s v="SGB"/>
    <n v="22277.5319929"/>
    <n v="260.80815193398598"/>
    <n v="1.17072282520841E-2"/>
    <n v="0"/>
    <s v="ASSET"/>
    <d v="2023-01-12T00:06:42"/>
    <n v="1"/>
    <x v="45"/>
    <n v="0"/>
    <s v="COIN"/>
    <s v="LONG"/>
    <s v="COIN LONG"/>
    <n v="0"/>
    <n v="0"/>
    <n v="0"/>
    <n v="0"/>
    <s v="BTSE"/>
    <s v="SGB COIN LONG"/>
  </r>
  <r>
    <s v="USD"/>
    <n v="125335.8"/>
    <n v="125335.8"/>
    <n v="1"/>
    <n v="0"/>
    <s v="ASSET"/>
    <d v="2023-01-12T00:06:43"/>
    <n v="1"/>
    <x v="42"/>
    <n v="0"/>
    <s v="CASH"/>
    <s v="LONG"/>
    <s v="CASH LONG"/>
    <n v="0"/>
    <n v="0"/>
    <n v="0"/>
    <n v="0"/>
    <s v="BTSE"/>
    <s v="USD CASH LONG"/>
  </r>
  <r>
    <s v="XRP"/>
    <n v="86647.684072849996"/>
    <n v="32509.9634460124"/>
    <n v="0.37519714224190098"/>
    <n v="0"/>
    <s v="ASSET"/>
    <d v="2023-01-12T00:06:44"/>
    <n v="1"/>
    <x v="36"/>
    <n v="0"/>
    <s v="COIN"/>
    <s v="LONG"/>
    <s v="COIN LONG"/>
    <n v="0"/>
    <n v="0"/>
    <n v="0"/>
    <n v="0"/>
    <s v="BTSE"/>
    <s v="XRP COIN LONG"/>
  </r>
  <r>
    <s v="BTC"/>
    <n v="1799.26444287"/>
    <n v="33951378.839443803"/>
    <n v="18869.5880552655"/>
    <n v="0"/>
    <s v="ASSET"/>
    <d v="2023-01-13T00:00:00"/>
    <n v="1"/>
    <x v="8"/>
    <n v="0"/>
    <s v="COIN"/>
    <s v="LONG"/>
    <s v="COIN LONG"/>
    <n v="0"/>
    <n v="0"/>
    <n v="0"/>
    <n v="0"/>
    <s v="BULL"/>
    <s v="BTC COIN LONG"/>
  </r>
  <r>
    <s v="USD"/>
    <n v="46965458.007700004"/>
    <n v="46965458.007700004"/>
    <n v="1"/>
    <n v="0"/>
    <s v="ASSET"/>
    <d v="2023-01-13T00:00:00"/>
    <n v="1"/>
    <x v="42"/>
    <n v="0"/>
    <s v="CASH"/>
    <s v="LONG"/>
    <s v="CASH LONG"/>
    <n v="0"/>
    <n v="0"/>
    <n v="0"/>
    <n v="0"/>
    <s v="BULL"/>
    <s v="USD CASH LONG"/>
  </r>
  <r>
    <s v="EOS"/>
    <n v="5111044.8589000003"/>
    <n v="5061173.7201485196"/>
    <n v="0.990242476806942"/>
    <n v="0"/>
    <s v="ASSET"/>
    <d v="2023-01-13T00:00:00"/>
    <n v="1"/>
    <x v="16"/>
    <n v="0"/>
    <s v="COIN"/>
    <s v="LONG"/>
    <s v="COIN LONG"/>
    <n v="0"/>
    <n v="0"/>
    <n v="0"/>
    <n v="0"/>
    <s v="BULL"/>
    <s v="EOS COIN LONG"/>
  </r>
  <r>
    <s v="LINK"/>
    <n v="98449.309477839997"/>
    <n v="628237.68488666101"/>
    <n v="6.38133155243787"/>
    <n v="0"/>
    <s v="ASSET"/>
    <d v="2023-01-13T00:00:00"/>
    <n v="1"/>
    <x v="23"/>
    <n v="0"/>
    <s v="COIN"/>
    <s v="LONG"/>
    <s v="COIN LONG"/>
    <n v="0"/>
    <n v="0"/>
    <n v="0"/>
    <n v="0"/>
    <s v="BULL"/>
    <s v="LINK COIN LONG"/>
  </r>
  <r>
    <s v="LTC"/>
    <n v="7784.5861861900003"/>
    <n v="669195.95308882301"/>
    <n v="85.964229450756093"/>
    <n v="0"/>
    <s v="ASSET"/>
    <d v="2023-01-13T00:00:00"/>
    <n v="1"/>
    <x v="24"/>
    <n v="0"/>
    <s v="COIN"/>
    <s v="LONG"/>
    <s v="COIN LONG"/>
    <n v="0"/>
    <n v="0"/>
    <n v="0"/>
    <n v="0"/>
    <s v="BULL"/>
    <s v="LTC COIN LONG"/>
  </r>
  <r>
    <s v="USD"/>
    <n v="2570926.3349000001"/>
    <n v="2570926.3349000001"/>
    <n v="1"/>
    <n v="0"/>
    <s v="ASSET"/>
    <d v="2023-01-13T00:00:00"/>
    <n v="1"/>
    <x v="42"/>
    <n v="0"/>
    <s v="CASH"/>
    <s v="LONG"/>
    <s v="CASH LONG"/>
    <n v="0"/>
    <n v="0"/>
    <n v="0"/>
    <n v="0"/>
    <s v="BULL"/>
    <s v="USD CASH LONG"/>
  </r>
  <r>
    <s v="ETH"/>
    <n v="10506.92560604"/>
    <n v="14898174.576267799"/>
    <n v="1417.9385231112101"/>
    <n v="0"/>
    <s v="ASSET"/>
    <d v="2023-01-13T00:00:00"/>
    <n v="1"/>
    <x v="17"/>
    <n v="0"/>
    <s v="COIN"/>
    <s v="LONG"/>
    <s v="COIN LONG"/>
    <n v="0"/>
    <n v="0"/>
    <n v="0"/>
    <n v="0"/>
    <s v="BULL"/>
    <s v="ETH COIN LONG"/>
  </r>
  <r>
    <s v="USD"/>
    <n v="15310469.9882"/>
    <n v="15310469.9882"/>
    <n v="1"/>
    <n v="0"/>
    <s v="ASSET"/>
    <d v="2023-01-13T00:00:00"/>
    <n v="1"/>
    <x v="42"/>
    <n v="0"/>
    <s v="CASH"/>
    <s v="LONG"/>
    <s v="CASH LONG"/>
    <n v="0"/>
    <n v="0"/>
    <n v="0"/>
    <n v="0"/>
    <s v="BULL"/>
    <s v="USD CASH LONG"/>
  </r>
  <r>
    <s v="BTC"/>
    <n v="71.188435069999997"/>
    <n v="1343296.4440699201"/>
    <n v="18869.5880552655"/>
    <n v="0"/>
    <s v="ASSET"/>
    <d v="2023-01-13T00:00:00"/>
    <n v="1"/>
    <x v="8"/>
    <n v="0"/>
    <s v="COIN"/>
    <s v="LONG"/>
    <s v="COIN LONG"/>
    <n v="0"/>
    <n v="0"/>
    <n v="0"/>
    <n v="0"/>
    <s v="BULL"/>
    <s v="BTC COIN LONG"/>
  </r>
  <r>
    <s v="ETH"/>
    <n v="1029.23054336"/>
    <n v="1459385.6365928301"/>
    <n v="1417.9385231112101"/>
    <n v="0"/>
    <s v="ASSET"/>
    <d v="2023-01-13T00:00:00"/>
    <n v="1"/>
    <x v="17"/>
    <n v="0"/>
    <s v="COIN"/>
    <s v="LONG"/>
    <s v="COIN LONG"/>
    <n v="0"/>
    <n v="0"/>
    <n v="0"/>
    <n v="0"/>
    <s v="BULL"/>
    <s v="ETH COIN LONG"/>
  </r>
  <r>
    <s v="USDC"/>
    <n v="0.5"/>
    <n v="0.50003607481370005"/>
    <n v="1.0000721496274001"/>
    <n v="0"/>
    <s v="ASSET"/>
    <d v="2023-01-13T00:00:00"/>
    <n v="1"/>
    <x v="46"/>
    <n v="0"/>
    <s v="COIN"/>
    <s v="LONG"/>
    <s v="COIN LONG"/>
    <n v="0"/>
    <n v="0"/>
    <n v="0"/>
    <n v="0"/>
    <s v="BULL"/>
    <s v="USDC COIN LONG"/>
  </r>
  <r>
    <s v="CRV"/>
    <n v="0.26739257999999999"/>
    <n v="0.18426453966767301"/>
    <n v="0.68911612905516495"/>
    <n v="0"/>
    <s v="ASSET"/>
    <d v="2023-01-13T00:00:00"/>
    <n v="1"/>
    <x v="11"/>
    <n v="0"/>
    <s v="COIN"/>
    <s v="LONG"/>
    <s v="COIN LONG"/>
    <n v="0"/>
    <n v="0"/>
    <n v="0"/>
    <n v="0"/>
    <s v="DEFI"/>
    <s v="CRV COIN LONG"/>
  </r>
  <r>
    <s v="CRV"/>
    <n v="9.7777784299999997"/>
    <n v="6.73802482244069"/>
    <n v="0.68911612905516495"/>
    <n v="0"/>
    <s v="ASSET"/>
    <d v="2023-01-13T00:00:00"/>
    <n v="1"/>
    <x v="11"/>
    <n v="0"/>
    <s v="COIN"/>
    <s v="LONG"/>
    <s v="COIN LONG"/>
    <n v="0"/>
    <n v="0"/>
    <n v="0"/>
    <n v="0"/>
    <s v="DEFI"/>
    <s v="CRV COIN LONG"/>
  </r>
  <r>
    <s v="CVX"/>
    <n v="2.800215E-2"/>
    <n v="9.9342361696586501E-2"/>
    <n v="3.54766907885953"/>
    <n v="0"/>
    <s v="ASSET"/>
    <d v="2023-01-13T00:00:00"/>
    <n v="1"/>
    <x v="47"/>
    <n v="0"/>
    <s v="COIN"/>
    <s v="LONG"/>
    <s v="COIN LONG"/>
    <n v="0"/>
    <n v="0"/>
    <n v="0"/>
    <n v="0"/>
    <s v="DEFI"/>
    <s v="CVX COIN LONG"/>
  </r>
  <r>
    <s v="ETH"/>
    <n v="3.67060545"/>
    <n v="5204.6928706969902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USDC"/>
    <n v="13972.219738"/>
    <n v="13973.227828448"/>
    <n v="1.0000721496274001"/>
    <n v="0"/>
    <s v="ASSET"/>
    <d v="2023-01-13T00:00:00"/>
    <n v="1"/>
    <x v="46"/>
    <n v="0"/>
    <s v="COIN"/>
    <s v="LONG"/>
    <s v="COIN LONG"/>
    <n v="0"/>
    <n v="0"/>
    <n v="0"/>
    <n v="0"/>
    <s v="DEFI"/>
    <s v="USDC COIN LONG"/>
  </r>
  <r>
    <s v="$ PLEASE VISIT ACADY.SITE TO RECEIVE REWARD."/>
    <n v="180000"/>
    <n v="0"/>
    <n v="0"/>
    <n v="0"/>
    <s v="ASSET"/>
    <d v="2023-01-13T00:00:00"/>
    <n v="1"/>
    <x v="48"/>
    <n v="0"/>
    <s v="COIN"/>
    <s v="SHORT"/>
    <s v="COIN SHORT"/>
    <n v="0"/>
    <n v="0"/>
    <n v="0"/>
    <n v="0"/>
    <s v="DEFI"/>
    <s v="$ PLEASE VISIT ACADY.SITE TO RECEIVE REWARD. COIN SHORT"/>
  </r>
  <r>
    <s v="$ USDCBONUS.COM &lt;- VISIT TO CLAIM BONUS"/>
    <n v="7000"/>
    <n v="0"/>
    <n v="0"/>
    <n v="0"/>
    <s v="ASSET"/>
    <d v="2023-01-13T00:00:00"/>
    <n v="1"/>
    <x v="49"/>
    <n v="0"/>
    <s v="COIN"/>
    <s v="SHORT"/>
    <s v="COIN SHORT"/>
    <n v="0"/>
    <n v="0"/>
    <n v="0"/>
    <n v="0"/>
    <s v="DEFI"/>
    <s v="$ USDCBONUS.COM &lt;- VISIT TO CLAIM BONUS COIN SHORT"/>
  </r>
  <r>
    <s v="$ USDCGIFT.COM &lt;- VISIT TO CLAIM BONUS"/>
    <n v="7000"/>
    <n v="0"/>
    <n v="0"/>
    <n v="0"/>
    <s v="ASSET"/>
    <d v="2023-01-13T00:00:00"/>
    <n v="1"/>
    <x v="50"/>
    <n v="0"/>
    <s v="COIN"/>
    <s v="SHORT"/>
    <s v="COIN SHORT"/>
    <n v="0"/>
    <n v="0"/>
    <n v="0"/>
    <n v="0"/>
    <s v="DEFI"/>
    <s v="$ USDCGIFT.COM &lt;- VISIT TO CLAIM BONUS COIN SHORT"/>
  </r>
  <r>
    <s v="$ USDCXMAS.COM &lt;- VISIT TO CLAIM GIFT"/>
    <n v="7000"/>
    <n v="0"/>
    <n v="0"/>
    <n v="0"/>
    <s v="ASSET"/>
    <d v="2023-01-13T00:00:00"/>
    <n v="1"/>
    <x v="51"/>
    <n v="0"/>
    <s v="COIN"/>
    <s v="SHORT"/>
    <s v="COIN SHORT"/>
    <n v="0"/>
    <n v="0"/>
    <n v="0"/>
    <n v="0"/>
    <s v="DEFI"/>
    <s v="$ USDCXMAS.COM &lt;- VISIT TO CLAIM GIFT COIN SHORT"/>
  </r>
  <r>
    <s v="927$ VISIT AUSDBONUS.COM TO CLAIM"/>
    <n v="8"/>
    <n v="0"/>
    <n v="0"/>
    <n v="0"/>
    <s v="ASSET"/>
    <d v="2023-01-13T00:00:00"/>
    <n v="1"/>
    <x v="52"/>
    <n v="0"/>
    <s v="COIN"/>
    <s v="SHORT"/>
    <s v="COIN SHORT"/>
    <n v="0"/>
    <n v="0"/>
    <n v="0"/>
    <n v="0"/>
    <s v="DEFI"/>
    <s v="927$ VISIT AUSDBONUS.COM TO CLAIM COIN SHORT"/>
  </r>
  <r>
    <s v="AAVE"/>
    <n v="229.80482918999999"/>
    <n v="15594.816889215601"/>
    <n v="67.861136531304297"/>
    <n v="0"/>
    <s v="ASSET"/>
    <d v="2023-01-13T00:00:00"/>
    <n v="1"/>
    <x v="0"/>
    <n v="0"/>
    <s v="COIN"/>
    <s v="LONG"/>
    <s v="COIN LONG"/>
    <n v="0"/>
    <n v="0"/>
    <n v="0"/>
    <n v="0"/>
    <s v="DEFI"/>
    <s v="AAVE COIN LONG"/>
  </r>
  <r>
    <s v="AVAX"/>
    <n v="59.005456510000002"/>
    <n v="912.06800851335095"/>
    <n v="15.4573502597811"/>
    <n v="0"/>
    <s v="ASSET"/>
    <d v="2023-01-13T00:00:00"/>
    <n v="1"/>
    <x v="4"/>
    <n v="0"/>
    <s v="COIN"/>
    <s v="LONG"/>
    <s v="COIN LONG"/>
    <n v="0"/>
    <n v="0"/>
    <n v="0"/>
    <n v="0"/>
    <s v="DEFI"/>
    <s v="AVAX COIN LONG"/>
  </r>
  <r>
    <s v="BONUS. VISIT HTTPS://BITBONUS.TECH TO CLAIM REWARD."/>
    <n v="25"/>
    <n v="0"/>
    <n v="0"/>
    <n v="0"/>
    <s v="ASSET"/>
    <d v="2023-01-13T00:00:00"/>
    <n v="1"/>
    <x v="53"/>
    <n v="0"/>
    <s v="COIN"/>
    <s v="SHORT"/>
    <s v="COIN SHORT"/>
    <n v="0"/>
    <n v="0"/>
    <n v="0"/>
    <n v="0"/>
    <s v="DEFI"/>
    <s v="BONUS. VISIT HTTPS://BITBONUS.TECH TO CLAIM REWARD. COIN SHORT"/>
  </r>
  <r>
    <s v="ETH"/>
    <n v="16.8835707"/>
    <n v="23939.865303201801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INVITATION TOKEN. PLEASE VISIT HTTPS://AAKER.SITE AND CLAIM REWARDS."/>
    <n v="480000"/>
    <n v="0"/>
    <n v="0"/>
    <n v="0"/>
    <s v="ASSET"/>
    <d v="2023-01-13T00:00:00"/>
    <n v="1"/>
    <x v="54"/>
    <n v="0"/>
    <s v="COIN"/>
    <s v="SHORT"/>
    <s v="COIN SHORT"/>
    <n v="0"/>
    <n v="0"/>
    <n v="0"/>
    <n v="0"/>
    <s v="DEFI"/>
    <s v="INVITATION TOKEN. PLEASE VISIT HTTPS://AAKER.SITE AND CLAIM REWARDS. COIN SHORT"/>
  </r>
  <r>
    <s v="OAAVEUSDC/AAVE-02DEC22-67.5C"/>
    <n v="34311.93215886"/>
    <n v="0"/>
    <n v="0"/>
    <n v="0"/>
    <s v="ASSET"/>
    <d v="2023-01-13T00:00:00"/>
    <n v="1"/>
    <x v="55"/>
    <n v="0"/>
    <s v="COIN"/>
    <s v="SHORT"/>
    <s v="COIN SHORT"/>
    <n v="0"/>
    <n v="0"/>
    <n v="0"/>
    <n v="0"/>
    <s v="DEFI"/>
    <s v="OAAVEUSDC/AAVE-02DEC22-67.5C COIN SHORT"/>
  </r>
  <r>
    <s v="OAAVEUSDC/AAVE-06JAN23-62.5C"/>
    <n v="32302.942249520001"/>
    <n v="0"/>
    <n v="0"/>
    <n v="0"/>
    <s v="ASSET"/>
    <d v="2023-01-13T00:00:00"/>
    <n v="1"/>
    <x v="56"/>
    <n v="0"/>
    <s v="COIN"/>
    <s v="SHORT"/>
    <s v="COIN SHORT"/>
    <n v="0"/>
    <n v="0"/>
    <n v="0"/>
    <n v="0"/>
    <s v="DEFI"/>
    <s v="OAAVEUSDC/AAVE-06JAN23-62.5C COIN SHORT"/>
  </r>
  <r>
    <s v="OAAVEUSDC/AAVE-13JAN23-62.5C"/>
    <n v="32626.54331546"/>
    <n v="0"/>
    <n v="0"/>
    <n v="0"/>
    <s v="ASSET"/>
    <d v="2023-01-13T00:00:00"/>
    <n v="1"/>
    <x v="57"/>
    <n v="0"/>
    <s v="COIN"/>
    <s v="SHORT"/>
    <s v="COIN SHORT"/>
    <n v="0"/>
    <n v="0"/>
    <n v="0"/>
    <n v="0"/>
    <s v="DEFI"/>
    <s v="OAAVEUSDC/AAVE-13JAN23-62.5C COIN SHORT"/>
  </r>
  <r>
    <s v="OAAVEUSDC/AAVE-16DEC22-72.5C"/>
    <n v="33793.379334129997"/>
    <n v="0"/>
    <n v="0"/>
    <n v="0"/>
    <s v="ASSET"/>
    <d v="2023-01-13T00:00:00"/>
    <n v="1"/>
    <x v="58"/>
    <n v="0"/>
    <s v="COIN"/>
    <s v="SHORT"/>
    <s v="COIN SHORT"/>
    <n v="0"/>
    <n v="0"/>
    <n v="0"/>
    <n v="0"/>
    <s v="DEFI"/>
    <s v="OAAVEUSDC/AAVE-16DEC22-72.5C COIN SHORT"/>
  </r>
  <r>
    <s v="OAAVEUSDC/AAVE-25NOV22-72.5C"/>
    <n v="33991.374100820001"/>
    <n v="0"/>
    <n v="0"/>
    <n v="0"/>
    <s v="ASSET"/>
    <d v="2023-01-13T00:00:00"/>
    <n v="1"/>
    <x v="59"/>
    <n v="0"/>
    <s v="COIN"/>
    <s v="SHORT"/>
    <s v="COIN SHORT"/>
    <n v="0"/>
    <n v="0"/>
    <n v="0"/>
    <n v="0"/>
    <s v="DEFI"/>
    <s v="OAAVEUSDC/AAVE-25NOV22-72.5C COIN SHORT"/>
  </r>
  <r>
    <s v="OWAVAXUSDC.E/WAVAX-06JAN23-12.25C"/>
    <n v="19597.425537219999"/>
    <n v="0"/>
    <n v="0"/>
    <n v="0"/>
    <s v="ASSET"/>
    <d v="2023-01-13T00:00:00"/>
    <n v="1"/>
    <x v="60"/>
    <n v="0"/>
    <s v="COIN"/>
    <s v="SHORT"/>
    <s v="COIN SHORT"/>
    <n v="0"/>
    <n v="0"/>
    <n v="0"/>
    <n v="0"/>
    <s v="DEFI"/>
    <s v="OWAVAXUSDC.E/WAVAX-06JAN23-12.25C COIN SHORT"/>
  </r>
  <r>
    <s v="OWAVAXUSDC.E/WAVAX-09DEC22-15.5C"/>
    <n v="29214.150499390002"/>
    <n v="0"/>
    <n v="0"/>
    <n v="0"/>
    <s v="ASSET"/>
    <d v="2023-01-13T00:00:00"/>
    <n v="1"/>
    <x v="61"/>
    <n v="0"/>
    <s v="COIN"/>
    <s v="SHORT"/>
    <s v="COIN SHORT"/>
    <n v="0"/>
    <n v="0"/>
    <n v="0"/>
    <n v="0"/>
    <s v="DEFI"/>
    <s v="OWAVAXUSDC.E/WAVAX-09DEC22-15.5C COIN SHORT"/>
  </r>
  <r>
    <s v="OWAVAXUSDC.E/WAVAX-16DEC22-15.25C"/>
    <n v="20213.414599259999"/>
    <n v="0"/>
    <n v="0"/>
    <n v="0"/>
    <s v="ASSET"/>
    <d v="2023-01-13T00:00:00"/>
    <n v="1"/>
    <x v="62"/>
    <n v="0"/>
    <s v="COIN"/>
    <s v="SHORT"/>
    <s v="COIN SHORT"/>
    <n v="0"/>
    <n v="0"/>
    <n v="0"/>
    <n v="0"/>
    <s v="DEFI"/>
    <s v="OWAVAXUSDC.E/WAVAX-16DEC22-15.25C COIN SHORT"/>
  </r>
  <r>
    <s v="OWAVAXUSDC.E/WAVAX-25NOV22-15.5C"/>
    <n v="31925.004081070001"/>
    <n v="0"/>
    <n v="0"/>
    <n v="0"/>
    <s v="ASSET"/>
    <d v="2023-01-13T00:00:00"/>
    <n v="1"/>
    <x v="63"/>
    <n v="0"/>
    <s v="COIN"/>
    <s v="SHORT"/>
    <s v="COIN SHORT"/>
    <n v="0"/>
    <n v="0"/>
    <n v="0"/>
    <n v="0"/>
    <s v="DEFI"/>
    <s v="OWAVAXUSDC.E/WAVAX-25NOV22-15.5C COIN SHORT"/>
  </r>
  <r>
    <s v="OWAVAXUSDC.E/WAVAX-30DEC22-13.25C"/>
    <n v="17599.94336709"/>
    <n v="0"/>
    <n v="0"/>
    <n v="0"/>
    <s v="ASSET"/>
    <d v="2023-01-13T00:00:00"/>
    <n v="1"/>
    <x v="64"/>
    <n v="0"/>
    <s v="COIN"/>
    <s v="SHORT"/>
    <s v="COIN SHORT"/>
    <n v="0"/>
    <n v="0"/>
    <n v="0"/>
    <n v="0"/>
    <s v="DEFI"/>
    <s v="OWAVAXUSDC.E/WAVAX-30DEC22-13.25C COIN SHORT"/>
  </r>
  <r>
    <s v="OWETHUSDC/WETH-06JAN23-1300C"/>
    <n v="3032"/>
    <n v="0"/>
    <n v="0"/>
    <n v="0"/>
    <s v="ASSET"/>
    <d v="2023-01-13T00:00:00"/>
    <n v="1"/>
    <x v="65"/>
    <n v="0"/>
    <s v="COIN"/>
    <s v="SHORT"/>
    <s v="COIN SHORT"/>
    <n v="0"/>
    <n v="0"/>
    <n v="0"/>
    <n v="0"/>
    <s v="DEFI"/>
    <s v="OWETHUSDC/WETH-06JAN23-1300C COIN SHORT"/>
  </r>
  <r>
    <s v="OWETHUSDC/WETH-09DEC22-1450C"/>
    <n v="2698"/>
    <n v="0"/>
    <n v="0"/>
    <n v="0"/>
    <s v="ASSET"/>
    <d v="2023-01-13T00:00:00"/>
    <n v="1"/>
    <x v="66"/>
    <n v="0"/>
    <s v="COIN"/>
    <s v="SHORT"/>
    <s v="COIN SHORT"/>
    <n v="0"/>
    <n v="0"/>
    <n v="0"/>
    <n v="0"/>
    <s v="DEFI"/>
    <s v="OWETHUSDC/WETH-09DEC22-1450C COIN SHORT"/>
  </r>
  <r>
    <s v="OWETHUSDC/WETH-16DEC22-1450C"/>
    <n v="2891"/>
    <n v="0"/>
    <n v="0"/>
    <n v="0"/>
    <s v="ASSET"/>
    <d v="2023-01-13T00:00:00"/>
    <n v="1"/>
    <x v="67"/>
    <n v="0"/>
    <s v="COIN"/>
    <s v="SHORT"/>
    <s v="COIN SHORT"/>
    <n v="0"/>
    <n v="0"/>
    <n v="0"/>
    <n v="0"/>
    <s v="DEFI"/>
    <s v="OWETHUSDC/WETH-16DEC22-1450C COIN SHORT"/>
  </r>
  <r>
    <s v="OWETHUSDC/WETH-25NOV22-1400C"/>
    <n v="2904"/>
    <n v="0"/>
    <n v="0"/>
    <n v="0"/>
    <s v="ASSET"/>
    <d v="2023-01-13T00:00:00"/>
    <n v="1"/>
    <x v="68"/>
    <n v="0"/>
    <s v="COIN"/>
    <s v="SHORT"/>
    <s v="COIN SHORT"/>
    <n v="0"/>
    <n v="0"/>
    <n v="0"/>
    <n v="0"/>
    <s v="DEFI"/>
    <s v="OWETHUSDC/WETH-25NOV22-1400C COIN SHORT"/>
  </r>
  <r>
    <s v="OWETHUSDC/WETH-30DEC22-1350C"/>
    <n v="3047"/>
    <n v="0"/>
    <n v="0"/>
    <n v="0"/>
    <s v="ASSET"/>
    <d v="2023-01-13T00:00:00"/>
    <n v="1"/>
    <x v="69"/>
    <n v="0"/>
    <s v="COIN"/>
    <s v="SHORT"/>
    <s v="COIN SHORT"/>
    <n v="0"/>
    <n v="0"/>
    <n v="0"/>
    <n v="0"/>
    <s v="DEFI"/>
    <s v="OWETHUSDC/WETH-30DEC22-1350C COIN SHORT"/>
  </r>
  <r>
    <s v="OWETHUSDC/WSTETH-02DEC22-1350C"/>
    <n v="9472.1338239899997"/>
    <n v="0"/>
    <n v="0"/>
    <n v="0"/>
    <s v="ASSET"/>
    <d v="2023-01-13T00:00:00"/>
    <n v="1"/>
    <x v="70"/>
    <n v="0"/>
    <s v="COIN"/>
    <s v="SHORT"/>
    <s v="COIN SHORT"/>
    <n v="0"/>
    <n v="0"/>
    <n v="0"/>
    <n v="0"/>
    <s v="DEFI"/>
    <s v="OWETHUSDC/WSTETH-02DEC22-1350C COIN SHORT"/>
  </r>
  <r>
    <s v="OWETHUSDC/WSTETH-04NOV22-1700C"/>
    <n v="5625.02729593"/>
    <n v="0"/>
    <n v="0"/>
    <n v="0"/>
    <s v="ASSET"/>
    <d v="2023-01-13T00:00:00"/>
    <n v="1"/>
    <x v="71"/>
    <n v="0"/>
    <s v="COIN"/>
    <s v="SHORT"/>
    <s v="COIN SHORT"/>
    <n v="0"/>
    <n v="0"/>
    <n v="0"/>
    <n v="0"/>
    <s v="DEFI"/>
    <s v="OWETHUSDC/WSTETH-04NOV22-1700C COIN SHORT"/>
  </r>
  <r>
    <s v="OWETHUSDC/WSTETH-09SEP22-1900C"/>
    <n v="5968"/>
    <n v="0"/>
    <n v="0"/>
    <n v="0"/>
    <s v="ASSET"/>
    <d v="2023-01-13T00:00:00"/>
    <n v="1"/>
    <x v="72"/>
    <n v="0"/>
    <s v="COIN"/>
    <s v="SHORT"/>
    <s v="COIN SHORT"/>
    <n v="0"/>
    <n v="0"/>
    <n v="0"/>
    <n v="0"/>
    <s v="DEFI"/>
    <s v="OWETHUSDC/WSTETH-09SEP22-1900C COIN SHORT"/>
  </r>
  <r>
    <s v="OWETHUSDC/WSTETH-30DEC22-1350C"/>
    <n v="4006"/>
    <n v="0"/>
    <n v="0"/>
    <n v="0"/>
    <s v="ASSET"/>
    <d v="2023-01-13T00:00:00"/>
    <n v="1"/>
    <x v="73"/>
    <n v="0"/>
    <s v="COIN"/>
    <s v="SHORT"/>
    <s v="COIN SHORT"/>
    <n v="0"/>
    <n v="0"/>
    <n v="0"/>
    <n v="0"/>
    <s v="DEFI"/>
    <s v="OWETHUSDC/WSTETH-30DEC22-1350C COIN SHORT"/>
  </r>
  <r>
    <s v="USDC"/>
    <n v="60000"/>
    <n v="60004.328977644"/>
    <n v="1.0000721496274001"/>
    <n v="0"/>
    <s v="ASSET"/>
    <d v="2023-01-13T00:00:00"/>
    <n v="1"/>
    <x v="46"/>
    <n v="0"/>
    <s v="COIN"/>
    <s v="LONG"/>
    <s v="COIN LONG"/>
    <n v="0"/>
    <n v="0"/>
    <n v="0"/>
    <n v="0"/>
    <s v="DEFI"/>
    <s v="USDC COIN LONG"/>
  </r>
  <r>
    <s v="WAVAX"/>
    <n v="186.88790811999999"/>
    <n v="2877.3571273807302"/>
    <n v="15.396165307459"/>
    <n v="0"/>
    <s v="ASSET"/>
    <d v="2023-01-13T00:00:00"/>
    <n v="1"/>
    <x v="74"/>
    <n v="0"/>
    <s v="COIN"/>
    <s v="LONG"/>
    <s v="COIN LONG"/>
    <n v="0"/>
    <n v="0"/>
    <n v="0"/>
    <n v="0"/>
    <s v="DEFI"/>
    <s v="WAVAX COIN LONG"/>
  </r>
  <r>
    <s v="WETH"/>
    <n v="128.58989367000001"/>
    <n v="182220.348791973"/>
    <n v="1417.0658641308501"/>
    <n v="0"/>
    <s v="ASSET"/>
    <d v="2023-01-13T00:00:00"/>
    <n v="1"/>
    <x v="75"/>
    <n v="0"/>
    <s v="COIN"/>
    <s v="LONG"/>
    <s v="COIN LONG"/>
    <n v="0"/>
    <n v="0"/>
    <n v="0"/>
    <n v="0"/>
    <s v="DEFI"/>
    <s v="WETH COIN LONG"/>
  </r>
  <r>
    <s v="CRV"/>
    <n v="78.748072449999995"/>
    <n v="54.266566857299701"/>
    <n v="0.68911612905516495"/>
    <n v="0"/>
    <s v="ASSET"/>
    <d v="2023-01-13T00:00:00"/>
    <n v="1"/>
    <x v="11"/>
    <n v="0"/>
    <s v="COIN"/>
    <s v="LONG"/>
    <s v="COIN LONG"/>
    <n v="0"/>
    <n v="0"/>
    <n v="0"/>
    <n v="0"/>
    <s v="DEFI"/>
    <s v="CRV COIN LONG"/>
  </r>
  <r>
    <s v="CVX"/>
    <n v="2.51455188"/>
    <n v="8.9207979518641096"/>
    <n v="3.54766907885953"/>
    <n v="0"/>
    <s v="ASSET"/>
    <d v="2023-01-13T00:00:00"/>
    <n v="1"/>
    <x v="47"/>
    <n v="0"/>
    <s v="COIN"/>
    <s v="LONG"/>
    <s v="COIN LONG"/>
    <n v="0"/>
    <n v="0"/>
    <n v="0"/>
    <n v="0"/>
    <s v="DEFI"/>
    <s v="CVX COIN LONG"/>
  </r>
  <r>
    <s v="DAI"/>
    <n v="172554.34841886"/>
    <n v="172564.61571339701"/>
    <n v="1.0000595018012099"/>
    <n v="0"/>
    <s v="ASSET"/>
    <d v="2023-01-13T00:00:00"/>
    <n v="1"/>
    <x v="76"/>
    <n v="0"/>
    <s v="COIN"/>
    <s v="LONG"/>
    <s v="COIN LONG"/>
    <n v="0"/>
    <n v="0"/>
    <n v="0"/>
    <n v="0"/>
    <s v="DEFI"/>
    <s v="DAI COIN LONG"/>
  </r>
  <r>
    <s v="ETH"/>
    <n v="0.49557208000000003"/>
    <n v="702.69074321035498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MIM"/>
    <n v="516393.62323616998"/>
    <n v="515301.05266681401"/>
    <n v="0.99788422916125696"/>
    <n v="0"/>
    <s v="ASSET"/>
    <d v="2023-01-13T00:00:00"/>
    <n v="1"/>
    <x v="77"/>
    <n v="0"/>
    <s v="COIN"/>
    <s v="LONG"/>
    <s v="COIN LONG"/>
    <n v="0"/>
    <n v="0"/>
    <n v="0"/>
    <n v="0"/>
    <s v="DEFI"/>
    <s v="MIM COIN LONG"/>
  </r>
  <r>
    <s v="USDC"/>
    <n v="192885.46117379001"/>
    <n v="192899.37778794399"/>
    <n v="1.0000721496274001"/>
    <n v="0"/>
    <s v="ASSET"/>
    <d v="2023-01-13T00:00:00"/>
    <n v="1"/>
    <x v="46"/>
    <n v="0"/>
    <s v="COIN"/>
    <s v="LONG"/>
    <s v="COIN LONG"/>
    <n v="0"/>
    <n v="0"/>
    <n v="0"/>
    <n v="0"/>
    <s v="DEFI"/>
    <s v="USDC COIN LONG"/>
  </r>
  <r>
    <s v="USDT"/>
    <n v="132056.27534242999"/>
    <n v="132068.43101488499"/>
    <n v="1.00009204918451"/>
    <n v="0"/>
    <s v="ASSET"/>
    <d v="2023-01-13T00:00:00"/>
    <n v="1"/>
    <x v="34"/>
    <n v="0"/>
    <s v="COIN"/>
    <s v="LONG"/>
    <s v="COIN LONG"/>
    <n v="0"/>
    <n v="0"/>
    <n v="0"/>
    <n v="0"/>
    <s v="DEFI"/>
    <s v="USDT COIN LONG"/>
  </r>
  <r>
    <s v="ETH"/>
    <n v="2.34866376"/>
    <n v="3330.2608231392401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ETH"/>
    <n v="9.8779060000000002E-2"/>
    <n v="140.062634450714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OBALUSDC/BAL-30DEC22-7.6C"/>
    <n v="196525.25441796001"/>
    <n v="0"/>
    <n v="0"/>
    <n v="0"/>
    <s v="ASSET"/>
    <d v="2023-01-13T00:00:00"/>
    <n v="1"/>
    <x v="78"/>
    <n v="0"/>
    <s v="COIN"/>
    <s v="SHORT"/>
    <s v="COIN SHORT"/>
    <n v="0"/>
    <n v="0"/>
    <n v="0"/>
    <n v="0"/>
    <s v="DEFI"/>
    <s v="OBALUSDC/BAL-30DEC22-7.6C COIN SHORT"/>
  </r>
  <r>
    <s v="OPERPUSDC/PERP-30DEC22-0.54C"/>
    <n v="201000.92417708001"/>
    <n v="0"/>
    <n v="0"/>
    <n v="0"/>
    <s v="ASSET"/>
    <d v="2023-01-13T00:00:00"/>
    <n v="1"/>
    <x v="79"/>
    <n v="0"/>
    <s v="COIN"/>
    <s v="SHORT"/>
    <s v="COIN SHORT"/>
    <n v="0"/>
    <n v="0"/>
    <n v="0"/>
    <n v="0"/>
    <s v="DEFI"/>
    <s v="OPERPUSDC/PERP-30DEC22-0.54C COIN SHORT"/>
  </r>
  <r>
    <s v="OSPELLUSDC/SPELL-30DEC22-0.00079C"/>
    <n v="100050250.667"/>
    <n v="0"/>
    <n v="0"/>
    <n v="0"/>
    <s v="ASSET"/>
    <d v="2023-01-13T00:00:00"/>
    <n v="1"/>
    <x v="80"/>
    <n v="0"/>
    <s v="COIN"/>
    <s v="SHORT"/>
    <s v="COIN SHORT"/>
    <n v="0"/>
    <n v="0"/>
    <n v="0"/>
    <n v="0"/>
    <s v="DEFI"/>
    <s v="OSPELLUSDC/SPELL-30DEC22-0.00079C COIN SHORT"/>
  </r>
  <r>
    <s v="CRV"/>
    <n v="82.967645259999998"/>
    <n v="57.174342538393297"/>
    <n v="0.68911612905516495"/>
    <n v="0"/>
    <s v="ASSET"/>
    <d v="2023-01-13T00:00:00"/>
    <n v="1"/>
    <x v="11"/>
    <n v="0"/>
    <s v="COIN"/>
    <s v="LONG"/>
    <s v="COIN LONG"/>
    <n v="0"/>
    <n v="0"/>
    <n v="0"/>
    <n v="0"/>
    <s v="DEFI"/>
    <s v="CRV COIN LONG"/>
  </r>
  <r>
    <s v="CVX"/>
    <n v="3.47592108"/>
    <n v="12.331417736072"/>
    <n v="3.54766907885953"/>
    <n v="0"/>
    <s v="ASSET"/>
    <d v="2023-01-13T00:00:00"/>
    <n v="1"/>
    <x v="47"/>
    <n v="0"/>
    <s v="COIN"/>
    <s v="LONG"/>
    <s v="COIN LONG"/>
    <n v="0"/>
    <n v="0"/>
    <n v="0"/>
    <n v="0"/>
    <s v="DEFI"/>
    <s v="CVX COIN LONG"/>
  </r>
  <r>
    <s v="ETH"/>
    <n v="502.25244882999999"/>
    <n v="712163.09552300302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ETH"/>
    <n v="8.0888086799999996"/>
    <n v="11469.433433448399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ETH"/>
    <n v="494.97593741999998"/>
    <n v="701845.44968090602"/>
    <n v="1417.9385231112101"/>
    <n v="0"/>
    <s v="ASSET"/>
    <d v="2023-01-13T00:00:00"/>
    <n v="1"/>
    <x v="17"/>
    <n v="0"/>
    <s v="COIN"/>
    <s v="LONG"/>
    <s v="COIN LONG"/>
    <n v="0"/>
    <n v="0"/>
    <n v="0"/>
    <n v="0"/>
    <s v="DEFI"/>
    <s v="ETH COIN LONG"/>
  </r>
  <r>
    <s v="FXS"/>
    <n v="4.9449780900000002"/>
    <n v="31.966226316242999"/>
    <n v="6.4643817898580496"/>
    <n v="0"/>
    <s v="ASSET"/>
    <d v="2023-01-13T00:00:00"/>
    <n v="1"/>
    <x v="81"/>
    <n v="0"/>
    <s v="COIN"/>
    <s v="LONG"/>
    <s v="COIN LONG"/>
    <n v="0"/>
    <n v="0"/>
    <n v="0"/>
    <n v="0"/>
    <s v="DEFI"/>
    <s v="FXS COIN LONG"/>
  </r>
  <r>
    <s v="FXS"/>
    <n v="603.23998956000003"/>
    <n v="3899.5736034258198"/>
    <n v="6.4643817898580496"/>
    <n v="0"/>
    <s v="ASSET"/>
    <d v="2023-01-13T00:00:00"/>
    <n v="1"/>
    <x v="81"/>
    <n v="0"/>
    <s v="COIN"/>
    <s v="LONG"/>
    <s v="COIN LONG"/>
    <n v="0"/>
    <n v="0"/>
    <n v="0"/>
    <n v="0"/>
    <s v="DEFI"/>
    <s v="FXS COIN LONG"/>
  </r>
  <r>
    <s v="USDC"/>
    <n v="12009760.042401001"/>
    <n v="12010626.5421132"/>
    <n v="1.0000721496274001"/>
    <n v="0"/>
    <s v="ASSET"/>
    <d v="2023-01-13T00:00:00"/>
    <n v="1"/>
    <x v="46"/>
    <n v="0"/>
    <s v="COIN"/>
    <s v="LONG"/>
    <s v="COIN LONG"/>
    <n v="0"/>
    <n v="0"/>
    <n v="0"/>
    <n v="0"/>
    <s v="DEFI"/>
    <s v="USDC COIN LONG"/>
  </r>
  <r>
    <s v="USDC"/>
    <n v="15672.084394"/>
    <n v="15673.2151290496"/>
    <n v="1.0000721496274001"/>
    <n v="0"/>
    <s v="ASSET"/>
    <d v="2023-01-13T00:00:00"/>
    <n v="1"/>
    <x v="46"/>
    <n v="0"/>
    <s v="COIN"/>
    <s v="LONG"/>
    <s v="COIN LONG"/>
    <n v="0"/>
    <n v="0"/>
    <n v="0"/>
    <n v="0"/>
    <s v="DYDX"/>
    <s v="USDC COIN LONG"/>
  </r>
  <r>
    <s v="ADA"/>
    <n v="1E-8"/>
    <n v="3.2975847474337499E-9"/>
    <n v="0.329758474743375"/>
    <n v="0"/>
    <s v="ASSET"/>
    <d v="2023-01-13T00:00:00"/>
    <n v="1"/>
    <x v="1"/>
    <n v="0"/>
    <s v="COIN"/>
    <s v="LONG"/>
    <s v="COIN LONG"/>
    <n v="0"/>
    <n v="0"/>
    <n v="0"/>
    <n v="0"/>
    <s v="FUB2"/>
    <s v="ADA COIN LONG"/>
  </r>
  <r>
    <s v="BCH"/>
    <n v="4.9999999999999998E-8"/>
    <n v="5.9855233068706001E-6"/>
    <n v="119.710466137412"/>
    <n v="0"/>
    <s v="ASSET"/>
    <d v="2023-01-13T00:00:00"/>
    <n v="1"/>
    <x v="6"/>
    <n v="0"/>
    <s v="COIN"/>
    <s v="LONG"/>
    <s v="COIN LONG"/>
    <n v="0"/>
    <n v="0"/>
    <n v="0"/>
    <n v="0"/>
    <s v="FUB2"/>
    <s v="BCH COIN LONG"/>
  </r>
  <r>
    <s v="BSV"/>
    <n v="0.47315189000000002"/>
    <n v="19.942399223761299"/>
    <n v="42.1479859749927"/>
    <n v="0"/>
    <s v="ASSET"/>
    <d v="2023-01-13T00:00:00"/>
    <n v="1"/>
    <x v="82"/>
    <n v="0"/>
    <s v="COIN"/>
    <s v="LONG"/>
    <s v="COIN LONG"/>
    <n v="0"/>
    <n v="0"/>
    <n v="0"/>
    <n v="0"/>
    <s v="FUB2"/>
    <s v="BSV COIN LONG"/>
  </r>
  <r>
    <s v="BTC"/>
    <n v="4.0000000000000001E-8"/>
    <n v="7.5478352221062302E-4"/>
    <n v="18869.5880552655"/>
    <n v="0"/>
    <s v="ASSET"/>
    <d v="2023-01-13T00:00:00"/>
    <n v="1"/>
    <x v="8"/>
    <n v="0"/>
    <s v="COIN"/>
    <s v="LONG"/>
    <s v="COIN LONG"/>
    <n v="0"/>
    <n v="0"/>
    <n v="0"/>
    <n v="0"/>
    <s v="FUB2"/>
    <s v="BTC COIN LONG"/>
  </r>
  <r>
    <s v="EOS"/>
    <n v="2.9999999999999997E-8"/>
    <n v="2.9707274304208201E-8"/>
    <n v="0.990242476806942"/>
    <n v="0"/>
    <s v="ASSET"/>
    <d v="2023-01-13T00:00:00"/>
    <n v="1"/>
    <x v="16"/>
    <n v="0"/>
    <s v="COIN"/>
    <s v="LONG"/>
    <s v="COIN LONG"/>
    <n v="0"/>
    <n v="0"/>
    <n v="0"/>
    <n v="0"/>
    <s v="FUB2"/>
    <s v="EOS COIN LONG"/>
  </r>
  <r>
    <s v="ETC"/>
    <n v="1E-8"/>
    <n v="2.0917758217744E-7"/>
    <n v="20.917758217744002"/>
    <n v="0"/>
    <s v="ASSET"/>
    <d v="2023-01-13T00:00:00"/>
    <n v="1"/>
    <x v="40"/>
    <n v="0"/>
    <s v="COIN"/>
    <s v="LONG"/>
    <s v="COIN LONG"/>
    <n v="0"/>
    <n v="0"/>
    <n v="0"/>
    <n v="0"/>
    <s v="FUB2"/>
    <s v="ETC COIN LONG"/>
  </r>
  <r>
    <s v="ETH"/>
    <n v="2.9999999999999997E-8"/>
    <n v="4.2538155693336497E-5"/>
    <n v="1417.9385231112101"/>
    <n v="0"/>
    <s v="ASSET"/>
    <d v="2023-01-13T00:00:00"/>
    <n v="1"/>
    <x v="17"/>
    <n v="0"/>
    <s v="COIN"/>
    <s v="LONG"/>
    <s v="COIN LONG"/>
    <n v="0"/>
    <n v="0"/>
    <n v="0"/>
    <n v="0"/>
    <s v="FUB2"/>
    <s v="ETH COIN LONG"/>
  </r>
  <r>
    <s v="LTC"/>
    <n v="1E-8"/>
    <n v="8.5964229450756099E-7"/>
    <n v="85.964229450756093"/>
    <n v="0"/>
    <s v="ASSET"/>
    <d v="2023-01-13T00:00:00"/>
    <n v="1"/>
    <x v="24"/>
    <n v="0"/>
    <s v="COIN"/>
    <s v="LONG"/>
    <s v="COIN LONG"/>
    <n v="0"/>
    <n v="0"/>
    <n v="0"/>
    <n v="0"/>
    <s v="FUB2"/>
    <s v="LTC COIN LONG"/>
  </r>
  <r>
    <s v="TRX"/>
    <n v="1E-8"/>
    <n v="5.7111199630631599E-10"/>
    <n v="5.7111199630631597E-2"/>
    <n v="0"/>
    <s v="ASSET"/>
    <d v="2023-01-13T00:00:00"/>
    <n v="1"/>
    <x v="83"/>
    <n v="0"/>
    <s v="COIN"/>
    <s v="LONG"/>
    <s v="COIN LONG"/>
    <n v="0"/>
    <n v="0"/>
    <n v="0"/>
    <n v="0"/>
    <s v="FUB2"/>
    <s v="TRX COIN LONG"/>
  </r>
  <r>
    <s v="XRP"/>
    <n v="9.9999999999999995E-8"/>
    <n v="3.7519714224190102E-8"/>
    <n v="0.37519714224190098"/>
    <n v="0"/>
    <s v="ASSET"/>
    <d v="2023-01-13T00:00:00"/>
    <n v="1"/>
    <x v="36"/>
    <n v="0"/>
    <s v="COIN"/>
    <s v="LONG"/>
    <s v="COIN LONG"/>
    <n v="0"/>
    <n v="0"/>
    <n v="0"/>
    <n v="0"/>
    <s v="FUB2"/>
    <s v="XRP COIN LONG"/>
  </r>
  <r>
    <s v="ADA"/>
    <n v="5.7406599999999999E-3"/>
    <n v="1.8930312856203001E-3"/>
    <n v="0.329758474743375"/>
    <n v="0"/>
    <s v="ASSET"/>
    <d v="2023-01-13T00:00:00"/>
    <n v="1"/>
    <x v="1"/>
    <n v="0"/>
    <s v="COIN"/>
    <s v="LONG"/>
    <s v="COIN LONG"/>
    <n v="0"/>
    <n v="0"/>
    <n v="0"/>
    <n v="0"/>
    <s v="FUBI"/>
    <s v="ADA COIN LONG"/>
  </r>
  <r>
    <s v="BCH"/>
    <n v="0.72885027999999996"/>
    <n v="87.251006763183298"/>
    <n v="119.710466137412"/>
    <n v="0"/>
    <s v="ASSET"/>
    <d v="2023-01-13T00:00:00"/>
    <n v="1"/>
    <x v="6"/>
    <n v="0"/>
    <s v="COIN"/>
    <s v="LONG"/>
    <s v="COIN LONG"/>
    <n v="0"/>
    <n v="0"/>
    <n v="0"/>
    <n v="0"/>
    <s v="FUBI"/>
    <s v="BCH COIN LONG"/>
  </r>
  <r>
    <s v="BSV"/>
    <n v="0.11285791000000001"/>
    <n v="4.7567336078469902"/>
    <n v="42.1479859749927"/>
    <n v="0"/>
    <s v="ASSET"/>
    <d v="2023-01-13T00:00:00"/>
    <n v="1"/>
    <x v="82"/>
    <n v="0"/>
    <s v="COIN"/>
    <s v="LONG"/>
    <s v="COIN LONG"/>
    <n v="0"/>
    <n v="0"/>
    <n v="0"/>
    <n v="0"/>
    <s v="FUBI"/>
    <s v="BSV COIN LONG"/>
  </r>
  <r>
    <s v="BTC"/>
    <n v="5.1900000000000003E-6"/>
    <n v="9.7933162006828306E-2"/>
    <n v="18869.5880552655"/>
    <n v="0"/>
    <s v="ASSET"/>
    <d v="2023-01-13T00:00:00"/>
    <n v="1"/>
    <x v="8"/>
    <n v="0"/>
    <s v="COIN"/>
    <s v="LONG"/>
    <s v="COIN LONG"/>
    <n v="0"/>
    <n v="0"/>
    <n v="0"/>
    <n v="0"/>
    <s v="FUBI"/>
    <s v="BTC COIN LONG"/>
  </r>
  <r>
    <s v="DOT"/>
    <n v="0.97764076"/>
    <n v="5.1125507867595497"/>
    <n v="5.2294779390740098"/>
    <n v="0"/>
    <s v="ASSET"/>
    <d v="2023-01-13T00:00:00"/>
    <n v="1"/>
    <x v="14"/>
    <n v="0"/>
    <s v="COIN"/>
    <s v="LONG"/>
    <s v="COIN LONG"/>
    <n v="0"/>
    <n v="0"/>
    <n v="0"/>
    <n v="0"/>
    <s v="FUBI"/>
    <s v="DOT COIN LONG"/>
  </r>
  <r>
    <s v="EOS"/>
    <n v="3.7085149999999997E-2"/>
    <n v="3.6723290788756899E-2"/>
    <n v="0.990242476806942"/>
    <n v="0"/>
    <s v="ASSET"/>
    <d v="2023-01-13T00:00:00"/>
    <n v="1"/>
    <x v="16"/>
    <n v="0"/>
    <s v="COIN"/>
    <s v="LONG"/>
    <s v="COIN LONG"/>
    <n v="0"/>
    <n v="0"/>
    <n v="0"/>
    <n v="0"/>
    <s v="FUBI"/>
    <s v="EOS COIN LONG"/>
  </r>
  <r>
    <s v="ETC"/>
    <n v="0.70701212999999996"/>
    <n v="14.7891087923522"/>
    <n v="20.917758217744002"/>
    <n v="0"/>
    <s v="ASSET"/>
    <d v="2023-01-13T00:00:00"/>
    <n v="1"/>
    <x v="40"/>
    <n v="0"/>
    <s v="COIN"/>
    <s v="LONG"/>
    <s v="COIN LONG"/>
    <n v="0"/>
    <n v="0"/>
    <n v="0"/>
    <n v="0"/>
    <s v="FUBI"/>
    <s v="ETC COIN LONG"/>
  </r>
  <r>
    <s v="ETH"/>
    <n v="9.5337999999999998E-4"/>
    <n v="1.3518342291637699"/>
    <n v="1417.9385231112101"/>
    <n v="0"/>
    <s v="ASSET"/>
    <d v="2023-01-13T00:00:00"/>
    <n v="1"/>
    <x v="17"/>
    <n v="0"/>
    <s v="COIN"/>
    <s v="LONG"/>
    <s v="COIN LONG"/>
    <n v="0"/>
    <n v="0"/>
    <n v="0"/>
    <n v="0"/>
    <s v="FUBI"/>
    <s v="ETH COIN LONG"/>
  </r>
  <r>
    <s v="LINK"/>
    <n v="6.244243E-2"/>
    <n v="0.39846584876989299"/>
    <n v="6.38133155243787"/>
    <n v="0"/>
    <s v="ASSET"/>
    <d v="2023-01-13T00:00:00"/>
    <n v="1"/>
    <x v="23"/>
    <n v="0"/>
    <s v="COIN"/>
    <s v="LONG"/>
    <s v="COIN LONG"/>
    <n v="0"/>
    <n v="0"/>
    <n v="0"/>
    <n v="0"/>
    <s v="FUBI"/>
    <s v="LINK COIN LONG"/>
  </r>
  <r>
    <s v="LTC"/>
    <n v="7.1564416099999999"/>
    <n v="615.19798861297795"/>
    <n v="85.964229450756093"/>
    <n v="0"/>
    <s v="ASSET"/>
    <d v="2023-01-13T00:00:00"/>
    <n v="1"/>
    <x v="24"/>
    <n v="0"/>
    <s v="COIN"/>
    <s v="LONG"/>
    <s v="COIN LONG"/>
    <n v="0"/>
    <n v="0"/>
    <n v="0"/>
    <n v="0"/>
    <s v="FUBI"/>
    <s v="LTC COIN LONG"/>
  </r>
  <r>
    <s v="TRX"/>
    <n v="0.95766242000000001"/>
    <n v="5.46932496473738E-2"/>
    <n v="5.7111199630631597E-2"/>
    <n v="0"/>
    <s v="ASSET"/>
    <d v="2023-01-13T00:00:00"/>
    <n v="1"/>
    <x v="83"/>
    <n v="0"/>
    <s v="COIN"/>
    <s v="LONG"/>
    <s v="COIN LONG"/>
    <n v="0"/>
    <n v="0"/>
    <n v="0"/>
    <n v="0"/>
    <s v="FUBI"/>
    <s v="TRX COIN LONG"/>
  </r>
  <r>
    <s v="XRP"/>
    <n v="0.54364484000000002"/>
    <n v="0.20397399036255501"/>
    <n v="0.37519714224190098"/>
    <n v="0"/>
    <s v="ASSET"/>
    <d v="2023-01-13T00:00:00"/>
    <n v="1"/>
    <x v="36"/>
    <n v="0"/>
    <s v="COIN"/>
    <s v="LONG"/>
    <s v="COIN LONG"/>
    <n v="0"/>
    <n v="0"/>
    <n v="0"/>
    <n v="0"/>
    <s v="FUBI"/>
    <s v="XRP COIN LONG"/>
  </r>
  <r>
    <s v="BTC"/>
    <n v="9.9829999999999998E-5"/>
    <n v="1.88375097555716"/>
    <n v="18869.5880552655"/>
    <n v="0"/>
    <s v="ASSET"/>
    <d v="2023-01-13T00:00:00"/>
    <n v="1"/>
    <x v="8"/>
    <n v="0"/>
    <s v="COIN"/>
    <s v="LONG"/>
    <s v="COIN LONG"/>
    <n v="0"/>
    <n v="0"/>
    <n v="0"/>
    <n v="0"/>
    <s v="GATE"/>
    <s v="BTC COIN LONG"/>
  </r>
  <r>
    <s v="USDT"/>
    <n v="10195.00440553"/>
    <n v="10195.9428473716"/>
    <n v="1.00009204918451"/>
    <n v="0"/>
    <s v="ASSET"/>
    <d v="2023-01-13T00:00:00"/>
    <n v="1"/>
    <x v="34"/>
    <n v="0"/>
    <s v="COIN"/>
    <s v="LONG"/>
    <s v="COIN LONG"/>
    <n v="0"/>
    <n v="0"/>
    <n v="0"/>
    <n v="0"/>
    <s v="GATE"/>
    <s v="USDT COIN LONG"/>
  </r>
  <r>
    <s v="BTC"/>
    <n v="1.899957E-2"/>
    <n v="358.51405912718201"/>
    <n v="18869.5880552655"/>
    <n v="0"/>
    <s v="ASSET"/>
    <d v="2023-01-13T00:00:00"/>
    <n v="1"/>
    <x v="8"/>
    <n v="0"/>
    <s v="COIN"/>
    <s v="LONG"/>
    <s v="COIN LONG"/>
    <n v="0"/>
    <n v="0"/>
    <n v="0"/>
    <n v="0"/>
    <s v="GATE"/>
    <s v="BTC COIN LONG"/>
  </r>
  <r>
    <s v="ETHF"/>
    <n v="9.9825000000000001E-4"/>
    <n v="3.40920543791141E-4"/>
    <n v="0.34151820064226501"/>
    <n v="0"/>
    <s v="ASSET"/>
    <d v="2023-01-13T00:00:00"/>
    <n v="1"/>
    <x v="84"/>
    <n v="0"/>
    <s v="COIN"/>
    <s v="LONG"/>
    <s v="COIN LONG"/>
    <n v="0"/>
    <n v="0"/>
    <n v="0"/>
    <n v="0"/>
    <s v="GATE"/>
    <s v="ETHF COIN LONG"/>
  </r>
  <r>
    <s v="ETHW"/>
    <n v="9.9825000000000001E-4"/>
    <n v="3.42808374820222E-3"/>
    <n v="3.43409341167265"/>
    <n v="0"/>
    <s v="ASSET"/>
    <d v="2023-01-13T00:00:00"/>
    <n v="1"/>
    <x v="41"/>
    <n v="0"/>
    <s v="COIN"/>
    <s v="LONG"/>
    <s v="COIN LONG"/>
    <n v="0"/>
    <n v="0"/>
    <n v="0"/>
    <n v="0"/>
    <s v="GATE"/>
    <s v="ETHW COIN LONG"/>
  </r>
  <r>
    <s v="ROSE"/>
    <n v="9.5929999999999998E-5"/>
    <n v="4.0479294959959199E-6"/>
    <n v="4.2196700677534803E-2"/>
    <n v="0"/>
    <s v="ASSET"/>
    <d v="2023-01-13T00:00:00"/>
    <n v="1"/>
    <x v="85"/>
    <n v="0"/>
    <s v="COIN"/>
    <s v="LONG"/>
    <s v="COIN LONG"/>
    <n v="0"/>
    <n v="0"/>
    <n v="0"/>
    <n v="0"/>
    <s v="GATE"/>
    <s v="ROSE COIN LONG"/>
  </r>
  <r>
    <s v="USDT"/>
    <n v="71.681742360000001"/>
    <n v="71.688340605928701"/>
    <n v="1.00009204918451"/>
    <n v="0"/>
    <s v="ASSET"/>
    <d v="2023-01-13T00:00:00"/>
    <n v="1"/>
    <x v="34"/>
    <n v="0"/>
    <s v="COIN"/>
    <s v="LONG"/>
    <s v="COIN LONG"/>
    <n v="0"/>
    <n v="0"/>
    <n v="0"/>
    <n v="0"/>
    <s v="GATE"/>
    <s v="USDT COIN LONG"/>
  </r>
  <r>
    <s v="BTC"/>
    <n v="1.995E-4"/>
    <n v="3.7644828170254798"/>
    <n v="18869.5880552655"/>
    <n v="0"/>
    <s v="ASSET"/>
    <d v="2023-01-13T00:00:00"/>
    <n v="1"/>
    <x v="8"/>
    <n v="0"/>
    <s v="COIN"/>
    <s v="LONG"/>
    <s v="COIN LONG"/>
    <n v="0"/>
    <n v="0"/>
    <n v="0"/>
    <n v="0"/>
    <s v="GATE"/>
    <s v="BTC COIN LONG"/>
  </r>
  <r>
    <s v="ETH"/>
    <n v="9.9825000000000001E-4"/>
    <n v="1.4154571306957699"/>
    <n v="1417.9385231112101"/>
    <n v="0"/>
    <s v="ASSET"/>
    <d v="2023-01-13T00:00:00"/>
    <n v="1"/>
    <x v="17"/>
    <n v="0"/>
    <s v="COIN"/>
    <s v="LONG"/>
    <s v="COIN LONG"/>
    <n v="0"/>
    <n v="0"/>
    <n v="0"/>
    <n v="0"/>
    <s v="GATE"/>
    <s v="ETH COIN LONG"/>
  </r>
  <r>
    <s v="USDT"/>
    <n v="59.393906000000001"/>
    <n v="59.399373160612399"/>
    <n v="1.00009204918451"/>
    <n v="0"/>
    <s v="ASSET"/>
    <d v="2023-01-13T00:00:00"/>
    <n v="1"/>
    <x v="34"/>
    <n v="0"/>
    <s v="COIN"/>
    <s v="LONG"/>
    <s v="COIN LONG"/>
    <n v="0"/>
    <n v="0"/>
    <n v="0"/>
    <n v="0"/>
    <s v="GATE"/>
    <s v="USDT COIN LONG"/>
  </r>
  <r>
    <s v="USDT"/>
    <n v="10045.794859"/>
    <n v="10046.719566224499"/>
    <n v="1.00009204918451"/>
    <n v="0"/>
    <s v="ASSET"/>
    <d v="2023-01-13T00:00:00"/>
    <n v="1"/>
    <x v="34"/>
    <n v="0"/>
    <s v="COIN"/>
    <s v="LONG"/>
    <s v="COIN LONG"/>
    <n v="0"/>
    <n v="0"/>
    <n v="0"/>
    <n v="0"/>
    <s v="GATE"/>
    <s v="USDT COIN LONG"/>
  </r>
  <r>
    <s v="USDT"/>
    <n v="1E-8"/>
    <n v="1.00009204918451E-8"/>
    <n v="1.00009204918451"/>
    <n v="0"/>
    <s v="ASSET"/>
    <d v="2023-01-12T00:00:00"/>
    <n v="1"/>
    <x v="34"/>
    <n v="0"/>
    <s v="COIN"/>
    <s v="LONG"/>
    <s v="COIN LONG"/>
    <n v="0"/>
    <n v="0"/>
    <n v="0"/>
    <n v="0"/>
    <s v="HUB2"/>
    <s v="USDT COIN LONG"/>
  </r>
  <r>
    <s v="XRP"/>
    <n v="7.4209999999999996E-5"/>
    <n v="2.78433799257714E-5"/>
    <n v="0.37519714224190098"/>
    <n v="0"/>
    <s v="ASSET"/>
    <d v="2023-01-12T00:00:00"/>
    <n v="1"/>
    <x v="36"/>
    <n v="0"/>
    <s v="COIN"/>
    <s v="LONG"/>
    <s v="COIN LONG"/>
    <n v="0"/>
    <n v="0"/>
    <n v="0"/>
    <n v="0"/>
    <s v="HUB2"/>
    <s v="XRP COIN LONG"/>
  </r>
  <r>
    <s v="ADA"/>
    <n v="1E-8"/>
    <n v="3.2975847474337499E-9"/>
    <n v="0.329758474743375"/>
    <n v="0"/>
    <s v="ASSET"/>
    <d v="2023-01-13T00:00:00"/>
    <n v="1"/>
    <x v="1"/>
    <n v="0"/>
    <s v="COIN"/>
    <s v="LONG"/>
    <s v="COIN LONG"/>
    <n v="0"/>
    <n v="0"/>
    <n v="0"/>
    <n v="0"/>
    <s v="HUB2"/>
    <s v="ADA COIN LONG"/>
  </r>
  <r>
    <s v="BCH"/>
    <n v="1E-8"/>
    <n v="1.1971046613741201E-6"/>
    <n v="119.710466137412"/>
    <n v="0"/>
    <s v="ASSET"/>
    <d v="2023-01-13T00:00:00"/>
    <n v="1"/>
    <x v="6"/>
    <n v="0"/>
    <s v="COIN"/>
    <s v="LONG"/>
    <s v="COIN LONG"/>
    <n v="0"/>
    <n v="0"/>
    <n v="0"/>
    <n v="0"/>
    <s v="HUB2"/>
    <s v="BCH COIN LONG"/>
  </r>
  <r>
    <s v="BSV"/>
    <n v="1E-8"/>
    <n v="4.2147985974992698E-7"/>
    <n v="42.1479859749927"/>
    <n v="0"/>
    <s v="ASSET"/>
    <d v="2023-01-13T00:00:00"/>
    <n v="1"/>
    <x v="82"/>
    <n v="0"/>
    <s v="COIN"/>
    <s v="LONG"/>
    <s v="COIN LONG"/>
    <n v="0"/>
    <n v="0"/>
    <n v="0"/>
    <n v="0"/>
    <s v="HUB2"/>
    <s v="BSV COIN LONG"/>
  </r>
  <r>
    <s v="EOS"/>
    <n v="1E-8"/>
    <n v="9.9024247680694202E-9"/>
    <n v="0.990242476806942"/>
    <n v="0"/>
    <s v="ASSET"/>
    <d v="2023-01-13T00:00:00"/>
    <n v="1"/>
    <x v="16"/>
    <n v="0"/>
    <s v="COIN"/>
    <s v="LONG"/>
    <s v="COIN LONG"/>
    <n v="0"/>
    <n v="0"/>
    <n v="0"/>
    <n v="0"/>
    <s v="HUB2"/>
    <s v="EOS COIN LONG"/>
  </r>
  <r>
    <s v="ETC"/>
    <n v="1E-8"/>
    <n v="2.0917758217744E-7"/>
    <n v="20.917758217744002"/>
    <n v="0"/>
    <s v="ASSET"/>
    <d v="2023-01-13T00:00:00"/>
    <n v="1"/>
    <x v="40"/>
    <n v="0"/>
    <s v="COIN"/>
    <s v="LONG"/>
    <s v="COIN LONG"/>
    <n v="0"/>
    <n v="0"/>
    <n v="0"/>
    <n v="0"/>
    <s v="HUB2"/>
    <s v="ETC COIN LONG"/>
  </r>
  <r>
    <s v="ETH"/>
    <n v="1E-8"/>
    <n v="1.41793852311121E-5"/>
    <n v="1417.9385231112101"/>
    <n v="0"/>
    <s v="ASSET"/>
    <d v="2023-01-13T00:00:00"/>
    <n v="1"/>
    <x v="17"/>
    <n v="0"/>
    <s v="COIN"/>
    <s v="LONG"/>
    <s v="COIN LONG"/>
    <n v="0"/>
    <n v="0"/>
    <n v="0"/>
    <n v="0"/>
    <s v="HUB2"/>
    <s v="ETH COIN LONG"/>
  </r>
  <r>
    <s v="LINK"/>
    <n v="1E-8"/>
    <n v="6.3813315524378703E-8"/>
    <n v="6.38133155243787"/>
    <n v="0"/>
    <s v="ASSET"/>
    <d v="2023-01-13T00:00:00"/>
    <n v="1"/>
    <x v="23"/>
    <n v="0"/>
    <s v="COIN"/>
    <s v="LONG"/>
    <s v="COIN LONG"/>
    <n v="0"/>
    <n v="0"/>
    <n v="0"/>
    <n v="0"/>
    <s v="HUB2"/>
    <s v="LINK COIN LONG"/>
  </r>
  <r>
    <s v="LTC"/>
    <n v="1E-8"/>
    <n v="8.5964229450756099E-7"/>
    <n v="85.964229450756093"/>
    <n v="0"/>
    <s v="ASSET"/>
    <d v="2023-01-13T00:00:00"/>
    <n v="1"/>
    <x v="24"/>
    <n v="0"/>
    <s v="COIN"/>
    <s v="LONG"/>
    <s v="COIN LONG"/>
    <n v="0"/>
    <n v="0"/>
    <n v="0"/>
    <n v="0"/>
    <s v="HUB2"/>
    <s v="LTC COIN LONG"/>
  </r>
  <r>
    <s v="USDT"/>
    <n v="3.2621029500000001"/>
    <n v="3.2624032239163401"/>
    <n v="1.00009204918451"/>
    <n v="0"/>
    <s v="ASSET"/>
    <d v="2023-01-13T00:00:00"/>
    <n v="1"/>
    <x v="34"/>
    <n v="0"/>
    <s v="COIN"/>
    <s v="LONG"/>
    <s v="COIN LONG"/>
    <n v="0"/>
    <n v="0"/>
    <n v="0"/>
    <n v="0"/>
    <s v="HUB2"/>
    <s v="USDT COIN LONG"/>
  </r>
  <r>
    <s v="XRP"/>
    <n v="6.4869999999999994E-5"/>
    <n v="2.4339038617232101E-5"/>
    <n v="0.37519714224190098"/>
    <n v="0"/>
    <s v="ASSET"/>
    <d v="2023-01-13T00:00:00"/>
    <n v="1"/>
    <x v="36"/>
    <n v="0"/>
    <s v="COIN"/>
    <s v="LONG"/>
    <s v="COIN LONG"/>
    <n v="0"/>
    <n v="0"/>
    <n v="0"/>
    <n v="0"/>
    <s v="HUB2"/>
    <s v="XRP COIN LONG"/>
  </r>
  <r>
    <s v="AAVE"/>
    <n v="0.10014646000000001"/>
    <n v="6.7960525951868096"/>
    <n v="67.861136531304297"/>
    <n v="0"/>
    <s v="ASSET"/>
    <d v="2023-01-13T00:00:00"/>
    <n v="1"/>
    <x v="0"/>
    <n v="0"/>
    <s v="COIN"/>
    <s v="LONG"/>
    <s v="COIN LONG"/>
    <n v="0"/>
    <n v="0"/>
    <n v="0"/>
    <n v="0"/>
    <s v="HUBI"/>
    <s v="AAVE COIN LONG"/>
  </r>
  <r>
    <s v="ADA"/>
    <n v="3.2091999999999998E-4"/>
    <n v="1.05826089714644E-4"/>
    <n v="0.329758474743375"/>
    <n v="0"/>
    <s v="ASSET"/>
    <d v="2023-01-13T00:00:00"/>
    <n v="1"/>
    <x v="1"/>
    <n v="0"/>
    <s v="COIN"/>
    <s v="LONG"/>
    <s v="COIN LONG"/>
    <n v="0"/>
    <n v="0"/>
    <n v="0"/>
    <n v="0"/>
    <s v="HUBI"/>
    <s v="ADA COIN LONG"/>
  </r>
  <r>
    <s v="BCH"/>
    <n v="5.3552000000000005E-4"/>
    <n v="6.4107348825906907E-2"/>
    <n v="119.710466137412"/>
    <n v="0"/>
    <s v="ASSET"/>
    <d v="2023-01-13T00:00:00"/>
    <n v="1"/>
    <x v="6"/>
    <n v="0"/>
    <s v="COIN"/>
    <s v="LONG"/>
    <s v="COIN LONG"/>
    <n v="0"/>
    <n v="0"/>
    <n v="0"/>
    <n v="0"/>
    <s v="HUBI"/>
    <s v="BCH COIN LONG"/>
  </r>
  <r>
    <s v="BSV"/>
    <n v="2.9999999999999997E-8"/>
    <n v="1.2644395792497801E-6"/>
    <n v="42.1479859749927"/>
    <n v="0"/>
    <s v="ASSET"/>
    <d v="2023-01-13T00:00:00"/>
    <n v="1"/>
    <x v="82"/>
    <n v="0"/>
    <s v="COIN"/>
    <s v="LONG"/>
    <s v="COIN LONG"/>
    <n v="0"/>
    <n v="0"/>
    <n v="0"/>
    <n v="0"/>
    <s v="HUBI"/>
    <s v="BSV COIN LONG"/>
  </r>
  <r>
    <s v="BTC"/>
    <n v="18.041232239999999"/>
    <n v="340430.62037817598"/>
    <n v="18869.5880552655"/>
    <n v="0"/>
    <s v="ASSET"/>
    <d v="2023-01-13T00:00:00"/>
    <n v="1"/>
    <x v="8"/>
    <n v="0"/>
    <s v="COIN"/>
    <s v="LONG"/>
    <s v="COIN LONG"/>
    <n v="0"/>
    <n v="0"/>
    <n v="0"/>
    <n v="0"/>
    <s v="HUBI"/>
    <s v="BTC COIN LONG"/>
  </r>
  <r>
    <s v="BTC"/>
    <n v="-0.70682544000000003"/>
    <n v="-13337.5048797818"/>
    <n v="18869.5880552655"/>
    <n v="0"/>
    <s v="UNREALIZED"/>
    <d v="2023-01-13T00:00:00"/>
    <n v="1"/>
    <x v="8"/>
    <n v="0"/>
    <s v="COIN"/>
    <s v="SHORT"/>
    <s v="COIN SHORT"/>
    <n v="0"/>
    <n v="0"/>
    <n v="0"/>
    <n v="0"/>
    <s v="HUBI"/>
    <s v="BTC COIN SHORT"/>
  </r>
  <r>
    <s v="DOT"/>
    <n v="3.8972899999999999E-3"/>
    <n v="2.03807920771737E-2"/>
    <n v="5.2294779390740098"/>
    <n v="0"/>
    <s v="ASSET"/>
    <d v="2023-01-13T00:00:00"/>
    <n v="1"/>
    <x v="14"/>
    <n v="0"/>
    <s v="COIN"/>
    <s v="LONG"/>
    <s v="COIN LONG"/>
    <n v="0"/>
    <n v="0"/>
    <n v="0"/>
    <n v="0"/>
    <s v="HUBI"/>
    <s v="DOT COIN LONG"/>
  </r>
  <r>
    <s v="ETC"/>
    <n v="0.1010306"/>
    <n v="2.1133336633936102"/>
    <n v="20.917758217744002"/>
    <n v="0"/>
    <s v="ASSET"/>
    <d v="2023-01-13T00:00:00"/>
    <n v="1"/>
    <x v="40"/>
    <n v="0"/>
    <s v="COIN"/>
    <s v="LONG"/>
    <s v="COIN LONG"/>
    <n v="0"/>
    <n v="0"/>
    <n v="0"/>
    <n v="0"/>
    <s v="HUBI"/>
    <s v="ETC COIN LONG"/>
  </r>
  <r>
    <s v="ETH"/>
    <n v="146.63241235999999"/>
    <n v="207915.74622197301"/>
    <n v="1417.9385231112101"/>
    <n v="0"/>
    <s v="ASSET"/>
    <d v="2023-01-13T00:00:00"/>
    <n v="1"/>
    <x v="17"/>
    <n v="0"/>
    <s v="COIN"/>
    <s v="LONG"/>
    <s v="COIN LONG"/>
    <n v="0"/>
    <n v="0"/>
    <n v="0"/>
    <n v="0"/>
    <s v="HUBI"/>
    <s v="ETH COIN LONG"/>
  </r>
  <r>
    <s v="ETH"/>
    <n v="-2.6088340000000002E-2"/>
    <n v="-36.991662290023299"/>
    <n v="1417.9385231112101"/>
    <n v="0"/>
    <s v="UNREALIZED"/>
    <d v="2023-01-13T00:00:00"/>
    <n v="1"/>
    <x v="17"/>
    <n v="0"/>
    <s v="COIN"/>
    <s v="SHORT"/>
    <s v="COIN SHORT"/>
    <n v="0"/>
    <n v="0"/>
    <n v="0"/>
    <n v="0"/>
    <s v="HUBI"/>
    <s v="ETH COIN SHORT"/>
  </r>
  <r>
    <s v="LINK"/>
    <n v="9.5620999999999998E-4"/>
    <n v="6.1018930437566196E-3"/>
    <n v="6.38133155243787"/>
    <n v="0"/>
    <s v="ASSET"/>
    <d v="2023-01-13T00:00:00"/>
    <n v="1"/>
    <x v="23"/>
    <n v="0"/>
    <s v="COIN"/>
    <s v="LONG"/>
    <s v="COIN LONG"/>
    <n v="0"/>
    <n v="0"/>
    <n v="0"/>
    <n v="0"/>
    <s v="HUBI"/>
    <s v="LINK COIN LONG"/>
  </r>
  <r>
    <s v="LTC"/>
    <n v="2.4771099999999998E-3"/>
    <n v="0.21294285241476199"/>
    <n v="85.964229450756093"/>
    <n v="0"/>
    <s v="ASSET"/>
    <d v="2023-01-13T00:00:00"/>
    <n v="1"/>
    <x v="24"/>
    <n v="0"/>
    <s v="COIN"/>
    <s v="LONG"/>
    <s v="COIN LONG"/>
    <n v="0"/>
    <n v="0"/>
    <n v="0"/>
    <n v="0"/>
    <s v="HUBI"/>
    <s v="LTC COIN LONG"/>
  </r>
  <r>
    <s v="SHIB"/>
    <n v="71073.205401560001"/>
    <n v="0.67316157360309703"/>
    <n v="9.4713833405960602E-6"/>
    <n v="0"/>
    <s v="ASSET"/>
    <d v="2023-01-13T00:00:00"/>
    <n v="1"/>
    <x v="30"/>
    <n v="0"/>
    <s v="COIN"/>
    <s v="LONG"/>
    <s v="COIN LONG"/>
    <n v="0"/>
    <n v="0"/>
    <n v="0"/>
    <n v="0"/>
    <s v="HUBI"/>
    <s v="SHIB COIN LONG"/>
  </r>
  <r>
    <s v="TRX"/>
    <n v="4.8644999999999998E-4"/>
    <n v="2.7781743060320699E-5"/>
    <n v="5.7111199630631597E-2"/>
    <n v="0"/>
    <s v="ASSET"/>
    <d v="2023-01-13T00:00:00"/>
    <n v="1"/>
    <x v="83"/>
    <n v="0"/>
    <s v="COIN"/>
    <s v="LONG"/>
    <s v="COIN LONG"/>
    <n v="0"/>
    <n v="0"/>
    <n v="0"/>
    <n v="0"/>
    <s v="HUBI"/>
    <s v="TRX COIN LONG"/>
  </r>
  <r>
    <s v="XRP"/>
    <n v="1.9184000000000001E-4"/>
    <n v="7.1977819767686302E-5"/>
    <n v="0.37519714224190098"/>
    <n v="0"/>
    <s v="ASSET"/>
    <d v="2023-01-13T00:00:00"/>
    <n v="1"/>
    <x v="36"/>
    <n v="0"/>
    <s v="COIN"/>
    <s v="LONG"/>
    <s v="COIN LONG"/>
    <n v="0"/>
    <n v="0"/>
    <n v="0"/>
    <n v="0"/>
    <s v="HUBI"/>
    <s v="XRP COIN LONG"/>
  </r>
  <r>
    <s v="YFII"/>
    <n v="2.4299999999999999E-3"/>
    <n v="2.9853911400186601"/>
    <n v="1228.5560246990401"/>
    <n v="0"/>
    <s v="ASSET"/>
    <d v="2023-01-13T00:00:00"/>
    <n v="1"/>
    <x v="86"/>
    <n v="0"/>
    <s v="COIN"/>
    <s v="LONG"/>
    <s v="COIN LONG"/>
    <n v="0"/>
    <n v="0"/>
    <n v="0"/>
    <n v="0"/>
    <s v="HUBI"/>
    <s v="YFII COIN LONG"/>
  </r>
  <r>
    <s v="USDT"/>
    <n v="38063.850801009998"/>
    <n v="38067.3545474356"/>
    <n v="1.00009204918451"/>
    <n v="0"/>
    <s v="ASSET"/>
    <d v="2023-01-13T00:00:00"/>
    <n v="1"/>
    <x v="34"/>
    <n v="0"/>
    <s v="COIN"/>
    <s v="LONG"/>
    <s v="COIN LONG"/>
    <n v="0"/>
    <n v="0"/>
    <n v="0"/>
    <n v="0"/>
    <s v="HUBI"/>
    <s v="USDT COIN LONG"/>
  </r>
  <r>
    <s v="USDT"/>
    <n v="170.33860000000001"/>
    <n v="170.354279529221"/>
    <n v="1.00009204918451"/>
    <n v="0"/>
    <s v="UNREALIZED"/>
    <d v="2023-01-13T00:00:00"/>
    <n v="1"/>
    <x v="34"/>
    <n v="0"/>
    <s v="COIN"/>
    <s v="LONG"/>
    <s v="COIN LONG"/>
    <n v="0"/>
    <n v="0"/>
    <n v="0"/>
    <n v="0"/>
    <s v="HUBI"/>
    <s v="USDT COIN LONG"/>
  </r>
  <r>
    <s v="AAC"/>
    <n v="377.09760540000002"/>
    <n v="9.8431534717962399E-2"/>
    <n v="2.6102402483715799E-4"/>
    <n v="0"/>
    <s v="ASSET"/>
    <d v="2023-01-13T00:00:00"/>
    <n v="1"/>
    <x v="87"/>
    <n v="0"/>
    <s v="COIN"/>
    <s v="LONG"/>
    <s v="COIN LONG"/>
    <n v="0"/>
    <n v="0"/>
    <n v="0"/>
    <n v="0"/>
    <s v="HUBI"/>
    <s v="AAC COIN LONG"/>
  </r>
  <r>
    <s v="ADA"/>
    <n v="1.1000000000000001E-7"/>
    <n v="3.62734322217713E-8"/>
    <n v="0.329758474743375"/>
    <n v="0"/>
    <s v="ASSET"/>
    <d v="2023-01-13T00:00:00"/>
    <n v="1"/>
    <x v="1"/>
    <n v="0"/>
    <s v="COIN"/>
    <s v="LONG"/>
    <s v="COIN LONG"/>
    <n v="0"/>
    <n v="0"/>
    <n v="0"/>
    <n v="0"/>
    <s v="HUBI"/>
    <s v="ADA COIN LONG"/>
  </r>
  <r>
    <s v="ALGO"/>
    <n v="2.6E-7"/>
    <n v="5.5256887809946897E-8"/>
    <n v="0.21252649157671899"/>
    <n v="0"/>
    <s v="ASSET"/>
    <d v="2023-01-13T00:00:00"/>
    <n v="1"/>
    <x v="2"/>
    <n v="0"/>
    <s v="COIN"/>
    <s v="LONG"/>
    <s v="COIN LONG"/>
    <n v="0"/>
    <n v="0"/>
    <n v="0"/>
    <n v="0"/>
    <s v="HUBI"/>
    <s v="ALGO COIN LONG"/>
  </r>
  <r>
    <s v="ARPA"/>
    <n v="0.53247394999999997"/>
    <n v="1.6120070397661099E-2"/>
    <n v="3.0273913677206402E-2"/>
    <n v="0"/>
    <s v="ASSET"/>
    <d v="2023-01-13T00:00:00"/>
    <n v="1"/>
    <x v="88"/>
    <n v="0"/>
    <s v="COIN"/>
    <s v="LONG"/>
    <s v="COIN LONG"/>
    <n v="0"/>
    <n v="0"/>
    <n v="0"/>
    <n v="0"/>
    <s v="HUBI"/>
    <s v="ARPA COIN LONG"/>
  </r>
  <r>
    <s v="ATOM"/>
    <n v="4.3657420000000002E-2"/>
    <n v="0.53588137669726599"/>
    <n v="12.274691832390999"/>
    <n v="0"/>
    <s v="ASSET"/>
    <d v="2023-01-13T00:00:00"/>
    <n v="1"/>
    <x v="3"/>
    <n v="0"/>
    <s v="COIN"/>
    <s v="LONG"/>
    <s v="COIN LONG"/>
    <n v="0"/>
    <n v="0"/>
    <n v="0"/>
    <n v="0"/>
    <s v="HUBI"/>
    <s v="ATOM COIN LONG"/>
  </r>
  <r>
    <s v="AVAX"/>
    <n v="1.5389969999999999E-2"/>
    <n v="0.23788815677752301"/>
    <n v="15.4573502597811"/>
    <n v="0"/>
    <s v="ASSET"/>
    <d v="2023-01-13T00:00:00"/>
    <n v="1"/>
    <x v="4"/>
    <n v="0"/>
    <s v="COIN"/>
    <s v="LONG"/>
    <s v="COIN LONG"/>
    <n v="0"/>
    <n v="0"/>
    <n v="0"/>
    <n v="0"/>
    <s v="HUBI"/>
    <s v="AVAX COIN LONG"/>
  </r>
  <r>
    <s v="BAT"/>
    <n v="2.0454320000000002E-2"/>
    <n v="4.1885132344188104E-3"/>
    <n v="0.20477401519184199"/>
    <n v="0"/>
    <s v="ASSET"/>
    <d v="2023-01-13T00:00:00"/>
    <n v="1"/>
    <x v="5"/>
    <n v="0"/>
    <s v="COIN"/>
    <s v="LONG"/>
    <s v="COIN LONG"/>
    <n v="0"/>
    <n v="0"/>
    <n v="0"/>
    <n v="0"/>
    <s v="HUBI"/>
    <s v="BAT COIN LONG"/>
  </r>
  <r>
    <s v="BCH"/>
    <n v="22.00176016"/>
    <n v="2633.8409645971401"/>
    <n v="119.710466137412"/>
    <n v="0"/>
    <s v="ASSET"/>
    <d v="2023-01-13T00:00:00"/>
    <n v="1"/>
    <x v="6"/>
    <n v="0"/>
    <s v="COIN"/>
    <s v="LONG"/>
    <s v="COIN LONG"/>
    <n v="0"/>
    <n v="0"/>
    <n v="0"/>
    <n v="0"/>
    <s v="HUBI"/>
    <s v="BCH COIN LONG"/>
  </r>
  <r>
    <s v="BHD"/>
    <n v="2.5033500000000001E-3"/>
    <n v="1.13535741150493E-4"/>
    <n v="4.5353522739726197E-2"/>
    <n v="0"/>
    <s v="ASSET"/>
    <d v="2023-01-13T00:00:00"/>
    <n v="1"/>
    <x v="89"/>
    <n v="0"/>
    <s v="COIN"/>
    <s v="LONG"/>
    <s v="COIN LONG"/>
    <n v="0"/>
    <n v="0"/>
    <n v="0"/>
    <n v="0"/>
    <s v="HUBI"/>
    <s v="BHD COIN LONG"/>
  </r>
  <r>
    <s v="BLZ"/>
    <n v="115.29838952"/>
    <n v="6.7795787076243297"/>
    <n v="5.8800289716521299E-2"/>
    <n v="0"/>
    <s v="ASSET"/>
    <d v="2023-01-13T00:00:00"/>
    <n v="1"/>
    <x v="90"/>
    <n v="0"/>
    <s v="COIN"/>
    <s v="LONG"/>
    <s v="COIN LONG"/>
    <n v="0"/>
    <n v="0"/>
    <n v="0"/>
    <n v="0"/>
    <s v="HUBI"/>
    <s v="BLZ COIN LONG"/>
  </r>
  <r>
    <s v="BOBA"/>
    <n v="14.7502"/>
    <n v="2.82684210675981"/>
    <n v="0.19164771370963199"/>
    <n v="0"/>
    <s v="ASSET"/>
    <d v="2023-01-13T00:00:00"/>
    <n v="1"/>
    <x v="91"/>
    <n v="0"/>
    <s v="COIN"/>
    <s v="LONG"/>
    <s v="COIN LONG"/>
    <n v="0"/>
    <n v="0"/>
    <n v="0"/>
    <n v="0"/>
    <s v="HUBI"/>
    <s v="BOBA COIN LONG"/>
  </r>
  <r>
    <s v="BSV"/>
    <n v="1.807E-4"/>
    <n v="7.6161410656811904E-3"/>
    <n v="42.1479859749927"/>
    <n v="0"/>
    <s v="ASSET"/>
    <d v="2023-01-13T00:00:00"/>
    <n v="1"/>
    <x v="82"/>
    <n v="0"/>
    <s v="COIN"/>
    <s v="LONG"/>
    <s v="COIN LONG"/>
    <n v="0"/>
    <n v="0"/>
    <n v="0"/>
    <n v="0"/>
    <s v="HUBI"/>
    <s v="BSV COIN LONG"/>
  </r>
  <r>
    <s v="BTC"/>
    <n v="108.63868278"/>
    <n v="2049967.1909252701"/>
    <n v="18869.5880552655"/>
    <n v="0"/>
    <s v="ASSET"/>
    <d v="2023-01-13T00:00:00"/>
    <n v="1"/>
    <x v="8"/>
    <n v="0"/>
    <s v="COIN"/>
    <s v="LONG"/>
    <s v="COIN LONG"/>
    <n v="0"/>
    <n v="0"/>
    <n v="0"/>
    <n v="0"/>
    <s v="HUBI"/>
    <s v="BTC COIN LONG"/>
  </r>
  <r>
    <s v="BTM"/>
    <n v="0.33565571999999999"/>
    <n v="5.0099972829981999E-3"/>
    <n v="1.49260000187043E-2"/>
    <n v="0"/>
    <s v="ASSET"/>
    <d v="2023-01-13T00:00:00"/>
    <n v="1"/>
    <x v="92"/>
    <n v="0"/>
    <s v="COIN"/>
    <s v="LONG"/>
    <s v="COIN LONG"/>
    <n v="0"/>
    <n v="0"/>
    <n v="0"/>
    <n v="0"/>
    <s v="HUBI"/>
    <s v="BTM COIN LONG"/>
  </r>
  <r>
    <s v="BTT"/>
    <n v="1367501156.8785999"/>
    <n v="935.32266578065196"/>
    <n v="6.8396480769024001E-7"/>
    <n v="0"/>
    <s v="ASSET"/>
    <d v="2023-01-13T00:00:00"/>
    <n v="1"/>
    <x v="93"/>
    <n v="0"/>
    <s v="COIN"/>
    <s v="LONG"/>
    <s v="COIN LONG"/>
    <n v="0"/>
    <n v="0"/>
    <n v="0"/>
    <n v="0"/>
    <s v="HUBI"/>
    <s v="BTT COIN LONG"/>
  </r>
  <r>
    <s v="CMT"/>
    <n v="1.7855998900000001"/>
    <n v="4.3801594662575801E-3"/>
    <n v="2.4530464471845198E-3"/>
    <n v="0"/>
    <s v="ASSET"/>
    <d v="2023-01-13T00:00:00"/>
    <n v="1"/>
    <x v="94"/>
    <n v="0"/>
    <s v="COIN"/>
    <s v="LONG"/>
    <s v="COIN LONG"/>
    <n v="0"/>
    <n v="0"/>
    <n v="0"/>
    <n v="0"/>
    <s v="HUBI"/>
    <s v="CMT COIN LONG"/>
  </r>
  <r>
    <s v="CRO"/>
    <n v="0.30791584"/>
    <n v="2.04778472878973E-2"/>
    <n v="6.6504689358940702E-2"/>
    <n v="0"/>
    <s v="ASSET"/>
    <d v="2023-01-13T00:00:00"/>
    <n v="1"/>
    <x v="95"/>
    <n v="0"/>
    <s v="COIN"/>
    <s v="LONG"/>
    <s v="COIN LONG"/>
    <n v="0"/>
    <n v="0"/>
    <n v="0"/>
    <n v="0"/>
    <s v="HUBI"/>
    <s v="CRO COIN LONG"/>
  </r>
  <r>
    <s v="DASH"/>
    <n v="5.6119999999999998E-5"/>
    <n v="2.7698860571246102E-3"/>
    <n v="49.356487119112799"/>
    <n v="0"/>
    <s v="ASSET"/>
    <d v="2023-01-13T00:00:00"/>
    <n v="1"/>
    <x v="12"/>
    <n v="0"/>
    <s v="COIN"/>
    <s v="LONG"/>
    <s v="COIN LONG"/>
    <n v="0"/>
    <n v="0"/>
    <n v="0"/>
    <n v="0"/>
    <s v="HUBI"/>
    <s v="DASH COIN LONG"/>
  </r>
  <r>
    <s v="DON"/>
    <n v="5.9800000000000001E-4"/>
    <n v="6.9374385267831303E-6"/>
    <n v="1.16010677705403E-2"/>
    <n v="0"/>
    <s v="ASSET"/>
    <d v="2023-01-13T00:00:00"/>
    <n v="1"/>
    <x v="96"/>
    <n v="0"/>
    <s v="COIN"/>
    <s v="LONG"/>
    <s v="COIN LONG"/>
    <n v="0"/>
    <n v="0"/>
    <n v="0"/>
    <n v="0"/>
    <s v="HUBI"/>
    <s v="DON COIN LONG"/>
  </r>
  <r>
    <s v="DOT"/>
    <n v="40059.791036850002"/>
    <n v="209491.793471121"/>
    <n v="5.2294779390740098"/>
    <n v="0"/>
    <s v="ASSET"/>
    <d v="2023-01-13T00:00:00"/>
    <n v="1"/>
    <x v="14"/>
    <n v="0"/>
    <s v="COIN"/>
    <s v="LONG"/>
    <s v="COIN LONG"/>
    <n v="0"/>
    <n v="0"/>
    <n v="0"/>
    <n v="0"/>
    <s v="HUBI"/>
    <s v="DOT COIN LONG"/>
  </r>
  <r>
    <s v="ENJ"/>
    <n v="1E-8"/>
    <n v="3.04096198903759E-9"/>
    <n v="0.304096198903759"/>
    <n v="0"/>
    <s v="ASSET"/>
    <d v="2023-01-13T00:00:00"/>
    <n v="1"/>
    <x v="15"/>
    <n v="0"/>
    <s v="COIN"/>
    <s v="LONG"/>
    <s v="COIN LONG"/>
    <n v="0"/>
    <n v="0"/>
    <n v="0"/>
    <n v="0"/>
    <s v="HUBI"/>
    <s v="ENJ COIN LONG"/>
  </r>
  <r>
    <s v="EOS"/>
    <n v="2110.8363221999998"/>
    <n v="2090.23978782938"/>
    <n v="0.990242476806942"/>
    <n v="0"/>
    <s v="ASSET"/>
    <d v="2023-01-13T00:00:00"/>
    <n v="1"/>
    <x v="16"/>
    <n v="0"/>
    <s v="COIN"/>
    <s v="LONG"/>
    <s v="COIN LONG"/>
    <n v="0"/>
    <n v="0"/>
    <n v="0"/>
    <n v="0"/>
    <s v="HUBI"/>
    <s v="EOS COIN LONG"/>
  </r>
  <r>
    <s v="ETC"/>
    <n v="8859.7328020599998"/>
    <n v="185325.74862730701"/>
    <n v="20.917758217744002"/>
    <n v="0"/>
    <s v="ASSET"/>
    <d v="2023-01-13T00:00:00"/>
    <n v="1"/>
    <x v="40"/>
    <n v="0"/>
    <s v="COIN"/>
    <s v="LONG"/>
    <s v="COIN LONG"/>
    <n v="0"/>
    <n v="0"/>
    <n v="0"/>
    <n v="0"/>
    <s v="HUBI"/>
    <s v="ETC COIN LONG"/>
  </r>
  <r>
    <s v="ETH"/>
    <n v="4854.4770517999996"/>
    <n v="6883350.0213065902"/>
    <n v="1417.9385231112101"/>
    <n v="0"/>
    <s v="ASSET"/>
    <d v="2023-01-13T00:00:00"/>
    <n v="1"/>
    <x v="17"/>
    <n v="0"/>
    <s v="COIN"/>
    <s v="LONG"/>
    <s v="COIN LONG"/>
    <n v="0"/>
    <n v="0"/>
    <n v="0"/>
    <n v="0"/>
    <s v="HUBI"/>
    <s v="ETH COIN LONG"/>
  </r>
  <r>
    <s v="ETHF"/>
    <n v="9823.8364263999993"/>
    <n v="3355.0189397480699"/>
    <n v="0.34151820064226501"/>
    <n v="0"/>
    <s v="ASSET"/>
    <d v="2023-01-13T00:00:00"/>
    <n v="1"/>
    <x v="84"/>
    <n v="0"/>
    <s v="COIN"/>
    <s v="LONG"/>
    <s v="COIN LONG"/>
    <n v="0"/>
    <n v="0"/>
    <n v="0"/>
    <n v="0"/>
    <s v="HUBI"/>
    <s v="ETHF COIN LONG"/>
  </r>
  <r>
    <s v="ETHW"/>
    <n v="3460.93190667"/>
    <n v="11885.1634589431"/>
    <n v="3.43409341167265"/>
    <n v="0"/>
    <s v="ASSET"/>
    <d v="2023-01-13T00:00:00"/>
    <n v="1"/>
    <x v="41"/>
    <n v="0"/>
    <s v="COIN"/>
    <s v="LONG"/>
    <s v="COIN LONG"/>
    <n v="0"/>
    <n v="0"/>
    <n v="0"/>
    <n v="0"/>
    <s v="HUBI"/>
    <s v="ETHW COIN LONG"/>
  </r>
  <r>
    <s v="EUROC"/>
    <n v="106105.15993081999"/>
    <n v="115077.732305167"/>
    <n v="1.0845630163527999"/>
    <n v="0"/>
    <s v="ASSET"/>
    <d v="2023-01-13T00:00:00"/>
    <n v="1"/>
    <x v="97"/>
    <n v="0"/>
    <s v="COIN"/>
    <s v="LONG"/>
    <s v="COIN LONG"/>
    <n v="0"/>
    <n v="0"/>
    <n v="0"/>
    <n v="0"/>
    <s v="HUBI"/>
    <s v="EUROC COIN LONG"/>
  </r>
  <r>
    <s v="FIL"/>
    <n v="1.0244641699999999"/>
    <n v="3.9475318864603102"/>
    <n v="3.8532649574853499"/>
    <n v="0"/>
    <s v="ASSET"/>
    <d v="2023-01-13T00:00:00"/>
    <n v="1"/>
    <x v="19"/>
    <n v="0"/>
    <s v="COIN"/>
    <s v="LONG"/>
    <s v="COIN LONG"/>
    <n v="0"/>
    <n v="0"/>
    <n v="0"/>
    <n v="0"/>
    <s v="HUBI"/>
    <s v="FIL COIN LONG"/>
  </r>
  <r>
    <s v="FLR"/>
    <n v="1214222.2371169401"/>
    <n v="53439.032654800198"/>
    <n v="4.4010915811990299E-2"/>
    <n v="0"/>
    <s v="ASSET"/>
    <d v="2023-01-13T00:00:00"/>
    <n v="1"/>
    <x v="44"/>
    <n v="0"/>
    <s v="COIN"/>
    <s v="LONG"/>
    <s v="COIN LONG"/>
    <n v="0"/>
    <n v="0"/>
    <n v="0"/>
    <n v="0"/>
    <s v="HUBI"/>
    <s v="FLR COIN LONG"/>
  </r>
  <r>
    <s v="FTT"/>
    <n v="0.68557060000000003"/>
    <n v="0.94664344380638399"/>
    <n v="1.3808110263281099"/>
    <n v="0"/>
    <s v="ASSET"/>
    <d v="2023-01-13T00:00:00"/>
    <n v="1"/>
    <x v="98"/>
    <n v="0"/>
    <s v="COIN"/>
    <s v="LONG"/>
    <s v="COIN LONG"/>
    <n v="0"/>
    <n v="0"/>
    <n v="0"/>
    <n v="0"/>
    <s v="HUBI"/>
    <s v="FTT COIN LONG"/>
  </r>
  <r>
    <s v="GAS"/>
    <n v="54.776400000000002"/>
    <n v="123.290471367386"/>
    <n v="2.2507954405069799"/>
    <n v="0"/>
    <s v="ASSET"/>
    <d v="2023-01-13T00:00:00"/>
    <n v="1"/>
    <x v="99"/>
    <n v="0"/>
    <s v="COIN"/>
    <s v="LONG"/>
    <s v="COIN LONG"/>
    <n v="0"/>
    <n v="0"/>
    <n v="0"/>
    <n v="0"/>
    <s v="HUBI"/>
    <s v="GAS COIN LONG"/>
  </r>
  <r>
    <s v="HBAR"/>
    <n v="3.4060489999999999E-2"/>
    <n v="1.62290185554767E-3"/>
    <n v="4.7647636764699498E-2"/>
    <n v="0"/>
    <s v="ASSET"/>
    <d v="2023-01-13T00:00:00"/>
    <n v="1"/>
    <x v="22"/>
    <n v="0"/>
    <s v="COIN"/>
    <s v="LONG"/>
    <s v="COIN LONG"/>
    <n v="0"/>
    <n v="0"/>
    <n v="0"/>
    <n v="0"/>
    <s v="HUBI"/>
    <s v="HBAR COIN LONG"/>
  </r>
  <r>
    <s v="HPT"/>
    <n v="5337.6979873099999"/>
    <n v="1.0398940855485499"/>
    <n v="1.9482070510936099E-4"/>
    <n v="0"/>
    <s v="ASSET"/>
    <d v="2023-01-13T00:00:00"/>
    <n v="1"/>
    <x v="100"/>
    <n v="0"/>
    <s v="COIN"/>
    <s v="LONG"/>
    <s v="COIN LONG"/>
    <n v="0"/>
    <n v="0"/>
    <n v="0"/>
    <n v="0"/>
    <s v="HUBI"/>
    <s v="HPT COIN LONG"/>
  </r>
  <r>
    <s v="HT"/>
    <n v="1594.9850023900001"/>
    <n v="8106.9204874240804"/>
    <n v="5.0827565621471598"/>
    <n v="0"/>
    <s v="ASSET"/>
    <d v="2023-01-13T00:00:00"/>
    <n v="1"/>
    <x v="101"/>
    <n v="0"/>
    <s v="COIN"/>
    <s v="LONG"/>
    <s v="COIN LONG"/>
    <n v="0"/>
    <n v="0"/>
    <n v="0"/>
    <n v="0"/>
    <s v="HUBI"/>
    <s v="HT COIN LONG"/>
  </r>
  <r>
    <s v="IOST"/>
    <n v="14.785856219999999"/>
    <n v="0.121917236886426"/>
    <n v="8.2455310718845091E-3"/>
    <n v="0"/>
    <s v="ASSET"/>
    <d v="2023-01-13T00:00:00"/>
    <n v="1"/>
    <x v="102"/>
    <n v="0"/>
    <s v="COIN"/>
    <s v="LONG"/>
    <s v="COIN LONG"/>
    <n v="0"/>
    <n v="0"/>
    <n v="0"/>
    <n v="0"/>
    <s v="HUBI"/>
    <s v="IOST COIN LONG"/>
  </r>
  <r>
    <s v="IRIS"/>
    <n v="0.81765067999999996"/>
    <n v="1.1689388986948599E-2"/>
    <n v="1.4296311704833E-2"/>
    <n v="0"/>
    <s v="ASSET"/>
    <d v="2023-01-13T00:00:00"/>
    <n v="1"/>
    <x v="103"/>
    <n v="0"/>
    <s v="COIN"/>
    <s v="LONG"/>
    <s v="COIN LONG"/>
    <n v="0"/>
    <n v="0"/>
    <n v="0"/>
    <n v="0"/>
    <s v="HUBI"/>
    <s v="IRIS COIN LONG"/>
  </r>
  <r>
    <s v="JST"/>
    <n v="9.1121815000000002"/>
    <n v="0.20061593833102701"/>
    <n v="2.20162359947535E-2"/>
    <n v="0"/>
    <s v="ASSET"/>
    <d v="2023-01-13T00:00:00"/>
    <n v="1"/>
    <x v="104"/>
    <n v="0"/>
    <s v="COIN"/>
    <s v="LONG"/>
    <s v="COIN LONG"/>
    <n v="0"/>
    <n v="0"/>
    <n v="0"/>
    <n v="0"/>
    <s v="HUBI"/>
    <s v="JST COIN LONG"/>
  </r>
  <r>
    <s v="KSM"/>
    <n v="1.4966E-4"/>
    <n v="4.2395197801870397E-3"/>
    <n v="28.327674597000101"/>
    <n v="0"/>
    <s v="ASSET"/>
    <d v="2023-01-13T00:00:00"/>
    <n v="1"/>
    <x v="105"/>
    <n v="0"/>
    <s v="COIN"/>
    <s v="LONG"/>
    <s v="COIN LONG"/>
    <n v="0"/>
    <n v="0"/>
    <n v="0"/>
    <n v="0"/>
    <s v="HUBI"/>
    <s v="KSM COIN LONG"/>
  </r>
  <r>
    <s v="LAMB"/>
    <n v="0.24234807999999999"/>
    <n v="3.0956421739687298E-4"/>
    <n v="1.2773537029749601E-3"/>
    <n v="0"/>
    <s v="ASSET"/>
    <d v="2023-01-13T00:00:00"/>
    <n v="1"/>
    <x v="106"/>
    <n v="0"/>
    <s v="COIN"/>
    <s v="LONG"/>
    <s v="COIN LONG"/>
    <n v="0"/>
    <n v="0"/>
    <n v="0"/>
    <n v="0"/>
    <s v="HUBI"/>
    <s v="LAMB COIN LONG"/>
  </r>
  <r>
    <s v="LEND"/>
    <n v="1E-8"/>
    <n v="0"/>
    <n v="0"/>
    <n v="0"/>
    <s v="ASSET"/>
    <d v="2023-01-13T00:00:00"/>
    <n v="1"/>
    <x v="107"/>
    <n v="0"/>
    <s v="COIN"/>
    <s v="SHORT"/>
    <s v="COIN SHORT"/>
    <n v="0"/>
    <n v="0"/>
    <n v="0"/>
    <n v="0"/>
    <s v="HUBI"/>
    <s v="LEND COIN SHORT"/>
  </r>
  <r>
    <s v="LINK"/>
    <n v="538.90453062999995"/>
    <n v="3438.9284850609401"/>
    <n v="6.38133155243787"/>
    <n v="0"/>
    <s v="ASSET"/>
    <d v="2023-01-13T00:00:00"/>
    <n v="1"/>
    <x v="23"/>
    <n v="0"/>
    <s v="COIN"/>
    <s v="LONG"/>
    <s v="COIN LONG"/>
    <n v="0"/>
    <n v="0"/>
    <n v="0"/>
    <n v="0"/>
    <s v="HUBI"/>
    <s v="LINK COIN LONG"/>
  </r>
  <r>
    <s v="LOL"/>
    <n v="4.3289484800000002"/>
    <n v="1.2336208176422599E-6"/>
    <n v="2.8497008530862999E-7"/>
    <n v="0"/>
    <s v="ASSET"/>
    <d v="2023-01-13T00:00:00"/>
    <n v="1"/>
    <x v="108"/>
    <n v="0"/>
    <s v="COIN"/>
    <s v="LONG"/>
    <s v="COIN LONG"/>
    <n v="0"/>
    <n v="0"/>
    <n v="0"/>
    <n v="0"/>
    <s v="HUBI"/>
    <s v="LOL COIN LONG"/>
  </r>
  <r>
    <s v="LTC"/>
    <n v="7241.7835004299995"/>
    <n v="622534.33846366405"/>
    <n v="85.964229450756093"/>
    <n v="0"/>
    <s v="ASSET"/>
    <d v="2023-01-13T00:00:00"/>
    <n v="1"/>
    <x v="24"/>
    <n v="0"/>
    <s v="COIN"/>
    <s v="LONG"/>
    <s v="COIN LONG"/>
    <n v="0"/>
    <n v="0"/>
    <n v="0"/>
    <n v="0"/>
    <s v="HUBI"/>
    <s v="LTC COIN LONG"/>
  </r>
  <r>
    <s v="LXT"/>
    <n v="0.66495972999999997"/>
    <n v="1.7157540226222701E-4"/>
    <n v="2.5802374868960399E-4"/>
    <n v="0"/>
    <s v="ASSET"/>
    <d v="2023-01-13T00:00:00"/>
    <n v="1"/>
    <x v="109"/>
    <n v="0"/>
    <s v="COIN"/>
    <s v="LONG"/>
    <s v="COIN LONG"/>
    <n v="0"/>
    <n v="0"/>
    <n v="0"/>
    <n v="0"/>
    <s v="HUBI"/>
    <s v="LXT COIN LONG"/>
  </r>
  <r>
    <s v="MANA"/>
    <n v="0.34"/>
    <n v="0.14023380532507301"/>
    <n v="0.41245236860315698"/>
    <n v="0"/>
    <s v="ASSET"/>
    <d v="2023-01-13T00:00:00"/>
    <n v="1"/>
    <x v="25"/>
    <n v="0"/>
    <s v="COIN"/>
    <s v="LONG"/>
    <s v="COIN LONG"/>
    <n v="0"/>
    <n v="0"/>
    <n v="0"/>
    <n v="0"/>
    <s v="HUBI"/>
    <s v="MANA COIN LONG"/>
  </r>
  <r>
    <s v="NEO"/>
    <n v="0.89105878000000005"/>
    <n v="6.3991039922190902"/>
    <n v="7.18146112899431"/>
    <n v="0"/>
    <s v="ASSET"/>
    <d v="2023-01-13T00:00:00"/>
    <n v="1"/>
    <x v="110"/>
    <n v="0"/>
    <s v="COIN"/>
    <s v="LONG"/>
    <s v="COIN LONG"/>
    <n v="0"/>
    <n v="0"/>
    <n v="0"/>
    <n v="0"/>
    <s v="HUBI"/>
    <s v="NEO COIN LONG"/>
  </r>
  <r>
    <s v="NEW"/>
    <n v="40.704174029999997"/>
    <n v="6.5557813758032801E-3"/>
    <n v="1.6105919188954699E-4"/>
    <n v="0"/>
    <s v="ASSET"/>
    <d v="2023-01-13T00:00:00"/>
    <n v="1"/>
    <x v="111"/>
    <n v="0"/>
    <s v="COIN"/>
    <s v="LONG"/>
    <s v="COIN LONG"/>
    <n v="0"/>
    <n v="0"/>
    <n v="0"/>
    <n v="0"/>
    <s v="HUBI"/>
    <s v="NEW COIN LONG"/>
  </r>
  <r>
    <s v="NFT"/>
    <n v="3049025070.2014399"/>
    <n v="1303.0554985349399"/>
    <n v="4.2736791877177001E-7"/>
    <n v="0"/>
    <s v="ASSET"/>
    <d v="2023-01-13T00:00:00"/>
    <n v="1"/>
    <x v="112"/>
    <n v="0"/>
    <s v="COIN"/>
    <s v="LONG"/>
    <s v="COIN LONG"/>
    <n v="0"/>
    <n v="0"/>
    <n v="0"/>
    <n v="0"/>
    <s v="HUBI"/>
    <s v="NFT COIN LONG"/>
  </r>
  <r>
    <s v="NULS"/>
    <n v="4.3068300000000002E-3"/>
    <n v="8.8743929915522204E-4"/>
    <n v="0.20605394203050101"/>
    <n v="0"/>
    <s v="ASSET"/>
    <d v="2023-01-13T00:00:00"/>
    <n v="1"/>
    <x v="113"/>
    <n v="0"/>
    <s v="COIN"/>
    <s v="LONG"/>
    <s v="COIN LONG"/>
    <n v="0"/>
    <n v="0"/>
    <n v="0"/>
    <n v="0"/>
    <s v="HUBI"/>
    <s v="NULS COIN LONG"/>
  </r>
  <r>
    <s v="ONG"/>
    <n v="0.34782034000000001"/>
    <n v="8.4954954190642806E-2"/>
    <n v="0.24424952891093901"/>
    <n v="0"/>
    <s v="ASSET"/>
    <d v="2023-01-13T00:00:00"/>
    <n v="1"/>
    <x v="114"/>
    <n v="0"/>
    <s v="COIN"/>
    <s v="LONG"/>
    <s v="COIN LONG"/>
    <n v="0"/>
    <n v="0"/>
    <n v="0"/>
    <n v="0"/>
    <s v="HUBI"/>
    <s v="ONG COIN LONG"/>
  </r>
  <r>
    <s v="OXT"/>
    <n v="78631.814589489994"/>
    <n v="5765.2321127505302"/>
    <n v="7.3319331912265404E-2"/>
    <n v="0"/>
    <s v="ASSET"/>
    <d v="2023-01-13T00:00:00"/>
    <n v="1"/>
    <x v="29"/>
    <n v="0"/>
    <s v="COIN"/>
    <s v="LONG"/>
    <s v="COIN LONG"/>
    <n v="0"/>
    <n v="0"/>
    <n v="0"/>
    <n v="0"/>
    <s v="HUBI"/>
    <s v="OXT COIN LONG"/>
  </r>
  <r>
    <s v="QTUM"/>
    <n v="3.0962099999999998E-3"/>
    <n v="6.8010097540225998E-3"/>
    <n v="2.1965595854359301"/>
    <n v="0"/>
    <s v="ASSET"/>
    <d v="2023-01-13T00:00:00"/>
    <n v="1"/>
    <x v="115"/>
    <n v="0"/>
    <s v="COIN"/>
    <s v="LONG"/>
    <s v="COIN LONG"/>
    <n v="0"/>
    <n v="0"/>
    <n v="0"/>
    <n v="0"/>
    <s v="HUBI"/>
    <s v="QTUM COIN LONG"/>
  </r>
  <r>
    <s v="REI"/>
    <n v="2.6598900000000002E-2"/>
    <n v="6.4412294033312095E-4"/>
    <n v="2.42161495525424E-2"/>
    <n v="0"/>
    <s v="ASSET"/>
    <d v="2023-01-13T00:00:00"/>
    <n v="1"/>
    <x v="116"/>
    <n v="0"/>
    <s v="COIN"/>
    <s v="LONG"/>
    <s v="COIN LONG"/>
    <n v="0"/>
    <n v="0"/>
    <n v="0"/>
    <n v="0"/>
    <s v="HUBI"/>
    <s v="REI COIN LONG"/>
  </r>
  <r>
    <s v="SGB"/>
    <n v="1214222.2371159999"/>
    <n v="14215.176878673101"/>
    <n v="1.1707228252084E-2"/>
    <n v="0"/>
    <s v="ASSET"/>
    <d v="2023-01-13T00:00:00"/>
    <n v="1"/>
    <x v="45"/>
    <n v="0"/>
    <s v="COIN"/>
    <s v="LONG"/>
    <s v="COIN LONG"/>
    <n v="0"/>
    <n v="0"/>
    <n v="0"/>
    <n v="0"/>
    <s v="HUBI"/>
    <s v="SGB COIN LONG"/>
  </r>
  <r>
    <s v="SHIB"/>
    <n v="1884988.30453923"/>
    <n v="17.853446824831199"/>
    <n v="9.4713833405960602E-6"/>
    <n v="0"/>
    <s v="ASSET"/>
    <d v="2023-01-13T00:00:00"/>
    <n v="1"/>
    <x v="30"/>
    <n v="0"/>
    <s v="COIN"/>
    <s v="LONG"/>
    <s v="COIN LONG"/>
    <n v="0"/>
    <n v="0"/>
    <n v="0"/>
    <n v="0"/>
    <s v="HUBI"/>
    <s v="SHIB COIN LONG"/>
  </r>
  <r>
    <s v="SOL"/>
    <n v="0.14106867000000001"/>
    <n v="2.3444264614525099"/>
    <n v="16.6190441963655"/>
    <n v="0"/>
    <s v="ASSET"/>
    <d v="2023-01-13T00:00:00"/>
    <n v="1"/>
    <x v="31"/>
    <n v="0"/>
    <s v="COIN"/>
    <s v="LONG"/>
    <s v="COIN LONG"/>
    <n v="0"/>
    <n v="0"/>
    <n v="0"/>
    <n v="0"/>
    <s v="HUBI"/>
    <s v="SOL COIN LONG"/>
  </r>
  <r>
    <s v="SOLO"/>
    <n v="38753.774400000002"/>
    <n v="6256.6543580955404"/>
    <n v="0.16144632245409199"/>
    <n v="0"/>
    <s v="ASSET"/>
    <d v="2023-01-13T00:00:00"/>
    <n v="1"/>
    <x v="117"/>
    <n v="0"/>
    <s v="COIN"/>
    <s v="LONG"/>
    <s v="COIN LONG"/>
    <n v="0"/>
    <n v="0"/>
    <n v="0"/>
    <n v="0"/>
    <s v="HUBI"/>
    <s v="SOLO COIN LONG"/>
  </r>
  <r>
    <s v="STORJ"/>
    <n v="29.76350429"/>
    <n v="8.8686409626250899"/>
    <n v="0.29797032218429897"/>
    <n v="0"/>
    <s v="ASSET"/>
    <d v="2023-01-13T00:00:00"/>
    <n v="1"/>
    <x v="118"/>
    <n v="0"/>
    <s v="COIN"/>
    <s v="LONG"/>
    <s v="COIN LONG"/>
    <n v="0"/>
    <n v="0"/>
    <n v="0"/>
    <n v="0"/>
    <s v="HUBI"/>
    <s v="STORJ COIN LONG"/>
  </r>
  <r>
    <s v="TRX"/>
    <n v="44.266270740000003"/>
    <n v="2.5280998251357198"/>
    <n v="5.7111199630631597E-2"/>
    <n v="0"/>
    <s v="ASSET"/>
    <d v="2023-01-13T00:00:00"/>
    <n v="1"/>
    <x v="83"/>
    <n v="0"/>
    <s v="COIN"/>
    <s v="LONG"/>
    <s v="COIN LONG"/>
    <n v="0"/>
    <n v="0"/>
    <n v="0"/>
    <n v="0"/>
    <s v="HUBI"/>
    <s v="TRX COIN LONG"/>
  </r>
  <r>
    <s v="TT"/>
    <n v="6.3152970000000003E-2"/>
    <n v="2.2172842281770701E-4"/>
    <n v="3.5109737961287902E-3"/>
    <n v="0"/>
    <s v="ASSET"/>
    <d v="2023-01-13T00:00:00"/>
    <n v="1"/>
    <x v="119"/>
    <n v="0"/>
    <s v="COIN"/>
    <s v="LONG"/>
    <s v="COIN LONG"/>
    <n v="0"/>
    <n v="0"/>
    <n v="0"/>
    <n v="0"/>
    <s v="HUBI"/>
    <s v="TT COIN LONG"/>
  </r>
  <r>
    <s v="TUSD"/>
    <n v="20"/>
    <n v="19.997862390323"/>
    <n v="0.99989311951615301"/>
    <n v="0"/>
    <s v="ASSET"/>
    <d v="2023-01-13T00:00:00"/>
    <n v="1"/>
    <x v="120"/>
    <n v="0"/>
    <s v="COIN"/>
    <s v="LONG"/>
    <s v="COIN LONG"/>
    <n v="0"/>
    <n v="0"/>
    <n v="0"/>
    <n v="0"/>
    <s v="HUBI"/>
    <s v="TUSD COIN LONG"/>
  </r>
  <r>
    <s v="UNI"/>
    <n v="1E-8"/>
    <n v="6.1733812820777396E-8"/>
    <n v="6.1733812820777398"/>
    <n v="0"/>
    <s v="ASSET"/>
    <d v="2023-01-13T00:00:00"/>
    <n v="1"/>
    <x v="33"/>
    <n v="0"/>
    <s v="COIN"/>
    <s v="LONG"/>
    <s v="COIN LONG"/>
    <n v="0"/>
    <n v="0"/>
    <n v="0"/>
    <n v="0"/>
    <s v="HUBI"/>
    <s v="UNI COIN LONG"/>
  </r>
  <r>
    <s v="USDC"/>
    <n v="5.6000000000000004E-7"/>
    <n v="5.6004040379134398E-7"/>
    <n v="1.0000721496274001"/>
    <n v="0"/>
    <s v="ASSET"/>
    <d v="2023-01-13T00:00:00"/>
    <n v="1"/>
    <x v="46"/>
    <n v="0"/>
    <s v="COIN"/>
    <s v="LONG"/>
    <s v="COIN LONG"/>
    <n v="0"/>
    <n v="0"/>
    <n v="0"/>
    <n v="0"/>
    <s v="HUBI"/>
    <s v="USDC COIN LONG"/>
  </r>
  <r>
    <s v="USDP"/>
    <n v="0.34680431"/>
    <n v="0.34621618871566701"/>
    <n v="0.99830416962138402"/>
    <n v="0"/>
    <s v="ASSET"/>
    <d v="2023-01-13T00:00:00"/>
    <n v="1"/>
    <x v="121"/>
    <n v="0"/>
    <s v="COIN"/>
    <s v="LONG"/>
    <s v="COIN LONG"/>
    <n v="0"/>
    <n v="0"/>
    <n v="0"/>
    <n v="0"/>
    <s v="HUBI"/>
    <s v="USDP COIN LONG"/>
  </r>
  <r>
    <s v="USDT"/>
    <n v="2871094.4364123498"/>
    <n v="2871358.7183138798"/>
    <n v="1.00009204918451"/>
    <n v="0"/>
    <s v="ASSET"/>
    <d v="2023-01-13T00:00:00"/>
    <n v="1"/>
    <x v="34"/>
    <n v="0"/>
    <s v="COIN"/>
    <s v="LONG"/>
    <s v="COIN LONG"/>
    <n v="0"/>
    <n v="0"/>
    <n v="0"/>
    <n v="0"/>
    <s v="HUBI"/>
    <s v="USDT COIN LONG"/>
  </r>
  <r>
    <s v="VET"/>
    <n v="25.959481520000001"/>
    <n v="0.48913662714363099"/>
    <n v="1.8842311113447498E-2"/>
    <n v="0"/>
    <s v="ASSET"/>
    <d v="2023-01-13T00:00:00"/>
    <n v="1"/>
    <x v="122"/>
    <n v="0"/>
    <s v="COIN"/>
    <s v="LONG"/>
    <s v="COIN LONG"/>
    <n v="0"/>
    <n v="0"/>
    <n v="0"/>
    <n v="0"/>
    <s v="HUBI"/>
    <s v="VET COIN LONG"/>
  </r>
  <r>
    <s v="VSYS"/>
    <n v="0.20872535"/>
    <n v="2.25420236368514E-4"/>
    <n v="1.0799849484909899E-3"/>
    <n v="0"/>
    <s v="ASSET"/>
    <d v="2023-01-13T00:00:00"/>
    <n v="1"/>
    <x v="123"/>
    <n v="0"/>
    <s v="COIN"/>
    <s v="LONG"/>
    <s v="COIN LONG"/>
    <n v="0"/>
    <n v="0"/>
    <n v="0"/>
    <n v="0"/>
    <s v="HUBI"/>
    <s v="VSYS COIN LONG"/>
  </r>
  <r>
    <s v="XEC"/>
    <n v="97856389.900000006"/>
    <n v="2672.58922903138"/>
    <n v="2.7311340953437101E-5"/>
    <n v="0"/>
    <s v="ASSET"/>
    <d v="2023-01-13T00:00:00"/>
    <n v="1"/>
    <x v="124"/>
    <n v="0"/>
    <s v="COIN"/>
    <s v="LONG"/>
    <s v="COIN LONG"/>
    <n v="0"/>
    <n v="0"/>
    <n v="0"/>
    <n v="0"/>
    <s v="HUBI"/>
    <s v="XEC COIN LONG"/>
  </r>
  <r>
    <s v="XLM"/>
    <n v="0.55556267999999998"/>
    <n v="4.5358239391654502E-2"/>
    <n v="8.1643783905093401E-2"/>
    <n v="0"/>
    <s v="ASSET"/>
    <d v="2023-01-13T00:00:00"/>
    <n v="1"/>
    <x v="35"/>
    <n v="0"/>
    <s v="COIN"/>
    <s v="LONG"/>
    <s v="COIN LONG"/>
    <n v="0"/>
    <n v="0"/>
    <n v="0"/>
    <n v="0"/>
    <s v="HUBI"/>
    <s v="XLM COIN LONG"/>
  </r>
  <r>
    <s v="XRP"/>
    <n v="351.63120758000002"/>
    <n v="131.93102420708399"/>
    <n v="0.37519714224190098"/>
    <n v="0"/>
    <s v="ASSET"/>
    <d v="2023-01-13T00:00:00"/>
    <n v="1"/>
    <x v="36"/>
    <n v="0"/>
    <s v="COIN"/>
    <s v="LONG"/>
    <s v="COIN LONG"/>
    <n v="0"/>
    <n v="0"/>
    <n v="0"/>
    <n v="0"/>
    <s v="HUBI"/>
    <s v="XRP COIN LONG"/>
  </r>
  <r>
    <s v="XTZ"/>
    <n v="3.9304560899999998"/>
    <n v="3.4950788489567901"/>
    <n v="0.88922984226921997"/>
    <n v="0"/>
    <s v="ASSET"/>
    <d v="2023-01-13T00:00:00"/>
    <n v="1"/>
    <x v="37"/>
    <n v="0"/>
    <s v="COIN"/>
    <s v="LONG"/>
    <s v="COIN LONG"/>
    <n v="0"/>
    <n v="0"/>
    <n v="0"/>
    <n v="0"/>
    <s v="HUBI"/>
    <s v="XTZ COIN LONG"/>
  </r>
  <r>
    <s v="YFII"/>
    <n v="1.329583E-2"/>
    <n v="16.3346720498742"/>
    <n v="1228.5560246990401"/>
    <n v="0"/>
    <s v="ASSET"/>
    <d v="2023-01-13T00:00:00"/>
    <n v="1"/>
    <x v="86"/>
    <n v="0"/>
    <s v="COIN"/>
    <s v="LONG"/>
    <s v="COIN LONG"/>
    <n v="0"/>
    <n v="0"/>
    <n v="0"/>
    <n v="0"/>
    <s v="HUBI"/>
    <s v="YFII COIN LONG"/>
  </r>
  <r>
    <s v="ZEC"/>
    <n v="2.173E-4"/>
    <n v="9.8461120696399299E-3"/>
    <n v="45.3111462017484"/>
    <n v="0"/>
    <s v="ASSET"/>
    <d v="2023-01-13T00:00:00"/>
    <n v="1"/>
    <x v="125"/>
    <n v="0"/>
    <s v="COIN"/>
    <s v="LONG"/>
    <s v="COIN LONG"/>
    <n v="0"/>
    <n v="0"/>
    <n v="0"/>
    <n v="0"/>
    <s v="HUBI"/>
    <s v="ZEC COIN LONG"/>
  </r>
  <r>
    <s v="ZIL"/>
    <n v="1471148.6227112999"/>
    <n v="35270.023095900899"/>
    <n v="2.39744799073386E-2"/>
    <n v="0"/>
    <s v="ASSET"/>
    <d v="2023-01-13T00:00:00"/>
    <n v="1"/>
    <x v="39"/>
    <n v="0"/>
    <s v="COIN"/>
    <s v="LONG"/>
    <s v="COIN LONG"/>
    <n v="0"/>
    <n v="0"/>
    <n v="0"/>
    <n v="0"/>
    <s v="HUBI"/>
    <s v="ZIL COIN LONG"/>
  </r>
  <r>
    <s v="BCH"/>
    <n v="1E-8"/>
    <n v="1.1971046613741201E-6"/>
    <n v="119.710466137412"/>
    <n v="0"/>
    <s v="ASSET"/>
    <d v="2023-01-13T00:00:00"/>
    <n v="1"/>
    <x v="6"/>
    <n v="0"/>
    <s v="COIN"/>
    <s v="LONG"/>
    <s v="COIN LONG"/>
    <n v="0"/>
    <n v="0"/>
    <n v="0"/>
    <n v="0"/>
    <s v="HUBI"/>
    <s v="BCH COIN LONG"/>
  </r>
  <r>
    <s v="ETC"/>
    <n v="1E-8"/>
    <n v="2.0917758217744E-7"/>
    <n v="20.917758217744002"/>
    <n v="0"/>
    <s v="ASSET"/>
    <d v="2023-01-13T00:00:00"/>
    <n v="1"/>
    <x v="40"/>
    <n v="0"/>
    <s v="COIN"/>
    <s v="LONG"/>
    <s v="COIN LONG"/>
    <n v="0"/>
    <n v="0"/>
    <n v="0"/>
    <n v="0"/>
    <s v="HUBI"/>
    <s v="ETC COIN LONG"/>
  </r>
  <r>
    <s v="LTC"/>
    <n v="1E-8"/>
    <n v="8.5964229450756099E-7"/>
    <n v="85.964229450756093"/>
    <n v="0"/>
    <s v="ASSET"/>
    <d v="2023-01-13T00:00:00"/>
    <n v="1"/>
    <x v="24"/>
    <n v="0"/>
    <s v="COIN"/>
    <s v="LONG"/>
    <s v="COIN LONG"/>
    <n v="0"/>
    <n v="0"/>
    <n v="0"/>
    <n v="0"/>
    <s v="HUBI"/>
    <s v="LTC COIN LONG"/>
  </r>
  <r>
    <s v="TRX"/>
    <n v="1E-8"/>
    <n v="5.7111199630631599E-10"/>
    <n v="5.7111199630631597E-2"/>
    <n v="0"/>
    <s v="ASSET"/>
    <d v="2023-01-13T00:00:00"/>
    <n v="1"/>
    <x v="83"/>
    <n v="0"/>
    <s v="COIN"/>
    <s v="LONG"/>
    <s v="COIN LONG"/>
    <n v="0"/>
    <n v="0"/>
    <n v="0"/>
    <n v="0"/>
    <s v="HUBI"/>
    <s v="TRX COIN LONG"/>
  </r>
  <r>
    <s v="USDT"/>
    <n v="0.90999770000000002"/>
    <n v="0.91008146454619399"/>
    <n v="1.00009204918451"/>
    <n v="0"/>
    <s v="ASSET"/>
    <d v="2023-01-13T00:00:00"/>
    <n v="1"/>
    <x v="34"/>
    <n v="0"/>
    <s v="COIN"/>
    <s v="LONG"/>
    <s v="COIN LONG"/>
    <n v="0"/>
    <n v="0"/>
    <n v="0"/>
    <n v="0"/>
    <s v="HUBI"/>
    <s v="USDT COIN LONG"/>
  </r>
  <r>
    <s v="XRP"/>
    <n v="7.6039999999999997E-5"/>
    <n v="2.8529990696074101E-5"/>
    <n v="0.37519714224190098"/>
    <n v="0"/>
    <s v="ASSET"/>
    <d v="2023-01-13T00:00:00"/>
    <n v="1"/>
    <x v="36"/>
    <n v="0"/>
    <s v="COIN"/>
    <s v="LONG"/>
    <s v="COIN LONG"/>
    <n v="0"/>
    <n v="0"/>
    <n v="0"/>
    <n v="0"/>
    <s v="HUBI"/>
    <s v="XRP COIN LONG"/>
  </r>
  <r>
    <s v="ATOM"/>
    <n v="0.331542"/>
    <n v="4.0695758794946002"/>
    <n v="12.274691832390999"/>
    <n v="0"/>
    <s v="ASSET"/>
    <d v="2023-01-12T22:00:34"/>
    <n v="1"/>
    <x v="3"/>
    <n v="0"/>
    <s v="COIN"/>
    <s v="LONG"/>
    <s v="COIN LONG"/>
    <n v="0"/>
    <n v="0"/>
    <n v="0"/>
    <n v="0"/>
    <s v="KRKE"/>
    <s v="ATOM COIN LONG"/>
  </r>
  <r>
    <s v="BCH"/>
    <n v="1.7695412699999999"/>
    <n v="211.83261028108799"/>
    <n v="119.710466137412"/>
    <n v="0"/>
    <s v="ASSET"/>
    <d v="2023-01-12T22:00:33"/>
    <n v="1"/>
    <x v="6"/>
    <n v="0"/>
    <s v="COIN"/>
    <s v="LONG"/>
    <s v="COIN LONG"/>
    <n v="0"/>
    <n v="0"/>
    <n v="0"/>
    <n v="0"/>
    <s v="KRKE"/>
    <s v="BCH COIN LONG"/>
  </r>
  <r>
    <s v="BTC"/>
    <n v="1.8847760000000002E-2"/>
    <n v="355.64946696451199"/>
    <n v="18869.5880552655"/>
    <n v="0"/>
    <s v="ASSET"/>
    <d v="2023-01-12T22:00:33"/>
    <n v="1"/>
    <x v="8"/>
    <n v="0"/>
    <s v="COIN"/>
    <s v="LONG"/>
    <s v="COIN LONG"/>
    <n v="0"/>
    <n v="0"/>
    <n v="0"/>
    <n v="0"/>
    <s v="KRKE"/>
    <s v="BTC COIN LONG"/>
  </r>
  <r>
    <s v="EOS"/>
    <n v="9.9499194400000004"/>
    <n v="9.8528328702951509"/>
    <n v="0.990242476806942"/>
    <n v="0"/>
    <s v="ASSET"/>
    <d v="2023-01-12T22:00:34"/>
    <n v="1"/>
    <x v="16"/>
    <n v="0"/>
    <s v="COIN"/>
    <s v="LONG"/>
    <s v="COIN LONG"/>
    <n v="0"/>
    <n v="0"/>
    <n v="0"/>
    <n v="0"/>
    <s v="KRKE"/>
    <s v="EOS COIN LONG"/>
  </r>
  <r>
    <s v="ETHW"/>
    <n v="3.4037359"/>
    <n v="11.6887470292637"/>
    <n v="3.43409341167265"/>
    <n v="0"/>
    <s v="ASSET"/>
    <d v="2023-01-12T22:00:34"/>
    <n v="1"/>
    <x v="41"/>
    <n v="0"/>
    <s v="COIN"/>
    <s v="LONG"/>
    <s v="COIN LONG"/>
    <n v="0"/>
    <n v="0"/>
    <n v="0"/>
    <n v="0"/>
    <s v="KRKE"/>
    <s v="ETHW COIN LONG"/>
  </r>
  <r>
    <s v="LTC"/>
    <n v="9.1421368100000002"/>
    <n v="785.89674640504302"/>
    <n v="85.964229450756093"/>
    <n v="0"/>
    <s v="ASSET"/>
    <d v="2023-01-12T22:00:34"/>
    <n v="1"/>
    <x v="24"/>
    <n v="0"/>
    <s v="COIN"/>
    <s v="LONG"/>
    <s v="COIN LONG"/>
    <n v="0"/>
    <n v="0"/>
    <n v="0"/>
    <n v="0"/>
    <s v="KRKE"/>
    <s v="LTC COIN LONG"/>
  </r>
  <r>
    <s v="OXT"/>
    <n v="700512.94058015"/>
    <n v="51361.140799233101"/>
    <n v="7.3319331912265404E-2"/>
    <n v="0"/>
    <s v="ASSET"/>
    <d v="2023-01-12T22:00:33"/>
    <n v="1"/>
    <x v="29"/>
    <n v="0"/>
    <s v="COIN"/>
    <s v="LONG"/>
    <s v="COIN LONG"/>
    <n v="0"/>
    <n v="0"/>
    <n v="0"/>
    <n v="0"/>
    <s v="KRKE"/>
    <s v="OXT COIN LONG"/>
  </r>
  <r>
    <s v="SGB"/>
    <n v="0.10834547999999999"/>
    <n v="1.26842526444161E-3"/>
    <n v="1.1707228252084E-2"/>
    <n v="0"/>
    <s v="ASSET"/>
    <d v="2023-01-12T22:00:34"/>
    <n v="1"/>
    <x v="45"/>
    <n v="0"/>
    <s v="COIN"/>
    <s v="LONG"/>
    <s v="COIN LONG"/>
    <n v="0"/>
    <n v="0"/>
    <n v="0"/>
    <n v="0"/>
    <s v="KRKE"/>
    <s v="SGB COIN LONG"/>
  </r>
  <r>
    <s v="USD"/>
    <n v="128214.5635"/>
    <n v="128214.5635"/>
    <n v="1"/>
    <n v="0"/>
    <s v="ASSET"/>
    <d v="2023-01-12T22:00:33"/>
    <n v="1"/>
    <x v="42"/>
    <n v="0"/>
    <s v="CASH"/>
    <s v="LONG"/>
    <s v="CASH LONG"/>
    <n v="0"/>
    <n v="0"/>
    <n v="0"/>
    <n v="0"/>
    <s v="KRKE"/>
    <s v="USD CASH LONG"/>
  </r>
  <r>
    <s v="USDT"/>
    <n v="1.182861E-2"/>
    <n v="1.18296988139044E-2"/>
    <n v="1.00009204918451"/>
    <n v="0"/>
    <s v="ASSET"/>
    <d v="2023-01-12T22:00:34"/>
    <n v="1"/>
    <x v="34"/>
    <n v="0"/>
    <s v="COIN"/>
    <s v="LONG"/>
    <s v="COIN LONG"/>
    <n v="0"/>
    <n v="0"/>
    <n v="0"/>
    <n v="0"/>
    <s v="KRKE"/>
    <s v="USDT COIN LONG"/>
  </r>
  <r>
    <s v="XLM"/>
    <n v="8.93329E-3"/>
    <n v="7.2934759832153195E-4"/>
    <n v="8.1643783905093401E-2"/>
    <n v="0"/>
    <s v="ASSET"/>
    <d v="2023-01-12T22:00:34"/>
    <n v="1"/>
    <x v="35"/>
    <n v="0"/>
    <s v="COIN"/>
    <s v="LONG"/>
    <s v="COIN LONG"/>
    <n v="0"/>
    <n v="0"/>
    <n v="0"/>
    <n v="0"/>
    <s v="KRKE"/>
    <s v="XLM COIN LONG"/>
  </r>
  <r>
    <s v="XRP"/>
    <n v="0.71704489000000005"/>
    <n v="0.26903319358715799"/>
    <n v="0.37519714224190098"/>
    <n v="0"/>
    <s v="ASSET"/>
    <d v="2023-01-12T22:00:34"/>
    <n v="1"/>
    <x v="36"/>
    <n v="0"/>
    <s v="COIN"/>
    <s v="LONG"/>
    <s v="COIN LONG"/>
    <n v="0"/>
    <n v="0"/>
    <n v="0"/>
    <n v="0"/>
    <s v="KRKE"/>
    <s v="XRP COIN LONG"/>
  </r>
  <r>
    <s v="AAVE"/>
    <n v="300"/>
    <n v="20358.340959391298"/>
    <n v="67.861136531304297"/>
    <n v="0"/>
    <s v="ASSET"/>
    <d v="2023-01-12T00:00:00"/>
    <n v="1"/>
    <x v="0"/>
    <n v="0"/>
    <s v="COIN"/>
    <s v="LONG"/>
    <s v="COIN LONG"/>
    <n v="0"/>
    <n v="0"/>
    <n v="0"/>
    <n v="0"/>
    <s v="LEND"/>
    <s v="AAVE COIN LONG"/>
  </r>
  <r>
    <s v="ADA"/>
    <n v="150000"/>
    <n v="49463.771211506297"/>
    <n v="0.329758474743375"/>
    <n v="0"/>
    <s v="ASSET"/>
    <d v="2023-01-12T00:00:00"/>
    <n v="1"/>
    <x v="1"/>
    <n v="0"/>
    <s v="COIN"/>
    <s v="LONG"/>
    <s v="COIN LONG"/>
    <n v="0"/>
    <n v="0"/>
    <n v="0"/>
    <n v="0"/>
    <s v="LEND"/>
    <s v="ADA COIN LONG"/>
  </r>
  <r>
    <s v="ALGO"/>
    <n v="35000"/>
    <n v="7438.4272051851603"/>
    <n v="0.21252649157671899"/>
    <n v="0"/>
    <s v="ASSET"/>
    <d v="2023-01-12T00:00:00"/>
    <n v="1"/>
    <x v="2"/>
    <n v="0"/>
    <s v="COIN"/>
    <s v="LONG"/>
    <s v="COIN LONG"/>
    <n v="0"/>
    <n v="0"/>
    <n v="0"/>
    <n v="0"/>
    <s v="LEND"/>
    <s v="ALGO COIN LONG"/>
  </r>
  <r>
    <s v="AVAX"/>
    <n v="3000"/>
    <n v="46372.050779343299"/>
    <n v="15.4573502597811"/>
    <n v="0"/>
    <s v="ASSET"/>
    <d v="2023-01-12T00:00:00"/>
    <n v="1"/>
    <x v="4"/>
    <n v="0"/>
    <s v="COIN"/>
    <s v="LONG"/>
    <s v="COIN LONG"/>
    <n v="0"/>
    <n v="0"/>
    <n v="0"/>
    <n v="0"/>
    <s v="LEND"/>
    <s v="AVAX COIN LONG"/>
  </r>
  <r>
    <s v="BAT"/>
    <n v="100000"/>
    <n v="20477.401519184201"/>
    <n v="0.20477401519184199"/>
    <n v="0"/>
    <s v="ASSET"/>
    <d v="2023-01-12T00:00:00"/>
    <n v="1"/>
    <x v="5"/>
    <n v="0"/>
    <s v="COIN"/>
    <s v="LONG"/>
    <s v="COIN LONG"/>
    <n v="0"/>
    <n v="0"/>
    <n v="0"/>
    <n v="0"/>
    <s v="LEND"/>
    <s v="BAT COIN LONG"/>
  </r>
  <r>
    <s v="BCH"/>
    <n v="5627"/>
    <n v="673610.792955218"/>
    <n v="119.710466137412"/>
    <n v="0"/>
    <s v="ASSET"/>
    <d v="2023-01-12T00:00:00"/>
    <n v="1"/>
    <x v="6"/>
    <n v="0"/>
    <s v="COIN"/>
    <s v="LONG"/>
    <s v="COIN LONG"/>
    <n v="0"/>
    <n v="0"/>
    <n v="0"/>
    <n v="0"/>
    <s v="LEND"/>
    <s v="BCH COIN LONG"/>
  </r>
  <r>
    <s v="DASH"/>
    <n v="100"/>
    <n v="4935.6487119112799"/>
    <n v="49.356487119112799"/>
    <n v="0"/>
    <s v="ASSET"/>
    <d v="2023-01-12T00:00:00"/>
    <n v="1"/>
    <x v="12"/>
    <n v="0"/>
    <s v="COIN"/>
    <s v="LONG"/>
    <s v="COIN LONG"/>
    <n v="0"/>
    <n v="0"/>
    <n v="0"/>
    <n v="0"/>
    <s v="LEND"/>
    <s v="DASH COIN LONG"/>
  </r>
  <r>
    <s v="DOGE"/>
    <n v="600000"/>
    <n v="48171.441601568797"/>
    <n v="8.0285736002614697E-2"/>
    <n v="0"/>
    <s v="ASSET"/>
    <d v="2023-01-12T00:00:00"/>
    <n v="1"/>
    <x v="13"/>
    <n v="0"/>
    <s v="COIN"/>
    <s v="LONG"/>
    <s v="COIN LONG"/>
    <n v="0"/>
    <n v="0"/>
    <n v="0"/>
    <n v="0"/>
    <s v="LEND"/>
    <s v="DOGE COIN LONG"/>
  </r>
  <r>
    <s v="DOT"/>
    <n v="5000"/>
    <n v="26147.389695369999"/>
    <n v="5.2294779390740098"/>
    <n v="0"/>
    <s v="ASSET"/>
    <d v="2023-01-12T00:00:00"/>
    <n v="1"/>
    <x v="14"/>
    <n v="0"/>
    <s v="COIN"/>
    <s v="LONG"/>
    <s v="COIN LONG"/>
    <n v="0"/>
    <n v="0"/>
    <n v="0"/>
    <n v="0"/>
    <s v="LEND"/>
    <s v="DOT COIN LONG"/>
  </r>
  <r>
    <s v="ENJ"/>
    <n v="15000"/>
    <n v="4561.4429835563797"/>
    <n v="0.304096198903759"/>
    <n v="0"/>
    <s v="ASSET"/>
    <d v="2023-01-12T00:00:00"/>
    <n v="1"/>
    <x v="15"/>
    <n v="0"/>
    <s v="COIN"/>
    <s v="LONG"/>
    <s v="COIN LONG"/>
    <n v="0"/>
    <n v="0"/>
    <n v="0"/>
    <n v="0"/>
    <s v="LEND"/>
    <s v="ENJ COIN LONG"/>
  </r>
  <r>
    <s v="EOS"/>
    <n v="30000"/>
    <n v="29707.2743042082"/>
    <n v="0.990242476806942"/>
    <n v="0"/>
    <s v="ASSET"/>
    <d v="2023-01-12T00:00:00"/>
    <n v="1"/>
    <x v="16"/>
    <n v="0"/>
    <s v="COIN"/>
    <s v="LONG"/>
    <s v="COIN LONG"/>
    <n v="0"/>
    <n v="0"/>
    <n v="0"/>
    <n v="0"/>
    <s v="LEND"/>
    <s v="EOS COIN LONG"/>
  </r>
  <r>
    <s v="ETC"/>
    <n v="98000"/>
    <n v="2049940.3053389101"/>
    <n v="20.917758217744002"/>
    <n v="0"/>
    <s v="ASSET"/>
    <d v="2023-01-12T00:00:00"/>
    <n v="1"/>
    <x v="40"/>
    <n v="0"/>
    <s v="COIN"/>
    <s v="LONG"/>
    <s v="COIN LONG"/>
    <n v="0"/>
    <n v="0"/>
    <n v="0"/>
    <n v="0"/>
    <s v="LEND"/>
    <s v="ETC COIN LONG"/>
  </r>
  <r>
    <s v="FTM"/>
    <n v="30000"/>
    <n v="8203.4051788677698"/>
    <n v="0.27344683929559199"/>
    <n v="0"/>
    <s v="ASSET"/>
    <d v="2023-01-12T00:00:00"/>
    <n v="1"/>
    <x v="20"/>
    <n v="0"/>
    <s v="COIN"/>
    <s v="LONG"/>
    <s v="COIN LONG"/>
    <n v="0"/>
    <n v="0"/>
    <n v="0"/>
    <n v="0"/>
    <s v="LEND"/>
    <s v="FTM COIN LONG"/>
  </r>
  <r>
    <s v="GRT"/>
    <n v="50000"/>
    <n v="3675.0979151612801"/>
    <n v="7.3501958303225604E-2"/>
    <n v="0"/>
    <s v="ASSET"/>
    <d v="2023-01-12T00:00:00"/>
    <n v="1"/>
    <x v="21"/>
    <n v="0"/>
    <s v="COIN"/>
    <s v="LONG"/>
    <s v="COIN LONG"/>
    <n v="0"/>
    <n v="0"/>
    <n v="0"/>
    <n v="0"/>
    <s v="LEND"/>
    <s v="GRT COIN LONG"/>
  </r>
  <r>
    <s v="HBAR"/>
    <n v="125000"/>
    <n v="5955.95459558743"/>
    <n v="4.7647636764699498E-2"/>
    <n v="0"/>
    <s v="ASSET"/>
    <d v="2023-01-12T00:00:00"/>
    <n v="1"/>
    <x v="22"/>
    <n v="0"/>
    <s v="COIN"/>
    <s v="LONG"/>
    <s v="COIN LONG"/>
    <n v="0"/>
    <n v="0"/>
    <n v="0"/>
    <n v="0"/>
    <s v="LEND"/>
    <s v="HBAR COIN LONG"/>
  </r>
  <r>
    <s v="LINK"/>
    <n v="7000"/>
    <n v="44669.3208670651"/>
    <n v="6.38133155243787"/>
    <n v="0"/>
    <s v="ASSET"/>
    <d v="2023-01-12T00:00:00"/>
    <n v="1"/>
    <x v="23"/>
    <n v="0"/>
    <s v="COIN"/>
    <s v="LONG"/>
    <s v="COIN LONG"/>
    <n v="0"/>
    <n v="0"/>
    <n v="0"/>
    <n v="0"/>
    <s v="LEND"/>
    <s v="LINK COIN LONG"/>
  </r>
  <r>
    <s v="LTC"/>
    <n v="500"/>
    <n v="42982.114725378"/>
    <n v="85.964229450756093"/>
    <n v="0"/>
    <s v="ASSET"/>
    <d v="2023-01-12T00:00:00"/>
    <n v="1"/>
    <x v="24"/>
    <n v="0"/>
    <s v="COIN"/>
    <s v="LONG"/>
    <s v="COIN LONG"/>
    <n v="0"/>
    <n v="0"/>
    <n v="0"/>
    <n v="0"/>
    <s v="LEND"/>
    <s v="LTC COIN LONG"/>
  </r>
  <r>
    <s v="MANA"/>
    <n v="45000"/>
    <n v="18560.356587142"/>
    <n v="0.41245236860315698"/>
    <n v="0"/>
    <s v="ASSET"/>
    <d v="2023-01-12T00:00:00"/>
    <n v="1"/>
    <x v="25"/>
    <n v="0"/>
    <s v="COIN"/>
    <s v="LONG"/>
    <s v="COIN LONG"/>
    <n v="0"/>
    <n v="0"/>
    <n v="0"/>
    <n v="0"/>
    <s v="LEND"/>
    <s v="MANA COIN LONG"/>
  </r>
  <r>
    <s v="MATIC"/>
    <n v="50000"/>
    <n v="45814.455718261699"/>
    <n v="0.91628911436523497"/>
    <n v="0"/>
    <s v="ASSET"/>
    <d v="2023-01-12T00:00:00"/>
    <n v="1"/>
    <x v="26"/>
    <n v="0"/>
    <s v="COIN"/>
    <s v="LONG"/>
    <s v="COIN LONG"/>
    <n v="0"/>
    <n v="0"/>
    <n v="0"/>
    <n v="0"/>
    <s v="LEND"/>
    <s v="MATIC COIN LONG"/>
  </r>
  <r>
    <s v="OXT"/>
    <n v="80000"/>
    <n v="5865.54655298123"/>
    <n v="7.3319331912265404E-2"/>
    <n v="0"/>
    <s v="ASSET"/>
    <d v="2023-01-12T00:00:00"/>
    <n v="1"/>
    <x v="29"/>
    <n v="0"/>
    <s v="COIN"/>
    <s v="LONG"/>
    <s v="COIN LONG"/>
    <n v="0"/>
    <n v="0"/>
    <n v="0"/>
    <n v="0"/>
    <s v="LEND"/>
    <s v="OXT COIN LONG"/>
  </r>
  <r>
    <s v="SOL"/>
    <n v="3500"/>
    <n v="58166.654687279501"/>
    <n v="16.6190441963655"/>
    <n v="0"/>
    <s v="ASSET"/>
    <d v="2023-01-12T00:00:00"/>
    <n v="1"/>
    <x v="31"/>
    <n v="0"/>
    <s v="COIN"/>
    <s v="LONG"/>
    <s v="COIN LONG"/>
    <n v="0"/>
    <n v="0"/>
    <n v="0"/>
    <n v="0"/>
    <s v="LEND"/>
    <s v="SOL COIN LONG"/>
  </r>
  <r>
    <s v="SUSHI"/>
    <n v="21600"/>
    <n v="24574.094963555199"/>
    <n v="1.1376895816460699"/>
    <n v="0"/>
    <s v="ASSET"/>
    <d v="2023-01-12T00:00:00"/>
    <n v="1"/>
    <x v="32"/>
    <n v="0"/>
    <s v="COIN"/>
    <s v="LONG"/>
    <s v="COIN LONG"/>
    <n v="0"/>
    <n v="0"/>
    <n v="0"/>
    <n v="0"/>
    <s v="LEND"/>
    <s v="SUSHI COIN LONG"/>
  </r>
  <r>
    <s v="UNI"/>
    <n v="6000"/>
    <n v="37040.287692466401"/>
    <n v="6.1733812820777398"/>
    <n v="0"/>
    <s v="ASSET"/>
    <d v="2023-01-12T00:00:00"/>
    <n v="1"/>
    <x v="33"/>
    <n v="0"/>
    <s v="COIN"/>
    <s v="LONG"/>
    <s v="COIN LONG"/>
    <n v="0"/>
    <n v="0"/>
    <n v="0"/>
    <n v="0"/>
    <s v="LEND"/>
    <s v="UNI COIN LONG"/>
  </r>
  <r>
    <s v="USDT"/>
    <n v="10000000"/>
    <n v="10000920.491845099"/>
    <n v="1.00009204918451"/>
    <n v="0"/>
    <s v="ASSET"/>
    <d v="2023-01-12T00:00:00"/>
    <n v="1"/>
    <x v="34"/>
    <n v="0"/>
    <s v="COIN"/>
    <s v="LONG"/>
    <s v="COIN LONG"/>
    <n v="0"/>
    <n v="0"/>
    <n v="0"/>
    <n v="0"/>
    <s v="LEND"/>
    <s v="USDT COIN LONG"/>
  </r>
  <r>
    <s v="XLM"/>
    <n v="100000"/>
    <n v="8164.3783905093396"/>
    <n v="8.1643783905093401E-2"/>
    <n v="0"/>
    <s v="ASSET"/>
    <d v="2023-01-12T00:00:00"/>
    <n v="1"/>
    <x v="35"/>
    <n v="0"/>
    <s v="COIN"/>
    <s v="LONG"/>
    <s v="COIN LONG"/>
    <n v="0"/>
    <n v="0"/>
    <n v="0"/>
    <n v="0"/>
    <s v="LEND"/>
    <s v="XLM COIN LONG"/>
  </r>
  <r>
    <s v="XTZ"/>
    <n v="5000"/>
    <n v="4446.1492113460999"/>
    <n v="0.88922984226921997"/>
    <n v="0"/>
    <s v="ASSET"/>
    <d v="2023-01-12T00:00:00"/>
    <n v="1"/>
    <x v="37"/>
    <n v="0"/>
    <s v="COIN"/>
    <s v="LONG"/>
    <s v="COIN LONG"/>
    <n v="0"/>
    <n v="0"/>
    <n v="0"/>
    <n v="0"/>
    <s v="LEND"/>
    <s v="XTZ COIN LONG"/>
  </r>
  <r>
    <s v="ETH"/>
    <n v="5.0000000000000001E-4"/>
    <n v="0.70896926155560902"/>
    <n v="1417.9385231112101"/>
    <n v="0"/>
    <s v="ASSET"/>
    <d v="2023-01-12T00:00:01"/>
    <n v="1"/>
    <x v="17"/>
    <n v="0"/>
    <s v="COIN"/>
    <s v="LONG"/>
    <s v="COIN LONG"/>
    <n v="0"/>
    <n v="0"/>
    <n v="0"/>
    <n v="0"/>
    <s v="LMAC"/>
    <s v="ETH COIN LONG"/>
  </r>
  <r>
    <s v="USD"/>
    <n v="2.63E-3"/>
    <n v="2.63E-3"/>
    <n v="1"/>
    <n v="0"/>
    <s v="ASSET"/>
    <d v="2023-01-12T00:00:01"/>
    <n v="1"/>
    <x v="42"/>
    <n v="0"/>
    <s v="CASH"/>
    <s v="LONG"/>
    <s v="CASH LONG"/>
    <n v="0"/>
    <n v="0"/>
    <n v="0"/>
    <n v="0"/>
    <s v="LMAC"/>
    <s v="USD CASH LONG"/>
  </r>
  <r>
    <s v="USD"/>
    <n v="10138.725630000001"/>
    <n v="10138.725630000001"/>
    <n v="1"/>
    <n v="0"/>
    <s v="ASSET"/>
    <d v="2023-01-12T00:00:01"/>
    <n v="1"/>
    <x v="42"/>
    <n v="0"/>
    <s v="CASH"/>
    <s v="LONG"/>
    <s v="CASH LONG"/>
    <n v="0"/>
    <n v="0"/>
    <n v="0"/>
    <n v="0"/>
    <s v="LMAX"/>
    <s v="USD CASH LONG"/>
  </r>
  <r>
    <s v="BTC"/>
    <n v="2.6E-7"/>
    <n v="4.9060928943690501E-3"/>
    <n v="18869.5880552655"/>
    <n v="0"/>
    <s v="ASSET"/>
    <d v="2023-01-13T00:00:00"/>
    <n v="1"/>
    <x v="8"/>
    <n v="0"/>
    <s v="COIN"/>
    <s v="LONG"/>
    <s v="COIN LONG"/>
    <n v="0"/>
    <n v="0"/>
    <n v="0"/>
    <n v="0"/>
    <s v="OKEX"/>
    <s v="BTC COIN LONG"/>
  </r>
  <r>
    <s v="ETH"/>
    <n v="6.7499999999999997E-6"/>
    <n v="9.5710850310007298E-3"/>
    <n v="1417.9385231112101"/>
    <n v="0"/>
    <s v="ASSET"/>
    <d v="2023-01-13T00:00:00"/>
    <n v="1"/>
    <x v="17"/>
    <n v="0"/>
    <s v="COIN"/>
    <s v="LONG"/>
    <s v="COIN LONG"/>
    <n v="0"/>
    <n v="0"/>
    <n v="0"/>
    <n v="0"/>
    <s v="OKEX"/>
    <s v="ETH COIN LONG"/>
  </r>
  <r>
    <s v="XRP"/>
    <n v="0.44933625999999999"/>
    <n v="0.168589680657663"/>
    <n v="0.37519714224190098"/>
    <n v="0"/>
    <s v="ASSET"/>
    <d v="2023-01-13T00:00:00"/>
    <n v="1"/>
    <x v="36"/>
    <n v="0"/>
    <s v="COIN"/>
    <s v="LONG"/>
    <s v="COIN LONG"/>
    <n v="0"/>
    <n v="0"/>
    <n v="0"/>
    <n v="0"/>
    <s v="OKEX"/>
    <s v="XRP COIN LONG"/>
  </r>
  <r>
    <s v="USDT"/>
    <n v="9.0007799999999999E-3"/>
    <n v="9.0016085144589905E-3"/>
    <n v="1.00009204918451"/>
    <n v="0"/>
    <s v="ASSET"/>
    <d v="2023-01-13T00:00:00"/>
    <n v="1"/>
    <x v="34"/>
    <n v="0"/>
    <s v="COIN"/>
    <s v="LONG"/>
    <s v="COIN LONG"/>
    <n v="0"/>
    <n v="0"/>
    <n v="0"/>
    <n v="0"/>
    <s v="OKEX"/>
    <s v="USDT COIN LONG"/>
  </r>
  <r>
    <s v="BTC"/>
    <n v="1.3863722599999999"/>
    <n v="26160.2734374475"/>
    <n v="18869.5880552655"/>
    <n v="0"/>
    <s v="ASSET"/>
    <d v="2023-01-13T00:00:00"/>
    <n v="1"/>
    <x v="8"/>
    <n v="0"/>
    <s v="COIN"/>
    <s v="LONG"/>
    <s v="COIN LONG"/>
    <n v="0"/>
    <n v="0"/>
    <n v="0"/>
    <n v="0"/>
    <s v="OKEX"/>
    <s v="BTC COIN LONG"/>
  </r>
  <r>
    <s v="USDT"/>
    <n v="14155.78589843"/>
    <n v="14157.0889269781"/>
    <n v="1.00009204918451"/>
    <n v="0"/>
    <s v="ASSET"/>
    <d v="2023-01-13T00:00:00"/>
    <n v="1"/>
    <x v="34"/>
    <n v="0"/>
    <s v="COIN"/>
    <s v="LONG"/>
    <s v="COIN LONG"/>
    <n v="0"/>
    <n v="0"/>
    <n v="0"/>
    <n v="0"/>
    <s v="OKEX"/>
    <s v="USDT COIN LONG"/>
  </r>
  <r>
    <s v="USDT"/>
    <n v="-17651.770061800002"/>
    <n v="-17653.394892839398"/>
    <n v="1.00009204918451"/>
    <n v="0"/>
    <s v="UNREALIZED"/>
    <d v="2023-01-13T00:00:00"/>
    <n v="1"/>
    <x v="34"/>
    <n v="0"/>
    <s v="COIN"/>
    <s v="SHORT"/>
    <s v="COIN SHORT"/>
    <n v="0"/>
    <n v="0"/>
    <n v="0"/>
    <n v="0"/>
    <s v="OKEX"/>
    <s v="USDT COIN SHORT"/>
  </r>
  <r>
    <s v="BTC"/>
    <n v="719.02328516"/>
    <n v="13567673.1931129"/>
    <n v="18869.5880552655"/>
    <n v="0"/>
    <s v="ASSET"/>
    <d v="2023-01-13T00:00:00"/>
    <n v="1"/>
    <x v="8"/>
    <n v="0"/>
    <s v="COIN"/>
    <s v="LONG"/>
    <s v="COIN LONG"/>
    <n v="0"/>
    <n v="0"/>
    <n v="0"/>
    <n v="0"/>
    <s v="OKEX"/>
    <s v="BTC COIN LONG"/>
  </r>
  <r>
    <s v="BTC"/>
    <n v="-32.644600570000001"/>
    <n v="-615990.16498458805"/>
    <n v="18869.5880552655"/>
    <n v="0"/>
    <s v="UNREALIZED"/>
    <d v="2023-01-13T00:00:00"/>
    <n v="1"/>
    <x v="8"/>
    <n v="0"/>
    <s v="COIN"/>
    <s v="SHORT"/>
    <s v="COIN SHORT"/>
    <n v="0"/>
    <n v="0"/>
    <n v="0"/>
    <n v="0"/>
    <s v="OKEX"/>
    <s v="BTC COIN SHORT"/>
  </r>
  <r>
    <s v="ETH"/>
    <n v="8955.2959333500003"/>
    <n v="12698059.089758201"/>
    <n v="1417.9385231112101"/>
    <n v="0"/>
    <s v="ASSET"/>
    <d v="2023-01-13T00:00:00"/>
    <n v="1"/>
    <x v="17"/>
    <n v="0"/>
    <s v="COIN"/>
    <s v="LONG"/>
    <s v="COIN LONG"/>
    <n v="0"/>
    <n v="0"/>
    <n v="0"/>
    <n v="0"/>
    <s v="OKEX"/>
    <s v="ETH COIN LONG"/>
  </r>
  <r>
    <s v="ETH"/>
    <n v="-270.77938137000001"/>
    <n v="-383948.51610874699"/>
    <n v="1417.9385231112101"/>
    <n v="0"/>
    <s v="UNREALIZED"/>
    <d v="2023-01-13T00:00:00"/>
    <n v="1"/>
    <x v="17"/>
    <n v="0"/>
    <s v="COIN"/>
    <s v="SHORT"/>
    <s v="COIN SHORT"/>
    <n v="0"/>
    <n v="0"/>
    <n v="0"/>
    <n v="0"/>
    <s v="OKEX"/>
    <s v="ETH COIN SHORT"/>
  </r>
  <r>
    <s v="OXT"/>
    <n v="604136.71778894996"/>
    <n v="44294.900531954598"/>
    <n v="7.3319331912265404E-2"/>
    <n v="0"/>
    <s v="ASSET"/>
    <d v="2023-01-13T00:00:00"/>
    <n v="1"/>
    <x v="29"/>
    <n v="0"/>
    <s v="COIN"/>
    <s v="LONG"/>
    <s v="COIN LONG"/>
    <n v="0"/>
    <n v="0"/>
    <n v="0"/>
    <n v="0"/>
    <s v="OKEX"/>
    <s v="OXT COIN LONG"/>
  </r>
  <r>
    <s v="SHIB"/>
    <n v="78952990042.466797"/>
    <n v="747794.03457846702"/>
    <n v="9.4713833405960602E-6"/>
    <n v="0"/>
    <s v="ASSET"/>
    <d v="2023-01-13T00:00:00"/>
    <n v="1"/>
    <x v="30"/>
    <n v="0"/>
    <s v="COIN"/>
    <s v="LONG"/>
    <s v="COIN LONG"/>
    <n v="0"/>
    <n v="0"/>
    <n v="0"/>
    <n v="0"/>
    <s v="OKEX"/>
    <s v="SHIB COIN LONG"/>
  </r>
  <r>
    <s v="USDT"/>
    <n v="2962793.3999678502"/>
    <n v="2963066.1226841998"/>
    <n v="1.00009204918451"/>
    <n v="0"/>
    <s v="ASSET"/>
    <d v="2023-01-13T00:00:00"/>
    <n v="1"/>
    <x v="34"/>
    <n v="0"/>
    <s v="COIN"/>
    <s v="LONG"/>
    <s v="COIN LONG"/>
    <n v="0"/>
    <n v="0"/>
    <n v="0"/>
    <n v="0"/>
    <s v="OKEX"/>
    <s v="USDT COIN LONG"/>
  </r>
  <r>
    <s v="USDT"/>
    <n v="582247.84443457995"/>
    <n v="582301.43987384497"/>
    <n v="1.00009204918451"/>
    <n v="0"/>
    <s v="UNREALIZED"/>
    <d v="2023-01-13T00:00:00"/>
    <n v="1"/>
    <x v="34"/>
    <n v="0"/>
    <s v="COIN"/>
    <s v="LONG"/>
    <s v="COIN LONG"/>
    <n v="0"/>
    <n v="0"/>
    <n v="0"/>
    <n v="0"/>
    <s v="OKEX"/>
    <s v="USDT COIN LONG"/>
  </r>
  <r>
    <s v="ZIL"/>
    <n v="3469624.0473292298"/>
    <n v="83182.432008713396"/>
    <n v="2.39744799073386E-2"/>
    <n v="0"/>
    <s v="ASSET"/>
    <d v="2023-01-13T00:00:00"/>
    <n v="1"/>
    <x v="39"/>
    <n v="0"/>
    <s v="COIN"/>
    <s v="LONG"/>
    <s v="COIN LONG"/>
    <n v="0"/>
    <n v="0"/>
    <n v="0"/>
    <n v="0"/>
    <s v="OKEX"/>
    <s v="ZIL COIN LONG"/>
  </r>
  <r>
    <s v="BSV"/>
    <n v="9.4549999999999994E-5"/>
    <n v="3.9850920739355599E-3"/>
    <n v="42.1479859749927"/>
    <n v="0"/>
    <s v="ASSET"/>
    <d v="2023-01-13T00:00:00"/>
    <n v="1"/>
    <x v="82"/>
    <n v="0"/>
    <s v="COIN"/>
    <s v="LONG"/>
    <s v="COIN LONG"/>
    <n v="0"/>
    <n v="0"/>
    <n v="0"/>
    <n v="0"/>
    <s v="OKEX"/>
    <s v="BSV COIN LONG"/>
  </r>
  <r>
    <s v="DOT"/>
    <n v="1E-8"/>
    <n v="5.2294779390740102E-8"/>
    <n v="5.2294779390740098"/>
    <n v="0"/>
    <s v="ASSET"/>
    <d v="2023-01-13T00:00:00"/>
    <n v="1"/>
    <x v="14"/>
    <n v="0"/>
    <s v="COIN"/>
    <s v="LONG"/>
    <s v="COIN LONG"/>
    <n v="0"/>
    <n v="0"/>
    <n v="0"/>
    <n v="0"/>
    <s v="OKEX"/>
    <s v="DOT COIN LONG"/>
  </r>
  <r>
    <s v="ETHW"/>
    <n v="8.7929999999999993E-5"/>
    <n v="3.0195983368837601E-4"/>
    <n v="3.43409341167265"/>
    <n v="0"/>
    <s v="ASSET"/>
    <d v="2023-01-13T00:00:00"/>
    <n v="1"/>
    <x v="41"/>
    <n v="0"/>
    <s v="COIN"/>
    <s v="LONG"/>
    <s v="COIN LONG"/>
    <n v="0"/>
    <n v="0"/>
    <n v="0"/>
    <n v="0"/>
    <s v="OKEX"/>
    <s v="ETHW COIN LONG"/>
  </r>
  <r>
    <s v="LTC"/>
    <n v="1E-8"/>
    <n v="8.5964229450756099E-7"/>
    <n v="85.964229450756093"/>
    <n v="0"/>
    <s v="ASSET"/>
    <d v="2023-01-13T00:00:00"/>
    <n v="1"/>
    <x v="24"/>
    <n v="0"/>
    <s v="COIN"/>
    <s v="LONG"/>
    <s v="COIN LONG"/>
    <n v="0"/>
    <n v="0"/>
    <n v="0"/>
    <n v="0"/>
    <s v="OKEX"/>
    <s v="LTC COIN LONG"/>
  </r>
  <r>
    <s v="SHIB"/>
    <n v="10000000000"/>
    <n v="94713.833405960599"/>
    <n v="9.4713833405960602E-6"/>
    <n v="0"/>
    <s v="ASSET"/>
    <d v="2023-01-13T00:00:00"/>
    <n v="1"/>
    <x v="30"/>
    <n v="0"/>
    <s v="COIN"/>
    <s v="LONG"/>
    <s v="COIN LONG"/>
    <n v="0"/>
    <n v="0"/>
    <n v="0"/>
    <n v="0"/>
    <s v="OKEX"/>
    <s v="SHIB COIN LONG"/>
  </r>
  <r>
    <s v="USDC"/>
    <n v="5.2E-7"/>
    <n v="5.2003751780624803E-7"/>
    <n v="1.0000721496274001"/>
    <n v="0"/>
    <s v="ASSET"/>
    <d v="2023-01-13T00:00:00"/>
    <n v="1"/>
    <x v="46"/>
    <n v="0"/>
    <s v="COIN"/>
    <s v="LONG"/>
    <s v="COIN LONG"/>
    <n v="0"/>
    <n v="0"/>
    <n v="0"/>
    <n v="0"/>
    <s v="OKEX"/>
    <s v="USDC COIN LONG"/>
  </r>
  <r>
    <s v="XEC"/>
    <n v="5.47"/>
    <n v="1.4939303501530001E-4"/>
    <n v="2.7311340953437101E-5"/>
    <n v="0"/>
    <s v="ASSET"/>
    <d v="2023-01-13T00:00:00"/>
    <n v="1"/>
    <x v="124"/>
    <n v="0"/>
    <s v="COIN"/>
    <s v="LONG"/>
    <s v="COIN LONG"/>
    <n v="0"/>
    <n v="0"/>
    <n v="0"/>
    <n v="0"/>
    <s v="OKEX"/>
    <s v="XEC COIN LONG"/>
  </r>
  <r>
    <s v="XRP"/>
    <n v="4.4000000000000002E-7"/>
    <n v="1.65086742586436E-7"/>
    <n v="0.37519714224190098"/>
    <n v="0"/>
    <s v="ASSET"/>
    <d v="2023-01-13T00:00:00"/>
    <n v="1"/>
    <x v="36"/>
    <n v="0"/>
    <s v="COIN"/>
    <s v="LONG"/>
    <s v="COIN LONG"/>
    <n v="0"/>
    <n v="0"/>
    <n v="0"/>
    <n v="0"/>
    <s v="OKEX"/>
    <s v="XRP COIN LONG"/>
  </r>
  <r>
    <s v="ETH"/>
    <n v="7.1361999999999999E-4"/>
    <n v="1.01186928886262"/>
    <n v="1417.9385231112101"/>
    <n v="0"/>
    <s v="ASSET"/>
    <d v="2023-01-13T00:58:02"/>
    <n v="1"/>
    <x v="17"/>
    <n v="0"/>
    <s v="COIN"/>
    <s v="LONG"/>
    <s v="COIN LONG"/>
    <n v="0"/>
    <n v="0"/>
    <n v="0"/>
    <n v="0"/>
    <s v="PITX"/>
    <s v="ETH COIN LONG"/>
  </r>
  <r>
    <s v="EUR"/>
    <n v="0.01"/>
    <n v="1.0852199999999999E-2"/>
    <n v="1.0852200000000001"/>
    <n v="0"/>
    <s v="ASSET"/>
    <d v="2023-01-13T00:58:02"/>
    <n v="1"/>
    <x v="18"/>
    <n v="0"/>
    <s v="CASH"/>
    <s v="LONG"/>
    <s v="CASH LONG"/>
    <n v="0"/>
    <n v="0"/>
    <n v="0"/>
    <n v="0"/>
    <s v="PITX"/>
    <s v="EUR CASH LONG"/>
  </r>
  <r>
    <s v="GBP"/>
    <n v="0.01"/>
    <n v="1.2211649999999999E-2"/>
    <n v="1.2211650000000001"/>
    <n v="0"/>
    <s v="ASSET"/>
    <d v="2023-01-13T00:58:02"/>
    <n v="1"/>
    <x v="126"/>
    <n v="0"/>
    <s v="COIN"/>
    <s v="LONG"/>
    <s v="COIN LONG"/>
    <n v="0"/>
    <n v="0"/>
    <n v="0"/>
    <n v="0"/>
    <s v="PITX"/>
    <s v="GBP COIN LONG"/>
  </r>
  <r>
    <s v="TRY"/>
    <n v="0.10983253"/>
    <n v="2.6601917850581499E-4"/>
    <n v="2.4220436195525599E-3"/>
    <n v="0"/>
    <s v="ASSET"/>
    <d v="2023-01-13T00:58:02"/>
    <n v="1"/>
    <x v="127"/>
    <n v="0"/>
    <s v="COIN"/>
    <s v="LONG"/>
    <s v="COIN LONG"/>
    <n v="0"/>
    <n v="0"/>
    <n v="0"/>
    <n v="0"/>
    <s v="PITX"/>
    <s v="TRY COIN LONG"/>
  </r>
  <r>
    <s v="USD"/>
    <n v="6.5778299999999998E-3"/>
    <n v="6.5778299999999998E-3"/>
    <n v="1"/>
    <n v="0"/>
    <s v="ASSET"/>
    <d v="2023-01-13T00:58:02"/>
    <n v="1"/>
    <x v="42"/>
    <n v="0"/>
    <s v="CASH"/>
    <s v="LONG"/>
    <s v="CASH LONG"/>
    <n v="0"/>
    <n v="0"/>
    <n v="0"/>
    <n v="0"/>
    <s v="PITX"/>
    <s v="USD CASH LONG"/>
  </r>
  <r>
    <s v="USDT"/>
    <n v="9.9996000000000004E-4"/>
    <n v="1.0000520455025401E-3"/>
    <n v="1.00009204918451"/>
    <n v="0"/>
    <s v="ASSET"/>
    <d v="2023-01-13T00:58:02"/>
    <n v="1"/>
    <x v="34"/>
    <n v="0"/>
    <s v="COIN"/>
    <s v="LONG"/>
    <s v="COIN LONG"/>
    <n v="0"/>
    <n v="0"/>
    <n v="0"/>
    <n v="0"/>
    <s v="PITX"/>
    <s v="USDT COIN LONG"/>
  </r>
  <r>
    <s v="XLM"/>
    <n v="9.9999999999999995E-8"/>
    <n v="8.1643783905093393E-9"/>
    <n v="8.1643783905093401E-2"/>
    <n v="0"/>
    <s v="ASSET"/>
    <d v="2023-01-13T00:58:02"/>
    <n v="1"/>
    <x v="35"/>
    <n v="0"/>
    <s v="COIN"/>
    <s v="LONG"/>
    <s v="COIN LONG"/>
    <n v="0"/>
    <n v="0"/>
    <n v="0"/>
    <n v="0"/>
    <s v="PITX"/>
    <s v="XLM COIN LONG"/>
  </r>
  <r>
    <s v="SHFT"/>
    <n v="3449324.2188823698"/>
    <n v="27668.2027522961"/>
    <n v="8.0213401224605903E-3"/>
    <n v="0"/>
    <s v="ASSET"/>
    <d v="2023-01-13T00:00:00"/>
    <n v="1"/>
    <x v="128"/>
    <n v="0"/>
    <s v="COIN"/>
    <s v="LONG"/>
    <s v="COIN LONG"/>
    <n v="0"/>
    <n v="0"/>
    <n v="0"/>
    <n v="0"/>
    <s v="SHFT"/>
    <s v="SHFT COIN LONG"/>
  </r>
  <r>
    <s v="BTC"/>
    <n v="130.56228007999999"/>
    <n v="2463656.4406658001"/>
    <n v="18869.5880552655"/>
    <n v="0"/>
    <s v="ASSET"/>
    <d v="2023-01-13T00:00:00"/>
    <n v="1"/>
    <x v="8"/>
    <n v="0"/>
    <s v="COIN"/>
    <s v="LONG"/>
    <s v="COIN LONG"/>
    <n v="0"/>
    <n v="0"/>
    <n v="0"/>
    <n v="0"/>
    <s v="WOOX"/>
    <s v="BTC COIN LONG"/>
  </r>
  <r>
    <s v="ETH"/>
    <n v="2169.3453886699999"/>
    <n v="3075998.3965288699"/>
    <n v="1417.9385231112101"/>
    <n v="0"/>
    <s v="ASSET"/>
    <d v="2023-01-13T00:00:00"/>
    <n v="1"/>
    <x v="17"/>
    <n v="0"/>
    <s v="COIN"/>
    <s v="LONG"/>
    <s v="COIN LONG"/>
    <n v="0"/>
    <n v="0"/>
    <n v="0"/>
    <n v="0"/>
    <s v="WOOX"/>
    <s v="ETH COIN LONG"/>
  </r>
  <r>
    <s v="WOO"/>
    <n v="1644286.05309931"/>
    <n v="281459.93846142199"/>
    <n v="0.17117455805873899"/>
    <n v="0"/>
    <s v="ASSET"/>
    <d v="2023-01-13T00:00:00"/>
    <n v="1"/>
    <x v="129"/>
    <n v="0"/>
    <s v="COIN"/>
    <s v="LONG"/>
    <s v="COIN LONG"/>
    <n v="0"/>
    <n v="0"/>
    <n v="0"/>
    <n v="0"/>
    <s v="WOOX"/>
    <s v="WOO COIN LONG"/>
  </r>
  <r>
    <s v="AAVE"/>
    <n v="1.34894162"/>
    <n v="91.5407114475789"/>
    <n v="67.861136531304297"/>
    <n v="0"/>
    <s v="ASSET"/>
    <d v="2023-01-12T23:35:39"/>
    <n v="1"/>
    <x v="0"/>
    <n v="0"/>
    <s v="COIN"/>
    <s v="LONG"/>
    <s v="COIN LONG"/>
    <n v="0"/>
    <n v="0"/>
    <n v="0"/>
    <n v="0"/>
    <s v="FBLK"/>
    <s v="AAVE COIN LONG"/>
  </r>
  <r>
    <s v="ADA"/>
    <n v="559"/>
    <n v="184.33498738154699"/>
    <n v="0.329758474743375"/>
    <n v="0"/>
    <s v="ASSET"/>
    <d v="2023-01-12T23:35:39"/>
    <n v="1"/>
    <x v="1"/>
    <n v="0"/>
    <s v="COIN"/>
    <s v="LONG"/>
    <s v="COIN LONG"/>
    <n v="0"/>
    <n v="0"/>
    <n v="0"/>
    <n v="0"/>
    <s v="FBLK"/>
    <s v="ADA COIN LONG"/>
  </r>
  <r>
    <s v="ALGO"/>
    <n v="116.66666600000001"/>
    <n v="24.794757208932801"/>
    <n v="0.21252649157671899"/>
    <n v="0"/>
    <s v="ASSET"/>
    <d v="2023-01-12T23:35:39"/>
    <n v="1"/>
    <x v="2"/>
    <n v="0"/>
    <s v="COIN"/>
    <s v="LONG"/>
    <s v="COIN LONG"/>
    <n v="0"/>
    <n v="0"/>
    <n v="0"/>
    <n v="0"/>
    <s v="FBLK"/>
    <s v="ALGO COIN LONG"/>
  </r>
  <r>
    <s v="AVAX"/>
    <n v="170.43333855999899"/>
    <n v="2634.4478100657702"/>
    <n v="15.4573502597811"/>
    <n v="0"/>
    <s v="ASSET"/>
    <d v="2023-01-12T23:35:39"/>
    <n v="1"/>
    <x v="4"/>
    <n v="0"/>
    <s v="COIN"/>
    <s v="LONG"/>
    <s v="COIN LONG"/>
    <n v="0"/>
    <n v="0"/>
    <n v="0"/>
    <n v="0"/>
    <s v="FBLK"/>
    <s v="AVAX COIN LONG"/>
  </r>
  <r>
    <s v="BAT"/>
    <n v="333.33333333000002"/>
    <n v="68.258005063265003"/>
    <n v="0.20477401519184199"/>
    <n v="0"/>
    <s v="ASSET"/>
    <d v="2023-01-12T23:35:39"/>
    <n v="1"/>
    <x v="5"/>
    <n v="0"/>
    <s v="COIN"/>
    <s v="LONG"/>
    <s v="COIN LONG"/>
    <n v="0"/>
    <n v="0"/>
    <n v="0"/>
    <n v="0"/>
    <s v="FBLK"/>
    <s v="BAT COIN LONG"/>
  </r>
  <r>
    <s v="BCH"/>
    <n v="5171.2119944799997"/>
    <n v="619048.19835457695"/>
    <n v="119.710466137412"/>
    <n v="0"/>
    <s v="ASSET"/>
    <d v="2023-01-12T23:35:39"/>
    <n v="1"/>
    <x v="6"/>
    <n v="0"/>
    <s v="COIN"/>
    <s v="LONG"/>
    <s v="COIN LONG"/>
    <n v="0"/>
    <n v="0"/>
    <n v="0"/>
    <n v="0"/>
    <s v="FBLK"/>
    <s v="BCH COIN LONG"/>
  </r>
  <r>
    <s v="BNB"/>
    <n v="1.7652E-4"/>
    <n v="5.0804633608003198E-2"/>
    <n v="287.81233632451398"/>
    <n v="0"/>
    <s v="ASSET"/>
    <d v="2023-01-12T23:35:39"/>
    <n v="1"/>
    <x v="7"/>
    <n v="0"/>
    <s v="COIN"/>
    <s v="LONG"/>
    <s v="COIN LONG"/>
    <n v="0"/>
    <n v="0"/>
    <n v="0"/>
    <n v="0"/>
    <s v="FBLK"/>
    <s v="BNB COIN LONG"/>
  </r>
  <r>
    <s v="BTC"/>
    <n v="135.14263080000001"/>
    <n v="2550085.7719008401"/>
    <n v="18869.5880552655"/>
    <n v="0"/>
    <s v="ASSET"/>
    <d v="2023-01-12T23:35:39"/>
    <n v="1"/>
    <x v="8"/>
    <n v="0"/>
    <s v="COIN"/>
    <s v="LONG"/>
    <s v="COIN LONG"/>
    <n v="0"/>
    <n v="0"/>
    <n v="0"/>
    <n v="0"/>
    <s v="FBLK"/>
    <s v="BTC COIN LONG"/>
  </r>
  <r>
    <s v="COMP"/>
    <n v="2921.9333411799998"/>
    <n v="110175.64054287699"/>
    <n v="37.706418209521303"/>
    <n v="0"/>
    <s v="ASSET"/>
    <d v="2023-01-12T23:35:39"/>
    <n v="1"/>
    <x v="10"/>
    <n v="0"/>
    <s v="COIN"/>
    <s v="LONG"/>
    <s v="COIN LONG"/>
    <n v="0"/>
    <n v="0"/>
    <n v="0"/>
    <n v="0"/>
    <s v="FBLK"/>
    <s v="COMP COIN LONG"/>
  </r>
  <r>
    <s v="DASH"/>
    <n v="2.9907231299999899"/>
    <n v="147.61158764267699"/>
    <n v="49.356487119112799"/>
    <n v="0"/>
    <s v="ASSET"/>
    <d v="2023-01-12T23:35:39"/>
    <n v="1"/>
    <x v="12"/>
    <n v="0"/>
    <s v="COIN"/>
    <s v="LONG"/>
    <s v="COIN LONG"/>
    <n v="0"/>
    <n v="0"/>
    <n v="0"/>
    <n v="0"/>
    <s v="FBLK"/>
    <s v="DASH COIN LONG"/>
  </r>
  <r>
    <s v="DOGE"/>
    <n v="2000"/>
    <n v="160.571472005229"/>
    <n v="8.0285736002614697E-2"/>
    <n v="0"/>
    <s v="ASSET"/>
    <d v="2023-01-12T23:35:39"/>
    <n v="1"/>
    <x v="13"/>
    <n v="0"/>
    <s v="COIN"/>
    <s v="LONG"/>
    <s v="COIN LONG"/>
    <n v="0"/>
    <n v="0"/>
    <n v="0"/>
    <n v="0"/>
    <s v="FBLK"/>
    <s v="DOGE COIN LONG"/>
  </r>
  <r>
    <s v="DOT"/>
    <n v="322.31185354000002"/>
    <n v="1685.5227275894799"/>
    <n v="5.2294779390740098"/>
    <n v="0"/>
    <s v="ASSET"/>
    <d v="2023-01-12T23:35:39"/>
    <n v="1"/>
    <x v="14"/>
    <n v="0"/>
    <s v="COIN"/>
    <s v="LONG"/>
    <s v="COIN LONG"/>
    <n v="0"/>
    <n v="0"/>
    <n v="0"/>
    <n v="0"/>
    <s v="FBLK"/>
    <s v="DOT COIN LONG"/>
  </r>
  <r>
    <s v="ENJ"/>
    <n v="516.67744242000003"/>
    <n v="157.11964629923699"/>
    <n v="0.304096198903759"/>
    <n v="0"/>
    <s v="ASSET"/>
    <d v="2023-01-12T23:35:39"/>
    <n v="1"/>
    <x v="15"/>
    <n v="0"/>
    <s v="COIN"/>
    <s v="LONG"/>
    <s v="COIN LONG"/>
    <n v="0"/>
    <n v="0"/>
    <n v="0"/>
    <n v="0"/>
    <s v="FBLK"/>
    <s v="ENJ COIN LONG"/>
  </r>
  <r>
    <s v="EOS"/>
    <n v="186334.70740000001"/>
    <n v="184516.542170873"/>
    <n v="0.990242476806942"/>
    <n v="0"/>
    <s v="ASSET"/>
    <d v="2023-01-12T23:35:39"/>
    <n v="1"/>
    <x v="16"/>
    <n v="0"/>
    <s v="COIN"/>
    <s v="LONG"/>
    <s v="COIN LONG"/>
    <n v="0"/>
    <n v="0"/>
    <n v="0"/>
    <n v="0"/>
    <s v="FBLK"/>
    <s v="EOS COIN LONG"/>
  </r>
  <r>
    <s v="ETC"/>
    <n v="98844.463872979904"/>
    <n v="2067604.59645753"/>
    <n v="20.917758217744002"/>
    <n v="0"/>
    <s v="ASSET"/>
    <d v="2023-01-12T23:35:39"/>
    <n v="1"/>
    <x v="40"/>
    <n v="0"/>
    <s v="COIN"/>
    <s v="LONG"/>
    <s v="COIN LONG"/>
    <n v="0"/>
    <n v="0"/>
    <n v="0"/>
    <n v="0"/>
    <s v="FBLK"/>
    <s v="ETC COIN LONG"/>
  </r>
  <r>
    <s v="ETH"/>
    <n v="1175.8957334300001"/>
    <n v="1667347.8595925099"/>
    <n v="1417.9385231112101"/>
    <n v="0"/>
    <s v="ASSET"/>
    <d v="2023-01-12T23:35:39"/>
    <n v="1"/>
    <x v="17"/>
    <n v="0"/>
    <s v="COIN"/>
    <s v="LONG"/>
    <s v="COIN LONG"/>
    <n v="0"/>
    <n v="0"/>
    <n v="0"/>
    <n v="0"/>
    <s v="FBLK"/>
    <s v="ETH COIN LONG"/>
  </r>
  <r>
    <s v="ETHW"/>
    <n v="1268.1820227400001"/>
    <n v="4355.0555290931297"/>
    <n v="3.43409341167265"/>
    <n v="0"/>
    <s v="ASSET"/>
    <d v="2023-01-12T23:35:39"/>
    <n v="1"/>
    <x v="41"/>
    <n v="0"/>
    <s v="COIN"/>
    <s v="LONG"/>
    <s v="COIN LONG"/>
    <n v="0"/>
    <n v="0"/>
    <n v="0"/>
    <n v="0"/>
    <s v="FBLK"/>
    <s v="ETHW COIN LONG"/>
  </r>
  <r>
    <s v="EUROC"/>
    <n v="235746.127034"/>
    <n v="255681.53062948701"/>
    <n v="1.0845630163527999"/>
    <n v="0"/>
    <s v="ASSET"/>
    <d v="2023-01-12T23:35:39"/>
    <n v="1"/>
    <x v="97"/>
    <n v="0"/>
    <s v="COIN"/>
    <s v="LONG"/>
    <s v="COIN LONG"/>
    <n v="0"/>
    <n v="0"/>
    <n v="0"/>
    <n v="0"/>
    <s v="FBLK"/>
    <s v="EUROC COIN LONG"/>
  </r>
  <r>
    <s v="FTM"/>
    <n v="3173.41253207"/>
    <n v="867.75962667556405"/>
    <n v="0.27344683929559199"/>
    <n v="0"/>
    <s v="ASSET"/>
    <d v="2023-01-12T23:35:39"/>
    <n v="1"/>
    <x v="20"/>
    <n v="0"/>
    <s v="COIN"/>
    <s v="LONG"/>
    <s v="COIN LONG"/>
    <n v="0"/>
    <n v="0"/>
    <n v="0"/>
    <n v="0"/>
    <s v="FBLK"/>
    <s v="FTM COIN LONG"/>
  </r>
  <r>
    <s v="FTT"/>
    <n v="2.53888889"/>
    <n v="3.5057257739339498"/>
    <n v="1.3808110263281099"/>
    <n v="0"/>
    <s v="ASSET"/>
    <d v="2023-01-12T23:35:39"/>
    <n v="1"/>
    <x v="98"/>
    <n v="0"/>
    <s v="COIN"/>
    <s v="LONG"/>
    <s v="COIN LONG"/>
    <n v="0"/>
    <n v="0"/>
    <n v="0"/>
    <n v="0"/>
    <s v="FBLK"/>
    <s v="FTT COIN LONG"/>
  </r>
  <r>
    <s v="GRT"/>
    <n v="8497.41400307"/>
    <n v="624.57656973889596"/>
    <n v="7.3501958303225604E-2"/>
    <n v="0"/>
    <s v="ASSET"/>
    <d v="2023-01-12T23:35:39"/>
    <n v="1"/>
    <x v="21"/>
    <n v="0"/>
    <s v="COIN"/>
    <s v="LONG"/>
    <s v="COIN LONG"/>
    <n v="0"/>
    <n v="0"/>
    <n v="0"/>
    <n v="0"/>
    <s v="FBLK"/>
    <s v="GRT COIN LONG"/>
  </r>
  <r>
    <s v="HBAR"/>
    <n v="255118.81084801001"/>
    <n v="12155.808431128"/>
    <n v="4.7647636764699498E-2"/>
    <n v="0"/>
    <s v="ASSET"/>
    <d v="2023-01-12T23:35:39"/>
    <n v="1"/>
    <x v="22"/>
    <n v="0"/>
    <s v="COIN"/>
    <s v="LONG"/>
    <s v="COIN LONG"/>
    <n v="0"/>
    <n v="0"/>
    <n v="0"/>
    <n v="0"/>
    <s v="FBLK"/>
    <s v="HBAR COIN LONG"/>
  </r>
  <r>
    <s v="KSM"/>
    <n v="9.2269799999999992E-3"/>
    <n v="0.26137888695302802"/>
    <n v="28.327674597000101"/>
    <n v="0"/>
    <s v="ASSET"/>
    <d v="2023-01-12T23:35:39"/>
    <n v="1"/>
    <x v="105"/>
    <n v="0"/>
    <s v="COIN"/>
    <s v="LONG"/>
    <s v="COIN LONG"/>
    <n v="0"/>
    <n v="0"/>
    <n v="0"/>
    <n v="0"/>
    <s v="FBLK"/>
    <s v="KSM COIN LONG"/>
  </r>
  <r>
    <s v="LINK"/>
    <n v="23.333333329999999"/>
    <n v="148.89773620227899"/>
    <n v="6.38133155243787"/>
    <n v="0"/>
    <s v="ASSET"/>
    <d v="2023-01-12T23:35:39"/>
    <n v="1"/>
    <x v="23"/>
    <n v="0"/>
    <s v="COIN"/>
    <s v="LONG"/>
    <s v="COIN LONG"/>
    <n v="0"/>
    <n v="0"/>
    <n v="0"/>
    <n v="0"/>
    <s v="FBLK"/>
    <s v="LINK COIN LONG"/>
  </r>
  <r>
    <s v="LTC"/>
    <n v="1.6666666699999999"/>
    <n v="143.27371603780699"/>
    <n v="85.964229450756093"/>
    <n v="0"/>
    <s v="ASSET"/>
    <d v="2023-01-12T23:35:39"/>
    <n v="1"/>
    <x v="24"/>
    <n v="0"/>
    <s v="COIN"/>
    <s v="LONG"/>
    <s v="COIN LONG"/>
    <n v="0"/>
    <n v="0"/>
    <n v="0"/>
    <n v="0"/>
    <s v="FBLK"/>
    <s v="LTC COIN LONG"/>
  </r>
  <r>
    <s v="MANA"/>
    <n v="150.97894937000001"/>
    <n v="62.271625276872697"/>
    <n v="0.41245236860315698"/>
    <n v="0"/>
    <s v="ASSET"/>
    <d v="2023-01-12T23:35:39"/>
    <n v="1"/>
    <x v="25"/>
    <n v="0"/>
    <s v="COIN"/>
    <s v="LONG"/>
    <s v="COIN LONG"/>
    <n v="0"/>
    <n v="0"/>
    <n v="0"/>
    <n v="0"/>
    <s v="FBLK"/>
    <s v="MANA COIN LONG"/>
  </r>
  <r>
    <s v="MATIC"/>
    <n v="2464.7238741799902"/>
    <n v="2258.3996558272402"/>
    <n v="0.91628911436523497"/>
    <n v="0"/>
    <s v="ASSET"/>
    <d v="2023-01-12T23:35:39"/>
    <n v="1"/>
    <x v="26"/>
    <n v="0"/>
    <s v="COIN"/>
    <s v="LONG"/>
    <s v="COIN LONG"/>
    <n v="0"/>
    <n v="0"/>
    <n v="0"/>
    <n v="0"/>
    <s v="FBLK"/>
    <s v="MATIC COIN LONG"/>
  </r>
  <r>
    <s v="MKR"/>
    <n v="3.27084449"/>
    <n v="2134.4735182886802"/>
    <n v="652.57566503526505"/>
    <n v="0"/>
    <s v="ASSET"/>
    <d v="2023-01-12T23:35:39"/>
    <n v="1"/>
    <x v="27"/>
    <n v="0"/>
    <s v="COIN"/>
    <s v="LONG"/>
    <s v="COIN LONG"/>
    <n v="0"/>
    <n v="0"/>
    <n v="0"/>
    <n v="0"/>
    <s v="FBLK"/>
    <s v="MKR COIN LONG"/>
  </r>
  <r>
    <s v="OMG"/>
    <n v="204.55099999999999"/>
    <n v="247.97144936939401"/>
    <n v="1.21227199754288"/>
    <n v="0"/>
    <s v="ASSET"/>
    <d v="2023-01-12T23:35:39"/>
    <n v="1"/>
    <x v="28"/>
    <n v="0"/>
    <s v="COIN"/>
    <s v="LONG"/>
    <s v="COIN LONG"/>
    <n v="0"/>
    <n v="0"/>
    <n v="0"/>
    <n v="0"/>
    <s v="FBLK"/>
    <s v="OMG COIN LONG"/>
  </r>
  <r>
    <s v="OXT"/>
    <n v="837715.31955742999"/>
    <n v="61420.727562620697"/>
    <n v="7.3319331912265404E-2"/>
    <n v="0"/>
    <s v="ASSET"/>
    <d v="2023-01-12T23:35:39"/>
    <n v="1"/>
    <x v="29"/>
    <n v="0"/>
    <s v="COIN"/>
    <s v="LONG"/>
    <s v="COIN LONG"/>
    <n v="0"/>
    <n v="0"/>
    <n v="0"/>
    <n v="0"/>
    <s v="FBLK"/>
    <s v="OXT COIN LONG"/>
  </r>
  <r>
    <s v="SHIB"/>
    <n v="1682891321.7256501"/>
    <n v="15939.308828626001"/>
    <n v="9.4713833405960602E-6"/>
    <n v="0"/>
    <s v="ASSET"/>
    <d v="2023-01-12T23:35:39"/>
    <n v="1"/>
    <x v="30"/>
    <n v="0"/>
    <s v="COIN"/>
    <s v="LONG"/>
    <s v="COIN LONG"/>
    <n v="0"/>
    <n v="0"/>
    <n v="0"/>
    <n v="0"/>
    <s v="FBLK"/>
    <s v="SHIB COIN LONG"/>
  </r>
  <r>
    <s v="SOL"/>
    <n v="11.66666667"/>
    <n v="193.888849012995"/>
    <n v="16.6190441963655"/>
    <n v="0"/>
    <s v="ASSET"/>
    <d v="2023-01-12T23:35:39"/>
    <n v="1"/>
    <x v="31"/>
    <n v="0"/>
    <s v="COIN"/>
    <s v="LONG"/>
    <s v="COIN LONG"/>
    <n v="0"/>
    <n v="0"/>
    <n v="0"/>
    <n v="0"/>
    <s v="FBLK"/>
    <s v="SOL COIN LONG"/>
  </r>
  <r>
    <s v="SUSHI"/>
    <n v="719.80145141000003"/>
    <n v="818.91061212288105"/>
    <n v="1.1376895816460699"/>
    <n v="0"/>
    <s v="ASSET"/>
    <d v="2023-01-12T23:35:39"/>
    <n v="1"/>
    <x v="32"/>
    <n v="0"/>
    <s v="COIN"/>
    <s v="LONG"/>
    <s v="COIN LONG"/>
    <n v="0"/>
    <n v="0"/>
    <n v="0"/>
    <n v="0"/>
    <s v="FBLK"/>
    <s v="SUSHI COIN LONG"/>
  </r>
  <r>
    <s v="UNI"/>
    <n v="308.31158293999999"/>
    <n v="1903.3249551695501"/>
    <n v="6.1733812820777398"/>
    <n v="0"/>
    <s v="ASSET"/>
    <d v="2023-01-12T23:35:39"/>
    <n v="1"/>
    <x v="33"/>
    <n v="0"/>
    <s v="COIN"/>
    <s v="LONG"/>
    <s v="COIN LONG"/>
    <n v="0"/>
    <n v="0"/>
    <n v="0"/>
    <n v="0"/>
    <s v="FBLK"/>
    <s v="UNI COIN LONG"/>
  </r>
  <r>
    <s v="USDC"/>
    <n v="18401408.683667999"/>
    <n v="18402736.3384481"/>
    <n v="1.0000721496274001"/>
    <n v="0"/>
    <s v="ASSET"/>
    <d v="2023-01-12T23:35:39"/>
    <n v="1"/>
    <x v="46"/>
    <n v="0"/>
    <s v="COIN"/>
    <s v="LONG"/>
    <s v="COIN LONG"/>
    <n v="0"/>
    <n v="0"/>
    <n v="0"/>
    <n v="0"/>
    <s v="FBLK"/>
    <s v="USDC COIN LONG"/>
  </r>
  <r>
    <s v="USDT"/>
    <n v="1579950.0448429999"/>
    <n v="1580095.4779562"/>
    <n v="1.00009204918451"/>
    <n v="0"/>
    <s v="ASSET"/>
    <d v="2023-01-12T23:35:39"/>
    <n v="1"/>
    <x v="34"/>
    <n v="0"/>
    <s v="COIN"/>
    <s v="LONG"/>
    <s v="COIN LONG"/>
    <n v="0"/>
    <n v="0"/>
    <n v="0"/>
    <n v="0"/>
    <s v="FBLK"/>
    <s v="USDT COIN LONG"/>
  </r>
  <r>
    <s v="XLM"/>
    <n v="25070.457326"/>
    <n v="2046.8470003258101"/>
    <n v="8.1643783905093401E-2"/>
    <n v="0"/>
    <s v="ASSET"/>
    <d v="2023-01-12T23:35:39"/>
    <n v="1"/>
    <x v="35"/>
    <n v="0"/>
    <s v="COIN"/>
    <s v="LONG"/>
    <s v="COIN LONG"/>
    <n v="0"/>
    <n v="0"/>
    <n v="0"/>
    <n v="0"/>
    <s v="FBLK"/>
    <s v="XLM COIN LONG"/>
  </r>
  <r>
    <s v="XRP"/>
    <n v="283.58991600000002"/>
    <n v="106.40212605182001"/>
    <n v="0.37519714224190098"/>
    <n v="0"/>
    <s v="ASSET"/>
    <d v="2023-01-12T23:35:39"/>
    <n v="1"/>
    <x v="36"/>
    <n v="0"/>
    <s v="COIN"/>
    <s v="LONG"/>
    <s v="COIN LONG"/>
    <n v="0"/>
    <n v="0"/>
    <n v="0"/>
    <n v="0"/>
    <s v="FBLK"/>
    <s v="XRP COIN LONG"/>
  </r>
  <r>
    <s v="XTZ"/>
    <n v="599.81476599999996"/>
    <n v="533.37318976092899"/>
    <n v="0.88922984226922097"/>
    <n v="0"/>
    <s v="ASSET"/>
    <d v="2023-01-12T23:35:39"/>
    <n v="1"/>
    <x v="37"/>
    <n v="0"/>
    <s v="COIN"/>
    <s v="LONG"/>
    <s v="COIN LONG"/>
    <n v="0"/>
    <n v="0"/>
    <n v="0"/>
    <n v="0"/>
    <s v="FBLK"/>
    <s v="XTZ COIN LONG"/>
  </r>
  <r>
    <s v="YFI"/>
    <n v="3.444444E-2"/>
    <n v="214.737571186076"/>
    <n v="6234.31738724961"/>
    <n v="0"/>
    <s v="ASSET"/>
    <d v="2023-01-12T23:35:39"/>
    <n v="1"/>
    <x v="38"/>
    <n v="0"/>
    <s v="COIN"/>
    <s v="LONG"/>
    <s v="COIN LONG"/>
    <n v="0"/>
    <n v="0"/>
    <n v="0"/>
    <n v="0"/>
    <s v="FBLK"/>
    <s v="YFI COIN LONG"/>
  </r>
  <r>
    <s v="AAVE"/>
    <n v="-900"/>
    <n v="-61075.022878173899"/>
    <n v="67.861136531304297"/>
    <n v="0"/>
    <s v="MARGINLOAN"/>
    <d v="2023-01-13T00:00:00"/>
    <n v="1"/>
    <x v="0"/>
    <n v="0"/>
    <s v="COIN"/>
    <s v="SHORT"/>
    <s v="COIN SHORT"/>
    <n v="0"/>
    <n v="0"/>
    <n v="0"/>
    <n v="0"/>
    <s v="BINE"/>
    <s v="AAVE COIN SHORT"/>
  </r>
  <r>
    <s v="ADA"/>
    <n v="-450000"/>
    <n v="-148391.313634519"/>
    <n v="0.329758474743375"/>
    <n v="0"/>
    <s v="MARGINLOAN"/>
    <d v="2023-01-13T00:00:00"/>
    <n v="1"/>
    <x v="1"/>
    <n v="0"/>
    <s v="COIN"/>
    <s v="SHORT"/>
    <s v="COIN SHORT"/>
    <n v="0"/>
    <n v="0"/>
    <n v="0"/>
    <n v="0"/>
    <s v="BINE"/>
    <s v="ADA COIN SHORT"/>
  </r>
  <r>
    <s v="ALGO"/>
    <n v="-244800"/>
    <n v="-52026.485137980802"/>
    <n v="0.21252649157671899"/>
    <n v="0"/>
    <s v="MARGINLOAN"/>
    <d v="2023-01-13T00:00:00"/>
    <n v="1"/>
    <x v="2"/>
    <n v="0"/>
    <s v="COIN"/>
    <s v="SHORT"/>
    <s v="COIN SHORT"/>
    <n v="0"/>
    <n v="0"/>
    <n v="0"/>
    <n v="0"/>
    <s v="BINE"/>
    <s v="ALGO COIN SHORT"/>
  </r>
  <r>
    <s v="AVAX"/>
    <n v="-6000"/>
    <n v="-92744.101558686598"/>
    <n v="15.4573502597811"/>
    <n v="0"/>
    <s v="MARGINLOAN"/>
    <d v="2023-01-13T00:00:00"/>
    <n v="1"/>
    <x v="4"/>
    <n v="0"/>
    <s v="COIN"/>
    <s v="SHORT"/>
    <s v="COIN SHORT"/>
    <n v="0"/>
    <n v="0"/>
    <n v="0"/>
    <n v="0"/>
    <s v="BINE"/>
    <s v="AVAX COIN SHORT"/>
  </r>
  <r>
    <s v="BAT"/>
    <n v="-200000"/>
    <n v="-40954.803038368504"/>
    <n v="0.20477401519184199"/>
    <n v="0"/>
    <s v="MARGINLOAN"/>
    <d v="2023-01-13T00:00:00"/>
    <n v="1"/>
    <x v="5"/>
    <n v="0"/>
    <s v="COIN"/>
    <s v="SHORT"/>
    <s v="COIN SHORT"/>
    <n v="0"/>
    <n v="0"/>
    <n v="0"/>
    <n v="0"/>
    <s v="BINE"/>
    <s v="BAT COIN SHORT"/>
  </r>
  <r>
    <s v="BCH"/>
    <n v="-90"/>
    <n v="-10773.941952367"/>
    <n v="119.710466137412"/>
    <n v="0"/>
    <s v="MARGINLOAN"/>
    <d v="2023-01-13T00:00:00"/>
    <n v="1"/>
    <x v="6"/>
    <n v="0"/>
    <s v="COIN"/>
    <s v="SHORT"/>
    <s v="COIN SHORT"/>
    <n v="0"/>
    <n v="0"/>
    <n v="0"/>
    <n v="0"/>
    <s v="BINE"/>
    <s v="BCH COIN SHORT"/>
  </r>
  <r>
    <s v="COMP"/>
    <n v="-4800"/>
    <n v="-180990.80740570201"/>
    <n v="37.706418209521303"/>
    <n v="0"/>
    <s v="MARGINLOAN"/>
    <d v="2023-01-13T00:00:00"/>
    <n v="1"/>
    <x v="10"/>
    <n v="0"/>
    <s v="COIN"/>
    <s v="SHORT"/>
    <s v="COIN SHORT"/>
    <n v="0"/>
    <n v="0"/>
    <n v="0"/>
    <n v="0"/>
    <s v="BINE"/>
    <s v="COMP COIN SHORT"/>
  </r>
  <r>
    <s v="DASH"/>
    <n v="-1000"/>
    <n v="-49356.487119112797"/>
    <n v="49.356487119112799"/>
    <n v="0"/>
    <s v="MARGINLOAN"/>
    <d v="2023-01-13T00:00:00"/>
    <n v="1"/>
    <x v="12"/>
    <n v="0"/>
    <s v="COIN"/>
    <s v="SHORT"/>
    <s v="COIN SHORT"/>
    <n v="0"/>
    <n v="0"/>
    <n v="0"/>
    <n v="0"/>
    <s v="BINE"/>
    <s v="DASH COIN SHORT"/>
  </r>
  <r>
    <s v="DOGE"/>
    <n v="-1100000"/>
    <n v="-88314.309602876194"/>
    <n v="8.0285736002614697E-2"/>
    <n v="0"/>
    <s v="MARGINLOAN"/>
    <d v="2023-01-13T00:00:00"/>
    <n v="1"/>
    <x v="13"/>
    <n v="0"/>
    <s v="COIN"/>
    <s v="SHORT"/>
    <s v="COIN SHORT"/>
    <n v="0"/>
    <n v="0"/>
    <n v="0"/>
    <n v="0"/>
    <s v="BINE"/>
    <s v="DOGE COIN SHORT"/>
  </r>
  <r>
    <s v="DOT"/>
    <n v="-10000"/>
    <n v="-52294.779390740099"/>
    <n v="5.2294779390740098"/>
    <n v="0"/>
    <s v="MARGINLOAN"/>
    <d v="2023-01-13T00:00:00"/>
    <n v="1"/>
    <x v="14"/>
    <n v="0"/>
    <s v="COIN"/>
    <s v="SHORT"/>
    <s v="COIN SHORT"/>
    <n v="0"/>
    <n v="0"/>
    <n v="0"/>
    <n v="0"/>
    <s v="BINE"/>
    <s v="DOT COIN SHORT"/>
  </r>
  <r>
    <s v="ENJ"/>
    <n v="-60000"/>
    <n v="-18245.7719342255"/>
    <n v="0.304096198903759"/>
    <n v="0"/>
    <s v="MARGINLOAN"/>
    <d v="2023-01-13T00:00:00"/>
    <n v="1"/>
    <x v="15"/>
    <n v="0"/>
    <s v="COIN"/>
    <s v="SHORT"/>
    <s v="COIN SHORT"/>
    <n v="0"/>
    <n v="0"/>
    <n v="0"/>
    <n v="0"/>
    <s v="BINE"/>
    <s v="ENJ COIN SHORT"/>
  </r>
  <r>
    <s v="EOS"/>
    <n v="-115336.6"/>
    <n v="-114211.200450491"/>
    <n v="0.990242476806942"/>
    <n v="0"/>
    <s v="MARGINLOAN"/>
    <d v="2023-01-13T00:00:00"/>
    <n v="1"/>
    <x v="16"/>
    <n v="0"/>
    <s v="COIN"/>
    <s v="SHORT"/>
    <s v="COIN SHORT"/>
    <n v="0"/>
    <n v="0"/>
    <n v="0"/>
    <n v="0"/>
    <s v="BINE"/>
    <s v="EOS COIN SHORT"/>
  </r>
  <r>
    <s v="FTM"/>
    <n v="-300000"/>
    <n v="-82034.051788677694"/>
    <n v="0.27344683929559199"/>
    <n v="0"/>
    <s v="MARGINLOAN"/>
    <d v="2023-01-13T00:00:00"/>
    <n v="1"/>
    <x v="20"/>
    <n v="0"/>
    <s v="COIN"/>
    <s v="SHORT"/>
    <s v="COIN SHORT"/>
    <n v="0"/>
    <n v="0"/>
    <n v="0"/>
    <n v="0"/>
    <s v="BINE"/>
    <s v="FTM COIN SHORT"/>
  </r>
  <r>
    <s v="GRT"/>
    <n v="-240000"/>
    <n v="-17640.469992774099"/>
    <n v="7.3501958303225604E-2"/>
    <n v="0"/>
    <s v="MARGINLOAN"/>
    <d v="2023-01-13T00:00:00"/>
    <n v="1"/>
    <x v="21"/>
    <n v="0"/>
    <s v="COIN"/>
    <s v="SHORT"/>
    <s v="COIN SHORT"/>
    <n v="0"/>
    <n v="0"/>
    <n v="0"/>
    <n v="0"/>
    <s v="BINE"/>
    <s v="GRT COIN SHORT"/>
  </r>
  <r>
    <s v="HBAR"/>
    <n v="-628800"/>
    <n v="-29960.833997643"/>
    <n v="4.7647636764699498E-2"/>
    <n v="0"/>
    <s v="MARGINLOAN"/>
    <d v="2023-01-13T00:00:00"/>
    <n v="1"/>
    <x v="22"/>
    <n v="0"/>
    <s v="COIN"/>
    <s v="SHORT"/>
    <s v="COIN SHORT"/>
    <n v="0"/>
    <n v="0"/>
    <n v="0"/>
    <n v="0"/>
    <s v="BINE"/>
    <s v="HBAR COIN SHORT"/>
  </r>
  <r>
    <s v="LINK"/>
    <n v="-20654.13"/>
    <n v="-131800.85145715301"/>
    <n v="6.38133155243787"/>
    <n v="0"/>
    <s v="MARGINLOAN"/>
    <d v="2023-01-13T00:00:00"/>
    <n v="1"/>
    <x v="23"/>
    <n v="0"/>
    <s v="COIN"/>
    <s v="SHORT"/>
    <s v="COIN SHORT"/>
    <n v="0"/>
    <n v="0"/>
    <n v="0"/>
    <n v="0"/>
    <s v="BINE"/>
    <s v="LINK COIN SHORT"/>
  </r>
  <r>
    <s v="LTC"/>
    <n v="-1610.2"/>
    <n v="-138419.60226160701"/>
    <n v="85.964229450756093"/>
    <n v="0"/>
    <s v="MARGINLOAN"/>
    <d v="2023-01-13T00:00:00"/>
    <n v="1"/>
    <x v="24"/>
    <n v="0"/>
    <s v="COIN"/>
    <s v="SHORT"/>
    <s v="COIN SHORT"/>
    <n v="0"/>
    <n v="0"/>
    <n v="0"/>
    <n v="0"/>
    <s v="BINE"/>
    <s v="LTC COIN SHORT"/>
  </r>
  <r>
    <s v="MANA"/>
    <n v="-90000"/>
    <n v="-37120.713174284101"/>
    <n v="0.41245236860315698"/>
    <n v="0"/>
    <s v="MARGINLOAN"/>
    <d v="2023-01-13T00:00:00"/>
    <n v="1"/>
    <x v="25"/>
    <n v="0"/>
    <s v="COIN"/>
    <s v="SHORT"/>
    <s v="COIN SHORT"/>
    <n v="0"/>
    <n v="0"/>
    <n v="0"/>
    <n v="0"/>
    <s v="BINE"/>
    <s v="MANA COIN SHORT"/>
  </r>
  <r>
    <s v="MATIC"/>
    <n v="-100000"/>
    <n v="-91628.9114365235"/>
    <n v="0.91628911436523497"/>
    <n v="0"/>
    <s v="MARGINLOAN"/>
    <d v="2023-01-13T00:00:00"/>
    <n v="1"/>
    <x v="26"/>
    <n v="0"/>
    <s v="COIN"/>
    <s v="SHORT"/>
    <s v="COIN SHORT"/>
    <n v="0"/>
    <n v="0"/>
    <n v="0"/>
    <n v="0"/>
    <s v="BINE"/>
    <s v="MATIC COIN SHORT"/>
  </r>
  <r>
    <s v="MKR"/>
    <n v="-14"/>
    <n v="-9136.0593104937107"/>
    <n v="652.57566503526505"/>
    <n v="0"/>
    <s v="MARGINLOAN"/>
    <d v="2023-01-13T00:00:00"/>
    <n v="1"/>
    <x v="27"/>
    <n v="0"/>
    <s v="COIN"/>
    <s v="SHORT"/>
    <s v="COIN SHORT"/>
    <n v="0"/>
    <n v="0"/>
    <n v="0"/>
    <n v="0"/>
    <s v="BINE"/>
    <s v="MKR COIN SHORT"/>
  </r>
  <r>
    <s v="SHIB"/>
    <n v="-6000000000"/>
    <n v="-56828.300043576302"/>
    <n v="9.4713833405960602E-6"/>
    <n v="0"/>
    <s v="MARGINLOAN"/>
    <d v="2023-01-13T00:00:00"/>
    <n v="1"/>
    <x v="30"/>
    <n v="0"/>
    <s v="COIN"/>
    <s v="SHORT"/>
    <s v="COIN SHORT"/>
    <n v="0"/>
    <n v="0"/>
    <n v="0"/>
    <n v="0"/>
    <s v="BINE"/>
    <s v="SHIB COIN SHORT"/>
  </r>
  <r>
    <s v="SOL"/>
    <n v="-8500"/>
    <n v="-141261.87566910699"/>
    <n v="16.6190441963655"/>
    <n v="0"/>
    <s v="MARGINLOAN"/>
    <d v="2023-01-13T00:00:00"/>
    <n v="1"/>
    <x v="31"/>
    <n v="0"/>
    <s v="COIN"/>
    <s v="SHORT"/>
    <s v="COIN SHORT"/>
    <n v="0"/>
    <n v="0"/>
    <n v="0"/>
    <n v="0"/>
    <s v="BINE"/>
    <s v="SOL COIN SHORT"/>
  </r>
  <r>
    <s v="SUSHI"/>
    <n v="-43200"/>
    <n v="-49148.189927110499"/>
    <n v="1.1376895816460699"/>
    <n v="0"/>
    <s v="MARGINLOAN"/>
    <d v="2023-01-13T00:00:00"/>
    <n v="1"/>
    <x v="32"/>
    <n v="0"/>
    <s v="COIN"/>
    <s v="SHORT"/>
    <s v="COIN SHORT"/>
    <n v="0"/>
    <n v="0"/>
    <n v="0"/>
    <n v="0"/>
    <s v="BINE"/>
    <s v="SUSHI COIN SHORT"/>
  </r>
  <r>
    <s v="UNI"/>
    <n v="-12000"/>
    <n v="-74080.575384932905"/>
    <n v="6.1733812820777398"/>
    <n v="0"/>
    <s v="MARGINLOAN"/>
    <d v="2023-01-13T00:00:00"/>
    <n v="1"/>
    <x v="33"/>
    <n v="0"/>
    <s v="COIN"/>
    <s v="SHORT"/>
    <s v="COIN SHORT"/>
    <n v="0"/>
    <n v="0"/>
    <n v="0"/>
    <n v="0"/>
    <s v="BINE"/>
    <s v="UNI COIN SHORT"/>
  </r>
  <r>
    <s v="VET"/>
    <n v="-100"/>
    <n v="-1.8842311113447501"/>
    <n v="1.8842311113447498E-2"/>
    <n v="0"/>
    <s v="MARGINLOAN"/>
    <d v="2023-01-13T00:00:00"/>
    <n v="1"/>
    <x v="122"/>
    <n v="0"/>
    <s v="COIN"/>
    <s v="SHORT"/>
    <s v="COIN SHORT"/>
    <n v="0"/>
    <n v="0"/>
    <n v="0"/>
    <n v="0"/>
    <s v="BINE"/>
    <s v="VET COIN SHORT"/>
  </r>
  <r>
    <s v="XLM"/>
    <n v="-1000000"/>
    <n v="-81643.783905093398"/>
    <n v="8.1643783905093401E-2"/>
    <n v="0"/>
    <s v="MARGINLOAN"/>
    <d v="2023-01-13T00:00:00"/>
    <n v="1"/>
    <x v="35"/>
    <n v="0"/>
    <s v="COIN"/>
    <s v="SHORT"/>
    <s v="COIN SHORT"/>
    <n v="0"/>
    <n v="0"/>
    <n v="0"/>
    <n v="0"/>
    <s v="BINE"/>
    <s v="XLM COIN SHORT"/>
  </r>
  <r>
    <s v="XTZ"/>
    <n v="-68160"/>
    <n v="-60609.906049069999"/>
    <n v="0.88922984226921997"/>
    <n v="0"/>
    <s v="MARGINLOAN"/>
    <d v="2023-01-13T00:00:00"/>
    <n v="1"/>
    <x v="37"/>
    <n v="0"/>
    <s v="COIN"/>
    <s v="SHORT"/>
    <s v="COIN SHORT"/>
    <n v="0"/>
    <n v="0"/>
    <n v="0"/>
    <n v="0"/>
    <s v="BINE"/>
    <s v="XTZ COIN SHORT"/>
  </r>
  <r>
    <s v="USDT"/>
    <n v="-9993078.3940130007"/>
    <n v="-9993998.2487299498"/>
    <n v="1.00009204918451"/>
    <n v="0"/>
    <s v="MARGINLOAN"/>
    <d v="2023-01-13T00:00:00"/>
    <n v="1"/>
    <x v="34"/>
    <n v="0"/>
    <s v="COIN"/>
    <s v="SHORT"/>
    <s v="COIN SHORT"/>
    <n v="0"/>
    <n v="0"/>
    <n v="0"/>
    <n v="0"/>
    <s v="DEFI"/>
    <s v="USDT COIN SHORT"/>
  </r>
  <r>
    <s v="BTC"/>
    <n v="-3350"/>
    <n v="-63213119.985139698"/>
    <n v="18869.5880552655"/>
    <n v="0"/>
    <s v="EXCHLOAN"/>
    <d v="2023-01-12T00:00:00"/>
    <n v="1"/>
    <x v="8"/>
    <n v="0"/>
    <s v="COIN"/>
    <s v="SHORT"/>
    <s v="COIN SHORT"/>
    <n v="0"/>
    <n v="0"/>
    <n v="0"/>
    <n v="0"/>
    <s v="LEND"/>
    <s v="BTC COIN SHORT"/>
  </r>
  <r>
    <s v="EOS"/>
    <n v="-4350822.18"/>
    <n v="-4308368.9316697801"/>
    <n v="0.990242476806943"/>
    <n v="0"/>
    <s v="EXCHLOAN"/>
    <d v="2023-01-12T00:00:00"/>
    <n v="1"/>
    <x v="16"/>
    <n v="0"/>
    <s v="COIN"/>
    <s v="SHORT"/>
    <s v="COIN SHORT"/>
    <n v="0"/>
    <n v="0"/>
    <n v="0"/>
    <n v="0"/>
    <s v="LEND"/>
    <s v="EOS COIN SHORT"/>
  </r>
  <r>
    <s v="ETH"/>
    <n v="-6499.9949999999999"/>
    <n v="-9216593.3105303105"/>
    <n v="1417.9385231112101"/>
    <n v="0"/>
    <s v="EXCHLOAN"/>
    <d v="2023-01-12T00:00:00"/>
    <n v="1"/>
    <x v="17"/>
    <n v="0"/>
    <s v="COIN"/>
    <s v="SHORT"/>
    <s v="COIN SHORT"/>
    <n v="0"/>
    <n v="0"/>
    <n v="0"/>
    <n v="0"/>
    <s v="LEND"/>
    <s v="ETH COIN SHORT"/>
  </r>
  <r>
    <s v="BTC"/>
    <n v="-1340.01684679"/>
    <n v="-25285565.886043198"/>
    <n v="18869.5880552655"/>
    <n v="0"/>
    <s v="FUND"/>
    <d v="2023-01-12T00:00:00"/>
    <n v="1"/>
    <x v="8"/>
    <n v="0"/>
    <s v="COIN"/>
    <s v="SHORT"/>
    <s v="COIN SHORT"/>
    <n v="0"/>
    <n v="0"/>
    <n v="0"/>
    <n v="0"/>
    <s v="LEND"/>
    <s v="BTC COIN SHORT"/>
  </r>
  <r>
    <s v="ETH"/>
    <n v="-25855"/>
    <n v="-36660800.515040502"/>
    <n v="1417.9385231112101"/>
    <n v="0"/>
    <s v="FUND"/>
    <d v="2023-01-12T00:00:00"/>
    <n v="1"/>
    <x v="17"/>
    <n v="0"/>
    <s v="COIN"/>
    <s v="SHORT"/>
    <s v="COIN SHORT"/>
    <n v="0"/>
    <n v="0"/>
    <n v="0"/>
    <n v="0"/>
    <s v="LEND"/>
    <s v="ETH COIN SHORT"/>
  </r>
  <r>
    <s v="EUROC"/>
    <n v="-15000000"/>
    <n v="-16268445.245292099"/>
    <n v="1.0845630163527999"/>
    <n v="0"/>
    <s v="FUND"/>
    <d v="2023-01-12T00:00:00"/>
    <n v="1"/>
    <x v="97"/>
    <n v="0"/>
    <s v="COIN"/>
    <s v="SHORT"/>
    <s v="COIN SHORT"/>
    <n v="0"/>
    <n v="0"/>
    <n v="0"/>
    <n v="0"/>
    <s v="LEND"/>
    <s v="EUROC COIN SHORT"/>
  </r>
  <r>
    <s v="USD"/>
    <n v="-42800000"/>
    <n v="-42800000"/>
    <n v="1"/>
    <n v="0"/>
    <s v="FUND"/>
    <d v="2023-01-12T00:00:00"/>
    <n v="1"/>
    <x v="42"/>
    <n v="0"/>
    <s v="CASH"/>
    <s v="SHORT"/>
    <s v="CASH SHORT"/>
    <n v="0"/>
    <n v="0"/>
    <n v="0"/>
    <n v="0"/>
    <s v="LEND"/>
    <s v="USD CASH SHORT"/>
  </r>
  <r>
    <s v="USDC"/>
    <n v="-89706000"/>
    <n v="-89712472.254475504"/>
    <n v="1.0000721496274001"/>
    <n v="0"/>
    <s v="FUND"/>
    <d v="2023-01-12T00:00:00"/>
    <n v="1"/>
    <x v="46"/>
    <n v="0"/>
    <s v="COIN"/>
    <s v="SHORT"/>
    <s v="COIN SHORT"/>
    <n v="0"/>
    <n v="0"/>
    <n v="0"/>
    <n v="0"/>
    <s v="LEND"/>
    <s v="USDC COIN SHORT"/>
  </r>
  <r>
    <s v="ZIL"/>
    <n v="-20000000"/>
    <n v="-479489.59814677201"/>
    <n v="2.39744799073386E-2"/>
    <n v="0"/>
    <s v="FUND"/>
    <d v="2023-01-12T00:00:00"/>
    <n v="1"/>
    <x v="39"/>
    <n v="0"/>
    <s v="COIN"/>
    <s v="SHORT"/>
    <s v="COIN SHORT"/>
    <n v="0"/>
    <n v="0"/>
    <n v="0"/>
    <n v="0"/>
    <s v="LEND"/>
    <s v="ZIL COIN SHORT"/>
  </r>
  <r>
    <s v="BCH"/>
    <n v="-5000"/>
    <n v="-598552.33068706002"/>
    <n v="119.710466137412"/>
    <n v="0"/>
    <s v="EXCHLOAN"/>
    <d v="2023-01-12T00:00:00"/>
    <n v="1"/>
    <x v="6"/>
    <n v="0"/>
    <s v="COIN"/>
    <s v="SHORT"/>
    <s v="COIN SHORT"/>
    <n v="0"/>
    <n v="0"/>
    <n v="0"/>
    <n v="0"/>
    <s v="LEND"/>
    <s v="BCH COIN SHORT"/>
  </r>
  <r>
    <s v="DOT"/>
    <n v="-40000"/>
    <n v="-209179.11756295999"/>
    <n v="5.2294779390740098"/>
    <n v="0"/>
    <s v="EXCHLOAN"/>
    <d v="2023-01-12T00:00:00"/>
    <n v="1"/>
    <x v="14"/>
    <n v="0"/>
    <s v="COIN"/>
    <s v="SHORT"/>
    <s v="COIN SHORT"/>
    <n v="0"/>
    <n v="0"/>
    <n v="0"/>
    <n v="0"/>
    <s v="LEND"/>
    <s v="DOT COIN SHORT"/>
  </r>
  <r>
    <s v="EOS"/>
    <n v="-160000"/>
    <n v="-158438.79628911"/>
    <n v="0.990242476806942"/>
    <n v="0"/>
    <s v="EXCHLOAN"/>
    <d v="2023-01-12T00:00:00"/>
    <n v="1"/>
    <x v="16"/>
    <n v="0"/>
    <s v="COIN"/>
    <s v="SHORT"/>
    <s v="COIN SHORT"/>
    <n v="0"/>
    <n v="0"/>
    <n v="0"/>
    <n v="0"/>
    <s v="LEND"/>
    <s v="EOS COIN SHORT"/>
  </r>
  <r>
    <s v="ETC"/>
    <n v="-108000"/>
    <n v="-2259117.88751635"/>
    <n v="20.917758217744002"/>
    <n v="0"/>
    <s v="EXCHLOAN"/>
    <d v="2023-01-12T00:00:00"/>
    <n v="1"/>
    <x v="40"/>
    <n v="0"/>
    <s v="COIN"/>
    <s v="SHORT"/>
    <s v="COIN SHORT"/>
    <n v="0"/>
    <n v="0"/>
    <n v="0"/>
    <n v="0"/>
    <s v="LEND"/>
    <s v="ETC COIN SHORT"/>
  </r>
  <r>
    <s v="ETH"/>
    <n v="-4600"/>
    <n v="-6522517.2063116096"/>
    <n v="1417.9385231112101"/>
    <n v="0"/>
    <s v="EXCHLOAN"/>
    <d v="2023-01-12T00:00:00"/>
    <n v="1"/>
    <x v="17"/>
    <n v="0"/>
    <s v="COIN"/>
    <s v="SHORT"/>
    <s v="COIN SHORT"/>
    <n v="0"/>
    <n v="0"/>
    <n v="0"/>
    <n v="0"/>
    <s v="LEND"/>
    <s v="ETH COIN SHORT"/>
  </r>
  <r>
    <s v="LINK"/>
    <n v="-17000"/>
    <n v="-108482.636391443"/>
    <n v="6.38133155243787"/>
    <n v="0"/>
    <s v="EXCHLOAN"/>
    <d v="2023-01-12T00:00:00"/>
    <n v="1"/>
    <x v="23"/>
    <n v="0"/>
    <s v="COIN"/>
    <s v="SHORT"/>
    <s v="COIN SHORT"/>
    <n v="0"/>
    <n v="0"/>
    <n v="0"/>
    <n v="0"/>
    <s v="LEND"/>
    <s v="LINK COIN SHORT"/>
  </r>
  <r>
    <s v="LTC"/>
    <n v="-11800"/>
    <n v="-1014377.90751892"/>
    <n v="85.964229450756093"/>
    <n v="0"/>
    <s v="EXCHLOAN"/>
    <d v="2023-01-12T00:00:00"/>
    <n v="1"/>
    <x v="24"/>
    <n v="0"/>
    <s v="COIN"/>
    <s v="SHORT"/>
    <s v="COIN SHORT"/>
    <n v="0"/>
    <n v="0"/>
    <n v="0"/>
    <n v="0"/>
    <s v="LEND"/>
    <s v="LTC COIN SHORT"/>
  </r>
  <r>
    <s v="OXT"/>
    <n v="-2600208"/>
    <n v="-190645.51339292701"/>
    <n v="7.3319331912265404E-2"/>
    <n v="0"/>
    <s v="LOAN"/>
    <d v="2023-01-12T00:00:00"/>
    <n v="1"/>
    <x v="29"/>
    <n v="0"/>
    <s v="COIN"/>
    <s v="SHORT"/>
    <s v="COIN SHORT"/>
    <n v="0"/>
    <n v="0"/>
    <n v="0"/>
    <n v="0"/>
    <s v="LEND"/>
    <s v="OXT COIN SHORT"/>
  </r>
  <r>
    <s v="USDC"/>
    <n v="-1000000"/>
    <n v="-1000072.1496274"/>
    <n v="1.0000721496274001"/>
    <n v="0"/>
    <s v="LOAN"/>
    <d v="2023-01-12T00:00:00"/>
    <n v="1"/>
    <x v="46"/>
    <n v="0"/>
    <s v="COIN"/>
    <s v="SHORT"/>
    <s v="COIN SHORT"/>
    <n v="0"/>
    <n v="0"/>
    <n v="0"/>
    <n v="0"/>
    <s v="LEND"/>
    <s v="USDC COIN SHORT"/>
  </r>
  <r>
    <s v="XRP"/>
    <n v="-201.17"/>
    <n v="-75.478409104803205"/>
    <n v="0.37519714224190098"/>
    <n v="0"/>
    <s v="LOAN"/>
    <d v="2023-01-12T00:00:00"/>
    <n v="1"/>
    <x v="36"/>
    <n v="0"/>
    <s v="COIN"/>
    <s v="SHORT"/>
    <s v="COIN SHORT"/>
    <n v="0"/>
    <n v="0"/>
    <n v="0"/>
    <n v="0"/>
    <s v="LEND"/>
    <s v="XRP COIN SHORT"/>
  </r>
  <r>
    <s v="BCH"/>
    <n v="-12.89958137"/>
    <n v="-1544.21489878017"/>
    <n v="119.710466137412"/>
    <n v="0"/>
    <s v="MARGINLOAN"/>
    <d v="2023-01-13T00:00:00"/>
    <n v="1"/>
    <x v="6"/>
    <n v="0"/>
    <s v="COIN"/>
    <s v="SHORT"/>
    <s v="COIN SHORT"/>
    <n v="0"/>
    <n v="0"/>
    <n v="0"/>
    <n v="0"/>
    <s v="OKEX"/>
    <s v="BCH COIN SHORT"/>
  </r>
  <r>
    <s v="EOS"/>
    <n v="-22178.1698817"/>
    <n v="-21961.7658746997"/>
    <n v="0.990242476806942"/>
    <n v="0"/>
    <s v="MARGINLOAN"/>
    <d v="2023-01-13T00:00:00"/>
    <n v="1"/>
    <x v="16"/>
    <n v="0"/>
    <s v="COIN"/>
    <s v="SHORT"/>
    <s v="COIN SHORT"/>
    <n v="0"/>
    <n v="0"/>
    <n v="0"/>
    <n v="0"/>
    <s v="OKEX"/>
    <s v="EOS COIN SHORT"/>
  </r>
  <r>
    <s v="FIL"/>
    <n v="-3.6961340000000002E-2"/>
    <n v="-0.142421836203701"/>
    <n v="3.8532649574853499"/>
    <n v="0"/>
    <s v="MARGINLOAN"/>
    <d v="2023-01-13T00:00:00"/>
    <n v="1"/>
    <x v="19"/>
    <n v="0"/>
    <s v="COIN"/>
    <s v="SHORT"/>
    <s v="COIN SHORT"/>
    <n v="0"/>
    <n v="0"/>
    <n v="0"/>
    <n v="0"/>
    <s v="OKEX"/>
    <s v="FIL COIN SHORT"/>
  </r>
  <r>
    <s v="LTC"/>
    <n v="-304.03511947999999"/>
    <n v="-26136.144772066698"/>
    <n v="85.964229450756093"/>
    <n v="0"/>
    <s v="MARGINLOAN"/>
    <d v="2023-01-13T00:00:00"/>
    <n v="1"/>
    <x v="24"/>
    <n v="0"/>
    <s v="COIN"/>
    <s v="SHORT"/>
    <s v="COIN SHORT"/>
    <n v="0"/>
    <n v="0"/>
    <n v="0"/>
    <n v="0"/>
    <s v="OKEX"/>
    <s v="LTC COIN SHORT"/>
  </r>
  <r>
    <s v="XRP"/>
    <n v="-1352.6511590499999"/>
    <n v="-507.51084932575498"/>
    <n v="0.37519714224190098"/>
    <n v="0"/>
    <s v="MARGINLOAN"/>
    <d v="2023-01-13T00:00:00"/>
    <n v="1"/>
    <x v="36"/>
    <n v="0"/>
    <s v="COIN"/>
    <s v="SHORT"/>
    <s v="COIN SHORT"/>
    <n v="0"/>
    <n v="0"/>
    <n v="0"/>
    <n v="0"/>
    <s v="OKEX"/>
    <s v="XRP COIN SHORT"/>
  </r>
  <r>
    <s v="USDT"/>
    <n v="-2376627.8714167802"/>
    <n v="-2376846.6380742299"/>
    <n v="1.00009204918451"/>
    <n v="0"/>
    <s v="MARGINLOAN"/>
    <d v="2023-01-13T00:00:00"/>
    <n v="1"/>
    <x v="34"/>
    <n v="0"/>
    <s v="COIN"/>
    <s v="SHORT"/>
    <s v="COIN SHORT"/>
    <n v="0"/>
    <n v="0"/>
    <n v="0"/>
    <n v="0"/>
    <s v="WOOX"/>
    <s v="USDT COIN SHORT"/>
  </r>
  <r>
    <s v="USD"/>
    <n v="79941.919999999998"/>
    <n v="79941.919999999998"/>
    <n v="1"/>
    <n v="0"/>
    <s v="COLLATERAL"/>
    <d v="2023-01-13T00:00:00"/>
    <n v="1"/>
    <x v="42"/>
    <n v="0"/>
    <s v="CASH"/>
    <s v="LONG"/>
    <s v="CASH LONG"/>
    <n v="0"/>
    <n v="0"/>
    <n v="0"/>
    <n v="0"/>
    <s v="WEDBUSH"/>
    <s v="USD CASH LONG"/>
  </r>
  <r>
    <s v="USD"/>
    <n v="830007.48"/>
    <n v="830007.48"/>
    <n v="1"/>
    <n v="0"/>
    <s v="ASSET"/>
    <d v="2023-01-13T00:00:00"/>
    <n v="1"/>
    <x v="42"/>
    <n v="0"/>
    <s v="CASH"/>
    <s v="LONG"/>
    <s v="CASH LONG"/>
    <n v="0"/>
    <n v="0"/>
    <n v="0"/>
    <n v="0"/>
    <s v="CASH"/>
    <s v="USD CASH LONG"/>
  </r>
  <r>
    <s v="USD"/>
    <n v="27324183.52"/>
    <n v="27324183.52"/>
    <n v="1"/>
    <n v="0"/>
    <s v="COLLATERAL"/>
    <d v="2023-01-13T00:00:00"/>
    <n v="1"/>
    <x v="42"/>
    <n v="0"/>
    <s v="CASH"/>
    <s v="LONG"/>
    <s v="CASH LONG"/>
    <n v="0"/>
    <n v="0"/>
    <n v="0"/>
    <n v="0"/>
    <s v="ED&amp;F Man Capital"/>
    <s v="USD CASH LONG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n v="0"/>
    <s v=""/>
    <s v=""/>
    <s v=" "/>
    <n v="0"/>
    <n v="0"/>
    <n v="0"/>
    <n v="0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s v=""/>
    <m/>
    <s v=""/>
    <s v=""/>
    <s v=""/>
    <s v=""/>
    <s v=""/>
    <s v=""/>
    <s v=""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s v=""/>
    <m/>
    <m/>
    <m/>
    <m/>
    <m/>
    <m/>
    <s v=""/>
  </r>
  <r>
    <m/>
    <m/>
    <m/>
    <m/>
    <m/>
    <m/>
    <m/>
    <m/>
    <x v="130"/>
    <m/>
    <m/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47376"/>
    <n v="14737600"/>
    <n v="18094.104153970002"/>
    <n v="8.05923838"/>
    <x v="0"/>
    <d v="2099-12-31T08:00:00"/>
    <n v="0"/>
    <x v="0"/>
    <n v="100"/>
    <n v="814.49735640912866"/>
    <n v="15369229.58754302"/>
    <n v="28111.416666666664"/>
    <x v="0"/>
    <x v="0"/>
    <x v="0"/>
    <n v="14737600"/>
    <n v="18094.104153970002"/>
    <n v="0"/>
    <n v="0"/>
    <s v="BINE"/>
    <s v="PERP"/>
  </r>
  <r>
    <x v="0"/>
    <x v="0"/>
    <x v="1"/>
    <n v="625634"/>
    <n v="6256340"/>
    <n v="1385.94"/>
    <n v="-13.973289210000001"/>
    <x v="0"/>
    <d v="2099-12-31T08:00:00"/>
    <n v="0"/>
    <x v="1"/>
    <n v="10"/>
    <n v="4514.149241669913"/>
    <n v="6400786.1088370252"/>
    <n v="28111.416666666664"/>
    <x v="0"/>
    <x v="0"/>
    <x v="0"/>
    <n v="6256340"/>
    <n v="1385.94"/>
    <n v="0"/>
    <n v="0"/>
    <s v="BINE"/>
    <s v="PERP"/>
  </r>
  <r>
    <x v="0"/>
    <x v="0"/>
    <x v="2"/>
    <n v="-104512"/>
    <n v="-10451200"/>
    <n v="18207.291577249998"/>
    <n v="-30.56990704"/>
    <x v="1"/>
    <d v="2023-03-31T08:00:00"/>
    <n v="0"/>
    <x v="0"/>
    <n v="100"/>
    <n v="-574.01178839024965"/>
    <n v="-10831365.985790243"/>
    <n v="77.416666666671517"/>
    <x v="1"/>
    <x v="1"/>
    <x v="1"/>
    <n v="-10555712"/>
    <n v="18389.364493022498"/>
    <n v="0.01"/>
    <n v="-104512"/>
    <s v="BINE"/>
    <s v="M3"/>
  </r>
  <r>
    <x v="0"/>
    <x v="0"/>
    <x v="3"/>
    <n v="-4149"/>
    <n v="-414900"/>
    <n v="18286.597918250001"/>
    <n v="-1.2599456499999999"/>
    <x v="1"/>
    <d v="2023-06-30T08:00:00"/>
    <n v="0"/>
    <x v="0"/>
    <n v="100"/>
    <n v="-22.688747346816783"/>
    <n v="-428127.31592443079"/>
    <n v="168.41666666667152"/>
    <x v="2"/>
    <x v="1"/>
    <x v="2"/>
    <n v="-419049"/>
    <n v="18469.463897432503"/>
    <n v="0.01"/>
    <n v="-4149"/>
    <s v="BINE"/>
    <s v="M6"/>
  </r>
  <r>
    <x v="0"/>
    <x v="0"/>
    <x v="4"/>
    <n v="-479349"/>
    <n v="-4793490"/>
    <n v="1393.8903773100001"/>
    <n v="-146.20890825999999"/>
    <x v="1"/>
    <d v="2023-03-31T08:00:00"/>
    <n v="0"/>
    <x v="1"/>
    <n v="10"/>
    <n v="-3438.9289703331756"/>
    <n v="-4876189.8652785774"/>
    <n v="77.416666666671517"/>
    <x v="1"/>
    <x v="1"/>
    <x v="1"/>
    <n v="-4841424.9000000004"/>
    <n v="1407.8292810831001"/>
    <n v="0.01"/>
    <n v="-47934.900000000373"/>
    <s v="BINE"/>
    <s v="M3"/>
  </r>
  <r>
    <x v="0"/>
    <x v="1"/>
    <x v="5"/>
    <n v="6000"/>
    <n v="46674"/>
    <n v="7.7789999999999999"/>
    <n v="-19982.307659999999"/>
    <x v="0"/>
    <d v="2099-12-31T08:00:00"/>
    <n v="1"/>
    <x v="2"/>
    <n v="1"/>
    <n v="6000"/>
    <n v="46674"/>
    <n v="28111.416666666664"/>
    <x v="0"/>
    <x v="0"/>
    <x v="0"/>
    <n v="46674"/>
    <n v="7.7789999999999999"/>
    <n v="0"/>
    <n v="0"/>
    <s v="BINE"/>
    <s v="PERP"/>
  </r>
  <r>
    <x v="0"/>
    <x v="1"/>
    <x v="6"/>
    <n v="3173.0729999999999"/>
    <n v="57410092.481700003"/>
    <n v="18092.900000000001"/>
    <n v="509661.76956808998"/>
    <x v="0"/>
    <d v="2099-12-31T08:00:00"/>
    <n v="1"/>
    <x v="0"/>
    <n v="1"/>
    <n v="3173.0729999999999"/>
    <n v="59874580.379285462"/>
    <n v="28111.416666666664"/>
    <x v="0"/>
    <x v="0"/>
    <x v="0"/>
    <n v="57410092.481700003"/>
    <n v="18092.900000000001"/>
    <n v="0"/>
    <n v="0"/>
    <s v="BINE"/>
    <s v="PERP"/>
  </r>
  <r>
    <x v="0"/>
    <x v="1"/>
    <x v="7"/>
    <n v="-913.74099999999999"/>
    <n v="-106367.432730634"/>
    <n v="116.40873369000001"/>
    <n v="-12761.84731121"/>
    <x v="0"/>
    <d v="2099-12-31T08:00:00"/>
    <n v="1"/>
    <x v="3"/>
    <n v="1"/>
    <n v="-913.74099999999999"/>
    <n v="-109384.36103886497"/>
    <n v="28111.416666666664"/>
    <x v="0"/>
    <x v="1"/>
    <x v="3"/>
    <n v="-106367.432730634"/>
    <n v="116.40873369000001"/>
    <n v="0"/>
    <n v="0"/>
    <s v="BINE"/>
    <s v="PERP"/>
  </r>
  <r>
    <x v="0"/>
    <x v="1"/>
    <x v="8"/>
    <n v="-528044.5"/>
    <n v="-505167.59513000998"/>
    <n v="0.95667617999999999"/>
    <n v="3559.7063878499998"/>
    <x v="0"/>
    <d v="2099-12-31T08:00:00"/>
    <n v="1"/>
    <x v="4"/>
    <n v="1"/>
    <n v="-528044.5"/>
    <n v="-522892.0935442833"/>
    <n v="28111.416666666664"/>
    <x v="0"/>
    <x v="1"/>
    <x v="3"/>
    <n v="-505167.59513000998"/>
    <n v="0.95667617999999999"/>
    <n v="0"/>
    <n v="0"/>
    <s v="BINE"/>
    <s v="PERP"/>
  </r>
  <r>
    <x v="0"/>
    <x v="1"/>
    <x v="9"/>
    <n v="-1426.922"/>
    <n v="-1978555.7759799999"/>
    <n v="1386.59"/>
    <n v="2827.5681731300001"/>
    <x v="0"/>
    <d v="2099-12-31T08:00:00"/>
    <n v="1"/>
    <x v="1"/>
    <n v="1"/>
    <n v="-1426.922"/>
    <n v="-2023287.6732748942"/>
    <n v="28111.416666666664"/>
    <x v="0"/>
    <x v="1"/>
    <x v="3"/>
    <n v="-1978555.7759799999"/>
    <n v="1386.59"/>
    <n v="0"/>
    <n v="0"/>
    <s v="BINE"/>
    <s v="PERP"/>
  </r>
  <r>
    <x v="0"/>
    <x v="1"/>
    <x v="10"/>
    <n v="-2444.4380000000001"/>
    <n v="-203475.01912000001"/>
    <n v="83.24"/>
    <n v="796.80756375999999"/>
    <x v="0"/>
    <d v="2099-12-31T08:00:00"/>
    <n v="1"/>
    <x v="5"/>
    <n v="1"/>
    <n v="-2444.4380000000001"/>
    <n v="-210134.22911014734"/>
    <n v="28111.416666666664"/>
    <x v="0"/>
    <x v="1"/>
    <x v="3"/>
    <n v="-203475.01912000001"/>
    <n v="83.24"/>
    <n v="0"/>
    <n v="0"/>
    <s v="BINE"/>
    <s v="PERP"/>
  </r>
  <r>
    <x v="0"/>
    <x v="1"/>
    <x v="11"/>
    <n v="-24000"/>
    <n v="-28512"/>
    <n v="1.1879999999999999"/>
    <n v="-648.70007999999996"/>
    <x v="0"/>
    <d v="2099-12-31T08:00:00"/>
    <n v="1"/>
    <x v="6"/>
    <n v="1"/>
    <n v="-24000"/>
    <n v="-29094.527941029119"/>
    <n v="28111.416666666664"/>
    <x v="0"/>
    <x v="1"/>
    <x v="3"/>
    <n v="-28512"/>
    <n v="1.1879999999999999"/>
    <n v="0"/>
    <n v="0"/>
    <s v="BINE"/>
    <s v="PERP"/>
  </r>
  <r>
    <x v="0"/>
    <x v="1"/>
    <x v="12"/>
    <n v="-3884601"/>
    <n v="-88413.518760000006"/>
    <n v="2.2759999999999999E-2"/>
    <n v="7934.49177255"/>
    <x v="0"/>
    <d v="2099-12-31T08:00:00"/>
    <n v="1"/>
    <x v="7"/>
    <n v="1"/>
    <n v="-3884601"/>
    <n v="-93131.288622527427"/>
    <n v="28111.416666666664"/>
    <x v="0"/>
    <x v="1"/>
    <x v="3"/>
    <n v="-88413.518760000006"/>
    <n v="2.2759999999999999E-2"/>
    <n v="0"/>
    <n v="0"/>
    <s v="BINE"/>
    <s v="PERP"/>
  </r>
  <r>
    <x v="0"/>
    <x v="1"/>
    <x v="13"/>
    <n v="-200.97900000000001"/>
    <n v="-7406.0761499999999"/>
    <n v="36.85"/>
    <n v="2554.9602190099999"/>
    <x v="0"/>
    <d v="2099-12-31T08:00:00"/>
    <n v="1"/>
    <x v="8"/>
    <n v="1"/>
    <n v="-200.97900000000001"/>
    <n v="-7578.1982253313827"/>
    <n v="28111.416666666664"/>
    <x v="0"/>
    <x v="1"/>
    <x v="3"/>
    <n v="-7406.0761499999999"/>
    <n v="36.85"/>
    <n v="0"/>
    <n v="0"/>
    <s v="BINE"/>
    <s v="PERP"/>
  </r>
  <r>
    <x v="0"/>
    <x v="1"/>
    <x v="14"/>
    <n v="-48333.69"/>
    <n v="-299592.34933527501"/>
    <n v="6.1984166600000004"/>
    <n v="-435.06459378"/>
    <x v="0"/>
    <d v="2099-12-31T08:00:00"/>
    <n v="1"/>
    <x v="9"/>
    <n v="1"/>
    <n v="-48333.69"/>
    <n v="-308433.30104275077"/>
    <n v="28111.416666666664"/>
    <x v="0"/>
    <x v="1"/>
    <x v="3"/>
    <n v="-299592.34933527501"/>
    <n v="6.1984166600000004"/>
    <n v="0"/>
    <n v="0"/>
    <s v="BINE"/>
    <s v="PERP"/>
  </r>
  <r>
    <x v="0"/>
    <x v="1"/>
    <x v="15"/>
    <n v="-266.39499999999998"/>
    <n v="-4850799.5077376002"/>
    <n v="18209.048622300001"/>
    <n v="-251374.41690672"/>
    <x v="1"/>
    <d v="2023-03-31T08:00:00"/>
    <n v="1"/>
    <x v="0"/>
    <n v="1"/>
    <n v="-266.39499999999998"/>
    <n v="-5026763.9099824522"/>
    <n v="77.416666666671517"/>
    <x v="1"/>
    <x v="1"/>
    <x v="1"/>
    <n v="-4899307.5028149765"/>
    <n v="18391.139108523003"/>
    <n v="0.01"/>
    <n v="-48507.995077376254"/>
    <s v="BINE"/>
    <s v="M3"/>
  </r>
  <r>
    <x v="0"/>
    <x v="1"/>
    <x v="16"/>
    <n v="-4870.1139999999996"/>
    <n v="-6789470.4172550198"/>
    <n v="1394.1091352799999"/>
    <n v="-412443.21422740998"/>
    <x v="1"/>
    <d v="2023-03-31T08:00:00"/>
    <n v="1"/>
    <x v="1"/>
    <n v="1"/>
    <n v="-4870.1139999999996"/>
    <n v="-6905522.2525432268"/>
    <n v="77.416666666671517"/>
    <x v="1"/>
    <x v="1"/>
    <x v="1"/>
    <n v="-6857365.1214275705"/>
    <n v="1408.0502266327999"/>
    <n v="0.01"/>
    <n v="-67894.704172550701"/>
    <s v="BINE"/>
    <s v="M3"/>
  </r>
  <r>
    <x v="0"/>
    <x v="2"/>
    <x v="6"/>
    <n v="43.820999999999998"/>
    <n v="792539.29350559402"/>
    <n v="18085.833128080001"/>
    <n v="-778.06830797999999"/>
    <x v="0"/>
    <d v="2099-12-31T08:00:00"/>
    <n v="1"/>
    <x v="0"/>
    <n v="1"/>
    <n v="43.820999999999998"/>
    <n v="826884.21816978941"/>
    <n v="28111.416666666664"/>
    <x v="0"/>
    <x v="0"/>
    <x v="0"/>
    <n v="792539.29350559402"/>
    <n v="18085.833128080001"/>
    <n v="0"/>
    <n v="0"/>
    <s v="BINE"/>
    <s v="PERP"/>
  </r>
  <r>
    <x v="1"/>
    <x v="3"/>
    <x v="17"/>
    <n v="-1.4123000000000001"/>
    <n v="-25561.317002344"/>
    <n v="18099.0703125"/>
    <n v="2002.1107440000001"/>
    <x v="0"/>
    <d v="2099-12-31T08:00:00"/>
    <n v="1"/>
    <x v="0"/>
    <n v="1"/>
    <n v="-1.4123000000000001"/>
    <n v="-26649.519210451468"/>
    <n v="28111.416666666664"/>
    <x v="0"/>
    <x v="1"/>
    <x v="3"/>
    <n v="-25561.317002344"/>
    <n v="18099.0703125"/>
    <n v="0"/>
    <n v="0"/>
    <s v="DYDX"/>
    <s v="PERP"/>
  </r>
  <r>
    <x v="1"/>
    <x v="3"/>
    <x v="18"/>
    <n v="-426.6"/>
    <n v="-5050.9440650939996"/>
    <n v="11.840000153"/>
    <n v="4327.0327079999997"/>
    <x v="0"/>
    <d v="2099-12-31T08:00:00"/>
    <n v="1"/>
    <x v="10"/>
    <n v="1"/>
    <n v="-426.6"/>
    <n v="-5236.3835356980007"/>
    <n v="28111.416666666664"/>
    <x v="0"/>
    <x v="1"/>
    <x v="3"/>
    <n v="-5050.9440650939996"/>
    <n v="11.840000153"/>
    <n v="0"/>
    <n v="0"/>
    <s v="DYDX"/>
    <s v="PERP"/>
  </r>
  <r>
    <x v="2"/>
    <x v="4"/>
    <x v="19"/>
    <n v="-3391"/>
    <n v="-339100"/>
    <n v="18121.599999999999"/>
    <n v="1.3929805E-2"/>
    <x v="0"/>
    <d v="2099-12-31T08:00:00"/>
    <n v="0"/>
    <x v="0"/>
    <n v="100"/>
    <n v="-18.71247571958326"/>
    <n v="-353096.708322694"/>
    <n v="28111.416666666664"/>
    <x v="0"/>
    <x v="1"/>
    <x v="3"/>
    <n v="-339100"/>
    <n v="18121.599999999999"/>
    <n v="0"/>
    <n v="0"/>
    <s v="HUBI"/>
    <s v="PERP"/>
  </r>
  <r>
    <x v="2"/>
    <x v="4"/>
    <x v="20"/>
    <n v="-149"/>
    <n v="-1490"/>
    <n v="1383.98"/>
    <n v="1.2433458E-2"/>
    <x v="0"/>
    <d v="2099-12-31T08:00:00"/>
    <n v="0"/>
    <x v="1"/>
    <n v="10"/>
    <n v="-1.0766051532536598"/>
    <n v="-1526.5599209784123"/>
    <n v="28111.416666666664"/>
    <x v="0"/>
    <x v="1"/>
    <x v="3"/>
    <n v="-1490"/>
    <n v="1383.98"/>
    <n v="0"/>
    <n v="0"/>
    <s v="HUBI"/>
    <s v="PERP"/>
  </r>
  <r>
    <x v="2"/>
    <x v="5"/>
    <x v="21"/>
    <n v="0.64600000000000002"/>
    <n v="11685.429400000001"/>
    <n v="18088.900000000001"/>
    <n v="-20.413599999999999"/>
    <x v="0"/>
    <d v="2099-12-31T08:00:00"/>
    <n v="1"/>
    <x v="0"/>
    <n v="1"/>
    <n v="0.64600000000000002"/>
    <n v="12189.753883701513"/>
    <n v="28111.416666666664"/>
    <x v="0"/>
    <x v="0"/>
    <x v="0"/>
    <n v="11685.429400000001"/>
    <n v="18088.900000000001"/>
    <n v="0"/>
    <n v="0"/>
    <s v="HUBI"/>
    <s v="PERP"/>
  </r>
  <r>
    <x v="2"/>
    <x v="5"/>
    <x v="22"/>
    <n v="-0.41"/>
    <n v="-568.76840000000004"/>
    <n v="1387.24"/>
    <n v="5.0430000000000001"/>
    <x v="0"/>
    <d v="2099-12-31T08:00:00"/>
    <n v="1"/>
    <x v="1"/>
    <n v="1"/>
    <n v="-0.41"/>
    <n v="-581.35479447559612"/>
    <n v="28111.416666666664"/>
    <x v="0"/>
    <x v="1"/>
    <x v="3"/>
    <n v="-568.76840000000004"/>
    <n v="1387.24"/>
    <n v="0"/>
    <n v="0"/>
    <s v="HUBI"/>
    <s v="PERP"/>
  </r>
  <r>
    <x v="3"/>
    <x v="6"/>
    <x v="23"/>
    <n v="51768"/>
    <n v="5176800"/>
    <n v="18107.900000000001"/>
    <n v="0.42231638799999999"/>
    <x v="0"/>
    <d v="2099-12-31T08:00:00"/>
    <n v="0"/>
    <x v="0"/>
    <n v="100"/>
    <n v="285.88627063325947"/>
    <n v="5394556.1575057525"/>
    <n v="28111.416666666664"/>
    <x v="0"/>
    <x v="0"/>
    <x v="0"/>
    <n v="5176800"/>
    <n v="18107.900000000001"/>
    <n v="0"/>
    <n v="0"/>
    <s v="OKEX"/>
    <s v="PERP"/>
  </r>
  <r>
    <x v="3"/>
    <x v="6"/>
    <x v="24"/>
    <n v="253470"/>
    <n v="2534700"/>
    <n v="1387.43"/>
    <n v="-7.4565637440000003"/>
    <x v="0"/>
    <d v="2099-12-31T08:00:00"/>
    <n v="0"/>
    <x v="1"/>
    <n v="10"/>
    <n v="1826.902978889025"/>
    <n v="2590436.1117533743"/>
    <n v="28111.416666666664"/>
    <x v="0"/>
    <x v="0"/>
    <x v="0"/>
    <n v="2534700"/>
    <n v="1387.43"/>
    <n v="0"/>
    <n v="0"/>
    <s v="OKEX"/>
    <s v="PERP"/>
  </r>
  <r>
    <x v="3"/>
    <x v="6"/>
    <x v="25"/>
    <n v="79404"/>
    <n v="14377840.766630201"/>
    <n v="18107.2"/>
    <n v="54412.331657442002"/>
    <x v="0"/>
    <d v="2099-12-31T08:00:00"/>
    <n v="1"/>
    <x v="0"/>
    <n v="0.01"/>
    <n v="794.04"/>
    <n v="14983207.699403016"/>
    <n v="28111.416666666664"/>
    <x v="0"/>
    <x v="0"/>
    <x v="0"/>
    <n v="14377840.766630201"/>
    <n v="18107.2"/>
    <n v="0"/>
    <n v="0"/>
    <s v="OKEX"/>
    <s v="PERP"/>
  </r>
  <r>
    <x v="3"/>
    <x v="6"/>
    <x v="26"/>
    <n v="82157"/>
    <n v="11400187.646876"/>
    <n v="1387.61"/>
    <n v="-52344.481048977003"/>
    <x v="0"/>
    <d v="2099-12-31T08:00:00"/>
    <n v="1"/>
    <x v="1"/>
    <n v="0.1"/>
    <n v="8215.7000000000007"/>
    <n v="11649357.524324769"/>
    <n v="28111.416666666664"/>
    <x v="0"/>
    <x v="0"/>
    <x v="0"/>
    <n v="11400187.646876"/>
    <n v="1387.61"/>
    <n v="0"/>
    <n v="0"/>
    <s v="OKEX"/>
    <s v="PERP"/>
  </r>
  <r>
    <x v="3"/>
    <x v="6"/>
    <x v="27"/>
    <n v="5176"/>
    <n v="721772.50675524794"/>
    <n v="1394.46"/>
    <n v="39943.057889452"/>
    <x v="1"/>
    <d v="2023-03-31T08:00:00"/>
    <n v="1"/>
    <x v="1"/>
    <n v="0.1"/>
    <n v="517.6"/>
    <n v="733924.97956236242"/>
    <n v="77.416666666671517"/>
    <x v="1"/>
    <x v="0"/>
    <x v="4"/>
    <n v="728990.23182280047"/>
    <n v="1408.4046000000001"/>
    <n v="0.01"/>
    <n v="7217.7250675525283"/>
    <s v="OKEX"/>
    <s v="M3"/>
  </r>
  <r>
    <x v="3"/>
    <x v="6"/>
    <x v="28"/>
    <n v="717"/>
    <n v="100017.916490383"/>
    <n v="1394.95"/>
    <n v="4057.562043167"/>
    <x v="1"/>
    <d v="2023-06-30T08:00:00"/>
    <n v="1"/>
    <x v="1"/>
    <n v="0.1"/>
    <n v="71.7"/>
    <n v="101666.19210707377"/>
    <n v="168.41666666667152"/>
    <x v="2"/>
    <x v="0"/>
    <x v="5"/>
    <n v="101018.09565528683"/>
    <n v="1408.8995"/>
    <n v="0.01"/>
    <n v="1000.179164903835"/>
    <s v="OKEX"/>
    <s v="M6"/>
  </r>
  <r>
    <x v="3"/>
    <x v="6"/>
    <x v="29"/>
    <n v="-2250"/>
    <n v="-21550.5"/>
    <n v="0.95779999999999998"/>
    <n v="-36.667999999999999"/>
    <x v="0"/>
    <d v="2099-12-31T08:00:00"/>
    <n v="1"/>
    <x v="4"/>
    <n v="10"/>
    <n v="-22500"/>
    <n v="-22280.455728156194"/>
    <n v="28111.416666666664"/>
    <x v="0"/>
    <x v="1"/>
    <x v="3"/>
    <n v="-21550.5"/>
    <n v="0.95779999999999998"/>
    <n v="0"/>
    <n v="0"/>
    <s v="OKEX"/>
    <s v="PERP"/>
  </r>
  <r>
    <x v="3"/>
    <x v="6"/>
    <x v="30"/>
    <n v="-91454"/>
    <n v="-9145400"/>
    <n v="18209.599999999999"/>
    <n v="-20.628144206999998"/>
    <x v="1"/>
    <d v="2023-03-31T08:00:00"/>
    <n v="0"/>
    <x v="0"/>
    <n v="100"/>
    <n v="-502.22959318161855"/>
    <n v="-9476865.5325007215"/>
    <n v="77.416666666671517"/>
    <x v="1"/>
    <x v="1"/>
    <x v="1"/>
    <n v="-9236854"/>
    <n v="18391.696"/>
    <n v="0.01"/>
    <n v="-91454"/>
    <s v="OKEX"/>
    <s v="M3"/>
  </r>
  <r>
    <x v="3"/>
    <x v="6"/>
    <x v="31"/>
    <n v="-3192"/>
    <n v="-319200"/>
    <n v="18290.599999999999"/>
    <n v="-0.190820879"/>
    <x v="1"/>
    <d v="2023-06-30T08:00:00"/>
    <n v="0"/>
    <x v="0"/>
    <n v="100"/>
    <n v="-17.451587154057275"/>
    <n v="-329304.26050762401"/>
    <n v="168.41666666667152"/>
    <x v="2"/>
    <x v="1"/>
    <x v="2"/>
    <n v="-322392"/>
    <n v="18473.505999999998"/>
    <n v="0.01"/>
    <n v="-3192"/>
    <s v="OKEX"/>
    <s v="M6"/>
  </r>
  <r>
    <x v="3"/>
    <x v="6"/>
    <x v="32"/>
    <n v="-621487"/>
    <n v="-6214870"/>
    <n v="1395.47"/>
    <n v="-292.53851759200001"/>
    <x v="1"/>
    <d v="2023-03-31T08:00:00"/>
    <n v="0"/>
    <x v="1"/>
    <n v="10"/>
    <n v="-4453.6034454341543"/>
    <n v="-6314935.8919419013"/>
    <n v="77.416666666671517"/>
    <x v="1"/>
    <x v="1"/>
    <x v="1"/>
    <n v="-6277018.7000000002"/>
    <n v="1409.4247"/>
    <n v="0.01"/>
    <n v="-62148.700000000186"/>
    <s v="OKEX"/>
    <s v="M3"/>
  </r>
  <r>
    <x v="3"/>
    <x v="6"/>
    <x v="33"/>
    <n v="-22276"/>
    <n v="-138289.408"/>
    <n v="6.2080000000000002"/>
    <n v="170.00881966399999"/>
    <x v="0"/>
    <d v="2099-12-31T08:00:00"/>
    <n v="1"/>
    <x v="9"/>
    <n v="1"/>
    <n v="-22276"/>
    <n v="-142150.541662106"/>
    <n v="28111.416666666664"/>
    <x v="0"/>
    <x v="1"/>
    <x v="3"/>
    <n v="-138289.408"/>
    <n v="6.2080000000000002"/>
    <n v="0"/>
    <n v="0"/>
    <s v="OKEX"/>
    <s v="PERP"/>
  </r>
  <r>
    <x v="3"/>
    <x v="6"/>
    <x v="34"/>
    <n v="-89029"/>
    <n v="-827969.7"/>
    <n v="9.3000000000000007E-6"/>
    <n v="104940.705870498"/>
    <x v="0"/>
    <d v="2099-12-31T08:00:00"/>
    <n v="1"/>
    <x v="11"/>
    <n v="1000000"/>
    <n v="-89029000000"/>
    <n v="-843227.78742992668"/>
    <n v="28111.416666666664"/>
    <x v="0"/>
    <x v="1"/>
    <x v="3"/>
    <n v="-827969.7"/>
    <n v="9.3000000000000007E-6"/>
    <n v="0"/>
    <n v="0"/>
    <s v="OKEX"/>
    <s v="PERP"/>
  </r>
  <r>
    <x v="3"/>
    <x v="6"/>
    <x v="35"/>
    <n v="-3200"/>
    <n v="-582403.18698227406"/>
    <n v="18200.099999999999"/>
    <n v="2813.6667197510001"/>
    <x v="1"/>
    <d v="2023-03-31T08:00:00"/>
    <n v="1"/>
    <x v="0"/>
    <n v="0.01"/>
    <n v="-32"/>
    <n v="-603826.817768496"/>
    <n v="77.416666666671517"/>
    <x v="1"/>
    <x v="1"/>
    <x v="1"/>
    <n v="-588227.21885209682"/>
    <n v="18382.100999999999"/>
    <n v="0.01"/>
    <n v="-5824.0318698227638"/>
    <s v="OKEX"/>
    <s v="M3"/>
  </r>
  <r>
    <x v="3"/>
    <x v="6"/>
    <x v="36"/>
    <n v="-382"/>
    <n v="-69676.798442601998"/>
    <n v="18240"/>
    <n v="-1602.914621053"/>
    <x v="1"/>
    <d v="2023-06-30T08:00:00"/>
    <n v="1"/>
    <x v="0"/>
    <n v="0.01"/>
    <n v="-3.8200000000000003"/>
    <n v="-72081.826371114221"/>
    <n v="168.41666666667152"/>
    <x v="2"/>
    <x v="1"/>
    <x v="2"/>
    <n v="-70373.566427028025"/>
    <n v="18422.400000000001"/>
    <n v="0.01"/>
    <n v="-696.7679844260274"/>
    <s v="OKEX"/>
    <s v="M6"/>
  </r>
  <r>
    <x v="3"/>
    <x v="7"/>
    <x v="37"/>
    <n v="17440"/>
    <n v="13585.760202444"/>
    <n v="7.79"/>
    <n v="-17948.250061801002"/>
    <x v="0"/>
    <d v="2099-12-31T08:00:00"/>
    <n v="1"/>
    <x v="2"/>
    <n v="0.1"/>
    <n v="1744"/>
    <n v="13585.76"/>
    <n v="28111.416666666664"/>
    <x v="0"/>
    <x v="0"/>
    <x v="0"/>
    <n v="13585.760202444"/>
    <n v="7.79"/>
    <n v="0"/>
    <n v="0"/>
    <s v="OKEX"/>
    <s v="PERP"/>
  </r>
  <r>
    <x v="4"/>
    <x v="8"/>
    <x v="38"/>
    <n v="17"/>
    <n v="1215500"/>
    <n v="1430"/>
    <n v="0"/>
    <x v="2"/>
    <d v="2023-02-25T00:00:00"/>
    <n v="1"/>
    <x v="1"/>
    <n v="50"/>
    <n v="850"/>
    <n v="1205247.7446445285"/>
    <n v="43.083333333335759"/>
    <x v="3"/>
    <x v="0"/>
    <x v="6"/>
    <n v="1227655"/>
    <n v="1444.3"/>
    <n v="0.01"/>
    <n v="12155"/>
    <s v="UNMBF222"/>
    <s v="M1"/>
  </r>
  <r>
    <x v="4"/>
    <x v="8"/>
    <x v="39"/>
    <n v="-267"/>
    <n v="-19183950"/>
    <n v="1437"/>
    <n v="0"/>
    <x v="2"/>
    <d v="2023-01-28T00:00:00"/>
    <n v="1"/>
    <x v="1"/>
    <n v="50"/>
    <n v="-13350"/>
    <n v="-18929479.283534653"/>
    <n v="15.083333333335759"/>
    <x v="4"/>
    <x v="1"/>
    <x v="7"/>
    <n v="-19375789.5"/>
    <n v="1451.3700000000001"/>
    <n v="0.01"/>
    <n v="-191839.5"/>
    <s v="UNMBF222"/>
    <s v="W2"/>
  </r>
  <r>
    <x v="4"/>
    <x v="8"/>
    <x v="40"/>
    <n v="-796"/>
    <n v="-76236900"/>
    <n v="19155"/>
    <n v="0"/>
    <x v="2"/>
    <d v="2023-01-28T00:00:00"/>
    <n v="1"/>
    <x v="0"/>
    <n v="5"/>
    <n v="-3980"/>
    <n v="-75100960.459956691"/>
    <n v="15.083333333335759"/>
    <x v="4"/>
    <x v="1"/>
    <x v="7"/>
    <n v="-76999269"/>
    <n v="19346.55"/>
    <n v="0.01"/>
    <n v="-762369"/>
    <s v="UNMBF222"/>
    <s v="W2"/>
  </r>
  <r>
    <x v="4"/>
    <x v="8"/>
    <x v="41"/>
    <n v="4"/>
    <n v="382600"/>
    <n v="19130"/>
    <n v="0"/>
    <x v="2"/>
    <d v="2023-02-25T00:00:00"/>
    <n v="1"/>
    <x v="0"/>
    <n v="5"/>
    <n v="20"/>
    <n v="377391.76110531"/>
    <n v="43.083333333335759"/>
    <x v="3"/>
    <x v="0"/>
    <x v="6"/>
    <n v="386426"/>
    <n v="19321.3"/>
    <n v="0.01"/>
    <n v="3826"/>
    <s v="UNMBF222"/>
    <s v="M1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m/>
    <m/>
    <m/>
    <s v=""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s v=""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s v=""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s v=""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s v=""/>
    <x v="6"/>
    <x v="3"/>
    <x v="9"/>
    <m/>
    <m/>
    <s v=""/>
    <m/>
    <m/>
    <m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s v=""/>
    <s v=""/>
    <s v=""/>
    <s v=""/>
    <x v="5"/>
    <x v="2"/>
    <x v="8"/>
    <s v=""/>
    <s v=""/>
    <s v=""/>
    <s v=""/>
    <s v=""/>
    <s v=""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s v=""/>
    <m/>
    <m/>
    <m/>
  </r>
  <r>
    <x v="5"/>
    <x v="9"/>
    <x v="42"/>
    <m/>
    <m/>
    <m/>
    <m/>
    <x v="3"/>
    <m/>
    <m/>
    <x v="12"/>
    <m/>
    <m/>
    <m/>
    <m/>
    <x v="6"/>
    <x v="3"/>
    <x v="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9D2604-02AB-4917-B89E-0A7840B33C82}" name="PivotTable6" cacheId="1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1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4">
        <item sd="0" x="4"/>
        <item sd="0" x="3"/>
        <item sd="0" x="0"/>
        <item sd="0" x="1"/>
        <item sd="0" m="1" x="8"/>
        <item h="1" x="5"/>
        <item sd="0" x="2"/>
        <item h="1" m="1" x="9"/>
        <item h="1" m="1" x="7"/>
        <item h="1" m="1" x="10"/>
        <item h="1" m="1" x="6"/>
        <item h="1" m="1" x="12"/>
        <item h="1" m="1" x="11"/>
        <item t="default"/>
      </items>
    </pivotField>
    <pivotField showAll="0"/>
    <pivotField showAll="0"/>
    <pivotField axis="axisRow" showAll="0">
      <items count="108">
        <item x="15"/>
        <item x="16"/>
        <item x="17"/>
        <item x="18"/>
        <item x="19"/>
        <item x="13"/>
        <item m="1" x="105"/>
        <item x="21"/>
        <item m="1" x="103"/>
        <item x="2"/>
        <item x="23"/>
        <item x="4"/>
        <item x="24"/>
        <item x="25"/>
        <item x="26"/>
        <item x="27"/>
        <item x="28"/>
        <item x="0"/>
        <item x="29"/>
        <item x="30"/>
        <item x="31"/>
        <item x="32"/>
        <item x="11"/>
        <item x="33"/>
        <item x="34"/>
        <item x="35"/>
        <item x="36"/>
        <item x="37"/>
        <item x="38"/>
        <item x="39"/>
        <item x="5"/>
        <item x="3"/>
        <item x="6"/>
        <item x="1"/>
        <item x="42"/>
        <item x="43"/>
        <item x="7"/>
        <item x="44"/>
        <item x="45"/>
        <item x="46"/>
        <item x="47"/>
        <item x="48"/>
        <item x="49"/>
        <item x="50"/>
        <item m="1" x="100"/>
        <item x="51"/>
        <item x="52"/>
        <item x="53"/>
        <item x="54"/>
        <item x="55"/>
        <item x="56"/>
        <item x="12"/>
        <item x="57"/>
        <item x="8"/>
        <item x="58"/>
        <item x="59"/>
        <item x="60"/>
        <item x="62"/>
        <item x="63"/>
        <item x="64"/>
        <item x="65"/>
        <item x="9"/>
        <item x="66"/>
        <item x="67"/>
        <item m="1" x="102"/>
        <item x="68"/>
        <item x="69"/>
        <item x="71"/>
        <item x="72"/>
        <item x="14"/>
        <item x="73"/>
        <item x="74"/>
        <item m="1" x="106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10"/>
        <item x="99"/>
        <item m="1" x="101"/>
        <item x="41"/>
        <item m="1" x="104"/>
        <item x="40"/>
        <item x="70"/>
        <item x="20"/>
        <item x="22"/>
        <item x="61"/>
        <item x="75"/>
        <item x="77"/>
        <item t="default"/>
      </items>
    </pivotField>
    <pivotField showAll="0"/>
    <pivotField showAll="0"/>
    <pivotField showAll="0"/>
    <pivotField showAll="0"/>
    <pivotField axis="axisCol" showAll="0">
      <items count="24">
        <item x="5"/>
        <item x="4"/>
        <item m="1" x="16"/>
        <item m="1" x="8"/>
        <item x="1"/>
        <item m="1" x="20"/>
        <item m="1" x="11"/>
        <item x="6"/>
        <item m="1" x="14"/>
        <item m="1" x="18"/>
        <item m="1" x="19"/>
        <item m="1" x="7"/>
        <item m="1" x="10"/>
        <item m="1" x="12"/>
        <item m="1" x="17"/>
        <item m="1" x="22"/>
        <item x="2"/>
        <item x="0"/>
        <item m="1" x="13"/>
        <item m="1" x="9"/>
        <item m="1" x="15"/>
        <item m="1" x="21"/>
        <item x="3"/>
        <item t="default"/>
      </items>
    </pivotField>
    <pivotField showAll="0"/>
    <pivotField axis="axisRow" showAll="0">
      <items count="41">
        <item x="9"/>
        <item x="6"/>
        <item x="7"/>
        <item m="1" x="13"/>
        <item m="1" x="30"/>
        <item m="1" x="14"/>
        <item m="1" x="19"/>
        <item m="1" x="37"/>
        <item m="1" x="31"/>
        <item m="1" x="34"/>
        <item x="3"/>
        <item x="1"/>
        <item x="10"/>
        <item m="1" x="38"/>
        <item m="1" x="24"/>
        <item m="1" x="32"/>
        <item m="1" x="11"/>
        <item x="8"/>
        <item m="1" x="26"/>
        <item m="1" x="15"/>
        <item m="1" x="17"/>
        <item m="1" x="16"/>
        <item m="1" x="35"/>
        <item m="1" x="18"/>
        <item m="1" x="28"/>
        <item m="1" x="39"/>
        <item m="1" x="27"/>
        <item m="1" x="36"/>
        <item m="1" x="33"/>
        <item x="4"/>
        <item m="1" x="29"/>
        <item x="2"/>
        <item x="0"/>
        <item m="1" x="12"/>
        <item m="1" x="23"/>
        <item m="1" x="22"/>
        <item m="1" x="25"/>
        <item m="1" x="21"/>
        <item m="1" x="20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17"/>
    <field x="10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15"/>
  </colFields>
  <colItems count="7">
    <i>
      <x/>
    </i>
    <i>
      <x v="1"/>
    </i>
    <i>
      <x v="4"/>
    </i>
    <i>
      <x v="16"/>
    </i>
    <i>
      <x v="17"/>
    </i>
    <i>
      <x v="22"/>
    </i>
    <i t="grand">
      <x/>
    </i>
  </colItems>
  <dataFields count="1">
    <dataField name="Sum of notional" fld="4" baseField="0" baseItem="0" numFmtId="167"/>
  </dataFields>
  <formats count="1">
    <format dxfId="19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DC0FF-DA9C-43C6-BF34-FC79C838B393}" name="PivotTable5" cacheId="4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1:AA99" firstHeaderRow="0" firstDataRow="1" firstDataCol="1"/>
  <pivotFields count="19"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153">
        <item h="1" m="1" x="131"/>
        <item h="1" x="48"/>
        <item h="1" x="49"/>
        <item h="1" x="50"/>
        <item h="1" x="51"/>
        <item h="1" x="52"/>
        <item x="87"/>
        <item h="1" m="1" x="142"/>
        <item x="0"/>
        <item x="1"/>
        <item x="2"/>
        <item x="88"/>
        <item x="3"/>
        <item m="1" x="147"/>
        <item h="1" m="1" x="136"/>
        <item m="1" x="134"/>
        <item x="4"/>
        <item m="1" x="139"/>
        <item m="1" x="149"/>
        <item x="5"/>
        <item x="6"/>
        <item x="89"/>
        <item x="90"/>
        <item x="7"/>
        <item x="91"/>
        <item h="1" x="53"/>
        <item x="82"/>
        <item x="8"/>
        <item x="92"/>
        <item x="93"/>
        <item x="9"/>
        <item x="94"/>
        <item x="10"/>
        <item x="95"/>
        <item x="11"/>
        <item x="47"/>
        <item m="1" x="133"/>
        <item x="76"/>
        <item x="12"/>
        <item x="13"/>
        <item x="96"/>
        <item x="14"/>
        <item x="15"/>
        <item x="16"/>
        <item x="40"/>
        <item m="1" x="150"/>
        <item x="17"/>
        <item x="84"/>
        <item m="1" x="144"/>
        <item x="41"/>
        <item x="18"/>
        <item x="97"/>
        <item x="19"/>
        <item h="1" x="44"/>
        <item h="1" m="1" x="135"/>
        <item x="20"/>
        <item x="98"/>
        <item h="1" x="81"/>
        <item x="99"/>
        <item x="126"/>
        <item h="1" x="21"/>
        <item x="22"/>
        <item x="100"/>
        <item x="101"/>
        <item m="1" x="140"/>
        <item h="1" x="54"/>
        <item x="102"/>
        <item x="103"/>
        <item x="104"/>
        <item x="105"/>
        <item x="106"/>
        <item x="107"/>
        <item x="23"/>
        <item x="108"/>
        <item x="24"/>
        <item x="109"/>
        <item x="25"/>
        <item x="26"/>
        <item x="77"/>
        <item x="27"/>
        <item x="110"/>
        <item x="111"/>
        <item x="112"/>
        <item x="113"/>
        <item h="1" x="55"/>
        <item h="1" x="56"/>
        <item h="1" x="57"/>
        <item h="1" x="58"/>
        <item h="1" x="59"/>
        <item h="1" x="78"/>
        <item x="28"/>
        <item x="114"/>
        <item h="1" x="79"/>
        <item h="1" x="80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m="1" x="138"/>
        <item h="1" m="1" x="145"/>
        <item x="29"/>
        <item m="1" x="137"/>
        <item x="115"/>
        <item x="116"/>
        <item h="1" m="1" x="148"/>
        <item x="85"/>
        <item x="45"/>
        <item x="128"/>
        <item x="30"/>
        <item x="31"/>
        <item x="117"/>
        <item m="1" x="132"/>
        <item m="1" x="141"/>
        <item x="118"/>
        <item x="32"/>
        <item x="83"/>
        <item x="127"/>
        <item x="119"/>
        <item x="120"/>
        <item x="33"/>
        <item x="42"/>
        <item x="46"/>
        <item x="121"/>
        <item x="34"/>
        <item x="43"/>
        <item h="1" m="1" x="146"/>
        <item h="1" m="1" x="143"/>
        <item x="122"/>
        <item x="123"/>
        <item h="1" x="74"/>
        <item m="1" x="151"/>
        <item x="75"/>
        <item x="129"/>
        <item x="124"/>
        <item x="35"/>
        <item x="36"/>
        <item x="37"/>
        <item x="38"/>
        <item x="86"/>
        <item x="125"/>
        <item x="39"/>
        <item h="1" x="1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98">
    <i>
      <x v="6"/>
    </i>
    <i>
      <x v="8"/>
    </i>
    <i>
      <x v="9"/>
    </i>
    <i>
      <x v="10"/>
    </i>
    <i>
      <x v="11"/>
    </i>
    <i>
      <x v="12"/>
    </i>
    <i>
      <x v="16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9"/>
    </i>
    <i>
      <x v="50"/>
    </i>
    <i>
      <x v="51"/>
    </i>
    <i>
      <x v="52"/>
    </i>
    <i>
      <x v="55"/>
    </i>
    <i>
      <x v="56"/>
    </i>
    <i>
      <x v="58"/>
    </i>
    <i>
      <x v="59"/>
    </i>
    <i>
      <x v="61"/>
    </i>
    <i>
      <x v="62"/>
    </i>
    <i>
      <x v="63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90"/>
    </i>
    <i>
      <x v="91"/>
    </i>
    <i>
      <x v="110"/>
    </i>
    <i>
      <x v="112"/>
    </i>
    <i>
      <x v="113"/>
    </i>
    <i>
      <x v="115"/>
    </i>
    <i>
      <x v="116"/>
    </i>
    <i>
      <x v="117"/>
    </i>
    <i>
      <x v="118"/>
    </i>
    <i>
      <x v="119"/>
    </i>
    <i>
      <x v="120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7"/>
    </i>
    <i>
      <x v="138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sition" fld="1" baseField="0" baseItem="0"/>
    <dataField name="Sum of notional" fld="2" baseField="0" baseItem="0" numFmtId="166"/>
  </dataFields>
  <formats count="3">
    <format dxfId="189">
      <pivotArea outline="0" collapsedLevelsAreSubtotals="1" fieldPosition="0"/>
    </format>
    <format dxfId="188">
      <pivotArea dataOnly="0" labelOnly="1" outline="0" axis="axisValues" fieldPosition="0"/>
    </format>
    <format dxfId="187">
      <pivotArea collapsedLevelsAreSubtotals="1" fieldPosition="0">
        <references count="2">
          <reference field="4294967294" count="1" selected="0">
            <x v="1"/>
          </reference>
          <reference field="8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2F3A-C6F0-4F60-BC8C-1B111D85B5EF}" name="PivotTable12" cacheId="49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R4:U17" firstHeaderRow="1" firstDataRow="2" firstDataCol="1"/>
  <pivotFields count="24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22" showAll="0"/>
    <pivotField showAll="0"/>
    <pivotField axis="axisRow" showAll="0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x="6"/>
        <item t="default"/>
      </items>
    </pivotField>
    <pivotField showAll="0"/>
    <pivotField showAll="0"/>
    <pivotField showAll="0"/>
    <pivotField numFmtId="165" showAll="0"/>
    <pivotField axis="axisCol" showAll="0">
      <items count="12">
        <item x="0"/>
        <item m="1" x="8"/>
        <item x="1"/>
        <item m="1" x="9"/>
        <item m="1" x="10"/>
        <item h="1" x="5"/>
        <item h="1" x="6"/>
        <item m="1" x="7"/>
        <item x="4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>
      <x v="30"/>
    </i>
  </rowItems>
  <colFields count="1">
    <field x="15"/>
  </colFields>
  <colItems count="3">
    <i>
      <x/>
    </i>
    <i>
      <x v="2"/>
    </i>
    <i>
      <x v="8"/>
    </i>
  </colItems>
  <dataFields count="1">
    <dataField name="mark price" fld="5" subtotal="average" baseField="10" baseItem="0" numFmtId="164"/>
  </dataFields>
  <formats count="1">
    <format dxfId="18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C2D143-665A-423B-8CDE-DCA2BCC5D0B6}" name="PivotTable9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G18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22" showAll="0"/>
    <pivotField showAll="0"/>
    <pivotField axis="axisRow" showAll="0" sortType="descending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 v="1"/>
    </i>
    <i>
      <x/>
    </i>
    <i>
      <x v="4"/>
    </i>
    <i>
      <x v="30"/>
    </i>
    <i>
      <x v="17"/>
    </i>
    <i>
      <x v="2"/>
    </i>
    <i>
      <x v="13"/>
    </i>
    <i>
      <x v="12"/>
    </i>
    <i>
      <x v="7"/>
    </i>
    <i>
      <x v="14"/>
    </i>
    <i>
      <x v="3"/>
    </i>
    <i>
      <x v="9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604A8-C97A-4987-B8BD-0D976758F5BD}" name="PivotTable10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9:G50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axis="axisRow" showAll="0">
      <items count="67">
        <item m="1" x="44"/>
        <item x="2"/>
        <item m="1" x="50"/>
        <item m="1" x="45"/>
        <item m="1" x="51"/>
        <item x="0"/>
        <item x="1"/>
        <item x="5"/>
        <item x="7"/>
        <item x="6"/>
        <item x="13"/>
        <item m="1" x="65"/>
        <item m="1" x="53"/>
        <item x="8"/>
        <item m="1" x="48"/>
        <item x="9"/>
        <item m="1" x="60"/>
        <item x="14"/>
        <item x="10"/>
        <item m="1" x="64"/>
        <item m="1" x="47"/>
        <item m="1" x="43"/>
        <item m="1" x="46"/>
        <item x="12"/>
        <item x="18"/>
        <item x="17"/>
        <item m="1" x="49"/>
        <item m="1" x="59"/>
        <item m="1" x="52"/>
        <item x="19"/>
        <item x="20"/>
        <item x="21"/>
        <item x="22"/>
        <item m="1" x="61"/>
        <item m="1" x="54"/>
        <item x="30"/>
        <item m="1" x="62"/>
        <item x="35"/>
        <item m="1" x="55"/>
        <item m="1" x="63"/>
        <item x="27"/>
        <item x="37"/>
        <item m="1" x="56"/>
        <item x="23"/>
        <item x="25"/>
        <item m="1" x="57"/>
        <item x="29"/>
        <item x="24"/>
        <item x="26"/>
        <item x="33"/>
        <item m="1" x="58"/>
        <item x="34"/>
        <item x="42"/>
        <item x="11"/>
        <item x="3"/>
        <item x="4"/>
        <item x="15"/>
        <item x="16"/>
        <item x="31"/>
        <item x="36"/>
        <item x="32"/>
        <item x="39"/>
        <item x="40"/>
        <item x="28"/>
        <item x="38"/>
        <item x="41"/>
        <item t="default"/>
      </items>
    </pivotField>
    <pivotField showAll="0"/>
    <pivotField dataField="1" showAll="0"/>
    <pivotField showAll="0"/>
    <pivotField showAll="0"/>
    <pivotField axis="axisRow" showAll="0">
      <items count="5">
        <item sd="0" x="2"/>
        <item sd="0" x="1"/>
        <item sd="0" x="0"/>
        <item x="3"/>
        <item t="default"/>
      </items>
    </pivotField>
    <pivotField numFmtId="22" showAll="0"/>
    <pivotField showAll="0"/>
    <pivotField axis="axisRow" showAll="0" sortType="descending">
      <items count="32">
        <item x="0"/>
        <item x="1"/>
        <item sd="0" x="11"/>
        <item sd="0" x="4"/>
        <item sd="0" m="1" x="23"/>
        <item sd="0" x="5"/>
        <item sd="0" x="9"/>
        <item sd="0" m="1" x="30"/>
        <item sd="0" x="2"/>
        <item sd="0" x="3"/>
        <item sd="0" x="7"/>
        <item sd="0" m="1" x="18"/>
        <item sd="0" m="1" x="26"/>
        <item sd="0" m="1" x="16"/>
        <item sd="0" x="8"/>
        <item sd="0" x="10"/>
        <item sd="0" m="1" x="27"/>
        <item sd="0" m="1" x="28"/>
        <item sd="0" x="12"/>
        <item sd="0" m="1" x="13"/>
        <item sd="0" m="1" x="14"/>
        <item sd="0" m="1" x="15"/>
        <item sd="0" m="1" x="17"/>
        <item sd="0" m="1" x="19"/>
        <item sd="0" m="1" x="20"/>
        <item sd="0" m="1" x="21"/>
        <item sd="0" m="1" x="22"/>
        <item sd="0" m="1" x="24"/>
        <item sd="0" m="1" x="25"/>
        <item sd="0" m="1" x="29"/>
        <item x="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20">
    <i>
      <x v="8"/>
    </i>
    <i>
      <x v="15"/>
    </i>
    <i>
      <x v="14"/>
    </i>
    <i>
      <x v="30"/>
    </i>
    <i r="1">
      <x v="2"/>
    </i>
    <i>
      <x v="10"/>
    </i>
    <i>
      <x v="9"/>
    </i>
    <i>
      <x v="5"/>
    </i>
    <i>
      <x v="6"/>
    </i>
    <i>
      <x v="3"/>
    </i>
    <i>
      <x v="2"/>
    </i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8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E7EEA-B673-4C47-887E-9F777E12CE47}" name="PivotTable1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9:O64" firstHeaderRow="1" firstDataRow="2" firstDataCol="1" rowPageCount="1" colPageCount="1"/>
  <pivotFields count="24">
    <pivotField axis="axisPage" showAll="0" defaultSubtotal="0">
      <items count="9">
        <item x="0"/>
        <item m="1" x="6"/>
        <item x="1"/>
        <item m="1" x="7"/>
        <item m="1" x="8"/>
        <item x="2"/>
        <item x="3"/>
        <item x="5"/>
        <item x="4"/>
      </items>
    </pivotField>
    <pivotField showAll="0"/>
    <pivotField axis="axisRow" showAll="0">
      <items count="67">
        <item m="1" x="44"/>
        <item x="2"/>
        <item m="1" x="50"/>
        <item m="1" x="45"/>
        <item m="1" x="51"/>
        <item x="0"/>
        <item x="1"/>
        <item x="5"/>
        <item x="7"/>
        <item x="6"/>
        <item x="13"/>
        <item m="1" x="65"/>
        <item m="1" x="53"/>
        <item x="8"/>
        <item m="1" x="48"/>
        <item x="9"/>
        <item m="1" x="60"/>
        <item x="14"/>
        <item x="10"/>
        <item m="1" x="64"/>
        <item m="1" x="47"/>
        <item m="1" x="43"/>
        <item m="1" x="46"/>
        <item x="12"/>
        <item x="18"/>
        <item x="17"/>
        <item m="1" x="49"/>
        <item m="1" x="59"/>
        <item m="1" x="52"/>
        <item x="19"/>
        <item x="20"/>
        <item x="21"/>
        <item x="22"/>
        <item m="1" x="61"/>
        <item m="1" x="54"/>
        <item x="30"/>
        <item m="1" x="62"/>
        <item x="35"/>
        <item m="1" x="55"/>
        <item m="1" x="63"/>
        <item x="27"/>
        <item x="37"/>
        <item m="1" x="56"/>
        <item x="23"/>
        <item x="25"/>
        <item m="1" x="57"/>
        <item x="29"/>
        <item x="24"/>
        <item x="26"/>
        <item x="33"/>
        <item m="1" x="58"/>
        <item x="34"/>
        <item x="42"/>
        <item x="11"/>
        <item x="3"/>
        <item x="4"/>
        <item x="15"/>
        <item x="16"/>
        <item x="31"/>
        <item x="36"/>
        <item x="32"/>
        <item x="39"/>
        <item x="40"/>
        <item x="28"/>
        <item x="38"/>
        <item x="41"/>
        <item t="default"/>
      </items>
    </pivotField>
    <pivotField showAll="0"/>
    <pivotField dataField="1" showAll="0"/>
    <pivotField showAll="0"/>
    <pivotField showAll="0"/>
    <pivotField axis="axisRow" showAll="0" defaultSubtotal="0">
      <items count="4">
        <item x="2"/>
        <item x="1"/>
        <item x="0"/>
        <item h="1" x="3"/>
      </items>
    </pivotField>
    <pivotField showAll="0"/>
    <pivotField showAll="0"/>
    <pivotField axis="axisRow" showAll="0" sortType="descending">
      <items count="32">
        <item sd="0" m="1" x="14"/>
        <item sd="0" m="1" x="24"/>
        <item sd="0" x="10"/>
        <item sd="0" x="2"/>
        <item sd="0" x="3"/>
        <item sd="0" m="1" x="19"/>
        <item sd="0" m="1" x="21"/>
        <item x="0"/>
        <item sd="0" m="1" x="29"/>
        <item sd="0" x="8"/>
        <item sd="0" m="1" x="18"/>
        <item sd="0" m="1" x="30"/>
        <item sd="0" x="4"/>
        <item sd="0" m="1" x="27"/>
        <item sd="0" x="1"/>
        <item sd="0" m="1" x="26"/>
        <item sd="0" m="1" x="16"/>
        <item sd="0" x="9"/>
        <item sd="0" x="5"/>
        <item sd="0" m="1" x="22"/>
        <item sd="0" x="11"/>
        <item sd="0" m="1" x="23"/>
        <item sd="0" m="1" x="25"/>
        <item sd="0" m="1" x="15"/>
        <item sd="0" m="1" x="20"/>
        <item sd="0" m="1" x="28"/>
        <item sd="0" m="1" x="17"/>
        <item sd="0" m="1" x="13"/>
        <item sd="0" x="7"/>
        <item sd="0" x="12"/>
        <item x="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2">
        <item x="5"/>
        <item x="0"/>
        <item m="1" x="8"/>
        <item x="1"/>
        <item m="1" x="10"/>
        <item m="1" x="7"/>
        <item x="4"/>
        <item m="1" x="9"/>
        <item x="6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34">
    <i>
      <x v="3"/>
    </i>
    <i>
      <x v="2"/>
    </i>
    <i>
      <x v="9"/>
    </i>
    <i>
      <x v="30"/>
    </i>
    <i r="1">
      <x v="2"/>
    </i>
    <i r="2">
      <x v="53"/>
    </i>
    <i>
      <x v="28"/>
    </i>
    <i>
      <x v="4"/>
    </i>
    <i>
      <x v="18"/>
    </i>
    <i>
      <x v="17"/>
    </i>
    <i>
      <x v="12"/>
    </i>
    <i>
      <x v="20"/>
    </i>
    <i>
      <x v="7"/>
    </i>
    <i r="1">
      <x/>
    </i>
    <i r="2">
      <x v="62"/>
    </i>
    <i r="2">
      <x v="65"/>
    </i>
    <i r="1">
      <x v="1"/>
    </i>
    <i r="2">
      <x v="1"/>
    </i>
    <i r="2">
      <x v="35"/>
    </i>
    <i r="2">
      <x v="37"/>
    </i>
    <i r="2">
      <x v="54"/>
    </i>
    <i r="2">
      <x v="56"/>
    </i>
    <i r="2">
      <x v="58"/>
    </i>
    <i r="2">
      <x v="59"/>
    </i>
    <i r="1">
      <x v="2"/>
    </i>
    <i r="2">
      <x v="5"/>
    </i>
    <i r="2">
      <x v="9"/>
    </i>
    <i r="2">
      <x v="25"/>
    </i>
    <i r="2">
      <x v="29"/>
    </i>
    <i r="2">
      <x v="31"/>
    </i>
    <i r="2">
      <x v="43"/>
    </i>
    <i r="2">
      <x v="44"/>
    </i>
    <i>
      <x v="14"/>
    </i>
    <i t="grand">
      <x/>
    </i>
  </rowItems>
  <colFields count="1">
    <field x="15"/>
  </colFields>
  <colItems count="6">
    <i>
      <x v="1"/>
    </i>
    <i>
      <x v="3"/>
    </i>
    <i>
      <x v="6"/>
    </i>
    <i>
      <x v="9"/>
    </i>
    <i>
      <x v="10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8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ECCA8D-B389-4B6C-A250-9159E58A301A}" name="PivotTable11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3:O17" firstHeaderRow="1" firstDataRow="3" firstDataCol="1" rowPageCount="1" colPageCount="1"/>
  <pivotFields count="24">
    <pivotField axis="axisPage" showAll="0">
      <items count="10">
        <item x="0"/>
        <item x="1"/>
        <item m="1" x="8"/>
        <item x="2"/>
        <item x="3"/>
        <item x="4"/>
        <item x="5"/>
        <item m="1" x="6"/>
        <item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3"/>
        <item x="2"/>
      </items>
    </pivotField>
    <pivotField numFmtId="22" showAll="0"/>
    <pivotField showAll="0"/>
    <pivotField axis="axisRow" showAll="0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h="1"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h="1" x="6"/>
        <item t="default"/>
      </items>
    </pivotField>
    <pivotField numFmtId="170" showAll="0"/>
    <pivotField numFmtId="43" showAll="0"/>
    <pivotField numFmtId="166" showAll="0"/>
    <pivotField numFmtId="165" showAll="0"/>
    <pivotField axis="axisCol" showAll="0">
      <items count="12">
        <item x="5"/>
        <item m="1" x="10"/>
        <item m="1" x="7"/>
        <item x="4"/>
        <item m="1" x="9"/>
        <item m="1" x="8"/>
        <item x="1"/>
        <item x="0"/>
        <item x="6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 t="grand">
      <x/>
    </i>
  </rowItems>
  <colFields count="2">
    <field x="7"/>
    <field x="15"/>
  </colFields>
  <colItems count="6">
    <i>
      <x/>
      <x v="7"/>
    </i>
    <i>
      <x v="1"/>
      <x v="6"/>
    </i>
    <i r="1">
      <x v="9"/>
    </i>
    <i>
      <x v="3"/>
      <x v="3"/>
    </i>
    <i r="1">
      <x v="10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8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E9B90-974D-4BC3-A4C3-C36640DB89D5}" name="PivotTable4" cacheId="4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change">
  <location ref="B11:M35" firstHeaderRow="1" firstDataRow="2" firstDataCol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dataFields count="1">
    <dataField name="USD Notional" fld="4" baseField="0" baseItem="0" numFmtId="167"/>
  </dataFields>
  <formats count="4">
    <format dxfId="181">
      <pivotArea outline="0" collapsedLevelsAreSubtotals="1" fieldPosition="0"/>
    </format>
    <format dxfId="180">
      <pivotArea outline="0" collapsedLevelsAreSubtotals="1" fieldPosition="0"/>
    </format>
    <format dxfId="179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</reference>
        </references>
      </pivotArea>
    </format>
    <format dxfId="17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84DF9-6857-4FC3-91E2-6154D8A53A58}" name="PivotTable4" cacheId="4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L31" firstHeaderRow="1" firstDataRow="2" firstDataCol="1" rowPageCount="2" colPageCount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axis="axisPage" showAll="0">
      <items count="78">
        <item x="9"/>
        <item x="0"/>
        <item x="10"/>
        <item x="45"/>
        <item x="1"/>
        <item x="11"/>
        <item x="12"/>
        <item x="13"/>
        <item x="14"/>
        <item m="1" x="58"/>
        <item m="1" x="64"/>
        <item x="15"/>
        <item x="16"/>
        <item x="54"/>
        <item m="1" x="66"/>
        <item x="3"/>
        <item x="55"/>
        <item x="44"/>
        <item m="1" x="72"/>
        <item m="1" x="70"/>
        <item m="1" x="59"/>
        <item x="24"/>
        <item x="25"/>
        <item x="30"/>
        <item x="31"/>
        <item m="1" x="69"/>
        <item x="4"/>
        <item x="5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6"/>
        <item x="51"/>
        <item x="40"/>
        <item x="38"/>
        <item x="39"/>
        <item x="7"/>
        <item m="1" x="62"/>
        <item x="41"/>
        <item x="42"/>
        <item x="43"/>
        <item x="52"/>
        <item x="56"/>
        <item m="1" x="68"/>
        <item m="1" x="61"/>
        <item m="1" x="67"/>
        <item x="2"/>
        <item x="8"/>
        <item x="18"/>
        <item x="19"/>
        <item x="20"/>
        <item x="27"/>
        <item x="28"/>
        <item m="1" x="63"/>
        <item m="1" x="57"/>
        <item x="17"/>
        <item m="1" x="73"/>
        <item x="53"/>
        <item x="21"/>
        <item x="22"/>
        <item x="26"/>
        <item x="29"/>
        <item x="23"/>
        <item x="46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axis="axisRow" showAll="0">
      <items count="156">
        <item x="88"/>
        <item x="12"/>
        <item x="13"/>
        <item x="14"/>
        <item x="89"/>
        <item x="10"/>
        <item m="1" x="135"/>
        <item x="15"/>
        <item m="1" x="141"/>
        <item x="2"/>
        <item x="16"/>
        <item x="3"/>
        <item x="90"/>
        <item x="91"/>
        <item x="17"/>
        <item x="92"/>
        <item x="83"/>
        <item x="0"/>
        <item x="93"/>
        <item x="94"/>
        <item x="18"/>
        <item x="95"/>
        <item x="8"/>
        <item x="96"/>
        <item x="19"/>
        <item x="48"/>
        <item x="20"/>
        <item x="21"/>
        <item x="97"/>
        <item x="22"/>
        <item x="23"/>
        <item x="4"/>
        <item x="41"/>
        <item x="1"/>
        <item x="24"/>
        <item x="98"/>
        <item x="25"/>
        <item x="26"/>
        <item x="99"/>
        <item x="100"/>
        <item x="127"/>
        <item x="28"/>
        <item x="101"/>
        <item x="102"/>
        <item m="1" x="142"/>
        <item x="103"/>
        <item x="104"/>
        <item x="105"/>
        <item m="1" x="140"/>
        <item x="106"/>
        <item x="107"/>
        <item x="108"/>
        <item x="9"/>
        <item x="109"/>
        <item x="5"/>
        <item x="110"/>
        <item x="29"/>
        <item x="30"/>
        <item x="111"/>
        <item x="112"/>
        <item x="113"/>
        <item x="114"/>
        <item x="6"/>
        <item x="115"/>
        <item m="1" x="147"/>
        <item x="32"/>
        <item m="1" x="138"/>
        <item x="116"/>
        <item x="117"/>
        <item x="46"/>
        <item x="129"/>
        <item x="11"/>
        <item x="33"/>
        <item x="118"/>
        <item m="1" x="133"/>
        <item x="119"/>
        <item x="84"/>
        <item x="128"/>
        <item x="120"/>
        <item x="121"/>
        <item x="35"/>
        <item x="43"/>
        <item x="47"/>
        <item x="122"/>
        <item x="36"/>
        <item x="44"/>
        <item x="123"/>
        <item x="124"/>
        <item x="76"/>
        <item x="130"/>
        <item x="125"/>
        <item x="37"/>
        <item x="38"/>
        <item x="39"/>
        <item x="40"/>
        <item x="87"/>
        <item x="126"/>
        <item x="7"/>
        <item x="131"/>
        <item x="42"/>
        <item m="1" x="146"/>
        <item m="1" x="153"/>
        <item m="1" x="150"/>
        <item x="77"/>
        <item x="78"/>
        <item m="1" x="149"/>
        <item m="1" x="152"/>
        <item m="1" x="143"/>
        <item x="85"/>
        <item x="86"/>
        <item m="1" x="132"/>
        <item m="1" x="134"/>
        <item x="50"/>
        <item x="72"/>
        <item x="73"/>
        <item m="1" x="139"/>
        <item x="51"/>
        <item x="60"/>
        <item x="69"/>
        <item x="53"/>
        <item x="55"/>
        <item x="56"/>
        <item x="71"/>
        <item m="1" x="154"/>
        <item x="31"/>
        <item x="34"/>
        <item x="67"/>
        <item x="27"/>
        <item x="62"/>
        <item x="64"/>
        <item x="75"/>
        <item x="79"/>
        <item x="80"/>
        <item x="81"/>
        <item m="1" x="136"/>
        <item x="54"/>
        <item x="59"/>
        <item x="63"/>
        <item x="68"/>
        <item x="82"/>
        <item m="1" x="137"/>
        <item m="1" x="144"/>
        <item m="1" x="148"/>
        <item x="49"/>
        <item m="1" x="145"/>
        <item x="65"/>
        <item x="70"/>
        <item x="74"/>
        <item x="52"/>
        <item x="57"/>
        <item x="61"/>
        <item x="66"/>
        <item m="1" x="151"/>
        <item x="58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43">
        <item x="12"/>
        <item sd="0" x="9"/>
        <item sd="0" x="11"/>
        <item sd="0" x="8"/>
        <item sd="0" x="10"/>
        <item m="1" x="14"/>
        <item m="1" x="30"/>
        <item m="1" x="31"/>
        <item m="1" x="15"/>
        <item m="1" x="32"/>
        <item x="0"/>
        <item x="3"/>
        <item x="13"/>
        <item m="1" x="18"/>
        <item m="1" x="21"/>
        <item m="1" x="40"/>
        <item m="1" x="16"/>
        <item m="1" x="17"/>
        <item m="1" x="34"/>
        <item m="1" x="20"/>
        <item m="1" x="37"/>
        <item m="1" x="28"/>
        <item m="1" x="29"/>
        <item m="1" x="38"/>
        <item x="4"/>
        <item x="1"/>
        <item m="1" x="41"/>
        <item m="1" x="25"/>
        <item m="1" x="24"/>
        <item m="1" x="35"/>
        <item m="1" x="23"/>
        <item m="1" x="22"/>
        <item m="1" x="33"/>
        <item m="1" x="36"/>
        <item m="1" x="27"/>
        <item m="1" x="19"/>
        <item m="1" x="39"/>
        <item x="2"/>
        <item x="5"/>
        <item m="1" x="26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pageFields count="2">
    <pageField fld="1" hier="-1"/>
    <pageField fld="17" hier="-1"/>
  </pageFields>
  <dataFields count="1">
    <dataField name="Sum of notional" fld="4" baseField="0" baseItem="0" numFmtId="167"/>
  </dataFields>
  <formats count="2">
    <format dxfId="76">
      <pivotArea outline="0" collapsedLevelsAreSubtotals="1" fieldPosition="0"/>
    </format>
    <format dxfId="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D2808-9319-4280-84D0-429C0B50550C}" name="PivotTable1" cacheId="1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7:Y170" firstHeaderRow="1" firstDataRow="2" firstDataCol="1" rowPageCount="1" colPageCount="1"/>
  <pivotFields count="25">
    <pivotField showAll="0"/>
    <pivotField axis="axisRow" showAll="0">
      <items count="60">
        <item x="9"/>
        <item x="0"/>
        <item x="10"/>
        <item x="45"/>
        <item x="1"/>
        <item x="2"/>
        <item x="11"/>
        <item x="12"/>
        <item x="13"/>
        <item x="14"/>
        <item x="15"/>
        <item x="16"/>
        <item x="56"/>
        <item x="3"/>
        <item x="57"/>
        <item x="44"/>
        <item x="24"/>
        <item x="25"/>
        <item x="27"/>
        <item x="28"/>
        <item x="30"/>
        <item x="31"/>
        <item x="4"/>
        <item x="5"/>
        <item x="32"/>
        <item x="33"/>
        <item x="47"/>
        <item x="34"/>
        <item x="48"/>
        <item x="35"/>
        <item x="49"/>
        <item x="50"/>
        <item x="51"/>
        <item x="36"/>
        <item x="37"/>
        <item x="6"/>
        <item x="53"/>
        <item x="40"/>
        <item x="38"/>
        <item x="39"/>
        <item x="7"/>
        <item x="52"/>
        <item x="41"/>
        <item x="42"/>
        <item x="8"/>
        <item x="43"/>
        <item x="54"/>
        <item x="58"/>
        <item x="55"/>
        <item x="26"/>
        <item x="29"/>
        <item x="17"/>
        <item x="18"/>
        <item x="19"/>
        <item x="20"/>
        <item x="21"/>
        <item x="22"/>
        <item x="23"/>
        <item x="46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2">
        <item x="7"/>
        <item x="8"/>
        <item x="5"/>
        <item x="6"/>
        <item x="9"/>
        <item x="3"/>
        <item x="4"/>
        <item x="0"/>
        <item x="1"/>
        <item x="2"/>
        <item h="1" x="10"/>
        <item t="default"/>
      </items>
    </pivotField>
    <pivotField showAll="0"/>
    <pivotField showAll="0"/>
    <pivotField axis="axisRow" showAll="0">
      <items count="137">
        <item sd="0" x="83"/>
        <item sd="0" x="12"/>
        <item sd="0" x="13"/>
        <item sd="0" x="14"/>
        <item sd="0" x="84"/>
        <item sd="0" x="10"/>
        <item sd="0" x="15"/>
        <item sd="0" x="2"/>
        <item sd="0" x="16"/>
        <item sd="0" x="4"/>
        <item sd="0" x="85"/>
        <item sd="0" x="86"/>
        <item sd="0" x="17"/>
        <item sd="0" x="87"/>
        <item sd="0" x="78"/>
        <item sd="0" x="0"/>
        <item sd="0" x="88"/>
        <item sd="0" x="89"/>
        <item sd="0" x="18"/>
        <item sd="0" x="90"/>
        <item sd="0" x="8"/>
        <item sd="0" x="91"/>
        <item sd="0" x="19"/>
        <item sd="0" x="20"/>
        <item sd="0" x="21"/>
        <item sd="0" x="92"/>
        <item sd="0" x="22"/>
        <item sd="0" x="23"/>
        <item sd="0" x="3"/>
        <item sd="0" x="40"/>
        <item sd="0" x="1"/>
        <item sd="0" x="80"/>
        <item sd="0" x="41"/>
        <item sd="0" x="24"/>
        <item sd="0" x="93"/>
        <item sd="0" x="25"/>
        <item sd="0" x="26"/>
        <item sd="0" x="94"/>
        <item sd="0" x="95"/>
        <item sd="0" x="122"/>
        <item sd="0" x="28"/>
        <item sd="0" x="96"/>
        <item sd="0" x="97"/>
        <item sd="0" x="98"/>
        <item sd="0" x="99"/>
        <item sd="0" x="100"/>
        <item sd="0" x="101"/>
        <item sd="0" x="102"/>
        <item sd="0" x="103"/>
        <item x="9"/>
        <item sd="0" x="104"/>
        <item sd="0" x="5"/>
        <item sd="0" x="105"/>
        <item sd="0" x="29"/>
        <item sd="0" x="30"/>
        <item sd="0" x="106"/>
        <item sd="0" x="107"/>
        <item sd="0" x="108"/>
        <item sd="0" x="109"/>
        <item sd="0" x="6"/>
        <item sd="0" x="110"/>
        <item sd="0" x="32"/>
        <item sd="0" x="111"/>
        <item sd="0" x="112"/>
        <item sd="0" x="81"/>
        <item sd="0" x="44"/>
        <item sd="0" x="124"/>
        <item sd="0" x="11"/>
        <item sd="0" x="33"/>
        <item sd="0" x="113"/>
        <item sd="0" x="114"/>
        <item sd="0" x="79"/>
        <item sd="0" x="123"/>
        <item sd="0" x="115"/>
        <item sd="0" x="116"/>
        <item sd="0" x="35"/>
        <item x="42"/>
        <item x="46"/>
        <item x="117"/>
        <item x="36"/>
        <item x="43"/>
        <item sd="0" x="118"/>
        <item sd="0" x="119"/>
        <item sd="0" x="125"/>
        <item sd="0" x="120"/>
        <item sd="0" x="37"/>
        <item sd="0" x="45"/>
        <item sd="0" x="38"/>
        <item sd="0" x="39"/>
        <item sd="0" x="82"/>
        <item sd="0" x="121"/>
        <item sd="0" x="7"/>
        <item h="1" sd="0" x="126"/>
        <item h="1" x="31"/>
        <item h="1" x="34"/>
        <item h="1" x="27"/>
        <item h="1" x="47"/>
        <item h="1" x="48"/>
        <item h="1" x="49"/>
        <item h="1" x="50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2"/>
        <item h="1" x="63"/>
        <item h="1" x="64"/>
        <item h="1" x="66"/>
        <item h="1" x="67"/>
        <item h="1" x="68"/>
        <item h="1" x="70"/>
        <item h="1" x="71"/>
        <item h="1" x="72"/>
        <item h="1" x="73"/>
        <item h="1" m="1" x="129"/>
        <item h="1" m="1" x="135"/>
        <item h="1" x="74"/>
        <item h="1" x="75"/>
        <item h="1" x="76"/>
        <item h="1" m="1" x="133"/>
        <item h="1" x="77"/>
        <item h="1" m="1" x="134"/>
        <item h="1" m="1" x="131"/>
        <item h="1" m="1" x="128"/>
        <item h="1" m="1" x="132"/>
        <item h="1" m="1" x="127"/>
        <item h="1" m="1" x="130"/>
        <item h="1" x="51"/>
        <item h="1" x="61"/>
        <item h="1" x="65"/>
        <item h="1" x="69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5"/>
        <item x="6"/>
        <item x="7"/>
        <item x="22"/>
        <item x="1"/>
        <item x="4"/>
        <item x="20"/>
        <item x="9"/>
        <item x="10"/>
        <item x="11"/>
        <item x="12"/>
        <item x="2"/>
        <item x="13"/>
        <item x="14"/>
        <item x="15"/>
        <item x="16"/>
        <item x="3"/>
        <item x="17"/>
        <item x="18"/>
        <item x="21"/>
        <item x="19"/>
        <item x="24"/>
        <item x="8"/>
        <item t="default"/>
      </items>
    </pivotField>
    <pivotField showAll="0"/>
    <pivotField showAll="0"/>
  </pivotFields>
  <rowFields count="2">
    <field x="10"/>
    <field x="1"/>
  </rowFields>
  <rowItems count="1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r="1">
      <x/>
    </i>
    <i r="1">
      <x v="3"/>
    </i>
    <i r="1">
      <x v="4"/>
    </i>
    <i r="1">
      <x v="9"/>
    </i>
    <i r="1">
      <x v="15"/>
    </i>
    <i r="1">
      <x v="17"/>
    </i>
    <i r="1">
      <x v="21"/>
    </i>
    <i r="1">
      <x v="22"/>
    </i>
    <i r="1">
      <x v="24"/>
    </i>
    <i r="1">
      <x v="26"/>
    </i>
    <i r="1">
      <x v="29"/>
    </i>
    <i r="1">
      <x v="30"/>
    </i>
    <i r="1">
      <x v="35"/>
    </i>
    <i r="1">
      <x v="37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4"/>
    </i>
    <i r="1">
      <x v="27"/>
    </i>
    <i r="1">
      <x v="29"/>
    </i>
    <i r="1">
      <x v="33"/>
    </i>
    <i r="1">
      <x v="34"/>
    </i>
    <i r="1">
      <x v="42"/>
    </i>
    <i r="1">
      <x v="48"/>
    </i>
    <i>
      <x v="77"/>
    </i>
    <i r="1">
      <x v="8"/>
    </i>
    <i r="1">
      <x v="9"/>
    </i>
    <i r="1">
      <x v="10"/>
    </i>
    <i r="1">
      <x v="11"/>
    </i>
    <i r="1">
      <x v="13"/>
    </i>
    <i r="1">
      <x v="15"/>
    </i>
    <i r="1">
      <x v="24"/>
    </i>
    <i r="1">
      <x v="29"/>
    </i>
    <i r="1">
      <x v="31"/>
    </i>
    <i r="1">
      <x v="37"/>
    </i>
    <i r="1">
      <x v="51"/>
    </i>
    <i r="1">
      <x v="52"/>
    </i>
    <i r="1">
      <x v="53"/>
    </i>
    <i r="1">
      <x v="57"/>
    </i>
    <i>
      <x v="78"/>
    </i>
    <i r="1">
      <x v="24"/>
    </i>
    <i>
      <x v="79"/>
    </i>
    <i r="1">
      <x/>
    </i>
    <i r="1">
      <x v="2"/>
    </i>
    <i r="1">
      <x v="4"/>
    </i>
    <i r="1">
      <x v="5"/>
    </i>
    <i r="1">
      <x v="15"/>
    </i>
    <i r="1">
      <x v="18"/>
    </i>
    <i r="1">
      <x v="19"/>
    </i>
    <i r="1">
      <x v="20"/>
    </i>
    <i r="1">
      <x v="21"/>
    </i>
    <i r="1">
      <x v="23"/>
    </i>
    <i r="1">
      <x v="24"/>
    </i>
    <i r="1">
      <x v="25"/>
    </i>
    <i r="1">
      <x v="26"/>
    </i>
    <i r="1">
      <x v="27"/>
    </i>
    <i r="1">
      <x v="29"/>
    </i>
    <i r="1">
      <x v="35"/>
    </i>
    <i r="1">
      <x v="37"/>
    </i>
    <i r="1">
      <x v="39"/>
    </i>
    <i r="1">
      <x v="40"/>
    </i>
    <i r="1">
      <x v="41"/>
    </i>
    <i r="1">
      <x v="42"/>
    </i>
    <i r="1">
      <x v="45"/>
    </i>
    <i r="1">
      <x v="49"/>
    </i>
    <i r="1">
      <x v="50"/>
    </i>
    <i r="1">
      <x v="53"/>
    </i>
    <i r="1">
      <x v="58"/>
    </i>
    <i>
      <x v="80"/>
    </i>
    <i r="1">
      <x v="6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2" hier="-1"/>
  </pageFields>
  <dataFields count="1">
    <dataField name="Sum of notional" fld="4" baseField="0" baseItem="0"/>
  </dataFields>
  <formats count="99">
    <format dxfId="175">
      <pivotArea collapsedLevelsAreSubtotals="1" fieldPosition="0">
        <references count="1">
          <reference field="10" count="1">
            <x v="0"/>
          </reference>
        </references>
      </pivotArea>
    </format>
    <format dxfId="174">
      <pivotArea collapsedLevelsAreSubtotals="1" fieldPosition="0">
        <references count="1">
          <reference field="10" count="1">
            <x v="1"/>
          </reference>
        </references>
      </pivotArea>
    </format>
    <format dxfId="173">
      <pivotArea collapsedLevelsAreSubtotals="1" fieldPosition="0">
        <references count="1">
          <reference field="10" count="1">
            <x v="2"/>
          </reference>
        </references>
      </pivotArea>
    </format>
    <format dxfId="172">
      <pivotArea collapsedLevelsAreSubtotals="1" fieldPosition="0">
        <references count="1">
          <reference field="10" count="1">
            <x v="3"/>
          </reference>
        </references>
      </pivotArea>
    </format>
    <format dxfId="171">
      <pivotArea collapsedLevelsAreSubtotals="1" fieldPosition="0">
        <references count="1">
          <reference field="10" count="1">
            <x v="4"/>
          </reference>
        </references>
      </pivotArea>
    </format>
    <format dxfId="170">
      <pivotArea collapsedLevelsAreSubtotals="1" fieldPosition="0">
        <references count="1">
          <reference field="10" count="1">
            <x v="5"/>
          </reference>
        </references>
      </pivotArea>
    </format>
    <format dxfId="169">
      <pivotArea collapsedLevelsAreSubtotals="1" fieldPosition="0">
        <references count="1">
          <reference field="10" count="1">
            <x v="6"/>
          </reference>
        </references>
      </pivotArea>
    </format>
    <format dxfId="168">
      <pivotArea collapsedLevelsAreSubtotals="1" fieldPosition="0">
        <references count="1">
          <reference field="10" count="1">
            <x v="7"/>
          </reference>
        </references>
      </pivotArea>
    </format>
    <format dxfId="167">
      <pivotArea collapsedLevelsAreSubtotals="1" fieldPosition="0">
        <references count="1">
          <reference field="10" count="1">
            <x v="8"/>
          </reference>
        </references>
      </pivotArea>
    </format>
    <format dxfId="166">
      <pivotArea collapsedLevelsAreSubtotals="1" fieldPosition="0">
        <references count="1">
          <reference field="10" count="1">
            <x v="9"/>
          </reference>
        </references>
      </pivotArea>
    </format>
    <format dxfId="165">
      <pivotArea collapsedLevelsAreSubtotals="1" fieldPosition="0">
        <references count="1">
          <reference field="10" count="1">
            <x v="10"/>
          </reference>
        </references>
      </pivotArea>
    </format>
    <format dxfId="164">
      <pivotArea collapsedLevelsAreSubtotals="1" fieldPosition="0">
        <references count="1">
          <reference field="10" count="1">
            <x v="11"/>
          </reference>
        </references>
      </pivotArea>
    </format>
    <format dxfId="163">
      <pivotArea collapsedLevelsAreSubtotals="1" fieldPosition="0">
        <references count="1">
          <reference field="10" count="1">
            <x v="12"/>
          </reference>
        </references>
      </pivotArea>
    </format>
    <format dxfId="162">
      <pivotArea collapsedLevelsAreSubtotals="1" fieldPosition="0">
        <references count="1">
          <reference field="10" count="1">
            <x v="13"/>
          </reference>
        </references>
      </pivotArea>
    </format>
    <format dxfId="161">
      <pivotArea collapsedLevelsAreSubtotals="1" fieldPosition="0">
        <references count="1">
          <reference field="10" count="1">
            <x v="14"/>
          </reference>
        </references>
      </pivotArea>
    </format>
    <format dxfId="160">
      <pivotArea collapsedLevelsAreSubtotals="1" fieldPosition="0">
        <references count="1">
          <reference field="10" count="1">
            <x v="15"/>
          </reference>
        </references>
      </pivotArea>
    </format>
    <format dxfId="159">
      <pivotArea collapsedLevelsAreSubtotals="1" fieldPosition="0">
        <references count="1">
          <reference field="10" count="1">
            <x v="16"/>
          </reference>
        </references>
      </pivotArea>
    </format>
    <format dxfId="158">
      <pivotArea collapsedLevelsAreSubtotals="1" fieldPosition="0">
        <references count="1">
          <reference field="10" count="1">
            <x v="17"/>
          </reference>
        </references>
      </pivotArea>
    </format>
    <format dxfId="157">
      <pivotArea collapsedLevelsAreSubtotals="1" fieldPosition="0">
        <references count="1">
          <reference field="10" count="1">
            <x v="18"/>
          </reference>
        </references>
      </pivotArea>
    </format>
    <format dxfId="156">
      <pivotArea collapsedLevelsAreSubtotals="1" fieldPosition="0">
        <references count="1">
          <reference field="10" count="1">
            <x v="19"/>
          </reference>
        </references>
      </pivotArea>
    </format>
    <format dxfId="155">
      <pivotArea collapsedLevelsAreSubtotals="1" fieldPosition="0">
        <references count="1">
          <reference field="10" count="1">
            <x v="20"/>
          </reference>
        </references>
      </pivotArea>
    </format>
    <format dxfId="154">
      <pivotArea collapsedLevelsAreSubtotals="1" fieldPosition="0">
        <references count="1">
          <reference field="10" count="1">
            <x v="21"/>
          </reference>
        </references>
      </pivotArea>
    </format>
    <format dxfId="153">
      <pivotArea collapsedLevelsAreSubtotals="1" fieldPosition="0">
        <references count="1">
          <reference field="10" count="1">
            <x v="22"/>
          </reference>
        </references>
      </pivotArea>
    </format>
    <format dxfId="152">
      <pivotArea collapsedLevelsAreSubtotals="1" fieldPosition="0">
        <references count="1">
          <reference field="10" count="1">
            <x v="23"/>
          </reference>
        </references>
      </pivotArea>
    </format>
    <format dxfId="151">
      <pivotArea collapsedLevelsAreSubtotals="1" fieldPosition="0">
        <references count="1">
          <reference field="10" count="1">
            <x v="24"/>
          </reference>
        </references>
      </pivotArea>
    </format>
    <format dxfId="150">
      <pivotArea collapsedLevelsAreSubtotals="1" fieldPosition="0">
        <references count="1">
          <reference field="10" count="1">
            <x v="25"/>
          </reference>
        </references>
      </pivotArea>
    </format>
    <format dxfId="149">
      <pivotArea collapsedLevelsAreSubtotals="1" fieldPosition="0">
        <references count="1">
          <reference field="10" count="1">
            <x v="26"/>
          </reference>
        </references>
      </pivotArea>
    </format>
    <format dxfId="148">
      <pivotArea collapsedLevelsAreSubtotals="1" fieldPosition="0">
        <references count="1">
          <reference field="10" count="1">
            <x v="27"/>
          </reference>
        </references>
      </pivotArea>
    </format>
    <format dxfId="147">
      <pivotArea collapsedLevelsAreSubtotals="1" fieldPosition="0">
        <references count="1">
          <reference field="10" count="1">
            <x v="28"/>
          </reference>
        </references>
      </pivotArea>
    </format>
    <format dxfId="146">
      <pivotArea collapsedLevelsAreSubtotals="1" fieldPosition="0">
        <references count="1">
          <reference field="10" count="1">
            <x v="29"/>
          </reference>
        </references>
      </pivotArea>
    </format>
    <format dxfId="145">
      <pivotArea collapsedLevelsAreSubtotals="1" fieldPosition="0">
        <references count="1">
          <reference field="10" count="1">
            <x v="30"/>
          </reference>
        </references>
      </pivotArea>
    </format>
    <format dxfId="144">
      <pivotArea collapsedLevelsAreSubtotals="1" fieldPosition="0">
        <references count="1">
          <reference field="10" count="1">
            <x v="31"/>
          </reference>
        </references>
      </pivotArea>
    </format>
    <format dxfId="143">
      <pivotArea collapsedLevelsAreSubtotals="1" fieldPosition="0">
        <references count="1">
          <reference field="10" count="1">
            <x v="32"/>
          </reference>
        </references>
      </pivotArea>
    </format>
    <format dxfId="142">
      <pivotArea collapsedLevelsAreSubtotals="1" fieldPosition="0">
        <references count="1">
          <reference field="10" count="1">
            <x v="33"/>
          </reference>
        </references>
      </pivotArea>
    </format>
    <format dxfId="141">
      <pivotArea collapsedLevelsAreSubtotals="1" fieldPosition="0">
        <references count="1">
          <reference field="10" count="1">
            <x v="34"/>
          </reference>
        </references>
      </pivotArea>
    </format>
    <format dxfId="140">
      <pivotArea collapsedLevelsAreSubtotals="1" fieldPosition="0">
        <references count="1">
          <reference field="10" count="1">
            <x v="35"/>
          </reference>
        </references>
      </pivotArea>
    </format>
    <format dxfId="139">
      <pivotArea collapsedLevelsAreSubtotals="1" fieldPosition="0">
        <references count="1">
          <reference field="10" count="1">
            <x v="36"/>
          </reference>
        </references>
      </pivotArea>
    </format>
    <format dxfId="138">
      <pivotArea collapsedLevelsAreSubtotals="1" fieldPosition="0">
        <references count="1">
          <reference field="10" count="1">
            <x v="37"/>
          </reference>
        </references>
      </pivotArea>
    </format>
    <format dxfId="137">
      <pivotArea collapsedLevelsAreSubtotals="1" fieldPosition="0">
        <references count="1">
          <reference field="10" count="1">
            <x v="38"/>
          </reference>
        </references>
      </pivotArea>
    </format>
    <format dxfId="136">
      <pivotArea collapsedLevelsAreSubtotals="1" fieldPosition="0">
        <references count="1">
          <reference field="10" count="1">
            <x v="39"/>
          </reference>
        </references>
      </pivotArea>
    </format>
    <format dxfId="135">
      <pivotArea collapsedLevelsAreSubtotals="1" fieldPosition="0">
        <references count="1">
          <reference field="10" count="1">
            <x v="40"/>
          </reference>
        </references>
      </pivotArea>
    </format>
    <format dxfId="134">
      <pivotArea collapsedLevelsAreSubtotals="1" fieldPosition="0">
        <references count="1">
          <reference field="10" count="1">
            <x v="41"/>
          </reference>
        </references>
      </pivotArea>
    </format>
    <format dxfId="133">
      <pivotArea collapsedLevelsAreSubtotals="1" fieldPosition="0">
        <references count="1">
          <reference field="10" count="1">
            <x v="42"/>
          </reference>
        </references>
      </pivotArea>
    </format>
    <format dxfId="132">
      <pivotArea collapsedLevelsAreSubtotals="1" fieldPosition="0">
        <references count="1">
          <reference field="10" count="1">
            <x v="43"/>
          </reference>
        </references>
      </pivotArea>
    </format>
    <format dxfId="131">
      <pivotArea collapsedLevelsAreSubtotals="1" fieldPosition="0">
        <references count="1">
          <reference field="10" count="1">
            <x v="44"/>
          </reference>
        </references>
      </pivotArea>
    </format>
    <format dxfId="130">
      <pivotArea collapsedLevelsAreSubtotals="1" fieldPosition="0">
        <references count="1">
          <reference field="10" count="1">
            <x v="45"/>
          </reference>
        </references>
      </pivotArea>
    </format>
    <format dxfId="129">
      <pivotArea collapsedLevelsAreSubtotals="1" fieldPosition="0">
        <references count="1">
          <reference field="10" count="1">
            <x v="46"/>
          </reference>
        </references>
      </pivotArea>
    </format>
    <format dxfId="128">
      <pivotArea collapsedLevelsAreSubtotals="1" fieldPosition="0">
        <references count="1">
          <reference field="10" count="1">
            <x v="47"/>
          </reference>
        </references>
      </pivotArea>
    </format>
    <format dxfId="127">
      <pivotArea collapsedLevelsAreSubtotals="1" fieldPosition="0">
        <references count="1">
          <reference field="10" count="1">
            <x v="48"/>
          </reference>
        </references>
      </pivotArea>
    </format>
    <format dxfId="126">
      <pivotArea collapsedLevelsAreSubtotals="1" fieldPosition="0">
        <references count="1">
          <reference field="10" count="1">
            <x v="49"/>
          </reference>
        </references>
      </pivotArea>
    </format>
    <format dxfId="125">
      <pivotArea collapsedLevelsAreSubtotals="1" fieldPosition="0">
        <references count="1">
          <reference field="10" count="1">
            <x v="50"/>
          </reference>
        </references>
      </pivotArea>
    </format>
    <format dxfId="124">
      <pivotArea collapsedLevelsAreSubtotals="1" fieldPosition="0">
        <references count="1">
          <reference field="10" count="1">
            <x v="51"/>
          </reference>
        </references>
      </pivotArea>
    </format>
    <format dxfId="123">
      <pivotArea collapsedLevelsAreSubtotals="1" fieldPosition="0">
        <references count="1">
          <reference field="10" count="1">
            <x v="52"/>
          </reference>
        </references>
      </pivotArea>
    </format>
    <format dxfId="122">
      <pivotArea collapsedLevelsAreSubtotals="1" fieldPosition="0">
        <references count="1">
          <reference field="10" count="1">
            <x v="53"/>
          </reference>
        </references>
      </pivotArea>
    </format>
    <format dxfId="121">
      <pivotArea collapsedLevelsAreSubtotals="1" fieldPosition="0">
        <references count="1">
          <reference field="10" count="1">
            <x v="54"/>
          </reference>
        </references>
      </pivotArea>
    </format>
    <format dxfId="120">
      <pivotArea collapsedLevelsAreSubtotals="1" fieldPosition="0">
        <references count="1">
          <reference field="10" count="1">
            <x v="55"/>
          </reference>
        </references>
      </pivotArea>
    </format>
    <format dxfId="119">
      <pivotArea collapsedLevelsAreSubtotals="1" fieldPosition="0">
        <references count="1">
          <reference field="10" count="1">
            <x v="56"/>
          </reference>
        </references>
      </pivotArea>
    </format>
    <format dxfId="118">
      <pivotArea collapsedLevelsAreSubtotals="1" fieldPosition="0">
        <references count="1">
          <reference field="10" count="1">
            <x v="57"/>
          </reference>
        </references>
      </pivotArea>
    </format>
    <format dxfId="117">
      <pivotArea collapsedLevelsAreSubtotals="1" fieldPosition="0">
        <references count="1">
          <reference field="10" count="1">
            <x v="58"/>
          </reference>
        </references>
      </pivotArea>
    </format>
    <format dxfId="116">
      <pivotArea collapsedLevelsAreSubtotals="1" fieldPosition="0">
        <references count="1">
          <reference field="10" count="1">
            <x v="59"/>
          </reference>
        </references>
      </pivotArea>
    </format>
    <format dxfId="115">
      <pivotArea collapsedLevelsAreSubtotals="1" fieldPosition="0">
        <references count="1">
          <reference field="10" count="1">
            <x v="60"/>
          </reference>
        </references>
      </pivotArea>
    </format>
    <format dxfId="114">
      <pivotArea collapsedLevelsAreSubtotals="1" fieldPosition="0">
        <references count="1">
          <reference field="10" count="1">
            <x v="61"/>
          </reference>
        </references>
      </pivotArea>
    </format>
    <format dxfId="113">
      <pivotArea collapsedLevelsAreSubtotals="1" fieldPosition="0">
        <references count="1">
          <reference field="10" count="1">
            <x v="62"/>
          </reference>
        </references>
      </pivotArea>
    </format>
    <format dxfId="112">
      <pivotArea collapsedLevelsAreSubtotals="1" fieldPosition="0">
        <references count="1">
          <reference field="10" count="1">
            <x v="63"/>
          </reference>
        </references>
      </pivotArea>
    </format>
    <format dxfId="111">
      <pivotArea collapsedLevelsAreSubtotals="1" fieldPosition="0">
        <references count="1">
          <reference field="10" count="1">
            <x v="64"/>
          </reference>
        </references>
      </pivotArea>
    </format>
    <format dxfId="110">
      <pivotArea collapsedLevelsAreSubtotals="1" fieldPosition="0">
        <references count="1">
          <reference field="10" count="1">
            <x v="65"/>
          </reference>
        </references>
      </pivotArea>
    </format>
    <format dxfId="109">
      <pivotArea collapsedLevelsAreSubtotals="1" fieldPosition="0">
        <references count="1">
          <reference field="10" count="1">
            <x v="66"/>
          </reference>
        </references>
      </pivotArea>
    </format>
    <format dxfId="108">
      <pivotArea collapsedLevelsAreSubtotals="1" fieldPosition="0">
        <references count="1">
          <reference field="10" count="1">
            <x v="67"/>
          </reference>
        </references>
      </pivotArea>
    </format>
    <format dxfId="107">
      <pivotArea collapsedLevelsAreSubtotals="1" fieldPosition="0">
        <references count="1">
          <reference field="10" count="1">
            <x v="68"/>
          </reference>
        </references>
      </pivotArea>
    </format>
    <format dxfId="106">
      <pivotArea collapsedLevelsAreSubtotals="1" fieldPosition="0">
        <references count="1">
          <reference field="10" count="1">
            <x v="69"/>
          </reference>
        </references>
      </pivotArea>
    </format>
    <format dxfId="105">
      <pivotArea collapsedLevelsAreSubtotals="1" fieldPosition="0">
        <references count="1">
          <reference field="10" count="1">
            <x v="70"/>
          </reference>
        </references>
      </pivotArea>
    </format>
    <format dxfId="104">
      <pivotArea collapsedLevelsAreSubtotals="1" fieldPosition="0">
        <references count="1">
          <reference field="10" count="1">
            <x v="71"/>
          </reference>
        </references>
      </pivotArea>
    </format>
    <format dxfId="103">
      <pivotArea collapsedLevelsAreSubtotals="1" fieldPosition="0">
        <references count="1">
          <reference field="10" count="1">
            <x v="72"/>
          </reference>
        </references>
      </pivotArea>
    </format>
    <format dxfId="102">
      <pivotArea collapsedLevelsAreSubtotals="1" fieldPosition="0">
        <references count="1">
          <reference field="10" count="1">
            <x v="73"/>
          </reference>
        </references>
      </pivotArea>
    </format>
    <format dxfId="101">
      <pivotArea collapsedLevelsAreSubtotals="1" fieldPosition="0">
        <references count="1">
          <reference field="10" count="1">
            <x v="74"/>
          </reference>
        </references>
      </pivotArea>
    </format>
    <format dxfId="100">
      <pivotArea collapsedLevelsAreSubtotals="1" fieldPosition="0">
        <references count="1">
          <reference field="10" count="1">
            <x v="75"/>
          </reference>
        </references>
      </pivotArea>
    </format>
    <format dxfId="99">
      <pivotArea collapsedLevelsAreSubtotals="1" fieldPosition="0">
        <references count="1">
          <reference field="10" count="1">
            <x v="76"/>
          </reference>
        </references>
      </pivotArea>
    </format>
    <format dxfId="98">
      <pivotArea collapsedLevelsAreSubtotals="1" fieldPosition="0">
        <references count="1">
          <reference field="10" count="1">
            <x v="77"/>
          </reference>
        </references>
      </pivotArea>
    </format>
    <format dxfId="97">
      <pivotArea collapsedLevelsAreSubtotals="1" fieldPosition="0">
        <references count="1">
          <reference field="10" count="1">
            <x v="78"/>
          </reference>
        </references>
      </pivotArea>
    </format>
    <format dxfId="96">
      <pivotArea collapsedLevelsAreSubtotals="1" fieldPosition="0">
        <references count="1">
          <reference field="10" count="1">
            <x v="79"/>
          </reference>
        </references>
      </pivotArea>
    </format>
    <format dxfId="95">
      <pivotArea collapsedLevelsAreSubtotals="1" fieldPosition="0">
        <references count="1">
          <reference field="10" count="1">
            <x v="80"/>
          </reference>
        </references>
      </pivotArea>
    </format>
    <format dxfId="94">
      <pivotArea collapsedLevelsAreSubtotals="1" fieldPosition="0">
        <references count="1">
          <reference field="10" count="1">
            <x v="81"/>
          </reference>
        </references>
      </pivotArea>
    </format>
    <format dxfId="93">
      <pivotArea collapsedLevelsAreSubtotals="1" fieldPosition="0">
        <references count="1">
          <reference field="10" count="1">
            <x v="82"/>
          </reference>
        </references>
      </pivotArea>
    </format>
    <format dxfId="92">
      <pivotArea collapsedLevelsAreSubtotals="1" fieldPosition="0">
        <references count="1">
          <reference field="10" count="1">
            <x v="83"/>
          </reference>
        </references>
      </pivotArea>
    </format>
    <format dxfId="91">
      <pivotArea collapsedLevelsAreSubtotals="1" fieldPosition="0">
        <references count="1">
          <reference field="10" count="1">
            <x v="84"/>
          </reference>
        </references>
      </pivotArea>
    </format>
    <format dxfId="90">
      <pivotArea collapsedLevelsAreSubtotals="1" fieldPosition="0">
        <references count="1">
          <reference field="10" count="1">
            <x v="85"/>
          </reference>
        </references>
      </pivotArea>
    </format>
    <format dxfId="89">
      <pivotArea collapsedLevelsAreSubtotals="1" fieldPosition="0">
        <references count="1">
          <reference field="10" count="1">
            <x v="86"/>
          </reference>
        </references>
      </pivotArea>
    </format>
    <format dxfId="88">
      <pivotArea collapsedLevelsAreSubtotals="1" fieldPosition="0">
        <references count="1">
          <reference field="10" count="1">
            <x v="87"/>
          </reference>
        </references>
      </pivotArea>
    </format>
    <format dxfId="87">
      <pivotArea collapsedLevelsAreSubtotals="1" fieldPosition="0">
        <references count="1">
          <reference field="10" count="1">
            <x v="88"/>
          </reference>
        </references>
      </pivotArea>
    </format>
    <format dxfId="86">
      <pivotArea collapsedLevelsAreSubtotals="1" fieldPosition="0">
        <references count="1">
          <reference field="10" count="1">
            <x v="89"/>
          </reference>
        </references>
      </pivotArea>
    </format>
    <format dxfId="85">
      <pivotArea collapsedLevelsAreSubtotals="1" fieldPosition="0">
        <references count="1">
          <reference field="10" count="1">
            <x v="90"/>
          </reference>
        </references>
      </pivotArea>
    </format>
    <format dxfId="84">
      <pivotArea collapsedLevelsAreSubtotals="1" fieldPosition="0">
        <references count="1">
          <reference field="10" count="1">
            <x v="91"/>
          </reference>
        </references>
      </pivotArea>
    </format>
    <format dxfId="83">
      <pivotArea collapsedLevelsAreSubtotals="1" fieldPosition="0">
        <references count="1">
          <reference field="10" count="1">
            <x v="92"/>
          </reference>
        </references>
      </pivotArea>
    </format>
    <format dxfId="82">
      <pivotArea grandRow="1" outline="0" collapsedLevelsAreSubtotals="1" fieldPosition="0"/>
    </format>
    <format dxfId="81">
      <pivotArea field="10" grandCol="1" collapsedLevelsAreSubtotals="1" axis="axisRow" fieldPosition="0">
        <references count="2">
          <reference field="1" count="3">
            <x v="0"/>
            <x v="29"/>
            <x v="42"/>
          </reference>
          <reference field="10" count="1" selected="0">
            <x v="33"/>
          </reference>
        </references>
      </pivotArea>
    </format>
    <format dxfId="80">
      <pivotArea field="10" grandCol="1" collapsedLevelsAreSubtotals="1" axis="axisRow" fieldPosition="0">
        <references count="2">
          <reference field="1" count="13">
            <x v="6"/>
            <x v="7"/>
            <x v="8"/>
            <x v="9"/>
            <x v="10"/>
            <x v="12"/>
            <x v="14"/>
            <x v="27"/>
            <x v="29"/>
            <x v="33"/>
            <x v="34"/>
            <x v="42"/>
            <x v="48"/>
          </reference>
          <reference field="10" count="1" selected="0">
            <x v="76"/>
          </reference>
        </references>
      </pivotArea>
    </format>
    <format dxfId="79">
      <pivotArea field="10" grandCol="1" collapsedLevelsAreSubtotals="1" axis="axisRow" fieldPosition="0">
        <references count="2">
          <reference field="1" count="25">
            <x v="0"/>
            <x v="2"/>
            <x v="4"/>
            <x v="5"/>
            <x v="15"/>
            <x v="18"/>
            <x v="19"/>
            <x v="20"/>
            <x v="21"/>
            <x v="23"/>
            <x v="24"/>
            <x v="25"/>
            <x v="26"/>
            <x v="27"/>
            <x v="29"/>
            <x v="35"/>
            <x v="39"/>
            <x v="40"/>
            <x v="41"/>
            <x v="42"/>
            <x v="46"/>
            <x v="49"/>
            <x v="50"/>
            <x v="53"/>
            <x v="58"/>
          </reference>
          <reference field="10" count="1" selected="0">
            <x v="79"/>
          </reference>
        </references>
      </pivotArea>
    </format>
    <format dxfId="78">
      <pivotArea field="10" grandCol="1" collapsedLevelsAreSubtotals="1" axis="axisRow" fieldPosition="0">
        <references count="2">
          <reference field="1" count="1">
            <x v="24"/>
          </reference>
          <reference field="10" count="1" selected="0">
            <x v="78"/>
          </reference>
        </references>
      </pivotArea>
    </format>
    <format dxfId="77">
      <pivotArea field="10" grandCol="1" collapsedLevelsAreSubtotals="1" axis="axisRow" fieldPosition="0">
        <references count="2">
          <reference field="1" count="11">
            <x v="8"/>
            <x v="13"/>
            <x v="15"/>
            <x v="24"/>
            <x v="29"/>
            <x v="31"/>
            <x v="36"/>
            <x v="51"/>
            <x v="52"/>
            <x v="53"/>
            <x v="57"/>
          </reference>
          <reference field="10" count="1" selected="0">
            <x v="7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4639C7-F7C0-459F-B207-9432F6AB06EB}" name="PivotTable6" cacheId="14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A7:AL178" firstHeaderRow="1" firstDataRow="2" firstDataCol="1" rowPageCount="1" colPageCount="1"/>
  <pivotFields count="26">
    <pivotField showAll="0"/>
    <pivotField showAll="0"/>
    <pivotField axis="axisRow" showAll="0">
      <items count="60">
        <item x="12"/>
        <item x="0"/>
        <item x="13"/>
        <item x="45"/>
        <item x="1"/>
        <item x="2"/>
        <item x="14"/>
        <item x="15"/>
        <item x="16"/>
        <item x="17"/>
        <item x="18"/>
        <item x="19"/>
        <item x="56"/>
        <item x="3"/>
        <item x="57"/>
        <item x="44"/>
        <item x="27"/>
        <item x="4"/>
        <item x="28"/>
        <item x="29"/>
        <item x="30"/>
        <item x="31"/>
        <item x="32"/>
        <item x="33"/>
        <item x="5"/>
        <item x="6"/>
        <item x="34"/>
        <item x="35"/>
        <item x="47"/>
        <item x="36"/>
        <item x="48"/>
        <item x="37"/>
        <item x="49"/>
        <item x="50"/>
        <item x="51"/>
        <item x="38"/>
        <item x="39"/>
        <item x="7"/>
        <item x="53"/>
        <item x="40"/>
        <item x="8"/>
        <item x="9"/>
        <item x="10"/>
        <item x="52"/>
        <item x="41"/>
        <item x="42"/>
        <item x="11"/>
        <item x="55"/>
        <item x="43"/>
        <item x="54"/>
        <item x="58"/>
        <item x="20"/>
        <item x="21"/>
        <item x="22"/>
        <item x="23"/>
        <item x="24"/>
        <item x="25"/>
        <item x="26"/>
        <item x="4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2">
        <item x="7"/>
        <item x="9"/>
        <item x="6"/>
        <item x="8"/>
        <item x="5"/>
        <item x="3"/>
        <item x="4"/>
        <item h="1" x="10"/>
        <item x="1"/>
        <item x="0"/>
        <item x="2"/>
        <item t="default"/>
      </items>
    </pivotField>
    <pivotField showAll="0"/>
    <pivotField showAll="0"/>
    <pivotField axis="axisRow" showAll="0">
      <items count="133">
        <item sd="0" x="82"/>
        <item sd="0" x="13"/>
        <item sd="0" x="14"/>
        <item sd="0" x="15"/>
        <item sd="0" x="83"/>
        <item sd="0" x="11"/>
        <item sd="0" x="16"/>
        <item sd="0" x="2"/>
        <item sd="0" x="17"/>
        <item sd="0" x="4"/>
        <item sd="0" x="84"/>
        <item sd="0" x="85"/>
        <item sd="0" x="18"/>
        <item sd="0" x="86"/>
        <item sd="0" x="77"/>
        <item sd="0" x="0"/>
        <item sd="0" x="87"/>
        <item sd="0" x="88"/>
        <item sd="0" x="19"/>
        <item sd="0" x="89"/>
        <item sd="0" x="9"/>
        <item sd="0" x="90"/>
        <item sd="0" x="20"/>
        <item sd="0" x="21"/>
        <item sd="0" x="22"/>
        <item sd="0" x="91"/>
        <item sd="0" x="23"/>
        <item sd="0" x="24"/>
        <item sd="0" x="3"/>
        <item sd="0" x="5"/>
        <item sd="0" x="1"/>
        <item sd="0" x="79"/>
        <item sd="0" x="41"/>
        <item sd="0" x="25"/>
        <item sd="0" x="92"/>
        <item sd="0" x="26"/>
        <item sd="0" x="27"/>
        <item sd="0" x="93"/>
        <item sd="0" x="94"/>
        <item sd="0" x="121"/>
        <item sd="0" x="28"/>
        <item sd="0" x="29"/>
        <item sd="0" x="95"/>
        <item sd="0" x="96"/>
        <item sd="0" x="97"/>
        <item sd="0" x="98"/>
        <item sd="0" x="99"/>
        <item sd="0" x="100"/>
        <item sd="0" x="101"/>
        <item sd="0" x="102"/>
        <item x="10"/>
        <item sd="0" x="103"/>
        <item sd="0" x="6"/>
        <item sd="0" x="104"/>
        <item sd="0" x="30"/>
        <item sd="0" x="31"/>
        <item sd="0" x="32"/>
        <item sd="0" x="105"/>
        <item sd="0" x="106"/>
        <item sd="0" x="107"/>
        <item sd="0" x="108"/>
        <item sd="0" x="7"/>
        <item sd="0" x="109"/>
        <item sd="0" x="33"/>
        <item sd="0" x="110"/>
        <item sd="0" x="111"/>
        <item sd="0" x="80"/>
        <item sd="0" x="44"/>
        <item sd="0" x="123"/>
        <item sd="0" x="12"/>
        <item sd="0" x="34"/>
        <item sd="0" x="112"/>
        <item sd="0" x="113"/>
        <item sd="0" x="35"/>
        <item sd="0" x="78"/>
        <item sd="0" x="122"/>
        <item sd="0" x="114"/>
        <item sd="0" x="115"/>
        <item sd="0" x="36"/>
        <item sd="0" x="42"/>
        <item sd="0" x="46"/>
        <item sd="0" x="116"/>
        <item sd="0" x="37"/>
        <item sd="0" x="43"/>
        <item sd="0" x="117"/>
        <item sd="0" x="118"/>
        <item sd="0" x="124"/>
        <item sd="0" x="119"/>
        <item sd="0" x="38"/>
        <item sd="0" x="45"/>
        <item sd="0" x="39"/>
        <item sd="0" x="40"/>
        <item sd="0" x="81"/>
        <item sd="0" x="120"/>
        <item sd="0" x="8"/>
        <item sd="0" x="125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m="1" x="127"/>
        <item x="71"/>
        <item x="73"/>
        <item x="74"/>
        <item x="75"/>
        <item m="1" x="130"/>
        <item x="76"/>
        <item m="1" x="131"/>
        <item m="1" x="128"/>
        <item m="1" x="126"/>
        <item m="1" x="129"/>
        <item x="70"/>
        <item x="72"/>
        <item t="default" sd="0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6"/>
        <item x="7"/>
        <item x="8"/>
        <item x="22"/>
        <item x="1"/>
        <item x="5"/>
        <item x="20"/>
        <item x="10"/>
        <item x="2"/>
        <item x="11"/>
        <item x="12"/>
        <item x="3"/>
        <item x="13"/>
        <item x="14"/>
        <item x="15"/>
        <item x="16"/>
        <item x="4"/>
        <item x="17"/>
        <item x="18"/>
        <item x="21"/>
        <item x="19"/>
        <item x="24"/>
        <item x="9"/>
        <item t="default"/>
      </items>
    </pivotField>
    <pivotField showAll="0"/>
    <pivotField showAll="0"/>
  </pivotFields>
  <rowFields count="2">
    <field x="11"/>
    <field x="2"/>
  </rowFields>
  <rowItems count="1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r="1">
      <x/>
    </i>
    <i r="1">
      <x v="3"/>
    </i>
    <i r="1">
      <x v="4"/>
    </i>
    <i r="1">
      <x v="9"/>
    </i>
    <i r="1">
      <x v="15"/>
    </i>
    <i r="1">
      <x v="17"/>
    </i>
    <i r="1">
      <x v="23"/>
    </i>
    <i r="1">
      <x v="24"/>
    </i>
    <i r="1">
      <x v="26"/>
    </i>
    <i r="1">
      <x v="28"/>
    </i>
    <i r="1">
      <x v="31"/>
    </i>
    <i r="1">
      <x v="32"/>
    </i>
    <i r="1">
      <x v="37"/>
    </i>
    <i r="1">
      <x v="39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 r="1">
      <x v="51"/>
    </i>
    <i r="1">
      <x v="53"/>
    </i>
    <i>
      <x v="97"/>
    </i>
    <i r="1">
      <x v="52"/>
    </i>
    <i>
      <x v="98"/>
    </i>
    <i r="1">
      <x v="52"/>
    </i>
    <i>
      <x v="99"/>
    </i>
    <i r="1">
      <x v="52"/>
    </i>
    <i>
      <x v="100"/>
    </i>
    <i r="1">
      <x v="52"/>
    </i>
    <i>
      <x v="101"/>
    </i>
    <i r="1">
      <x v="52"/>
    </i>
    <i>
      <x v="102"/>
    </i>
    <i r="1">
      <x v="52"/>
    </i>
    <i>
      <x v="103"/>
    </i>
    <i r="1">
      <x v="52"/>
    </i>
    <i>
      <x v="104"/>
    </i>
    <i r="1">
      <x v="52"/>
    </i>
    <i>
      <x v="105"/>
    </i>
    <i r="1">
      <x v="52"/>
    </i>
    <i>
      <x v="106"/>
    </i>
    <i r="1">
      <x v="52"/>
    </i>
    <i>
      <x v="107"/>
    </i>
    <i r="1">
      <x v="52"/>
    </i>
    <i>
      <x v="108"/>
    </i>
    <i r="1">
      <x v="52"/>
    </i>
    <i>
      <x v="109"/>
    </i>
    <i r="1">
      <x v="52"/>
    </i>
    <i>
      <x v="110"/>
    </i>
    <i r="1">
      <x v="52"/>
    </i>
    <i>
      <x v="111"/>
    </i>
    <i r="1">
      <x v="52"/>
    </i>
    <i>
      <x v="112"/>
    </i>
    <i r="1">
      <x v="52"/>
    </i>
    <i>
      <x v="113"/>
    </i>
    <i r="1">
      <x v="52"/>
    </i>
    <i>
      <x v="114"/>
    </i>
    <i r="1">
      <x v="52"/>
    </i>
    <i>
      <x v="115"/>
    </i>
    <i r="1">
      <x v="52"/>
    </i>
    <i>
      <x v="116"/>
    </i>
    <i r="1">
      <x v="52"/>
    </i>
    <i>
      <x v="117"/>
    </i>
    <i r="1">
      <x v="53"/>
    </i>
    <i>
      <x v="118"/>
    </i>
    <i r="1">
      <x v="53"/>
    </i>
    <i>
      <x v="120"/>
    </i>
    <i r="1">
      <x v="54"/>
    </i>
    <i>
      <x v="121"/>
    </i>
    <i r="1">
      <x v="55"/>
    </i>
    <i>
      <x v="122"/>
    </i>
    <i r="1">
      <x v="55"/>
    </i>
    <i>
      <x v="123"/>
    </i>
    <i r="1">
      <x v="55"/>
    </i>
    <i>
      <x v="125"/>
    </i>
    <i r="1">
      <x v="56"/>
    </i>
    <i>
      <x v="130"/>
    </i>
    <i r="1">
      <x v="54"/>
    </i>
    <i>
      <x v="131"/>
    </i>
    <i r="1">
      <x v="54"/>
    </i>
  </rowItems>
  <colFields count="1">
    <field x="8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pageFields count="1">
    <pageField fld="23" hier="-1"/>
  </pageFields>
  <dataFields count="1">
    <dataField name="Sum of Coin Equivalent" fld="13" baseField="11" baseItem="0" numFmtId="40"/>
  </dataFields>
  <formats count="1">
    <format dxfId="1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74ED7-7DAF-4C48-A3B9-630FFD65B52F}" name="PivotTable3" cacheId="4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N3:AY84" firstHeaderRow="1" firstDataRow="3" firstDataCol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20"/>
        <item x="16"/>
        <item x="22"/>
        <item t="default"/>
      </items>
    </pivotField>
    <pivotField axis="axisRow" showAll="0">
      <items count="78">
        <item m="1" x="57"/>
        <item m="1" x="67"/>
        <item x="9"/>
        <item x="0"/>
        <item x="10"/>
        <item x="45"/>
        <item x="1"/>
        <item x="2"/>
        <item x="11"/>
        <item x="12"/>
        <item x="13"/>
        <item x="14"/>
        <item m="1" x="58"/>
        <item m="1" x="64"/>
        <item x="15"/>
        <item x="16"/>
        <item x="54"/>
        <item m="1" x="66"/>
        <item x="17"/>
        <item m="1" x="63"/>
        <item x="18"/>
        <item x="19"/>
        <item x="20"/>
        <item x="3"/>
        <item x="55"/>
        <item x="44"/>
        <item m="1" x="68"/>
        <item m="1" x="61"/>
        <item m="1" x="72"/>
        <item m="1" x="70"/>
        <item m="1" x="59"/>
        <item x="24"/>
        <item x="25"/>
        <item x="27"/>
        <item x="28"/>
        <item x="30"/>
        <item x="31"/>
        <item m="1" x="69"/>
        <item x="4"/>
        <item x="5"/>
        <item m="1" x="73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6"/>
        <item x="51"/>
        <item x="40"/>
        <item x="38"/>
        <item x="39"/>
        <item x="7"/>
        <item m="1" x="62"/>
        <item x="41"/>
        <item x="42"/>
        <item x="8"/>
        <item x="53"/>
        <item x="43"/>
        <item x="52"/>
        <item x="56"/>
        <item x="21"/>
        <item x="22"/>
        <item x="26"/>
        <item x="29"/>
        <item x="23"/>
        <item x="46"/>
        <item t="default"/>
      </items>
    </pivotField>
    <pivotField axis="axisCol" showAll="0">
      <items count="205">
        <item x="129"/>
        <item x="42"/>
        <item x="43"/>
        <item x="44"/>
        <item x="130"/>
        <item x="45"/>
        <item x="46"/>
        <item m="1" x="174"/>
        <item x="2"/>
        <item m="1" x="182"/>
        <item m="1" x="175"/>
        <item m="1" x="183"/>
        <item x="0"/>
        <item x="1"/>
        <item x="47"/>
        <item x="5"/>
        <item x="7"/>
        <item x="6"/>
        <item x="48"/>
        <item x="13"/>
        <item m="1" x="203"/>
        <item m="1" x="188"/>
        <item x="8"/>
        <item m="1" x="180"/>
        <item x="9"/>
        <item m="1" x="194"/>
        <item x="131"/>
        <item x="14"/>
        <item x="10"/>
        <item x="132"/>
        <item x="49"/>
        <item x="133"/>
        <item x="124"/>
        <item x="50"/>
        <item m="1" x="201"/>
        <item m="1" x="173"/>
        <item x="134"/>
        <item m="1" x="176"/>
        <item x="135"/>
        <item x="51"/>
        <item x="12"/>
        <item x="136"/>
        <item x="52"/>
        <item x="137"/>
        <item x="53"/>
        <item x="18"/>
        <item x="17"/>
        <item x="54"/>
        <item x="55"/>
        <item x="138"/>
        <item x="56"/>
        <item x="57"/>
        <item x="58"/>
        <item x="82"/>
        <item x="59"/>
        <item m="1" x="181"/>
        <item x="126"/>
        <item x="83"/>
        <item m="1" x="184"/>
        <item x="60"/>
        <item x="139"/>
        <item x="61"/>
        <item x="62"/>
        <item x="140"/>
        <item x="141"/>
        <item x="168"/>
        <item x="19"/>
        <item x="20"/>
        <item x="64"/>
        <item x="142"/>
        <item x="143"/>
        <item x="144"/>
        <item x="145"/>
        <item x="146"/>
        <item x="147"/>
        <item x="148"/>
        <item x="149"/>
        <item x="65"/>
        <item x="150"/>
        <item x="66"/>
        <item x="151"/>
        <item x="67"/>
        <item x="68"/>
        <item x="69"/>
        <item x="152"/>
        <item x="153"/>
        <item x="154"/>
        <item x="155"/>
        <item m="1" x="189"/>
        <item m="1" x="197"/>
        <item m="1" x="190"/>
        <item m="1" x="198"/>
        <item x="27"/>
        <item x="37"/>
        <item m="1" x="191"/>
        <item x="23"/>
        <item x="25"/>
        <item m="1" x="192"/>
        <item x="29"/>
        <item x="24"/>
        <item x="26"/>
        <item x="33"/>
        <item m="1" x="193"/>
        <item x="34"/>
        <item x="70"/>
        <item x="156"/>
        <item x="71"/>
        <item x="157"/>
        <item x="158"/>
        <item x="127"/>
        <item x="87"/>
        <item x="170"/>
        <item x="72"/>
        <item x="73"/>
        <item x="159"/>
        <item x="160"/>
        <item x="74"/>
        <item x="125"/>
        <item x="169"/>
        <item x="161"/>
        <item x="162"/>
        <item x="75"/>
        <item x="84"/>
        <item x="88"/>
        <item x="163"/>
        <item x="76"/>
        <item x="85"/>
        <item x="164"/>
        <item x="165"/>
        <item x="171"/>
        <item x="166"/>
        <item x="77"/>
        <item x="78"/>
        <item x="79"/>
        <item x="80"/>
        <item x="128"/>
        <item x="167"/>
        <item x="81"/>
        <item x="172"/>
        <item x="89"/>
        <item x="91"/>
        <item x="92"/>
        <item x="94"/>
        <item x="96"/>
        <item x="97"/>
        <item x="101"/>
        <item x="108"/>
        <item x="110"/>
        <item x="112"/>
        <item x="113"/>
        <item x="114"/>
        <item x="117"/>
        <item m="1" x="196"/>
        <item m="1" x="200"/>
        <item m="1" x="185"/>
        <item x="21"/>
        <item x="22"/>
        <item x="63"/>
        <item x="103"/>
        <item x="105"/>
        <item x="116"/>
        <item x="120"/>
        <item x="121"/>
        <item x="122"/>
        <item m="1" x="178"/>
        <item x="95"/>
        <item x="100"/>
        <item x="104"/>
        <item x="109"/>
        <item x="11"/>
        <item x="118"/>
        <item x="119"/>
        <item x="123"/>
        <item m="1" x="179"/>
        <item m="1" x="186"/>
        <item m="1" x="195"/>
        <item x="90"/>
        <item m="1" x="177"/>
        <item m="1" x="187"/>
        <item m="1" x="202"/>
        <item x="106"/>
        <item x="111"/>
        <item x="115"/>
        <item x="93"/>
        <item x="98"/>
        <item x="102"/>
        <item x="107"/>
        <item x="3"/>
        <item x="4"/>
        <item x="15"/>
        <item x="16"/>
        <item x="30"/>
        <item x="31"/>
        <item x="35"/>
        <item x="36"/>
        <item x="32"/>
        <item m="1" x="199"/>
        <item x="39"/>
        <item x="40"/>
        <item x="28"/>
        <item x="99"/>
        <item x="38"/>
        <item x="41"/>
        <item x="86"/>
        <item t="default"/>
      </items>
    </pivotField>
    <pivotField showAll="0"/>
    <pivotField dataField="1" showAll="0"/>
    <pivotField showAll="0"/>
    <pivotField showAll="0"/>
    <pivotField axis="axisCol" showAll="0">
      <items count="16">
        <item m="1" x="11"/>
        <item sd="0" x="3"/>
        <item m="1" x="12"/>
        <item sd="0" x="2"/>
        <item sd="0" x="9"/>
        <item m="1" x="14"/>
        <item sd="0" x="6"/>
        <item sd="0" x="7"/>
        <item sd="0" x="1"/>
        <item m="1" x="13"/>
        <item sd="0" x="8"/>
        <item sd="0" x="5"/>
        <item sd="0" x="0"/>
        <item sd="0"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79">
    <i>
      <x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>
      <x v="2"/>
    </i>
    <i r="1">
      <x v="9"/>
    </i>
    <i>
      <x v="3"/>
    </i>
    <i r="1">
      <x v="10"/>
    </i>
    <i r="1">
      <x v="11"/>
    </i>
    <i r="1">
      <x v="14"/>
    </i>
    <i r="1">
      <x v="15"/>
    </i>
    <i r="1">
      <x v="48"/>
    </i>
    <i>
      <x v="4"/>
    </i>
    <i r="1">
      <x v="16"/>
    </i>
    <i>
      <x v="5"/>
    </i>
    <i r="1">
      <x v="18"/>
    </i>
    <i r="1">
      <x v="20"/>
    </i>
    <i r="1">
      <x v="21"/>
    </i>
    <i r="1">
      <x v="22"/>
    </i>
    <i r="1">
      <x v="71"/>
    </i>
    <i r="1">
      <x v="72"/>
    </i>
    <i r="1">
      <x v="75"/>
    </i>
    <i r="1">
      <x v="76"/>
    </i>
    <i>
      <x v="6"/>
    </i>
    <i r="1">
      <x v="23"/>
    </i>
    <i>
      <x v="7"/>
    </i>
    <i r="1">
      <x v="24"/>
    </i>
    <i r="1">
      <x v="66"/>
    </i>
    <i>
      <x v="8"/>
    </i>
    <i r="1">
      <x v="25"/>
    </i>
    <i>
      <x v="9"/>
    </i>
    <i r="1">
      <x v="49"/>
    </i>
    <i>
      <x v="10"/>
    </i>
    <i r="1">
      <x v="33"/>
    </i>
    <i r="1">
      <x v="34"/>
    </i>
    <i r="1">
      <x v="73"/>
    </i>
    <i r="1">
      <x v="74"/>
    </i>
    <i>
      <x v="11"/>
    </i>
    <i r="1">
      <x v="31"/>
    </i>
    <i r="1">
      <x v="32"/>
    </i>
    <i r="1">
      <x v="35"/>
    </i>
    <i r="1">
      <x v="36"/>
    </i>
    <i r="1">
      <x v="38"/>
    </i>
    <i r="1">
      <x v="39"/>
    </i>
    <i r="1">
      <x v="44"/>
    </i>
    <i r="1">
      <x v="45"/>
    </i>
    <i r="1">
      <x v="50"/>
    </i>
    <i>
      <x v="12"/>
    </i>
    <i r="1">
      <x v="47"/>
    </i>
    <i>
      <x v="13"/>
    </i>
    <i r="1">
      <x v="55"/>
    </i>
    <i>
      <x v="14"/>
    </i>
    <i r="1">
      <x v="56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>
      <x v="16"/>
    </i>
    <i r="1">
      <x v="53"/>
    </i>
    <i>
      <x v="17"/>
    </i>
    <i r="1">
      <x v="64"/>
    </i>
    <i>
      <x v="18"/>
    </i>
    <i r="1">
      <x v="54"/>
    </i>
    <i>
      <x v="19"/>
    </i>
    <i r="1">
      <x v="65"/>
    </i>
    <i>
      <x v="20"/>
    </i>
    <i r="1">
      <x v="67"/>
    </i>
    <i>
      <x v="21"/>
    </i>
    <i r="1">
      <x v="68"/>
    </i>
    <i r="1">
      <x v="69"/>
    </i>
    <i t="grand">
      <x/>
    </i>
  </rowItems>
  <colFields count="2">
    <field x="7"/>
    <field x="2"/>
  </colFields>
  <colItems count="11">
    <i>
      <x v="1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colItems>
  <dataFields count="1">
    <dataField name="Sum of notional" fld="4" baseField="0" baseItem="0" numFmtId="167"/>
  </dataFields>
  <formats count="1">
    <format dxfId="1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AE44C-40C8-4868-B10C-65E9CE765EC1}" name="PivotTable4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1:G71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5">
        <item x="8"/>
        <item x="0"/>
        <item x="3"/>
        <item x="9"/>
        <item m="1" x="21"/>
        <item x="4"/>
        <item m="1" x="22"/>
        <item x="1"/>
        <item m="1" x="15"/>
        <item m="1" x="14"/>
        <item m="1" x="13"/>
        <item m="1" x="12"/>
        <item m="1" x="10"/>
        <item m="1" x="11"/>
        <item m="1" x="19"/>
        <item m="1" x="20"/>
        <item m="1" x="18"/>
        <item m="1" x="17"/>
        <item m="1" x="23"/>
        <item x="2"/>
        <item x="5"/>
        <item m="1" x="16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9">
    <i>
      <x v="1"/>
    </i>
    <i>
      <x v="2"/>
    </i>
    <i>
      <x v="5"/>
    </i>
    <i>
      <x v="7"/>
    </i>
    <i>
      <x v="19"/>
    </i>
    <i>
      <x v="20"/>
    </i>
    <i>
      <x v="22"/>
    </i>
    <i>
      <x v="23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0" hier="-1"/>
  </pageFields>
  <dataFields count="1">
    <dataField name="Sum of notional" fld="4" baseField="0" baseItem="0" numFmtId="167"/>
  </dataFields>
  <formats count="3">
    <format dxfId="67">
      <pivotArea outline="0" collapsedLevelsAreSubtotals="1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99C7D-9AD0-4C4A-AD21-9FEFBD774753}" name="PivotTable6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2:Q46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x="6"/>
        <item t="default"/>
      </items>
    </pivotField>
    <pivotField showAll="0"/>
    <pivotField showAll="0"/>
    <pivotField showAll="0"/>
    <pivotField showAll="0"/>
    <pivotField axis="axisCol" showAll="0">
      <items count="12">
        <item h="1" x="5"/>
        <item x="0"/>
        <item m="1" x="8"/>
        <item x="1"/>
        <item m="1" x="7"/>
        <item x="4"/>
        <item m="1" x="9"/>
        <item h="1" x="6"/>
        <item m="1" x="10"/>
        <item x="2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>
      <x v="30"/>
    </i>
    <i t="grand">
      <x/>
    </i>
  </rowItems>
  <colFields count="1">
    <field x="15"/>
  </colFields>
  <colItems count="6">
    <i>
      <x v="1"/>
    </i>
    <i>
      <x v="3"/>
    </i>
    <i>
      <x v="5"/>
    </i>
    <i>
      <x v="9"/>
    </i>
    <i>
      <x v="10"/>
    </i>
    <i t="grand">
      <x/>
    </i>
  </colItems>
  <pageFields count="1">
    <pageField fld="0" hier="-1"/>
  </pageFields>
  <dataFields count="1">
    <dataField name="Notional Delta" fld="21" baseField="14" baseItem="0" numFmtId="167"/>
  </dataFields>
  <formats count="1">
    <format dxfId="6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AF8DA-E169-4966-9119-751F294B0A37}" name="PivotTable2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32:AB44" firstHeaderRow="1" firstDataRow="3" firstDataCol="1"/>
  <pivotFields count="24">
    <pivotField showAll="0"/>
    <pivotField axis="axisRow" showAll="0">
      <items count="16">
        <item x="0"/>
        <item x="1"/>
        <item x="3"/>
        <item m="1" x="10"/>
        <item m="1" x="13"/>
        <item x="4"/>
        <item x="5"/>
        <item m="1" x="12"/>
        <item x="6"/>
        <item m="1" x="14"/>
        <item m="1" x="11"/>
        <item x="7"/>
        <item x="9"/>
        <item x="2"/>
        <item x="8"/>
        <item t="default"/>
      </items>
    </pivotField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2"/>
        <item h="1" x="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m="1"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/>
    </i>
    <i>
      <x v="1"/>
    </i>
    <i>
      <x v="2"/>
    </i>
    <i>
      <x v="5"/>
    </i>
    <i>
      <x v="6"/>
    </i>
    <i>
      <x v="8"/>
    </i>
    <i>
      <x v="11"/>
    </i>
    <i>
      <x v="13"/>
    </i>
    <i>
      <x v="14"/>
    </i>
    <i t="grand">
      <x/>
    </i>
  </rowItems>
  <colFields count="2">
    <field x="7"/>
    <field x="16"/>
  </colFields>
  <colItems count="7">
    <i>
      <x/>
      <x v="2"/>
    </i>
    <i r="1">
      <x v="3"/>
    </i>
    <i>
      <x v="1"/>
      <x v="2"/>
    </i>
    <i r="1">
      <x v="3"/>
    </i>
    <i>
      <x v="2"/>
      <x v="2"/>
    </i>
    <i r="1">
      <x v="3"/>
    </i>
    <i t="grand">
      <x/>
    </i>
  </colItems>
  <dataFields count="1">
    <dataField name="Sum of notional" fld="4" baseField="0" baseItem="0"/>
  </dataFields>
  <formats count="1">
    <format dxfId="6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232C5-A738-4FFC-845C-77A52C2D6A1C}" name="PivotTable7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Q19" firstHeaderRow="1" firstDataRow="2" firstDataCol="1" rowPageCount="1" colPageCount="1"/>
  <pivotFields count="24">
    <pivotField axis="axisPage" showAll="0">
      <items count="10">
        <item x="0"/>
        <item m="1" x="6"/>
        <item x="1"/>
        <item x="4"/>
        <item m="1" x="7"/>
        <item m="1" x="8"/>
        <item x="2"/>
        <item x="3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2">
        <item m="1" x="14"/>
        <item m="1" x="24"/>
        <item x="10"/>
        <item x="2"/>
        <item x="3"/>
        <item m="1" x="19"/>
        <item m="1" x="21"/>
        <item x="0"/>
        <item m="1" x="29"/>
        <item x="8"/>
        <item m="1" x="18"/>
        <item m="1" x="30"/>
        <item x="4"/>
        <item m="1" x="27"/>
        <item x="1"/>
        <item m="1" x="26"/>
        <item m="1" x="16"/>
        <item x="9"/>
        <item x="5"/>
        <item m="1" x="22"/>
        <item x="11"/>
        <item m="1" x="23"/>
        <item m="1" x="25"/>
        <item m="1" x="15"/>
        <item m="1" x="20"/>
        <item m="1" x="28"/>
        <item m="1" x="17"/>
        <item m="1" x="13"/>
        <item x="7"/>
        <item x="12"/>
        <item x="6"/>
        <item t="default"/>
      </items>
    </pivotField>
    <pivotField showAll="0"/>
    <pivotField showAll="0"/>
    <pivotField showAll="0"/>
    <pivotField showAll="0"/>
    <pivotField axis="axisCol" showAll="0">
      <items count="12">
        <item h="1" x="5"/>
        <item x="0"/>
        <item m="1" x="8"/>
        <item x="1"/>
        <item m="1" x="10"/>
        <item h="1" x="6"/>
        <item m="1" x="7"/>
        <item x="4"/>
        <item m="1" x="9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 v="2"/>
    </i>
    <i>
      <x v="3"/>
    </i>
    <i>
      <x v="4"/>
    </i>
    <i>
      <x v="7"/>
    </i>
    <i>
      <x v="9"/>
    </i>
    <i>
      <x v="12"/>
    </i>
    <i>
      <x v="14"/>
    </i>
    <i>
      <x v="17"/>
    </i>
    <i>
      <x v="18"/>
    </i>
    <i>
      <x v="20"/>
    </i>
    <i>
      <x v="28"/>
    </i>
    <i>
      <x v="30"/>
    </i>
    <i t="grand">
      <x/>
    </i>
  </rowItems>
  <colFields count="1">
    <field x="15"/>
  </colFields>
  <colItems count="6">
    <i>
      <x v="1"/>
    </i>
    <i>
      <x v="3"/>
    </i>
    <i>
      <x v="7"/>
    </i>
    <i>
      <x v="9"/>
    </i>
    <i>
      <x v="10"/>
    </i>
    <i t="grand">
      <x/>
    </i>
  </colItems>
  <pageFields count="1">
    <pageField fld="0" hier="-1"/>
  </pageFields>
  <dataFields count="1">
    <dataField name="Contract Notional" fld="4" baseField="0" baseItem="0" numFmtId="167"/>
  </dataFields>
  <formats count="1">
    <format dxfId="7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CD823-F10B-4AAD-AC5E-C865AF711018}" name="PivotTable3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19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5">
        <item x="8"/>
        <item x="0"/>
        <item x="3"/>
        <item x="9"/>
        <item m="1" x="21"/>
        <item m="1" x="22"/>
        <item x="4"/>
        <item x="1"/>
        <item m="1" x="15"/>
        <item m="1" x="14"/>
        <item m="1" x="13"/>
        <item m="1" x="12"/>
        <item m="1" x="10"/>
        <item m="1" x="11"/>
        <item m="1" x="19"/>
        <item m="1" x="20"/>
        <item m="1" x="18"/>
        <item m="1" x="17"/>
        <item m="1" x="23"/>
        <item x="2"/>
        <item x="5"/>
        <item m="1" x="16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3">
    <i>
      <x/>
    </i>
    <i>
      <x v="1"/>
    </i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>
      <x v="30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7" hier="-1"/>
  </pageFields>
  <dataFields count="1">
    <dataField name="Contact Notional" fld="4" baseField="0" baseItem="0" numFmtId="167"/>
  </dataFields>
  <formats count="1">
    <format dxfId="7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CA89A-0653-4D4A-8CC3-C2BEAE28D86E}" name="PivotTable1" cacheId="49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U5:Z18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x="6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Col" showAll="0">
      <items count="25">
        <item m="1" x="14"/>
        <item m="1" x="15"/>
        <item x="3"/>
        <item x="0"/>
        <item m="1" x="22"/>
        <item m="1" x="21"/>
        <item x="1"/>
        <item x="4"/>
        <item m="1" x="13"/>
        <item n="CME Dec 22" m="1" x="12"/>
        <item m="1" x="10"/>
        <item m="1" x="11"/>
        <item m="1" x="19"/>
        <item m="1" x="20"/>
        <item m="1" x="18"/>
        <item h="1" x="8"/>
        <item h="1" x="9"/>
        <item m="1" x="17"/>
        <item m="1" x="23"/>
        <item h="1" x="2"/>
        <item h="1" x="5"/>
        <item h="1" m="1" x="16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>
      <x v="30"/>
    </i>
  </rowItems>
  <colFields count="1">
    <field x="17"/>
  </colFields>
  <colItems count="5">
    <i>
      <x v="2"/>
    </i>
    <i>
      <x v="3"/>
    </i>
    <i>
      <x v="6"/>
    </i>
    <i>
      <x v="7"/>
    </i>
    <i t="grand">
      <x/>
    </i>
  </colItems>
  <pageFields count="1">
    <pageField fld="0" hier="-1"/>
  </pageFields>
  <dataFields count="1">
    <dataField name="Coin Equiv" fld="12" baseField="10" baseItem="0"/>
  </dataFields>
  <formats count="1">
    <format dxfId="7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AA770-3D53-4C9C-A60B-1B3853BA370E}" name="PivotTable5" cacheId="49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G45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5"/>
        <item x="4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2">
        <item x="10"/>
        <item x="2"/>
        <item x="3"/>
        <item x="0"/>
        <item x="8"/>
        <item m="1" x="18"/>
        <item m="1" x="30"/>
        <item x="4"/>
        <item m="1" x="27"/>
        <item x="1"/>
        <item m="1" x="26"/>
        <item m="1" x="16"/>
        <item x="9"/>
        <item x="5"/>
        <item x="11"/>
        <item m="1" x="23"/>
        <item m="1" x="28"/>
        <item x="7"/>
        <item h="1" x="12"/>
        <item m="1" x="13"/>
        <item m="1" x="14"/>
        <item m="1" x="15"/>
        <item m="1" x="17"/>
        <item m="1" x="19"/>
        <item m="1" x="20"/>
        <item m="1" x="21"/>
        <item m="1" x="22"/>
        <item m="1" x="24"/>
        <item m="1" x="25"/>
        <item m="1" x="29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5">
        <item x="8"/>
        <item x="0"/>
        <item x="3"/>
        <item x="9"/>
        <item m="1" x="21"/>
        <item m="1" x="22"/>
        <item x="4"/>
        <item x="1"/>
        <item m="1" x="15"/>
        <item m="1" x="14"/>
        <item m="1" x="13"/>
        <item m="1" x="12"/>
        <item m="1" x="10"/>
        <item m="1" x="11"/>
        <item m="1" x="19"/>
        <item m="1" x="20"/>
        <item m="1" x="18"/>
        <item m="1" x="17"/>
        <item m="1" x="23"/>
        <item x="2"/>
        <item x="5"/>
        <item m="1" x="16"/>
        <item x="6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pageFields count="1">
    <pageField fld="17" hier="-1"/>
  </pageFields>
  <dataFields count="1">
    <dataField name="Notional Delta" fld="21" baseField="10" baseItem="0" numFmtId="167"/>
  </dataFields>
  <formats count="1">
    <format dxfId="7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4AAB6-0521-475A-ACF2-FF6CE000E5DF}" name="PivotTable12" cacheId="4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S4:BC138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56">
        <item x="88"/>
        <item x="12"/>
        <item x="13"/>
        <item x="14"/>
        <item x="89"/>
        <item x="10"/>
        <item m="1" x="135"/>
        <item x="15"/>
        <item m="1" x="141"/>
        <item x="2"/>
        <item x="16"/>
        <item x="3"/>
        <item x="90"/>
        <item x="91"/>
        <item x="17"/>
        <item x="92"/>
        <item x="83"/>
        <item x="0"/>
        <item x="93"/>
        <item x="94"/>
        <item x="18"/>
        <item x="95"/>
        <item x="8"/>
        <item x="96"/>
        <item x="19"/>
        <item x="48"/>
        <item x="20"/>
        <item x="21"/>
        <item x="97"/>
        <item x="22"/>
        <item x="23"/>
        <item x="4"/>
        <item x="41"/>
        <item m="1" x="153"/>
        <item x="1"/>
        <item m="1" x="146"/>
        <item x="42"/>
        <item x="24"/>
        <item x="98"/>
        <item x="25"/>
        <item x="26"/>
        <item x="99"/>
        <item x="100"/>
        <item x="127"/>
        <item x="28"/>
        <item x="101"/>
        <item x="102"/>
        <item m="1" x="142"/>
        <item x="103"/>
        <item x="104"/>
        <item x="105"/>
        <item m="1" x="140"/>
        <item x="106"/>
        <item x="107"/>
        <item x="108"/>
        <item x="9"/>
        <item x="109"/>
        <item x="5"/>
        <item x="110"/>
        <item x="29"/>
        <item x="30"/>
        <item x="111"/>
        <item x="112"/>
        <item x="113"/>
        <item x="114"/>
        <item x="6"/>
        <item x="115"/>
        <item m="1" x="147"/>
        <item x="32"/>
        <item m="1" x="138"/>
        <item x="116"/>
        <item x="117"/>
        <item x="46"/>
        <item x="129"/>
        <item x="11"/>
        <item x="33"/>
        <item x="118"/>
        <item m="1" x="133"/>
        <item x="119"/>
        <item x="84"/>
        <item x="128"/>
        <item x="120"/>
        <item x="121"/>
        <item x="35"/>
        <item x="43"/>
        <item x="47"/>
        <item x="122"/>
        <item x="36"/>
        <item x="44"/>
        <item x="123"/>
        <item x="124"/>
        <item x="76"/>
        <item x="130"/>
        <item x="125"/>
        <item x="37"/>
        <item x="38"/>
        <item x="39"/>
        <item x="40"/>
        <item x="87"/>
        <item x="126"/>
        <item x="7"/>
        <item x="131"/>
        <item m="1" x="150"/>
        <item x="77"/>
        <item x="78"/>
        <item m="1" x="149"/>
        <item m="1" x="152"/>
        <item m="1" x="143"/>
        <item x="85"/>
        <item x="86"/>
        <item m="1" x="132"/>
        <item m="1" x="134"/>
        <item x="50"/>
        <item x="72"/>
        <item x="73"/>
        <item m="1" x="139"/>
        <item x="51"/>
        <item x="60"/>
        <item x="69"/>
        <item x="53"/>
        <item x="55"/>
        <item x="56"/>
        <item x="71"/>
        <item m="1" x="154"/>
        <item x="31"/>
        <item x="34"/>
        <item x="67"/>
        <item x="27"/>
        <item x="62"/>
        <item x="64"/>
        <item x="75"/>
        <item x="79"/>
        <item x="80"/>
        <item x="81"/>
        <item m="1" x="136"/>
        <item x="54"/>
        <item x="59"/>
        <item x="63"/>
        <item x="68"/>
        <item x="82"/>
        <item m="1" x="137"/>
        <item m="1" x="144"/>
        <item m="1" x="148"/>
        <item x="49"/>
        <item m="1" x="145"/>
        <item x="65"/>
        <item x="70"/>
        <item x="74"/>
        <item x="52"/>
        <item x="57"/>
        <item x="61"/>
        <item x="66"/>
        <item m="1" x="151"/>
        <item x="58"/>
        <item x="45"/>
        <item t="default"/>
      </items>
    </pivotField>
    <pivotField showAll="0"/>
    <pivotField showAll="0"/>
    <pivotField showAll="0"/>
    <pivotField showAll="0"/>
    <pivotField axis="axisCol" showAll="0">
      <items count="23">
        <item x="7"/>
        <item x="6"/>
        <item x="5"/>
        <item m="1" x="9"/>
        <item m="1" x="11"/>
        <item m="1" x="12"/>
        <item x="0"/>
        <item m="1" x="16"/>
        <item x="8"/>
        <item m="1" x="18"/>
        <item m="1" x="14"/>
        <item x="1"/>
        <item m="1" x="21"/>
        <item m="1" x="13"/>
        <item m="1" x="10"/>
        <item m="1" x="17"/>
        <item m="1" x="19"/>
        <item m="1" x="20"/>
        <item m="1" x="15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3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8"/>
    </i>
    <i>
      <x v="109"/>
    </i>
    <i>
      <x v="112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3"/>
    </i>
    <i>
      <x v="154"/>
    </i>
    <i t="grand">
      <x/>
    </i>
  </rowItems>
  <colFields count="1">
    <field x="15"/>
  </colFields>
  <colItems count="10">
    <i>
      <x/>
    </i>
    <i>
      <x v="1"/>
    </i>
    <i>
      <x v="2"/>
    </i>
    <i>
      <x v="6"/>
    </i>
    <i>
      <x v="8"/>
    </i>
    <i>
      <x v="11"/>
    </i>
    <i>
      <x v="19"/>
    </i>
    <i>
      <x v="20"/>
    </i>
    <i>
      <x v="21"/>
    </i>
    <i t="grand">
      <x/>
    </i>
  </colItems>
  <dataFields count="1">
    <dataField name="Sum of notional" fld="4" baseField="0" baseItem="0" numFmtId="167"/>
  </dataFields>
  <formats count="1">
    <format dxfId="7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2B355-7808-4E07-AE62-52E079D25902}" name="PivotTable5" cacheId="3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2:AD134" firstHeaderRow="0" firstDataRow="1" firstDataCol="1"/>
  <pivotFields count="4">
    <pivotField axis="axisRow" showAll="0">
      <items count="24">
        <item x="0"/>
        <item x="1"/>
        <item x="2"/>
        <item x="3"/>
        <item x="20"/>
        <item x="4"/>
        <item x="5"/>
        <item x="21"/>
        <item x="16"/>
        <item x="7"/>
        <item x="6"/>
        <item x="8"/>
        <item x="10"/>
        <item x="11"/>
        <item x="12"/>
        <item x="13"/>
        <item x="14"/>
        <item x="15"/>
        <item x="9"/>
        <item x="17"/>
        <item x="18"/>
        <item x="19"/>
        <item x="22"/>
        <item t="default"/>
      </items>
    </pivotField>
    <pivotField axis="axisRow" showAll="0" sortType="ascending">
      <items count="132">
        <item sd="0" x="130"/>
        <item sd="0" x="48"/>
        <item sd="0" x="49"/>
        <item sd="0" x="50"/>
        <item sd="0" x="51"/>
        <item sd="0" x="52"/>
        <item sd="0" x="87"/>
        <item sd="0" x="0"/>
        <item sd="0" x="1"/>
        <item sd="0" x="2"/>
        <item sd="0" x="88"/>
        <item sd="0" x="3"/>
        <item sd="0" x="4"/>
        <item sd="0" x="5"/>
        <item sd="0" x="6"/>
        <item sd="0" x="89"/>
        <item sd="0" x="90"/>
        <item sd="0" x="7"/>
        <item sd="0" x="91"/>
        <item sd="0" x="53"/>
        <item sd="0" x="82"/>
        <item sd="0" x="8"/>
        <item sd="0" x="92"/>
        <item sd="0" x="93"/>
        <item sd="0" x="9"/>
        <item sd="0" x="94"/>
        <item sd="0" x="10"/>
        <item sd="0" x="95"/>
        <item sd="0" x="11"/>
        <item sd="0" x="47"/>
        <item sd="0" x="76"/>
        <item sd="0" x="12"/>
        <item sd="0" x="13"/>
        <item sd="0" x="96"/>
        <item sd="0" x="14"/>
        <item sd="0" x="15"/>
        <item sd="0" x="16"/>
        <item sd="0" x="40"/>
        <item sd="0" x="17"/>
        <item sd="0" x="84"/>
        <item sd="0" x="41"/>
        <item sd="0" x="18"/>
        <item sd="0" x="97"/>
        <item sd="0" x="19"/>
        <item sd="0" x="44"/>
        <item sd="0" x="20"/>
        <item sd="0" x="98"/>
        <item sd="0" x="81"/>
        <item sd="0" x="99"/>
        <item sd="0" x="126"/>
        <item sd="0" x="21"/>
        <item sd="0" x="22"/>
        <item sd="0" x="100"/>
        <item sd="0" x="101"/>
        <item sd="0" x="54"/>
        <item sd="0" x="102"/>
        <item sd="0" x="103"/>
        <item sd="0" x="104"/>
        <item sd="0" x="105"/>
        <item sd="0" x="106"/>
        <item sd="0" x="107"/>
        <item sd="0" x="23"/>
        <item sd="0" x="108"/>
        <item sd="0" x="24"/>
        <item sd="0" x="109"/>
        <item sd="0" x="25"/>
        <item sd="0" x="26"/>
        <item sd="0" x="77"/>
        <item sd="0" x="27"/>
        <item sd="0" x="110"/>
        <item sd="0" x="111"/>
        <item sd="0" x="112"/>
        <item sd="0" x="113"/>
        <item sd="0" x="55"/>
        <item sd="0" x="56"/>
        <item sd="0" x="57"/>
        <item sd="0" x="58"/>
        <item sd="0" x="59"/>
        <item sd="0" x="78"/>
        <item sd="0" x="28"/>
        <item sd="0" x="114"/>
        <item sd="0" x="79"/>
        <item sd="0" x="80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29"/>
        <item sd="0" x="115"/>
        <item sd="0" x="116"/>
        <item sd="0" x="85"/>
        <item sd="0" x="45"/>
        <item sd="0" x="128"/>
        <item sd="0" x="30"/>
        <item sd="0" x="31"/>
        <item sd="0" x="117"/>
        <item sd="0" x="118"/>
        <item sd="0" x="32"/>
        <item sd="0" x="83"/>
        <item sd="0" x="127"/>
        <item sd="0" x="119"/>
        <item sd="0" x="120"/>
        <item sd="0" x="33"/>
        <item sd="0" x="42"/>
        <item sd="0" x="46"/>
        <item sd="0" x="121"/>
        <item sd="0" x="34"/>
        <item sd="0" x="43"/>
        <item sd="0" x="122"/>
        <item sd="0" x="123"/>
        <item sd="0" x="74"/>
        <item sd="0" x="75"/>
        <item sd="0" x="129"/>
        <item sd="0" x="124"/>
        <item sd="0" x="35"/>
        <item sd="0" x="36"/>
        <item sd="0" x="37"/>
        <item sd="0" x="38"/>
        <item sd="0" x="86"/>
        <item sd="0" x="125"/>
        <item sd="0" x="39"/>
        <item t="default" sd="0"/>
      </items>
    </pivotField>
    <pivotField dataField="1" showAll="0"/>
    <pivotField dataField="1" showAll="0"/>
  </pivotFields>
  <rowFields count="2">
    <field x="1"/>
    <field x="0"/>
  </rowFields>
  <rowItems count="1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av" fld="2" baseField="1" baseItem="4"/>
    <dataField name="Sum of RawData" fld="3" baseField="1" baseItem="4"/>
  </dataFields>
  <formats count="3">
    <format dxfId="64">
      <pivotArea outline="0" collapsedLevelsAreSubtotals="1" fieldPosition="0"/>
    </format>
    <format dxfId="63">
      <pivotArea field="1" type="button" dataOnly="0" labelOnly="1" outline="0" axis="axisRow" fieldPosition="0"/>
    </format>
    <format dxfId="62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6A75F-4BB6-4C3A-BF59-4575011D6444}" name="PivotTable1" cacheId="1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:AE63" firstHeaderRow="1" firstDataRow="2" firstDataCol="1" rowPageCount="1" colPageCount="1"/>
  <pivotFields count="16">
    <pivotField axis="axisRow" showAll="0">
      <items count="59">
        <item x="0"/>
        <item x="1"/>
        <item x="2"/>
        <item x="42"/>
        <item x="3"/>
        <item x="4"/>
        <item x="5"/>
        <item x="6"/>
        <item x="7"/>
        <item x="8"/>
        <item x="9"/>
        <item x="10"/>
        <item x="56"/>
        <item x="11"/>
        <item x="12"/>
        <item x="13"/>
        <item x="14"/>
        <item x="15"/>
        <item x="55"/>
        <item x="41"/>
        <item x="16"/>
        <item x="44"/>
        <item x="17"/>
        <item x="18"/>
        <item x="19"/>
        <item x="20"/>
        <item x="21"/>
        <item x="22"/>
        <item x="23"/>
        <item x="24"/>
        <item x="25"/>
        <item x="26"/>
        <item x="45"/>
        <item x="27"/>
        <item x="28"/>
        <item x="46"/>
        <item x="29"/>
        <item x="47"/>
        <item x="30"/>
        <item x="48"/>
        <item x="49"/>
        <item x="50"/>
        <item x="51"/>
        <item x="31"/>
        <item x="32"/>
        <item x="36"/>
        <item x="53"/>
        <item x="37"/>
        <item x="33"/>
        <item x="34"/>
        <item x="35"/>
        <item x="52"/>
        <item x="38"/>
        <item x="39"/>
        <item x="40"/>
        <item x="54"/>
        <item x="57"/>
        <item x="43"/>
        <item t="default"/>
      </items>
    </pivotField>
    <pivotField dataField="1" showAll="0"/>
    <pivotField axis="axisCol" showAll="0">
      <items count="9">
        <item x="1"/>
        <item x="7"/>
        <item x="3"/>
        <item x="5"/>
        <item x="2"/>
        <item x="4"/>
        <item x="0"/>
        <item x="6"/>
        <item t="default"/>
      </items>
    </pivotField>
    <pivotField showAll="0"/>
    <pivotField axis="axisPage" showAll="0">
      <items count="30">
        <item x="11"/>
        <item x="0"/>
        <item x="1"/>
        <item x="2"/>
        <item x="3"/>
        <item x="4"/>
        <item x="5"/>
        <item x="7"/>
        <item x="8"/>
        <item x="9"/>
        <item x="10"/>
        <item x="6"/>
        <item x="27"/>
        <item x="12"/>
        <item x="13"/>
        <item x="14"/>
        <item x="15"/>
        <item x="16"/>
        <item x="17"/>
        <item x="21"/>
        <item x="18"/>
        <item x="19"/>
        <item x="20"/>
        <item x="23"/>
        <item x="24"/>
        <item x="25"/>
        <item x="26"/>
        <item x="2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Balanc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9F12C-2632-4EB1-8EA7-C56B452CD335}" name="PivotTable2" cacheId="1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J3:AL556" firstHeaderRow="0" firstDataRow="1" firstDataCol="1"/>
  <pivotFields count="16">
    <pivotField showAll="0"/>
    <pivotField dataField="1" showAll="0"/>
    <pivotField showAll="0"/>
    <pivotField axis="axisRow" showAll="0">
      <items count="105">
        <item x="32"/>
        <item x="33"/>
        <item x="48"/>
        <item x="0"/>
        <item x="1"/>
        <item x="2"/>
        <item x="49"/>
        <item x="3"/>
        <item x="37"/>
        <item x="4"/>
        <item x="38"/>
        <item x="5"/>
        <item x="6"/>
        <item x="50"/>
        <item x="51"/>
        <item x="7"/>
        <item x="52"/>
        <item x="42"/>
        <item x="8"/>
        <item x="53"/>
        <item x="54"/>
        <item x="9"/>
        <item x="55"/>
        <item x="10"/>
        <item x="56"/>
        <item x="11"/>
        <item x="31"/>
        <item x="57"/>
        <item x="12"/>
        <item x="58"/>
        <item x="13"/>
        <item x="59"/>
        <item x="14"/>
        <item x="24"/>
        <item x="15"/>
        <item x="44"/>
        <item x="25"/>
        <item x="16"/>
        <item x="60"/>
        <item x="17"/>
        <item x="99"/>
        <item x="40"/>
        <item x="61"/>
        <item x="95"/>
        <item x="62"/>
        <item x="63"/>
        <item x="64"/>
        <item x="65"/>
        <item x="66"/>
        <item x="67"/>
        <item x="68"/>
        <item x="69"/>
        <item x="70"/>
        <item x="18"/>
        <item x="71"/>
        <item x="19"/>
        <item x="72"/>
        <item x="20"/>
        <item x="100"/>
        <item x="73"/>
        <item x="74"/>
        <item x="75"/>
        <item x="76"/>
        <item x="77"/>
        <item x="78"/>
        <item x="34"/>
        <item x="35"/>
        <item m="1" x="102"/>
        <item m="1" x="103"/>
        <item x="21"/>
        <item x="79"/>
        <item x="80"/>
        <item x="45"/>
        <item x="28"/>
        <item x="97"/>
        <item x="46"/>
        <item x="22"/>
        <item x="81"/>
        <item x="41"/>
        <item x="39"/>
        <item x="82"/>
        <item x="43"/>
        <item x="96"/>
        <item x="83"/>
        <item x="84"/>
        <item x="85"/>
        <item x="26"/>
        <item x="30"/>
        <item x="86"/>
        <item x="23"/>
        <item x="27"/>
        <item x="87"/>
        <item x="88"/>
        <item x="36"/>
        <item x="98"/>
        <item x="89"/>
        <item x="90"/>
        <item x="29"/>
        <item x="91"/>
        <item x="92"/>
        <item x="47"/>
        <item x="93"/>
        <item x="94"/>
        <item x="10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7">
        <item x="0"/>
        <item x="4"/>
        <item x="2"/>
        <item x="1"/>
        <item x="3"/>
        <item x="5"/>
        <item t="default"/>
      </items>
    </pivotField>
    <pivotField axis="axisRow" showAll="0">
      <items count="25">
        <item x="0"/>
        <item x="9"/>
        <item x="1"/>
        <item x="2"/>
        <item x="3"/>
        <item x="22"/>
        <item x="4"/>
        <item x="5"/>
        <item x="21"/>
        <item x="18"/>
        <item x="6"/>
        <item x="11"/>
        <item x="8"/>
        <item x="7"/>
        <item x="10"/>
        <item x="12"/>
        <item x="13"/>
        <item x="14"/>
        <item x="19"/>
        <item x="15"/>
        <item x="20"/>
        <item x="16"/>
        <item x="17"/>
        <item x="23"/>
        <item t="default"/>
      </items>
    </pivotField>
    <pivotField showAll="0"/>
    <pivotField showAll="0"/>
    <pivotField showAll="0"/>
  </pivotFields>
  <rowFields count="3">
    <field x="12"/>
    <field x="3"/>
    <field x="11"/>
  </rowFields>
  <rowItems count="553">
    <i>
      <x/>
    </i>
    <i r="1">
      <x v="3"/>
    </i>
    <i r="2">
      <x/>
    </i>
    <i r="2">
      <x v="2"/>
    </i>
    <i r="1">
      <x v="4"/>
    </i>
    <i r="2">
      <x/>
    </i>
    <i r="2">
      <x v="2"/>
    </i>
    <i r="1">
      <x v="5"/>
    </i>
    <i r="2">
      <x/>
    </i>
    <i r="1">
      <x v="7"/>
    </i>
    <i r="2">
      <x/>
    </i>
    <i r="1">
      <x v="9"/>
    </i>
    <i r="2">
      <x/>
    </i>
    <i r="2">
      <x v="2"/>
    </i>
    <i r="1">
      <x v="11"/>
    </i>
    <i r="2">
      <x/>
    </i>
    <i r="2">
      <x v="2"/>
    </i>
    <i r="1">
      <x v="12"/>
    </i>
    <i r="2">
      <x/>
    </i>
    <i r="2">
      <x v="2"/>
    </i>
    <i r="1">
      <x v="15"/>
    </i>
    <i r="2">
      <x/>
    </i>
    <i r="1">
      <x v="18"/>
    </i>
    <i r="2">
      <x/>
    </i>
    <i r="2">
      <x v="2"/>
    </i>
    <i r="1">
      <x v="21"/>
    </i>
    <i r="2">
      <x/>
    </i>
    <i r="2">
      <x v="2"/>
    </i>
    <i r="1">
      <x v="23"/>
    </i>
    <i r="2">
      <x/>
    </i>
    <i r="2">
      <x v="2"/>
    </i>
    <i r="1">
      <x v="25"/>
    </i>
    <i r="2">
      <x/>
    </i>
    <i r="1">
      <x v="28"/>
    </i>
    <i r="2">
      <x/>
    </i>
    <i r="2">
      <x v="2"/>
    </i>
    <i r="1">
      <x v="30"/>
    </i>
    <i r="2">
      <x/>
    </i>
    <i r="2">
      <x v="2"/>
    </i>
    <i r="1">
      <x v="32"/>
    </i>
    <i r="2">
      <x/>
    </i>
    <i r="1">
      <x v="33"/>
    </i>
    <i r="2">
      <x/>
    </i>
    <i r="1">
      <x v="34"/>
    </i>
    <i r="2">
      <x/>
    </i>
    <i r="1">
      <x v="37"/>
    </i>
    <i r="2">
      <x/>
    </i>
    <i r="1">
      <x v="39"/>
    </i>
    <i r="2">
      <x/>
    </i>
    <i r="1">
      <x v="53"/>
    </i>
    <i r="2">
      <x/>
    </i>
    <i r="1">
      <x v="55"/>
    </i>
    <i r="2">
      <x/>
    </i>
    <i r="1">
      <x v="57"/>
    </i>
    <i r="2">
      <x/>
    </i>
    <i r="2">
      <x v="2"/>
    </i>
    <i r="1">
      <x v="69"/>
    </i>
    <i r="2">
      <x/>
    </i>
    <i r="1">
      <x v="75"/>
    </i>
    <i r="2">
      <x v="2"/>
    </i>
    <i r="1">
      <x v="76"/>
    </i>
    <i r="2">
      <x/>
    </i>
    <i r="2">
      <x v="2"/>
    </i>
    <i r="1">
      <x v="89"/>
    </i>
    <i r="2">
      <x/>
    </i>
    <i r="1">
      <x v="91"/>
    </i>
    <i r="2">
      <x v="2"/>
    </i>
    <i>
      <x v="1"/>
    </i>
    <i r="1">
      <x v="18"/>
    </i>
    <i r="2">
      <x/>
    </i>
    <i r="1">
      <x v="89"/>
    </i>
    <i r="2">
      <x/>
    </i>
    <i r="2">
      <x v="2"/>
    </i>
    <i>
      <x v="2"/>
    </i>
    <i r="1">
      <x v="18"/>
    </i>
    <i r="2">
      <x/>
    </i>
    <i r="1">
      <x v="34"/>
    </i>
    <i r="2">
      <x/>
    </i>
    <i r="1">
      <x v="36"/>
    </i>
    <i r="2">
      <x/>
    </i>
    <i r="1">
      <x v="86"/>
    </i>
    <i r="2">
      <x/>
    </i>
    <i r="1">
      <x v="90"/>
    </i>
    <i r="2">
      <x/>
    </i>
    <i>
      <x v="3"/>
    </i>
    <i r="1">
      <x v="12"/>
    </i>
    <i r="2">
      <x/>
    </i>
    <i r="1">
      <x v="18"/>
    </i>
    <i r="2">
      <x/>
    </i>
    <i r="1">
      <x v="34"/>
    </i>
    <i r="2">
      <x/>
    </i>
    <i r="1">
      <x v="73"/>
    </i>
    <i r="2">
      <x/>
    </i>
    <i r="1">
      <x v="86"/>
    </i>
    <i r="2">
      <x/>
    </i>
    <i r="1">
      <x v="97"/>
    </i>
    <i r="2">
      <x/>
    </i>
    <i>
      <x v="4"/>
    </i>
    <i r="1">
      <x v="18"/>
    </i>
    <i r="2">
      <x/>
    </i>
    <i r="2">
      <x v="2"/>
    </i>
    <i r="1">
      <x v="32"/>
    </i>
    <i r="2">
      <x/>
    </i>
    <i r="2">
      <x v="2"/>
    </i>
    <i r="1">
      <x v="34"/>
    </i>
    <i r="2">
      <x/>
    </i>
    <i r="2">
      <x v="2"/>
    </i>
    <i r="1">
      <x v="53"/>
    </i>
    <i r="2">
      <x/>
    </i>
    <i r="1">
      <x v="55"/>
    </i>
    <i r="2">
      <x/>
    </i>
    <i r="1">
      <x v="86"/>
    </i>
    <i r="2">
      <x/>
    </i>
    <i r="1">
      <x v="87"/>
    </i>
    <i r="2">
      <x/>
    </i>
    <i>
      <x v="5"/>
    </i>
    <i r="1">
      <x v="86"/>
    </i>
    <i r="2">
      <x/>
    </i>
    <i>
      <x v="6"/>
    </i>
    <i r="1">
      <x/>
    </i>
    <i r="2">
      <x/>
    </i>
    <i r="1">
      <x v="1"/>
    </i>
    <i r="2">
      <x/>
    </i>
    <i r="1">
      <x v="3"/>
    </i>
    <i r="2">
      <x/>
    </i>
    <i r="1">
      <x v="8"/>
    </i>
    <i r="2">
      <x/>
    </i>
    <i r="1">
      <x v="10"/>
    </i>
    <i r="2">
      <x/>
    </i>
    <i r="1">
      <x v="25"/>
    </i>
    <i r="2">
      <x/>
    </i>
    <i r="2">
      <x v="2"/>
    </i>
    <i r="1">
      <x v="26"/>
    </i>
    <i r="2">
      <x/>
    </i>
    <i r="1">
      <x v="34"/>
    </i>
    <i r="2">
      <x/>
    </i>
    <i r="1">
      <x v="65"/>
    </i>
    <i r="2">
      <x/>
    </i>
    <i r="1">
      <x v="66"/>
    </i>
    <i r="2">
      <x/>
    </i>
    <i r="1">
      <x v="79"/>
    </i>
    <i r="2">
      <x/>
    </i>
    <i r="1">
      <x v="87"/>
    </i>
    <i r="2">
      <x/>
    </i>
    <i r="1">
      <x v="93"/>
    </i>
    <i r="2">
      <x/>
    </i>
    <i>
      <x v="7"/>
    </i>
    <i r="1">
      <x v="87"/>
    </i>
    <i r="2">
      <x/>
    </i>
    <i>
      <x v="8"/>
    </i>
    <i r="1">
      <x v="86"/>
    </i>
    <i r="2">
      <x v="1"/>
    </i>
    <i>
      <x v="9"/>
    </i>
    <i r="1">
      <x v="9"/>
    </i>
    <i r="2">
      <x/>
    </i>
    <i r="1">
      <x v="18"/>
    </i>
    <i r="2">
      <x/>
    </i>
    <i r="1">
      <x v="23"/>
    </i>
    <i r="2">
      <x/>
    </i>
    <i r="1">
      <x v="30"/>
    </i>
    <i r="2">
      <x/>
    </i>
    <i r="1">
      <x v="32"/>
    </i>
    <i r="2">
      <x/>
    </i>
    <i r="1">
      <x v="33"/>
    </i>
    <i r="2">
      <x/>
    </i>
    <i r="1">
      <x v="34"/>
    </i>
    <i r="2">
      <x/>
    </i>
    <i r="1">
      <x v="36"/>
    </i>
    <i r="2">
      <x/>
    </i>
    <i r="1">
      <x v="38"/>
    </i>
    <i r="2">
      <x/>
    </i>
    <i r="1">
      <x v="40"/>
    </i>
    <i r="2">
      <x/>
    </i>
    <i r="1">
      <x v="41"/>
    </i>
    <i r="2">
      <x/>
    </i>
    <i r="1">
      <x v="44"/>
    </i>
    <i r="2">
      <x/>
    </i>
    <i r="1">
      <x v="50"/>
    </i>
    <i r="2">
      <x/>
    </i>
    <i r="1">
      <x v="53"/>
    </i>
    <i r="2">
      <x/>
    </i>
    <i r="1">
      <x v="55"/>
    </i>
    <i r="2">
      <x/>
    </i>
    <i r="1">
      <x v="58"/>
    </i>
    <i r="2">
      <x/>
    </i>
    <i r="1">
      <x v="63"/>
    </i>
    <i r="2">
      <x/>
    </i>
    <i r="1">
      <x v="69"/>
    </i>
    <i r="2">
      <x/>
    </i>
    <i r="1">
      <x v="76"/>
    </i>
    <i r="2">
      <x/>
    </i>
    <i r="1">
      <x v="85"/>
    </i>
    <i r="2">
      <x/>
    </i>
    <i r="1">
      <x v="87"/>
    </i>
    <i r="2">
      <x/>
    </i>
    <i r="1">
      <x v="89"/>
    </i>
    <i r="2">
      <x/>
    </i>
    <i r="1">
      <x v="96"/>
    </i>
    <i r="2">
      <x/>
    </i>
    <i r="1">
      <x v="97"/>
    </i>
    <i r="2">
      <x/>
    </i>
    <i r="1">
      <x v="99"/>
    </i>
    <i r="2">
      <x/>
    </i>
    <i>
      <x v="10"/>
    </i>
    <i r="1">
      <x v="12"/>
    </i>
    <i r="2">
      <x v="2"/>
    </i>
    <i r="1">
      <x v="18"/>
    </i>
    <i r="2">
      <x/>
    </i>
    <i r="1">
      <x v="34"/>
    </i>
    <i r="2">
      <x v="2"/>
    </i>
    <i r="1">
      <x v="37"/>
    </i>
    <i r="2">
      <x/>
    </i>
    <i r="1">
      <x v="41"/>
    </i>
    <i r="2">
      <x/>
    </i>
    <i r="1">
      <x v="53"/>
    </i>
    <i r="2">
      <x v="2"/>
    </i>
    <i r="1">
      <x v="55"/>
    </i>
    <i r="2">
      <x/>
    </i>
    <i r="1">
      <x v="63"/>
    </i>
    <i r="2">
      <x v="2"/>
    </i>
    <i r="1">
      <x v="78"/>
    </i>
    <i r="2">
      <x/>
    </i>
    <i r="1">
      <x v="86"/>
    </i>
    <i r="2">
      <x/>
    </i>
    <i r="1">
      <x v="89"/>
    </i>
    <i r="2">
      <x/>
    </i>
    <i r="1">
      <x v="99"/>
    </i>
    <i r="2">
      <x v="2"/>
    </i>
    <i>
      <x v="11"/>
    </i>
    <i r="1">
      <x v="12"/>
    </i>
    <i r="2">
      <x v="3"/>
    </i>
    <i r="1">
      <x v="18"/>
    </i>
    <i r="2">
      <x v="3"/>
    </i>
    <i r="1">
      <x v="23"/>
    </i>
    <i r="2">
      <x v="3"/>
    </i>
    <i r="1">
      <x v="33"/>
    </i>
    <i r="2">
      <x v="3"/>
    </i>
    <i r="1">
      <x v="34"/>
    </i>
    <i r="2">
      <x v="3"/>
    </i>
    <i r="1">
      <x v="37"/>
    </i>
    <i r="2">
      <x v="3"/>
    </i>
    <i r="1">
      <x v="38"/>
    </i>
    <i r="2">
      <x v="3"/>
    </i>
    <i r="1">
      <x v="75"/>
    </i>
    <i r="2">
      <x v="3"/>
    </i>
    <i r="1">
      <x v="86"/>
    </i>
    <i r="2">
      <x v="3"/>
    </i>
    <i r="1">
      <x v="87"/>
    </i>
    <i r="2">
      <x v="3"/>
    </i>
    <i r="1">
      <x v="99"/>
    </i>
    <i r="2">
      <x v="3"/>
    </i>
    <i r="1">
      <x v="102"/>
    </i>
    <i r="2">
      <x v="3"/>
    </i>
    <i>
      <x v="12"/>
    </i>
    <i r="1">
      <x v="18"/>
    </i>
    <i r="2">
      <x/>
    </i>
    <i r="1">
      <x v="34"/>
    </i>
    <i r="2">
      <x/>
    </i>
    <i r="1">
      <x v="35"/>
    </i>
    <i r="2">
      <x/>
    </i>
    <i r="1">
      <x v="36"/>
    </i>
    <i r="2">
      <x/>
    </i>
    <i r="1">
      <x v="72"/>
    </i>
    <i r="2">
      <x/>
    </i>
    <i r="1">
      <x v="89"/>
    </i>
    <i r="2">
      <x/>
    </i>
    <i>
      <x v="13"/>
    </i>
    <i r="1">
      <x v="2"/>
    </i>
    <i r="2">
      <x/>
    </i>
    <i r="1">
      <x v="3"/>
    </i>
    <i r="2">
      <x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/>
    </i>
    <i r="1">
      <x v="9"/>
    </i>
    <i r="2">
      <x/>
    </i>
    <i r="1">
      <x v="11"/>
    </i>
    <i r="2">
      <x/>
    </i>
    <i r="1">
      <x v="12"/>
    </i>
    <i r="2">
      <x/>
    </i>
    <i r="2">
      <x v="2"/>
    </i>
    <i r="1">
      <x v="13"/>
    </i>
    <i r="2">
      <x/>
    </i>
    <i r="1">
      <x v="14"/>
    </i>
    <i r="2">
      <x/>
    </i>
    <i r="1">
      <x v="16"/>
    </i>
    <i r="2">
      <x/>
    </i>
    <i r="1">
      <x v="17"/>
    </i>
    <i r="2">
      <x/>
    </i>
    <i r="2">
      <x v="2"/>
    </i>
    <i r="1">
      <x v="18"/>
    </i>
    <i r="2">
      <x/>
    </i>
    <i r="2">
      <x v="2"/>
    </i>
    <i r="1">
      <x v="19"/>
    </i>
    <i r="2">
      <x/>
    </i>
    <i r="1">
      <x v="20"/>
    </i>
    <i r="2">
      <x/>
    </i>
    <i r="1">
      <x v="22"/>
    </i>
    <i r="2">
      <x/>
    </i>
    <i r="1">
      <x v="23"/>
    </i>
    <i r="2">
      <x/>
    </i>
    <i r="1">
      <x v="24"/>
    </i>
    <i r="2">
      <x/>
    </i>
    <i r="1">
      <x v="27"/>
    </i>
    <i r="2">
      <x/>
    </i>
    <i r="1">
      <x v="29"/>
    </i>
    <i r="2">
      <x/>
    </i>
    <i r="1">
      <x v="30"/>
    </i>
    <i r="2">
      <x/>
    </i>
    <i r="2">
      <x v="2"/>
    </i>
    <i r="1">
      <x v="31"/>
    </i>
    <i r="2">
      <x/>
    </i>
    <i r="1">
      <x v="32"/>
    </i>
    <i r="2">
      <x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  <i r="1">
      <x v="38"/>
    </i>
    <i r="2">
      <x/>
    </i>
    <i r="1">
      <x v="39"/>
    </i>
    <i r="2">
      <x/>
    </i>
    <i r="1">
      <x v="41"/>
    </i>
    <i r="2">
      <x/>
    </i>
    <i r="1">
      <x v="42"/>
    </i>
    <i r="2">
      <x/>
    </i>
    <i r="1">
      <x v="44"/>
    </i>
    <i r="2">
      <x/>
    </i>
    <i r="1">
      <x v="45"/>
    </i>
    <i r="2">
      <x/>
    </i>
    <i r="1">
      <x v="46"/>
    </i>
    <i r="2">
      <x/>
    </i>
    <i r="1">
      <x v="47"/>
    </i>
    <i r="2">
      <x/>
    </i>
    <i r="1">
      <x v="48"/>
    </i>
    <i r="2">
      <x/>
    </i>
    <i r="1">
      <x v="49"/>
    </i>
    <i r="2">
      <x/>
    </i>
    <i r="1">
      <x v="50"/>
    </i>
    <i r="2">
      <x/>
    </i>
    <i r="1">
      <x v="51"/>
    </i>
    <i r="2">
      <x/>
    </i>
    <i r="1">
      <x v="52"/>
    </i>
    <i r="2">
      <x/>
    </i>
    <i r="1">
      <x v="53"/>
    </i>
    <i r="2">
      <x/>
    </i>
    <i r="2">
      <x v="2"/>
    </i>
    <i r="1">
      <x v="54"/>
    </i>
    <i r="2">
      <x/>
    </i>
    <i r="1">
      <x v="55"/>
    </i>
    <i r="2">
      <x/>
    </i>
    <i r="2">
      <x v="2"/>
    </i>
    <i r="1">
      <x v="56"/>
    </i>
    <i r="2">
      <x/>
    </i>
    <i r="1">
      <x v="57"/>
    </i>
    <i r="2">
      <x/>
    </i>
    <i r="1">
      <x v="59"/>
    </i>
    <i r="2">
      <x/>
    </i>
    <i r="1">
      <x v="60"/>
    </i>
    <i r="2">
      <x/>
    </i>
    <i r="1">
      <x v="61"/>
    </i>
    <i r="2">
      <x/>
    </i>
    <i r="1">
      <x v="62"/>
    </i>
    <i r="2">
      <x/>
    </i>
    <i r="1">
      <x v="63"/>
    </i>
    <i r="2">
      <x/>
    </i>
    <i r="1">
      <x v="64"/>
    </i>
    <i r="2">
      <x/>
    </i>
    <i r="1">
      <x v="69"/>
    </i>
    <i r="2">
      <x/>
    </i>
    <i r="1">
      <x v="70"/>
    </i>
    <i r="2">
      <x/>
    </i>
    <i r="1">
      <x v="71"/>
    </i>
    <i r="2">
      <x/>
    </i>
    <i r="1">
      <x v="73"/>
    </i>
    <i r="2">
      <x/>
    </i>
    <i r="1">
      <x v="75"/>
    </i>
    <i r="2">
      <x/>
    </i>
    <i r="1">
      <x v="76"/>
    </i>
    <i r="2">
      <x/>
    </i>
    <i r="1">
      <x v="77"/>
    </i>
    <i r="2">
      <x/>
    </i>
    <i r="1">
      <x v="80"/>
    </i>
    <i r="2">
      <x/>
    </i>
    <i r="1">
      <x v="81"/>
    </i>
    <i r="2">
      <x/>
    </i>
    <i r="2">
      <x v="2"/>
    </i>
    <i r="1">
      <x v="83"/>
    </i>
    <i r="2">
      <x/>
    </i>
    <i r="1">
      <x v="84"/>
    </i>
    <i r="2">
      <x/>
    </i>
    <i r="1">
      <x v="85"/>
    </i>
    <i r="2">
      <x/>
    </i>
    <i r="1">
      <x v="87"/>
    </i>
    <i r="2">
      <x/>
    </i>
    <i r="1">
      <x v="88"/>
    </i>
    <i r="2">
      <x/>
    </i>
    <i r="1">
      <x v="89"/>
    </i>
    <i r="2">
      <x/>
    </i>
    <i r="2">
      <x v="2"/>
    </i>
    <i r="1">
      <x v="91"/>
    </i>
    <i r="2">
      <x/>
    </i>
    <i r="1">
      <x v="92"/>
    </i>
    <i r="2">
      <x/>
    </i>
    <i r="1">
      <x v="95"/>
    </i>
    <i r="2">
      <x/>
    </i>
    <i r="1">
      <x v="96"/>
    </i>
    <i r="2">
      <x/>
    </i>
    <i r="1">
      <x v="97"/>
    </i>
    <i r="2">
      <x/>
    </i>
    <i r="1">
      <x v="98"/>
    </i>
    <i r="2">
      <x/>
    </i>
    <i r="1">
      <x v="99"/>
    </i>
    <i r="2">
      <x/>
    </i>
    <i r="1">
      <x v="100"/>
    </i>
    <i r="2">
      <x/>
    </i>
    <i r="1">
      <x v="101"/>
    </i>
    <i r="2">
      <x/>
    </i>
    <i r="1">
      <x v="102"/>
    </i>
    <i r="2">
      <x/>
    </i>
    <i>
      <x v="14"/>
    </i>
    <i r="1">
      <x v="7"/>
    </i>
    <i r="2">
      <x/>
    </i>
    <i r="1">
      <x v="12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6"/>
    </i>
    <i r="2">
      <x/>
    </i>
    <i r="1">
      <x v="50"/>
    </i>
    <i r="2">
      <x/>
    </i>
    <i r="1">
      <x v="55"/>
    </i>
    <i r="2">
      <x/>
    </i>
    <i r="1">
      <x v="69"/>
    </i>
    <i r="2">
      <x/>
    </i>
    <i r="1">
      <x v="73"/>
    </i>
    <i r="2">
      <x/>
    </i>
    <i r="1">
      <x v="86"/>
    </i>
    <i r="2">
      <x/>
    </i>
    <i r="1">
      <x v="89"/>
    </i>
    <i r="2">
      <x/>
    </i>
    <i r="1">
      <x v="96"/>
    </i>
    <i r="2">
      <x/>
    </i>
    <i r="1">
      <x v="97"/>
    </i>
    <i r="2">
      <x/>
    </i>
    <i>
      <x v="15"/>
    </i>
    <i r="1">
      <x v="34"/>
    </i>
    <i r="2">
      <x/>
    </i>
    <i r="1">
      <x v="86"/>
    </i>
    <i r="2">
      <x/>
    </i>
    <i>
      <x v="16"/>
    </i>
    <i r="1">
      <x v="86"/>
    </i>
    <i r="2">
      <x/>
    </i>
    <i>
      <x v="17"/>
    </i>
    <i r="1">
      <x v="12"/>
    </i>
    <i r="2">
      <x/>
    </i>
    <i r="2">
      <x v="2"/>
    </i>
    <i r="1">
      <x v="17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3"/>
    </i>
    <i r="2">
      <x v="2"/>
    </i>
    <i r="1">
      <x v="34"/>
    </i>
    <i r="2">
      <x/>
    </i>
    <i r="2">
      <x v="2"/>
    </i>
    <i r="1">
      <x v="36"/>
    </i>
    <i r="2">
      <x/>
    </i>
    <i r="1">
      <x v="39"/>
    </i>
    <i r="2">
      <x v="2"/>
    </i>
    <i r="1">
      <x v="53"/>
    </i>
    <i r="2">
      <x/>
    </i>
    <i r="1">
      <x v="55"/>
    </i>
    <i r="2">
      <x/>
    </i>
    <i r="1">
      <x v="69"/>
    </i>
    <i r="2">
      <x/>
    </i>
    <i r="1">
      <x v="75"/>
    </i>
    <i r="2">
      <x/>
    </i>
    <i r="2">
      <x v="2"/>
    </i>
    <i r="1">
      <x v="87"/>
    </i>
    <i r="2">
      <x v="2"/>
    </i>
    <i r="1">
      <x v="89"/>
    </i>
    <i r="2">
      <x/>
    </i>
    <i r="2">
      <x v="2"/>
    </i>
    <i r="1">
      <x v="95"/>
    </i>
    <i r="2">
      <x/>
    </i>
    <i r="1">
      <x v="97"/>
    </i>
    <i r="2">
      <x/>
    </i>
    <i r="1">
      <x v="102"/>
    </i>
    <i r="2">
      <x/>
    </i>
    <i>
      <x v="18"/>
    </i>
    <i r="1">
      <x v="69"/>
    </i>
    <i r="2">
      <x v="4"/>
    </i>
    <i r="1">
      <x v="87"/>
    </i>
    <i r="2">
      <x v="4"/>
    </i>
    <i>
      <x v="19"/>
    </i>
    <i r="1">
      <x v="34"/>
    </i>
    <i r="2">
      <x/>
    </i>
    <i r="1">
      <x v="37"/>
    </i>
    <i r="2">
      <x/>
    </i>
    <i r="1">
      <x v="43"/>
    </i>
    <i r="2">
      <x/>
    </i>
    <i r="1">
      <x v="82"/>
    </i>
    <i r="2">
      <x/>
    </i>
    <i r="1">
      <x v="86"/>
    </i>
    <i r="2">
      <x/>
    </i>
    <i r="1">
      <x v="89"/>
    </i>
    <i r="2">
      <x/>
    </i>
    <i r="1">
      <x v="96"/>
    </i>
    <i r="2">
      <x/>
    </i>
    <i>
      <x v="20"/>
    </i>
    <i r="1">
      <x v="97"/>
    </i>
    <i r="2">
      <x v="4"/>
    </i>
    <i>
      <x v="21"/>
    </i>
    <i r="1">
      <x v="74"/>
    </i>
    <i r="2">
      <x/>
    </i>
    <i>
      <x v="22"/>
    </i>
    <i r="1">
      <x v="4"/>
    </i>
    <i r="2">
      <x/>
    </i>
    <i r="1">
      <x v="18"/>
    </i>
    <i r="2">
      <x v="2"/>
    </i>
    <i r="1">
      <x v="34"/>
    </i>
    <i r="2">
      <x v="2"/>
    </i>
    <i r="1">
      <x v="36"/>
    </i>
    <i r="2">
      <x/>
    </i>
    <i r="1">
      <x v="89"/>
    </i>
    <i r="2">
      <x/>
    </i>
    <i r="1">
      <x v="94"/>
    </i>
    <i r="2">
      <x/>
    </i>
    <i>
      <x v="23"/>
    </i>
    <i r="1">
      <x v="103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alance" fld="1" baseField="0" baseItem="0" numFmtId="43"/>
    <dataField name="Sum of Notional" fld="7" baseField="0" baseItem="0"/>
  </dataFields>
  <formats count="2">
    <format dxfId="5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F509D-CB92-4C6E-BE29-501CDAAC70D7}" name="PivotTable3" cacheId="1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R3:AS227" firstHeaderRow="1" firstDataRow="1" firstDataCol="1"/>
  <pivotFields count="3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95">
        <item x="51"/>
        <item x="0"/>
        <item x="1"/>
        <item x="2"/>
        <item x="52"/>
        <item x="3"/>
        <item x="4"/>
        <item x="5"/>
        <item x="6"/>
        <item x="53"/>
        <item x="54"/>
        <item x="7"/>
        <item x="55"/>
        <item x="48"/>
        <item x="8"/>
        <item x="56"/>
        <item x="57"/>
        <item x="9"/>
        <item x="58"/>
        <item x="10"/>
        <item x="59"/>
        <item x="11"/>
        <item x="60"/>
        <item x="12"/>
        <item x="61"/>
        <item x="13"/>
        <item x="62"/>
        <item x="14"/>
        <item x="15"/>
        <item x="16"/>
        <item x="63"/>
        <item x="27"/>
        <item x="17"/>
        <item x="64"/>
        <item x="34"/>
        <item x="18"/>
        <item x="35"/>
        <item x="36"/>
        <item x="65"/>
        <item x="37"/>
        <item x="66"/>
        <item x="67"/>
        <item x="68"/>
        <item x="69"/>
        <item x="70"/>
        <item x="38"/>
        <item x="71"/>
        <item x="72"/>
        <item x="19"/>
        <item x="73"/>
        <item x="20"/>
        <item x="74"/>
        <item x="21"/>
        <item x="39"/>
        <item x="75"/>
        <item x="76"/>
        <item x="77"/>
        <item x="78"/>
        <item x="40"/>
        <item x="79"/>
        <item x="41"/>
        <item x="42"/>
        <item x="22"/>
        <item x="80"/>
        <item x="81"/>
        <item x="31"/>
        <item x="23"/>
        <item x="24"/>
        <item x="82"/>
        <item x="83"/>
        <item x="49"/>
        <item x="84"/>
        <item x="85"/>
        <item x="43"/>
        <item x="28"/>
        <item x="33"/>
        <item x="86"/>
        <item x="25"/>
        <item x="44"/>
        <item x="29"/>
        <item x="30"/>
        <item x="26"/>
        <item x="87"/>
        <item x="45"/>
        <item x="92"/>
        <item x="88"/>
        <item x="46"/>
        <item x="32"/>
        <item x="89"/>
        <item x="47"/>
        <item x="50"/>
        <item x="90"/>
        <item x="91"/>
        <item x="93"/>
        <item t="default"/>
      </items>
    </pivotField>
    <pivotField dataField="1" showAll="0"/>
  </pivotFields>
  <rowFields count="2">
    <field x="0"/>
    <field x="1"/>
  </rowFields>
  <rowItems count="224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2"/>
    </i>
    <i r="1">
      <x v="35"/>
    </i>
    <i r="1">
      <x v="48"/>
    </i>
    <i r="1">
      <x v="50"/>
    </i>
    <i r="1">
      <x v="52"/>
    </i>
    <i r="1">
      <x v="62"/>
    </i>
    <i r="1">
      <x v="66"/>
    </i>
    <i r="1">
      <x v="67"/>
    </i>
    <i r="1">
      <x v="77"/>
    </i>
    <i r="1">
      <x v="81"/>
    </i>
    <i>
      <x v="1"/>
    </i>
    <i r="1">
      <x v="14"/>
    </i>
    <i r="1">
      <x v="29"/>
    </i>
    <i r="1">
      <x v="31"/>
    </i>
    <i r="1">
      <x v="74"/>
    </i>
    <i r="1">
      <x v="79"/>
    </i>
    <i r="1">
      <x v="80"/>
    </i>
    <i>
      <x v="2"/>
    </i>
    <i r="1">
      <x v="8"/>
    </i>
    <i r="1">
      <x v="14"/>
    </i>
    <i r="1">
      <x v="29"/>
    </i>
    <i r="1">
      <x v="50"/>
    </i>
    <i r="1">
      <x v="65"/>
    </i>
    <i r="1">
      <x v="74"/>
    </i>
    <i r="1">
      <x v="87"/>
    </i>
    <i>
      <x v="3"/>
    </i>
    <i r="1">
      <x v="14"/>
    </i>
    <i r="1">
      <x v="27"/>
    </i>
    <i r="1">
      <x v="29"/>
    </i>
    <i r="1">
      <x v="48"/>
    </i>
    <i r="1">
      <x v="50"/>
    </i>
    <i r="1">
      <x v="74"/>
    </i>
    <i r="1">
      <x v="75"/>
    </i>
    <i>
      <x v="4"/>
    </i>
    <i r="1">
      <x v="74"/>
    </i>
    <i>
      <x v="5"/>
    </i>
    <i r="1">
      <x v="1"/>
    </i>
    <i r="1">
      <x v="6"/>
    </i>
    <i r="1">
      <x v="8"/>
    </i>
    <i r="1">
      <x v="14"/>
    </i>
    <i r="1">
      <x v="19"/>
    </i>
    <i r="1">
      <x v="21"/>
    </i>
    <i r="1">
      <x v="25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5"/>
    </i>
    <i r="1">
      <x v="48"/>
    </i>
    <i r="1">
      <x v="50"/>
    </i>
    <i r="1">
      <x v="53"/>
    </i>
    <i r="1">
      <x v="58"/>
    </i>
    <i r="1">
      <x v="60"/>
    </i>
    <i r="1">
      <x v="61"/>
    </i>
    <i r="1">
      <x v="62"/>
    </i>
    <i r="1">
      <x v="67"/>
    </i>
    <i r="1">
      <x v="73"/>
    </i>
    <i r="1">
      <x v="75"/>
    </i>
    <i r="1">
      <x v="78"/>
    </i>
    <i r="1">
      <x v="83"/>
    </i>
    <i r="1">
      <x v="86"/>
    </i>
    <i r="1">
      <x v="87"/>
    </i>
    <i r="1">
      <x v="89"/>
    </i>
    <i>
      <x v="6"/>
    </i>
    <i r="1">
      <x v="2"/>
    </i>
    <i r="1">
      <x v="8"/>
    </i>
    <i r="1">
      <x v="13"/>
    </i>
    <i r="1">
      <x v="14"/>
    </i>
    <i r="1">
      <x v="25"/>
    </i>
    <i r="1">
      <x v="27"/>
    </i>
    <i r="1">
      <x v="28"/>
    </i>
    <i r="1">
      <x v="29"/>
    </i>
    <i r="1">
      <x v="48"/>
    </i>
    <i r="1">
      <x v="50"/>
    </i>
    <i r="1">
      <x v="70"/>
    </i>
    <i r="1">
      <x v="8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2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</i>
    <i r="1">
      <x v="8"/>
    </i>
    <i r="1">
      <x v="14"/>
    </i>
    <i r="1">
      <x v="27"/>
    </i>
    <i r="1">
      <x v="29"/>
    </i>
    <i r="1">
      <x v="50"/>
    </i>
    <i r="1">
      <x v="62"/>
    </i>
    <i r="1">
      <x v="65"/>
    </i>
    <i r="1">
      <x v="74"/>
    </i>
    <i r="1">
      <x v="77"/>
    </i>
    <i r="1">
      <x v="86"/>
    </i>
    <i r="1">
      <x v="87"/>
    </i>
    <i>
      <x v="9"/>
    </i>
    <i r="1">
      <x v="8"/>
    </i>
    <i r="1">
      <x v="14"/>
    </i>
    <i r="1">
      <x v="29"/>
    </i>
    <i r="1">
      <x v="50"/>
    </i>
    <i r="1">
      <x v="74"/>
    </i>
    <i r="1">
      <x v="87"/>
    </i>
    <i>
      <x v="10"/>
    </i>
    <i r="1">
      <x v="74"/>
    </i>
    <i>
      <x v="11"/>
    </i>
    <i r="1">
      <x v="8"/>
    </i>
    <i r="1">
      <x v="14"/>
    </i>
    <i r="1">
      <x v="25"/>
    </i>
    <i r="1">
      <x v="27"/>
    </i>
    <i r="1">
      <x v="28"/>
    </i>
    <i r="1">
      <x v="29"/>
    </i>
    <i r="1">
      <x v="35"/>
    </i>
    <i r="1">
      <x v="50"/>
    </i>
    <i r="1">
      <x v="62"/>
    </i>
    <i r="1">
      <x v="66"/>
    </i>
    <i r="1">
      <x v="74"/>
    </i>
    <i r="1">
      <x v="75"/>
    </i>
    <i r="1">
      <x v="77"/>
    </i>
    <i r="1">
      <x v="87"/>
    </i>
    <i r="1">
      <x v="92"/>
    </i>
    <i>
      <x v="12"/>
    </i>
    <i r="1">
      <x v="2"/>
    </i>
    <i r="1">
      <x v="14"/>
    </i>
    <i r="1">
      <x v="29"/>
    </i>
    <i r="1">
      <x v="31"/>
    </i>
    <i r="1">
      <x v="77"/>
    </i>
    <i r="1">
      <x v="84"/>
    </i>
    <i>
      <x v="13"/>
    </i>
    <i r="1">
      <x v="93"/>
    </i>
    <i t="grand">
      <x/>
    </i>
  </rowItems>
  <colItems count="1">
    <i/>
  </colItems>
  <dataFields count="1">
    <dataField name="Sum of balance" fld="2" baseField="0" baseItem="0" numFmtId="43"/>
  </dataFields>
  <formats count="2">
    <format dxfId="61">
      <pivotArea outline="0" collapsedLevelsAreSubtotals="1" fieldPosition="0"/>
    </format>
    <format dxfId="6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8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xml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4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31B2-7FB8-4F3E-A7D7-26B97BB93DE6}">
  <sheetPr codeName="Sheet2"/>
  <dimension ref="A3:H10"/>
  <sheetViews>
    <sheetView zoomScale="80" zoomScaleNormal="80" workbookViewId="0">
      <selection activeCell="J18" sqref="J18"/>
    </sheetView>
  </sheetViews>
  <sheetFormatPr defaultRowHeight="15" x14ac:dyDescent="0.25"/>
  <cols>
    <col min="1" max="1" width="15.28515625" bestFit="1" customWidth="1"/>
    <col min="2" max="2" width="16.7109375" bestFit="1" customWidth="1"/>
    <col min="3" max="3" width="12.28515625" bestFit="1" customWidth="1"/>
    <col min="4" max="4" width="14.28515625" bestFit="1" customWidth="1"/>
    <col min="5" max="5" width="13" bestFit="1" customWidth="1"/>
    <col min="6" max="6" width="12.28515625" bestFit="1" customWidth="1"/>
    <col min="7" max="7" width="13.42578125" bestFit="1" customWidth="1"/>
    <col min="8" max="8" width="14.28515625" bestFit="1" customWidth="1"/>
    <col min="9" max="10" width="15.28515625" bestFit="1" customWidth="1"/>
  </cols>
  <sheetData>
    <row r="3" spans="1:8" x14ac:dyDescent="0.25">
      <c r="A3" s="2" t="s">
        <v>58</v>
      </c>
      <c r="B3" s="2" t="s">
        <v>54</v>
      </c>
    </row>
    <row r="4" spans="1:8" x14ac:dyDescent="0.25">
      <c r="A4" s="2" t="s">
        <v>57</v>
      </c>
      <c r="B4" t="s">
        <v>259</v>
      </c>
      <c r="C4" t="s">
        <v>252</v>
      </c>
      <c r="D4" t="s">
        <v>55</v>
      </c>
      <c r="E4" t="s">
        <v>276</v>
      </c>
      <c r="F4" t="s">
        <v>277</v>
      </c>
      <c r="G4" t="s">
        <v>310</v>
      </c>
      <c r="H4" t="s">
        <v>56</v>
      </c>
    </row>
    <row r="5" spans="1:8" x14ac:dyDescent="0.25">
      <c r="A5" s="3" t="s">
        <v>259</v>
      </c>
      <c r="B5" s="8">
        <v>35322931.20457419</v>
      </c>
      <c r="C5" s="8"/>
      <c r="D5" s="8"/>
      <c r="E5" s="8"/>
      <c r="F5" s="8"/>
      <c r="G5" s="8"/>
      <c r="H5" s="8">
        <v>35322931.20457419</v>
      </c>
    </row>
    <row r="6" spans="1:8" x14ac:dyDescent="0.25">
      <c r="A6" s="3" t="s">
        <v>252</v>
      </c>
      <c r="B6" s="8"/>
      <c r="C6" s="8">
        <v>3135066.5424682135</v>
      </c>
      <c r="D6" s="8"/>
      <c r="E6" s="8"/>
      <c r="F6" s="8"/>
      <c r="G6" s="8"/>
      <c r="H6" s="8">
        <v>3135066.5424682135</v>
      </c>
    </row>
    <row r="7" spans="1:8" x14ac:dyDescent="0.25">
      <c r="A7" s="3" t="s">
        <v>13</v>
      </c>
      <c r="B7" s="8"/>
      <c r="C7" s="8"/>
      <c r="D7" s="8"/>
      <c r="E7" s="8">
        <v>-9167714.7973859683</v>
      </c>
      <c r="F7" s="8">
        <v>1061922.9691064418</v>
      </c>
      <c r="G7" s="8"/>
      <c r="H7" s="8">
        <v>-8105791.8282795269</v>
      </c>
    </row>
    <row r="8" spans="1:8" x14ac:dyDescent="0.25">
      <c r="A8" s="3" t="s">
        <v>17</v>
      </c>
      <c r="B8" s="8"/>
      <c r="C8" s="8"/>
      <c r="D8" s="8">
        <v>-34850778.339258946</v>
      </c>
      <c r="E8" s="8"/>
      <c r="F8" s="8"/>
      <c r="G8" s="8"/>
      <c r="H8" s="8">
        <v>-34850778.339258946</v>
      </c>
    </row>
    <row r="9" spans="1:8" x14ac:dyDescent="0.25">
      <c r="A9" s="3" t="s">
        <v>280</v>
      </c>
      <c r="B9" s="8"/>
      <c r="C9" s="8"/>
      <c r="D9" s="8"/>
      <c r="E9" s="8"/>
      <c r="F9" s="8"/>
      <c r="G9" s="8">
        <v>48108900</v>
      </c>
      <c r="H9" s="8">
        <v>48108900</v>
      </c>
    </row>
    <row r="10" spans="1:8" x14ac:dyDescent="0.25">
      <c r="A10" s="3" t="s">
        <v>56</v>
      </c>
      <c r="B10" s="8">
        <v>35322931.20457419</v>
      </c>
      <c r="C10" s="8">
        <v>3135066.5424682135</v>
      </c>
      <c r="D10" s="8">
        <v>-34850778.339258946</v>
      </c>
      <c r="E10" s="8">
        <v>-9167714.7973859683</v>
      </c>
      <c r="F10" s="8">
        <v>1061922.9691064418</v>
      </c>
      <c r="G10" s="8">
        <v>48108900</v>
      </c>
      <c r="H10" s="8">
        <v>43610327.579503931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70C1-D3AF-4CB2-B622-4EC4E7050647}">
  <sheetPr codeName="Sheet3"/>
  <dimension ref="A1:AA174"/>
  <sheetViews>
    <sheetView zoomScale="80" zoomScaleNormal="80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45" sqref="A45:Z141"/>
    </sheetView>
  </sheetViews>
  <sheetFormatPr defaultRowHeight="15" x14ac:dyDescent="0.25"/>
  <cols>
    <col min="2" max="2" width="19.5703125" bestFit="1" customWidth="1"/>
    <col min="3" max="3" width="9" style="14"/>
    <col min="4" max="4" width="12.140625" style="14" bestFit="1" customWidth="1"/>
    <col min="5" max="5" width="22.7109375" style="14" bestFit="1" customWidth="1"/>
    <col min="6" max="9" width="9" style="14"/>
    <col min="10" max="10" width="17.85546875" style="14" bestFit="1" customWidth="1"/>
    <col min="11" max="11" width="18.42578125" style="24" bestFit="1" customWidth="1"/>
    <col min="12" max="13" width="9" style="14"/>
    <col min="14" max="14" width="13.5703125" hidden="1" customWidth="1"/>
    <col min="15" max="15" width="19.85546875" hidden="1" customWidth="1"/>
    <col min="16" max="16" width="14.28515625" hidden="1" customWidth="1"/>
    <col min="17" max="17" width="14" style="16" bestFit="1" customWidth="1"/>
    <col min="18" max="18" width="12" style="26" bestFit="1" customWidth="1"/>
    <col min="19" max="19" width="13.7109375" style="26" bestFit="1" customWidth="1"/>
    <col min="20" max="20" width="20.140625" style="17" bestFit="1" customWidth="1"/>
    <col min="21" max="21" width="14.5703125" style="17" bestFit="1" customWidth="1"/>
    <col min="22" max="22" width="12" style="17" bestFit="1" customWidth="1"/>
    <col min="23" max="23" width="8.140625" style="17" bestFit="1" customWidth="1"/>
    <col min="24" max="24" width="12.7109375" style="17" bestFit="1" customWidth="1"/>
    <col min="25" max="25" width="8.140625" style="23" bestFit="1" customWidth="1"/>
    <col min="26" max="26" width="44.42578125" bestFit="1" customWidth="1"/>
    <col min="27" max="27" width="10.42578125" bestFit="1" customWidth="1"/>
  </cols>
  <sheetData>
    <row r="1" spans="1:27" x14ac:dyDescent="0.25">
      <c r="B1" s="70" t="s">
        <v>435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282</v>
      </c>
      <c r="O1" s="13" t="s">
        <v>283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279</v>
      </c>
      <c r="V1" s="13" t="s">
        <v>68</v>
      </c>
      <c r="W1" s="13" t="s">
        <v>69</v>
      </c>
      <c r="X1" s="13" t="s">
        <v>70</v>
      </c>
      <c r="Y1" s="12" t="s">
        <v>216</v>
      </c>
      <c r="Z1" s="11" t="s">
        <v>254</v>
      </c>
      <c r="AA1" s="11"/>
    </row>
    <row r="2" spans="1:27" x14ac:dyDescent="0.25">
      <c r="A2">
        <v>0</v>
      </c>
      <c r="B2" s="71">
        <v>44938.916666666664</v>
      </c>
      <c r="C2" s="14" t="s">
        <v>11</v>
      </c>
      <c r="D2" s="14" t="s">
        <v>12</v>
      </c>
      <c r="E2" s="14" t="s">
        <v>16</v>
      </c>
      <c r="F2" s="14">
        <v>147376</v>
      </c>
      <c r="G2" s="14">
        <v>14737600</v>
      </c>
      <c r="H2" s="14">
        <v>18094.104153970002</v>
      </c>
      <c r="I2" s="14">
        <v>8.05923838</v>
      </c>
      <c r="J2" s="14" t="s">
        <v>17</v>
      </c>
      <c r="K2" s="15">
        <v>73050.333333333328</v>
      </c>
      <c r="L2" s="14">
        <v>0</v>
      </c>
      <c r="M2" s="14" t="s">
        <v>14</v>
      </c>
      <c r="N2" s="48">
        <v>100</v>
      </c>
      <c r="O2" s="46">
        <v>814.49735640912866</v>
      </c>
      <c r="P2" s="47">
        <v>15369229.58754302</v>
      </c>
      <c r="Q2" s="16">
        <v>28111</v>
      </c>
      <c r="R2" s="26" t="s">
        <v>55</v>
      </c>
      <c r="S2" s="26" t="s">
        <v>60</v>
      </c>
      <c r="T2" s="17" t="s">
        <v>63</v>
      </c>
      <c r="U2" s="17">
        <v>14737600</v>
      </c>
      <c r="V2" s="17">
        <v>18094.104153970002</v>
      </c>
      <c r="W2" s="17">
        <v>0</v>
      </c>
      <c r="X2" s="17">
        <v>0</v>
      </c>
      <c r="Y2" s="14" t="s">
        <v>86</v>
      </c>
      <c r="Z2" t="s">
        <v>785</v>
      </c>
      <c r="AA2" s="30"/>
    </row>
    <row r="3" spans="1:27" x14ac:dyDescent="0.25">
      <c r="A3">
        <v>1</v>
      </c>
      <c r="B3" s="71">
        <v>44938.916666666664</v>
      </c>
      <c r="C3" s="14" t="s">
        <v>11</v>
      </c>
      <c r="D3" s="14" t="s">
        <v>12</v>
      </c>
      <c r="E3" s="14" t="s">
        <v>463</v>
      </c>
      <c r="F3" s="14">
        <v>625634</v>
      </c>
      <c r="G3" s="14">
        <v>6256340</v>
      </c>
      <c r="H3" s="14">
        <v>1385.94</v>
      </c>
      <c r="I3" s="14">
        <v>-13.973289210000001</v>
      </c>
      <c r="J3" s="14" t="s">
        <v>17</v>
      </c>
      <c r="K3" s="15">
        <v>73050.333333333328</v>
      </c>
      <c r="L3" s="14">
        <v>0</v>
      </c>
      <c r="M3" s="14" t="s">
        <v>15</v>
      </c>
      <c r="N3" s="48">
        <v>10</v>
      </c>
      <c r="O3" s="46">
        <v>4514.149241669913</v>
      </c>
      <c r="P3" s="47">
        <v>6400786.1088370252</v>
      </c>
      <c r="Q3" s="16">
        <v>28111</v>
      </c>
      <c r="R3" s="26" t="s">
        <v>55</v>
      </c>
      <c r="S3" s="26" t="s">
        <v>60</v>
      </c>
      <c r="T3" s="17" t="s">
        <v>63</v>
      </c>
      <c r="U3" s="17">
        <v>6256340</v>
      </c>
      <c r="V3" s="17">
        <v>1385.94</v>
      </c>
      <c r="W3" s="17">
        <v>0</v>
      </c>
      <c r="X3" s="17">
        <v>0</v>
      </c>
      <c r="Y3" s="14" t="s">
        <v>86</v>
      </c>
      <c r="Z3" t="s">
        <v>970</v>
      </c>
    </row>
    <row r="4" spans="1:27" x14ac:dyDescent="0.25">
      <c r="A4">
        <v>2</v>
      </c>
      <c r="B4" s="71">
        <v>44938.916666666664</v>
      </c>
      <c r="C4" s="14" t="s">
        <v>11</v>
      </c>
      <c r="D4" s="14" t="s">
        <v>12</v>
      </c>
      <c r="E4" s="14" t="s">
        <v>938</v>
      </c>
      <c r="F4" s="14">
        <v>-104512</v>
      </c>
      <c r="G4" s="14">
        <v>-10451200</v>
      </c>
      <c r="H4" s="14">
        <v>18207.291577249998</v>
      </c>
      <c r="I4" s="14">
        <v>-30.56990704</v>
      </c>
      <c r="J4" s="14" t="s">
        <v>13</v>
      </c>
      <c r="K4" s="15">
        <v>45016.333333333336</v>
      </c>
      <c r="L4" s="14">
        <v>0</v>
      </c>
      <c r="M4" s="14" t="s">
        <v>14</v>
      </c>
      <c r="N4" s="48">
        <v>100</v>
      </c>
      <c r="O4" s="46">
        <v>-574.01178839024965</v>
      </c>
      <c r="P4" s="47">
        <v>-10831365.985790243</v>
      </c>
      <c r="Q4" s="16">
        <v>77</v>
      </c>
      <c r="R4" s="26" t="s">
        <v>277</v>
      </c>
      <c r="S4" s="26" t="s">
        <v>61</v>
      </c>
      <c r="T4" s="17" t="s">
        <v>951</v>
      </c>
      <c r="U4" s="17">
        <v>-10555712</v>
      </c>
      <c r="V4" s="17">
        <v>18389.364493022498</v>
      </c>
      <c r="W4" s="17">
        <v>0.01</v>
      </c>
      <c r="X4" s="17">
        <v>-104512</v>
      </c>
      <c r="Y4" s="14" t="s">
        <v>86</v>
      </c>
      <c r="Z4" t="s">
        <v>954</v>
      </c>
    </row>
    <row r="5" spans="1:27" x14ac:dyDescent="0.25">
      <c r="A5">
        <v>3</v>
      </c>
      <c r="B5" s="71">
        <v>44938.916666666664</v>
      </c>
      <c r="C5" s="14" t="s">
        <v>11</v>
      </c>
      <c r="D5" s="14" t="s">
        <v>12</v>
      </c>
      <c r="E5" s="14" t="s">
        <v>939</v>
      </c>
      <c r="F5" s="14">
        <v>-4149</v>
      </c>
      <c r="G5" s="14">
        <v>-414900</v>
      </c>
      <c r="H5" s="14">
        <v>18286.597918250001</v>
      </c>
      <c r="I5" s="14">
        <v>-1.2599456499999999</v>
      </c>
      <c r="J5" s="14" t="s">
        <v>13</v>
      </c>
      <c r="K5" s="15">
        <v>45107.333333333336</v>
      </c>
      <c r="L5" s="14">
        <v>0</v>
      </c>
      <c r="M5" s="14" t="s">
        <v>14</v>
      </c>
      <c r="N5" s="48">
        <v>100</v>
      </c>
      <c r="O5" s="46">
        <v>-22.688747346816783</v>
      </c>
      <c r="P5" s="47">
        <v>-428127.31592443079</v>
      </c>
      <c r="Q5" s="16">
        <v>168</v>
      </c>
      <c r="R5" s="26" t="s">
        <v>949</v>
      </c>
      <c r="S5" s="26" t="s">
        <v>61</v>
      </c>
      <c r="T5" s="17" t="s">
        <v>952</v>
      </c>
      <c r="U5" s="17">
        <v>-419049</v>
      </c>
      <c r="V5" s="17">
        <v>18469.463897432503</v>
      </c>
      <c r="W5" s="17">
        <v>0.01</v>
      </c>
      <c r="X5" s="17">
        <v>-4149</v>
      </c>
      <c r="Y5" s="14" t="s">
        <v>86</v>
      </c>
      <c r="Z5" t="s">
        <v>955</v>
      </c>
    </row>
    <row r="6" spans="1:27" x14ac:dyDescent="0.25">
      <c r="A6">
        <v>4</v>
      </c>
      <c r="B6" s="71">
        <v>44938.916666666664</v>
      </c>
      <c r="C6" s="14" t="s">
        <v>11</v>
      </c>
      <c r="D6" s="14" t="s">
        <v>12</v>
      </c>
      <c r="E6" s="14" t="s">
        <v>940</v>
      </c>
      <c r="F6" s="14">
        <v>-479349</v>
      </c>
      <c r="G6" s="14">
        <v>-4793490</v>
      </c>
      <c r="H6" s="14">
        <v>1393.8903773100001</v>
      </c>
      <c r="I6" s="14">
        <v>-146.20890825999999</v>
      </c>
      <c r="J6" s="14" t="s">
        <v>13</v>
      </c>
      <c r="K6" s="15">
        <v>45016.333333333336</v>
      </c>
      <c r="L6" s="14">
        <v>0</v>
      </c>
      <c r="M6" s="14" t="s">
        <v>15</v>
      </c>
      <c r="N6" s="48">
        <v>10</v>
      </c>
      <c r="O6" s="46">
        <v>-3438.9289703331756</v>
      </c>
      <c r="P6" s="47">
        <v>-4876189.8652785774</v>
      </c>
      <c r="Q6" s="16">
        <v>77</v>
      </c>
      <c r="R6" s="26" t="s">
        <v>277</v>
      </c>
      <c r="S6" s="26" t="s">
        <v>61</v>
      </c>
      <c r="T6" s="17" t="s">
        <v>951</v>
      </c>
      <c r="U6" s="17">
        <v>-4841424.9000000004</v>
      </c>
      <c r="V6" s="17">
        <v>1407.8292810831001</v>
      </c>
      <c r="W6" s="17">
        <v>0.01</v>
      </c>
      <c r="X6" s="17">
        <v>-47934.900000000373</v>
      </c>
      <c r="Y6" s="14" t="s">
        <v>86</v>
      </c>
      <c r="Z6" t="s">
        <v>956</v>
      </c>
    </row>
    <row r="7" spans="1:27" x14ac:dyDescent="0.25">
      <c r="A7">
        <v>5</v>
      </c>
      <c r="B7" s="71">
        <v>44938.916666666664</v>
      </c>
      <c r="C7" s="14" t="s">
        <v>11</v>
      </c>
      <c r="D7" s="14" t="s">
        <v>18</v>
      </c>
      <c r="E7" s="14" t="s">
        <v>464</v>
      </c>
      <c r="F7" s="14">
        <v>6000</v>
      </c>
      <c r="G7" s="14">
        <v>46674</v>
      </c>
      <c r="H7" s="14">
        <v>7.7789999999999999</v>
      </c>
      <c r="I7" s="14">
        <v>-19982.307659999999</v>
      </c>
      <c r="J7" s="14" t="s">
        <v>17</v>
      </c>
      <c r="K7" s="15">
        <v>73050.333333333328</v>
      </c>
      <c r="L7" s="14">
        <v>1</v>
      </c>
      <c r="M7" s="14" t="s">
        <v>19</v>
      </c>
      <c r="N7" s="48">
        <v>1</v>
      </c>
      <c r="O7" s="46">
        <v>6000</v>
      </c>
      <c r="P7" s="47">
        <v>46674</v>
      </c>
      <c r="Q7" s="16">
        <v>28111</v>
      </c>
      <c r="R7" s="26" t="s">
        <v>55</v>
      </c>
      <c r="S7" s="26" t="s">
        <v>60</v>
      </c>
      <c r="T7" s="17" t="s">
        <v>63</v>
      </c>
      <c r="U7" s="17">
        <v>46674</v>
      </c>
      <c r="V7" s="17">
        <v>7.7789999999999999</v>
      </c>
      <c r="W7" s="17">
        <v>0</v>
      </c>
      <c r="X7" s="17">
        <v>0</v>
      </c>
      <c r="Y7" s="14" t="s">
        <v>86</v>
      </c>
      <c r="Z7" t="s">
        <v>784</v>
      </c>
    </row>
    <row r="8" spans="1:27" x14ac:dyDescent="0.25">
      <c r="A8">
        <v>6</v>
      </c>
      <c r="B8" s="71">
        <v>44938.916666666664</v>
      </c>
      <c r="C8" s="14" t="s">
        <v>11</v>
      </c>
      <c r="D8" s="14" t="s">
        <v>18</v>
      </c>
      <c r="E8" s="14" t="s">
        <v>21</v>
      </c>
      <c r="F8" s="14">
        <v>3173.0729999999999</v>
      </c>
      <c r="G8" s="14">
        <v>57410092.481700003</v>
      </c>
      <c r="H8" s="14">
        <v>18092.900000000001</v>
      </c>
      <c r="I8" s="14">
        <v>509661.76956808998</v>
      </c>
      <c r="J8" s="14" t="s">
        <v>17</v>
      </c>
      <c r="K8" s="15">
        <v>73050.333333333328</v>
      </c>
      <c r="L8" s="14">
        <v>1</v>
      </c>
      <c r="M8" s="14" t="s">
        <v>14</v>
      </c>
      <c r="N8" s="48">
        <v>1</v>
      </c>
      <c r="O8" s="46">
        <v>3173.0729999999999</v>
      </c>
      <c r="P8" s="47">
        <v>59874580.379285462</v>
      </c>
      <c r="Q8" s="16">
        <v>28111</v>
      </c>
      <c r="R8" s="26" t="s">
        <v>55</v>
      </c>
      <c r="S8" s="26" t="s">
        <v>60</v>
      </c>
      <c r="T8" s="17" t="s">
        <v>63</v>
      </c>
      <c r="U8" s="17">
        <v>57410092.481700003</v>
      </c>
      <c r="V8" s="17">
        <v>18092.900000000001</v>
      </c>
      <c r="W8" s="17">
        <v>0</v>
      </c>
      <c r="X8" s="17">
        <v>0</v>
      </c>
      <c r="Y8" s="14" t="s">
        <v>86</v>
      </c>
      <c r="Z8" t="s">
        <v>785</v>
      </c>
    </row>
    <row r="9" spans="1:27" x14ac:dyDescent="0.25">
      <c r="A9">
        <v>7</v>
      </c>
      <c r="B9" s="71">
        <v>44938.916666666664</v>
      </c>
      <c r="C9" s="14" t="s">
        <v>11</v>
      </c>
      <c r="D9" s="14" t="s">
        <v>18</v>
      </c>
      <c r="E9" s="14" t="s">
        <v>466</v>
      </c>
      <c r="F9" s="14">
        <v>-913.74099999999999</v>
      </c>
      <c r="G9" s="14">
        <v>-106367.432730634</v>
      </c>
      <c r="H9" s="14">
        <v>116.40873369000001</v>
      </c>
      <c r="I9" s="14">
        <v>-12761.84731121</v>
      </c>
      <c r="J9" s="14" t="s">
        <v>17</v>
      </c>
      <c r="K9" s="15">
        <v>73050.333333333328</v>
      </c>
      <c r="L9" s="14">
        <v>1</v>
      </c>
      <c r="M9" s="14" t="s">
        <v>20</v>
      </c>
      <c r="N9" s="48">
        <v>1</v>
      </c>
      <c r="O9" s="46">
        <v>-913.74099999999999</v>
      </c>
      <c r="P9" s="47">
        <v>-109384.36103886497</v>
      </c>
      <c r="Q9" s="16">
        <v>28111</v>
      </c>
      <c r="R9" s="26" t="s">
        <v>55</v>
      </c>
      <c r="S9" s="26" t="s">
        <v>61</v>
      </c>
      <c r="T9" s="17" t="s">
        <v>64</v>
      </c>
      <c r="U9" s="17">
        <v>-106367.432730634</v>
      </c>
      <c r="V9" s="17">
        <v>116.40873369000001</v>
      </c>
      <c r="W9" s="17">
        <v>0</v>
      </c>
      <c r="X9" s="17">
        <v>0</v>
      </c>
      <c r="Y9" s="14" t="s">
        <v>86</v>
      </c>
      <c r="Z9" t="s">
        <v>786</v>
      </c>
    </row>
    <row r="10" spans="1:27" x14ac:dyDescent="0.25">
      <c r="A10">
        <v>8</v>
      </c>
      <c r="B10" s="71">
        <v>44938.916666666664</v>
      </c>
      <c r="C10" s="14" t="s">
        <v>11</v>
      </c>
      <c r="D10" s="14" t="s">
        <v>18</v>
      </c>
      <c r="E10" s="14" t="s">
        <v>465</v>
      </c>
      <c r="F10" s="14">
        <v>-528044.5</v>
      </c>
      <c r="G10" s="14">
        <v>-505167.59513000998</v>
      </c>
      <c r="H10" s="14">
        <v>0.95667617999999999</v>
      </c>
      <c r="I10" s="14">
        <v>3559.7063878499998</v>
      </c>
      <c r="J10" s="14" t="s">
        <v>17</v>
      </c>
      <c r="K10" s="15">
        <v>73050.333333333328</v>
      </c>
      <c r="L10" s="14">
        <v>1</v>
      </c>
      <c r="M10" s="14" t="s">
        <v>23</v>
      </c>
      <c r="N10" s="48">
        <v>1</v>
      </c>
      <c r="O10" s="46">
        <v>-528044.5</v>
      </c>
      <c r="P10" s="47">
        <v>-522892.0935442833</v>
      </c>
      <c r="Q10" s="16">
        <v>28111</v>
      </c>
      <c r="R10" s="26" t="s">
        <v>55</v>
      </c>
      <c r="S10" s="26" t="s">
        <v>61</v>
      </c>
      <c r="T10" s="17" t="s">
        <v>64</v>
      </c>
      <c r="U10" s="17">
        <v>-505167.59513000998</v>
      </c>
      <c r="V10" s="17">
        <v>0.95667617999999999</v>
      </c>
      <c r="W10" s="17">
        <v>0</v>
      </c>
      <c r="X10" s="17">
        <v>0</v>
      </c>
      <c r="Y10" s="14" t="s">
        <v>86</v>
      </c>
      <c r="Z10" t="s">
        <v>957</v>
      </c>
    </row>
    <row r="11" spans="1:27" x14ac:dyDescent="0.25">
      <c r="A11">
        <v>9</v>
      </c>
      <c r="B11" s="71">
        <v>44938.916666666664</v>
      </c>
      <c r="C11" s="14" t="s">
        <v>11</v>
      </c>
      <c r="D11" s="14" t="s">
        <v>18</v>
      </c>
      <c r="E11" s="14" t="s">
        <v>467</v>
      </c>
      <c r="F11" s="14">
        <v>-1426.922</v>
      </c>
      <c r="G11" s="14">
        <v>-1978555.7759799999</v>
      </c>
      <c r="H11" s="14">
        <v>1386.59</v>
      </c>
      <c r="I11" s="14">
        <v>2827.5681731300001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8">
        <v>1</v>
      </c>
      <c r="O11" s="46">
        <v>-1426.922</v>
      </c>
      <c r="P11" s="47">
        <v>-2023287.6732748942</v>
      </c>
      <c r="Q11" s="16">
        <v>28111</v>
      </c>
      <c r="R11" s="26" t="s">
        <v>55</v>
      </c>
      <c r="S11" s="26" t="s">
        <v>61</v>
      </c>
      <c r="T11" s="17" t="s">
        <v>64</v>
      </c>
      <c r="U11" s="17">
        <v>-1978555.7759799999</v>
      </c>
      <c r="V11" s="17">
        <v>1386.59</v>
      </c>
      <c r="W11" s="17">
        <v>0</v>
      </c>
      <c r="X11" s="17">
        <v>0</v>
      </c>
      <c r="Y11" s="14" t="s">
        <v>86</v>
      </c>
      <c r="Z11" t="s">
        <v>783</v>
      </c>
    </row>
    <row r="12" spans="1:27" x14ac:dyDescent="0.25">
      <c r="A12">
        <v>10</v>
      </c>
      <c r="B12" s="71">
        <v>44938.916666666664</v>
      </c>
      <c r="C12" s="14" t="s">
        <v>11</v>
      </c>
      <c r="D12" s="14" t="s">
        <v>18</v>
      </c>
      <c r="E12" s="14" t="s">
        <v>468</v>
      </c>
      <c r="F12" s="14">
        <v>-2444.4380000000001</v>
      </c>
      <c r="G12" s="14">
        <v>-203475.01912000001</v>
      </c>
      <c r="H12" s="14">
        <v>83.24</v>
      </c>
      <c r="I12" s="14">
        <v>796.80756375999999</v>
      </c>
      <c r="J12" s="14" t="s">
        <v>17</v>
      </c>
      <c r="K12" s="15">
        <v>73050.333333333328</v>
      </c>
      <c r="L12" s="14">
        <v>1</v>
      </c>
      <c r="M12" s="14" t="s">
        <v>24</v>
      </c>
      <c r="N12" s="48">
        <v>1</v>
      </c>
      <c r="O12" s="46">
        <v>-2444.4380000000001</v>
      </c>
      <c r="P12" s="47">
        <v>-210134.22911014734</v>
      </c>
      <c r="Q12" s="16">
        <v>28111</v>
      </c>
      <c r="R12" s="26" t="s">
        <v>55</v>
      </c>
      <c r="S12" s="26" t="s">
        <v>61</v>
      </c>
      <c r="T12" s="17" t="s">
        <v>64</v>
      </c>
      <c r="U12" s="17">
        <v>-203475.01912000001</v>
      </c>
      <c r="V12" s="17">
        <v>83.24</v>
      </c>
      <c r="W12" s="17">
        <v>0</v>
      </c>
      <c r="X12" s="17">
        <v>0</v>
      </c>
      <c r="Y12" s="14" t="s">
        <v>86</v>
      </c>
      <c r="Z12" t="s">
        <v>787</v>
      </c>
    </row>
    <row r="13" spans="1:27" x14ac:dyDescent="0.25">
      <c r="A13">
        <v>11</v>
      </c>
      <c r="B13" s="71">
        <v>44938.916666666664</v>
      </c>
      <c r="C13" s="14" t="s">
        <v>11</v>
      </c>
      <c r="D13" s="14" t="s">
        <v>18</v>
      </c>
      <c r="E13" s="14" t="s">
        <v>859</v>
      </c>
      <c r="F13" s="14">
        <v>-24000</v>
      </c>
      <c r="G13" s="14">
        <v>-28512</v>
      </c>
      <c r="H13" s="14">
        <v>1.1879999999999999</v>
      </c>
      <c r="I13" s="14">
        <v>-648.70007999999996</v>
      </c>
      <c r="J13" s="14" t="s">
        <v>17</v>
      </c>
      <c r="K13" s="15">
        <v>73050.333333333328</v>
      </c>
      <c r="L13" s="14">
        <v>1</v>
      </c>
      <c r="M13" s="14" t="s">
        <v>150</v>
      </c>
      <c r="N13" s="48">
        <v>1</v>
      </c>
      <c r="O13" s="46">
        <v>-24000</v>
      </c>
      <c r="P13" s="47">
        <v>-29094.527941029119</v>
      </c>
      <c r="Q13" s="16">
        <v>28111</v>
      </c>
      <c r="R13" s="26" t="s">
        <v>55</v>
      </c>
      <c r="S13" s="26" t="s">
        <v>61</v>
      </c>
      <c r="T13" s="17" t="s">
        <v>64</v>
      </c>
      <c r="U13" s="17">
        <v>-28512</v>
      </c>
      <c r="V13" s="17">
        <v>1.1879999999999999</v>
      </c>
      <c r="W13" s="17">
        <v>0</v>
      </c>
      <c r="X13" s="17">
        <v>0</v>
      </c>
      <c r="Y13" s="14" t="s">
        <v>86</v>
      </c>
      <c r="Z13" t="s">
        <v>863</v>
      </c>
    </row>
    <row r="14" spans="1:27" x14ac:dyDescent="0.25">
      <c r="A14">
        <v>12</v>
      </c>
      <c r="B14" s="71">
        <v>44938.916666666664</v>
      </c>
      <c r="C14" s="14" t="s">
        <v>11</v>
      </c>
      <c r="D14" s="14" t="s">
        <v>18</v>
      </c>
      <c r="E14" s="14" t="s">
        <v>469</v>
      </c>
      <c r="F14" s="14">
        <v>-3884601</v>
      </c>
      <c r="G14" s="14">
        <v>-88413.518760000006</v>
      </c>
      <c r="H14" s="14">
        <v>2.2759999999999999E-2</v>
      </c>
      <c r="I14" s="14">
        <v>7934.49177255</v>
      </c>
      <c r="J14" s="14" t="s">
        <v>17</v>
      </c>
      <c r="K14" s="15">
        <v>73050.333333333328</v>
      </c>
      <c r="L14" s="14">
        <v>1</v>
      </c>
      <c r="M14" s="14" t="s">
        <v>26</v>
      </c>
      <c r="N14" s="48">
        <v>1</v>
      </c>
      <c r="O14" s="46">
        <v>-3884601</v>
      </c>
      <c r="P14" s="47">
        <v>-93131.288622527427</v>
      </c>
      <c r="Q14" s="16">
        <v>28111</v>
      </c>
      <c r="R14" s="26" t="s">
        <v>55</v>
      </c>
      <c r="S14" s="26" t="s">
        <v>61</v>
      </c>
      <c r="T14" s="17" t="s">
        <v>64</v>
      </c>
      <c r="U14" s="17">
        <v>-88413.518760000006</v>
      </c>
      <c r="V14" s="17">
        <v>2.2759999999999999E-2</v>
      </c>
      <c r="W14" s="17">
        <v>0</v>
      </c>
      <c r="X14" s="17">
        <v>0</v>
      </c>
      <c r="Y14" s="14" t="s">
        <v>86</v>
      </c>
      <c r="Z14" t="s">
        <v>788</v>
      </c>
    </row>
    <row r="15" spans="1:27" x14ac:dyDescent="0.25">
      <c r="A15">
        <v>13</v>
      </c>
      <c r="B15" s="71">
        <v>44938.916666666664</v>
      </c>
      <c r="C15" s="14" t="s">
        <v>11</v>
      </c>
      <c r="D15" s="14" t="s">
        <v>18</v>
      </c>
      <c r="E15" s="14" t="s">
        <v>470</v>
      </c>
      <c r="F15" s="14">
        <v>-200.97900000000001</v>
      </c>
      <c r="G15" s="14">
        <v>-7406.0761499999999</v>
      </c>
      <c r="H15" s="14">
        <v>36.85</v>
      </c>
      <c r="I15" s="14">
        <v>2554.9602190099999</v>
      </c>
      <c r="J15" s="14" t="s">
        <v>17</v>
      </c>
      <c r="K15" s="15">
        <v>73050.333333333328</v>
      </c>
      <c r="L15" s="14">
        <v>1</v>
      </c>
      <c r="M15" s="14" t="s">
        <v>31</v>
      </c>
      <c r="N15" s="48">
        <v>1</v>
      </c>
      <c r="O15" s="46">
        <v>-200.97900000000001</v>
      </c>
      <c r="P15" s="47">
        <v>-7578.1982253313827</v>
      </c>
      <c r="Q15" s="16">
        <v>28111</v>
      </c>
      <c r="R15" s="26" t="s">
        <v>55</v>
      </c>
      <c r="S15" s="26" t="s">
        <v>61</v>
      </c>
      <c r="T15" s="17" t="s">
        <v>64</v>
      </c>
      <c r="U15" s="17">
        <v>-7406.0761499999999</v>
      </c>
      <c r="V15" s="17">
        <v>36.85</v>
      </c>
      <c r="W15" s="17">
        <v>0</v>
      </c>
      <c r="X15" s="17">
        <v>0</v>
      </c>
      <c r="Y15" s="14" t="s">
        <v>86</v>
      </c>
      <c r="Z15" t="s">
        <v>789</v>
      </c>
    </row>
    <row r="16" spans="1:27" x14ac:dyDescent="0.25">
      <c r="A16">
        <v>14</v>
      </c>
      <c r="B16" s="71">
        <v>44938.916666666664</v>
      </c>
      <c r="C16" s="14" t="s">
        <v>11</v>
      </c>
      <c r="D16" s="14" t="s">
        <v>18</v>
      </c>
      <c r="E16" s="14" t="s">
        <v>471</v>
      </c>
      <c r="F16" s="14">
        <v>-48333.69</v>
      </c>
      <c r="G16" s="14">
        <v>-299592.34933527501</v>
      </c>
      <c r="H16" s="14">
        <v>6.1984166600000004</v>
      </c>
      <c r="I16" s="14">
        <v>-435.06459378</v>
      </c>
      <c r="J16" s="14" t="s">
        <v>17</v>
      </c>
      <c r="K16" s="15">
        <v>73050.333333333328</v>
      </c>
      <c r="L16" s="14">
        <v>1</v>
      </c>
      <c r="M16" s="14" t="s">
        <v>27</v>
      </c>
      <c r="N16" s="48">
        <v>1</v>
      </c>
      <c r="O16" s="46">
        <v>-48333.69</v>
      </c>
      <c r="P16" s="47">
        <v>-308433.30104275077</v>
      </c>
      <c r="Q16" s="16">
        <v>28111</v>
      </c>
      <c r="R16" s="26" t="s">
        <v>55</v>
      </c>
      <c r="S16" s="26" t="s">
        <v>61</v>
      </c>
      <c r="T16" s="17" t="s">
        <v>64</v>
      </c>
      <c r="U16" s="17">
        <v>-299592.34933527501</v>
      </c>
      <c r="V16" s="17">
        <v>6.1984166600000004</v>
      </c>
      <c r="W16" s="17">
        <v>0</v>
      </c>
      <c r="X16" s="17">
        <v>0</v>
      </c>
      <c r="Y16" s="14" t="s">
        <v>86</v>
      </c>
      <c r="Z16" t="s">
        <v>790</v>
      </c>
    </row>
    <row r="17" spans="1:26" x14ac:dyDescent="0.25">
      <c r="A17">
        <v>15</v>
      </c>
      <c r="B17" s="71">
        <v>44938.916666666664</v>
      </c>
      <c r="C17" s="14" t="s">
        <v>11</v>
      </c>
      <c r="D17" s="14" t="s">
        <v>18</v>
      </c>
      <c r="E17" s="14" t="s">
        <v>941</v>
      </c>
      <c r="F17" s="14">
        <v>-266.39499999999998</v>
      </c>
      <c r="G17" s="14">
        <v>-4850799.5077376002</v>
      </c>
      <c r="H17" s="14">
        <v>18209.048622300001</v>
      </c>
      <c r="I17" s="14">
        <v>-251374.41690672</v>
      </c>
      <c r="J17" s="14" t="s">
        <v>13</v>
      </c>
      <c r="K17" s="15">
        <v>45016.333333333336</v>
      </c>
      <c r="L17" s="14">
        <v>1</v>
      </c>
      <c r="M17" s="14" t="s">
        <v>14</v>
      </c>
      <c r="N17" s="48">
        <v>1</v>
      </c>
      <c r="O17" s="46">
        <v>-266.39499999999998</v>
      </c>
      <c r="P17" s="47">
        <v>-5026763.9099824522</v>
      </c>
      <c r="Q17" s="16">
        <v>77</v>
      </c>
      <c r="R17" s="26" t="s">
        <v>277</v>
      </c>
      <c r="S17" s="26" t="s">
        <v>61</v>
      </c>
      <c r="T17" s="17" t="s">
        <v>951</v>
      </c>
      <c r="U17" s="17">
        <v>-4899307.5028149765</v>
      </c>
      <c r="V17" s="17">
        <v>18391.139108523003</v>
      </c>
      <c r="W17" s="17">
        <v>0.01</v>
      </c>
      <c r="X17" s="17">
        <v>-48507.995077376254</v>
      </c>
      <c r="Y17" s="14" t="s">
        <v>86</v>
      </c>
      <c r="Z17" t="s">
        <v>954</v>
      </c>
    </row>
    <row r="18" spans="1:26" x14ac:dyDescent="0.25">
      <c r="A18">
        <v>16</v>
      </c>
      <c r="B18" s="71">
        <v>44938.916666666664</v>
      </c>
      <c r="C18" s="14" t="s">
        <v>11</v>
      </c>
      <c r="D18" s="14" t="s">
        <v>18</v>
      </c>
      <c r="E18" s="14" t="s">
        <v>942</v>
      </c>
      <c r="F18" s="14">
        <v>-4870.1139999999996</v>
      </c>
      <c r="G18" s="14">
        <v>-6789470.4172550198</v>
      </c>
      <c r="H18" s="14">
        <v>1394.1091352799999</v>
      </c>
      <c r="I18" s="14">
        <v>-412443.21422740998</v>
      </c>
      <c r="J18" s="14" t="s">
        <v>13</v>
      </c>
      <c r="K18" s="15">
        <v>45016.333333333336</v>
      </c>
      <c r="L18" s="14">
        <v>1</v>
      </c>
      <c r="M18" s="14" t="s">
        <v>15</v>
      </c>
      <c r="N18" s="48">
        <v>1</v>
      </c>
      <c r="O18" s="46">
        <v>-4870.1139999999996</v>
      </c>
      <c r="P18" s="47">
        <v>-6905522.2525432268</v>
      </c>
      <c r="Q18" s="16">
        <v>77</v>
      </c>
      <c r="R18" s="26" t="s">
        <v>277</v>
      </c>
      <c r="S18" s="26" t="s">
        <v>61</v>
      </c>
      <c r="T18" s="17" t="s">
        <v>951</v>
      </c>
      <c r="U18" s="17">
        <v>-6857365.1214275705</v>
      </c>
      <c r="V18" s="17">
        <v>1408.0502266327999</v>
      </c>
      <c r="W18" s="17">
        <v>0.01</v>
      </c>
      <c r="X18" s="17">
        <v>-67894.704172550701</v>
      </c>
      <c r="Y18" s="14" t="s">
        <v>86</v>
      </c>
      <c r="Z18" t="s">
        <v>956</v>
      </c>
    </row>
    <row r="19" spans="1:26" x14ac:dyDescent="0.25">
      <c r="A19">
        <v>17</v>
      </c>
      <c r="B19" s="71">
        <v>44938.916666666664</v>
      </c>
      <c r="C19" s="14" t="s">
        <v>11</v>
      </c>
      <c r="D19" s="14" t="s">
        <v>299</v>
      </c>
      <c r="E19" s="14" t="s">
        <v>21</v>
      </c>
      <c r="F19" s="14">
        <v>43.820999999999998</v>
      </c>
      <c r="G19" s="14">
        <v>792539.29350559402</v>
      </c>
      <c r="H19" s="14">
        <v>18085.833128080001</v>
      </c>
      <c r="I19" s="14">
        <v>-778.06830797999999</v>
      </c>
      <c r="J19" s="14" t="s">
        <v>17</v>
      </c>
      <c r="K19" s="15">
        <v>73050.333333333328</v>
      </c>
      <c r="L19" s="14">
        <v>1</v>
      </c>
      <c r="M19" s="14" t="s">
        <v>14</v>
      </c>
      <c r="N19" s="48">
        <v>1</v>
      </c>
      <c r="O19" s="46">
        <v>43.820999999999998</v>
      </c>
      <c r="P19" s="47">
        <v>826884.21816978941</v>
      </c>
      <c r="Q19" s="16">
        <v>28111</v>
      </c>
      <c r="R19" s="26" t="s">
        <v>55</v>
      </c>
      <c r="S19" s="26" t="s">
        <v>60</v>
      </c>
      <c r="T19" s="17" t="s">
        <v>63</v>
      </c>
      <c r="U19" s="17">
        <v>792539.29350559402</v>
      </c>
      <c r="V19" s="17">
        <v>18085.833128080001</v>
      </c>
      <c r="W19" s="17">
        <v>0</v>
      </c>
      <c r="X19" s="17">
        <v>0</v>
      </c>
      <c r="Y19" s="14" t="s">
        <v>86</v>
      </c>
      <c r="Z19" t="s">
        <v>785</v>
      </c>
    </row>
    <row r="20" spans="1:26" x14ac:dyDescent="0.25">
      <c r="A20">
        <v>18</v>
      </c>
      <c r="B20" s="71">
        <v>44938.916666666664</v>
      </c>
      <c r="C20" s="14" t="s">
        <v>32</v>
      </c>
      <c r="D20" s="14" t="s">
        <v>33</v>
      </c>
      <c r="E20" s="14" t="s">
        <v>34</v>
      </c>
      <c r="F20" s="14">
        <v>-1.4123000000000001</v>
      </c>
      <c r="G20" s="14">
        <v>-25561.317002344</v>
      </c>
      <c r="H20" s="14">
        <v>18099.0703125</v>
      </c>
      <c r="I20" s="14">
        <v>2002.1107440000001</v>
      </c>
      <c r="J20" s="14" t="s">
        <v>17</v>
      </c>
      <c r="K20" s="15">
        <v>73050.333333333328</v>
      </c>
      <c r="L20" s="14">
        <v>1</v>
      </c>
      <c r="M20" s="14" t="s">
        <v>14</v>
      </c>
      <c r="N20" s="48">
        <v>1</v>
      </c>
      <c r="O20" s="46">
        <v>-1.4123000000000001</v>
      </c>
      <c r="P20" s="47">
        <v>-26649.519210451468</v>
      </c>
      <c r="Q20" s="16">
        <v>28111</v>
      </c>
      <c r="R20" s="26" t="s">
        <v>55</v>
      </c>
      <c r="S20" s="26" t="s">
        <v>61</v>
      </c>
      <c r="T20" s="17" t="s">
        <v>64</v>
      </c>
      <c r="U20" s="17">
        <v>-25561.317002344</v>
      </c>
      <c r="V20" s="17">
        <v>18099.0703125</v>
      </c>
      <c r="W20" s="17">
        <v>0</v>
      </c>
      <c r="X20" s="17">
        <v>0</v>
      </c>
      <c r="Y20" s="14" t="s">
        <v>32</v>
      </c>
      <c r="Z20" t="s">
        <v>782</v>
      </c>
    </row>
    <row r="21" spans="1:26" x14ac:dyDescent="0.25">
      <c r="A21">
        <v>19</v>
      </c>
      <c r="B21" s="71">
        <v>44938.916666666664</v>
      </c>
      <c r="C21" s="14" t="s">
        <v>32</v>
      </c>
      <c r="D21" s="14" t="s">
        <v>33</v>
      </c>
      <c r="E21" s="14" t="s">
        <v>472</v>
      </c>
      <c r="F21" s="14">
        <v>-426.6</v>
      </c>
      <c r="G21" s="14">
        <v>-5050.9440650939996</v>
      </c>
      <c r="H21" s="14">
        <v>11.840000153</v>
      </c>
      <c r="I21" s="14">
        <v>4327.0327079999997</v>
      </c>
      <c r="J21" s="14" t="s">
        <v>17</v>
      </c>
      <c r="K21" s="15">
        <v>73050.333333333328</v>
      </c>
      <c r="L21" s="14">
        <v>1</v>
      </c>
      <c r="M21" s="14" t="s">
        <v>35</v>
      </c>
      <c r="N21" s="48">
        <v>1</v>
      </c>
      <c r="O21" s="46">
        <v>-426.6</v>
      </c>
      <c r="P21" s="47">
        <v>-5236.3835356980007</v>
      </c>
      <c r="Q21" s="16">
        <v>28111</v>
      </c>
      <c r="R21" s="26" t="s">
        <v>55</v>
      </c>
      <c r="S21" s="26" t="s">
        <v>61</v>
      </c>
      <c r="T21" s="17" t="s">
        <v>64</v>
      </c>
      <c r="U21" s="17">
        <v>-5050.9440650939996</v>
      </c>
      <c r="V21" s="17">
        <v>11.840000153</v>
      </c>
      <c r="W21" s="17">
        <v>0</v>
      </c>
      <c r="X21" s="17">
        <v>0</v>
      </c>
      <c r="Y21" s="14" t="s">
        <v>32</v>
      </c>
      <c r="Z21" t="s">
        <v>791</v>
      </c>
    </row>
    <row r="22" spans="1:26" x14ac:dyDescent="0.25">
      <c r="A22">
        <v>20</v>
      </c>
      <c r="B22" s="71">
        <v>44938.916666666664</v>
      </c>
      <c r="C22" s="14" t="s">
        <v>39</v>
      </c>
      <c r="D22" s="14" t="s">
        <v>41</v>
      </c>
      <c r="E22" s="14" t="s">
        <v>936</v>
      </c>
      <c r="F22" s="14">
        <v>-3391</v>
      </c>
      <c r="G22" s="14">
        <v>-339100</v>
      </c>
      <c r="H22" s="14">
        <v>18121.599999999999</v>
      </c>
      <c r="I22" s="14">
        <v>1.3929805E-2</v>
      </c>
      <c r="J22" s="14" t="s">
        <v>17</v>
      </c>
      <c r="K22" s="15">
        <v>73050.333333333328</v>
      </c>
      <c r="L22" s="14">
        <v>0</v>
      </c>
      <c r="M22" s="14" t="s">
        <v>14</v>
      </c>
      <c r="N22" s="48">
        <v>100</v>
      </c>
      <c r="O22" s="46">
        <v>-18.71247571958326</v>
      </c>
      <c r="P22" s="47">
        <v>-353096.708322694</v>
      </c>
      <c r="Q22" s="16">
        <v>28111</v>
      </c>
      <c r="R22" s="26" t="s">
        <v>55</v>
      </c>
      <c r="S22" s="26" t="s">
        <v>61</v>
      </c>
      <c r="T22" s="17" t="s">
        <v>64</v>
      </c>
      <c r="U22" s="17">
        <v>-339100</v>
      </c>
      <c r="V22" s="17">
        <v>18121.599999999999</v>
      </c>
      <c r="W22" s="17">
        <v>0</v>
      </c>
      <c r="X22" s="17">
        <v>0</v>
      </c>
      <c r="Y22" s="14" t="s">
        <v>112</v>
      </c>
      <c r="Z22" t="s">
        <v>782</v>
      </c>
    </row>
    <row r="23" spans="1:26" x14ac:dyDescent="0.25">
      <c r="A23">
        <v>21</v>
      </c>
      <c r="B23" s="71">
        <v>44938.916666666664</v>
      </c>
      <c r="C23" s="14" t="s">
        <v>39</v>
      </c>
      <c r="D23" s="14" t="s">
        <v>41</v>
      </c>
      <c r="E23" s="14" t="s">
        <v>836</v>
      </c>
      <c r="F23" s="14">
        <v>-149</v>
      </c>
      <c r="G23" s="14">
        <v>-1490</v>
      </c>
      <c r="H23" s="14">
        <v>1383.98</v>
      </c>
      <c r="I23" s="14">
        <v>1.2433458E-2</v>
      </c>
      <c r="J23" s="14" t="s">
        <v>17</v>
      </c>
      <c r="K23" s="15">
        <v>73050.333333333328</v>
      </c>
      <c r="L23" s="14">
        <v>0</v>
      </c>
      <c r="M23" s="14" t="s">
        <v>15</v>
      </c>
      <c r="N23" s="48">
        <v>10</v>
      </c>
      <c r="O23" s="46">
        <v>-1.0766051532536598</v>
      </c>
      <c r="P23" s="47">
        <v>-1526.5599209784123</v>
      </c>
      <c r="Q23" s="16">
        <v>28111</v>
      </c>
      <c r="R23" s="26" t="s">
        <v>55</v>
      </c>
      <c r="S23" s="26" t="s">
        <v>61</v>
      </c>
      <c r="T23" s="17" t="s">
        <v>64</v>
      </c>
      <c r="U23" s="17">
        <v>-1490</v>
      </c>
      <c r="V23" s="17">
        <v>1383.98</v>
      </c>
      <c r="W23" s="17">
        <v>0</v>
      </c>
      <c r="X23" s="17">
        <v>0</v>
      </c>
      <c r="Y23" s="14" t="s">
        <v>112</v>
      </c>
      <c r="Z23" t="s">
        <v>783</v>
      </c>
    </row>
    <row r="24" spans="1:26" x14ac:dyDescent="0.25">
      <c r="A24">
        <v>22</v>
      </c>
      <c r="B24" s="71">
        <v>44938.916666666664</v>
      </c>
      <c r="C24" s="14" t="s">
        <v>39</v>
      </c>
      <c r="D24" s="14" t="s">
        <v>42</v>
      </c>
      <c r="E24" s="14" t="s">
        <v>434</v>
      </c>
      <c r="F24" s="14">
        <v>0.64600000000000002</v>
      </c>
      <c r="G24" s="14">
        <v>11685.429400000001</v>
      </c>
      <c r="H24" s="14">
        <v>18088.900000000001</v>
      </c>
      <c r="I24" s="14">
        <v>-20.413599999999999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v>1</v>
      </c>
      <c r="O24" s="46">
        <v>0.64600000000000002</v>
      </c>
      <c r="P24" s="47">
        <v>12189.753883701513</v>
      </c>
      <c r="Q24" s="25">
        <v>28111</v>
      </c>
      <c r="R24" s="26" t="s">
        <v>55</v>
      </c>
      <c r="S24" s="26" t="s">
        <v>60</v>
      </c>
      <c r="T24" s="26" t="s">
        <v>63</v>
      </c>
      <c r="U24" s="17">
        <v>11685.429400000001</v>
      </c>
      <c r="V24" s="17">
        <v>18088.900000000001</v>
      </c>
      <c r="W24" s="39">
        <v>0</v>
      </c>
      <c r="X24" s="17">
        <v>0</v>
      </c>
      <c r="Y24" s="14" t="s">
        <v>112</v>
      </c>
      <c r="Z24" t="s">
        <v>785</v>
      </c>
    </row>
    <row r="25" spans="1:26" x14ac:dyDescent="0.25">
      <c r="A25">
        <v>23</v>
      </c>
      <c r="B25" s="71">
        <v>44938.916666666664</v>
      </c>
      <c r="C25" s="14" t="s">
        <v>39</v>
      </c>
      <c r="D25" s="14" t="s">
        <v>42</v>
      </c>
      <c r="E25" s="14" t="s">
        <v>839</v>
      </c>
      <c r="F25" s="14">
        <v>-0.41</v>
      </c>
      <c r="G25" s="14">
        <v>-568.76840000000004</v>
      </c>
      <c r="H25" s="14">
        <v>1387.24</v>
      </c>
      <c r="I25" s="14">
        <v>5.0430000000000001</v>
      </c>
      <c r="J25" s="14" t="s">
        <v>17</v>
      </c>
      <c r="K25" s="15">
        <v>73050.333333333328</v>
      </c>
      <c r="L25" s="14">
        <v>1</v>
      </c>
      <c r="M25" s="14" t="s">
        <v>15</v>
      </c>
      <c r="N25" s="45">
        <v>1</v>
      </c>
      <c r="O25" s="46">
        <v>-0.41</v>
      </c>
      <c r="P25" s="47">
        <v>-581.35479447559612</v>
      </c>
      <c r="Q25" s="25">
        <v>28111</v>
      </c>
      <c r="R25" s="26" t="s">
        <v>55</v>
      </c>
      <c r="S25" s="26" t="s">
        <v>61</v>
      </c>
      <c r="T25" s="26" t="s">
        <v>64</v>
      </c>
      <c r="U25" s="17">
        <v>-568.76840000000004</v>
      </c>
      <c r="V25" s="17">
        <v>1387.24</v>
      </c>
      <c r="W25" s="39">
        <v>0</v>
      </c>
      <c r="X25" s="17">
        <v>0</v>
      </c>
      <c r="Y25" s="14" t="s">
        <v>112</v>
      </c>
      <c r="Z25" t="s">
        <v>783</v>
      </c>
    </row>
    <row r="26" spans="1:26" x14ac:dyDescent="0.25">
      <c r="A26">
        <v>24</v>
      </c>
      <c r="B26" s="71">
        <v>44938.916666666664</v>
      </c>
      <c r="C26" s="14" t="s">
        <v>45</v>
      </c>
      <c r="D26" s="14" t="s">
        <v>46</v>
      </c>
      <c r="E26" s="14" t="s">
        <v>49</v>
      </c>
      <c r="F26" s="14">
        <v>51768</v>
      </c>
      <c r="G26" s="14">
        <v>5176800</v>
      </c>
      <c r="H26" s="14">
        <v>18107.900000000001</v>
      </c>
      <c r="I26" s="14">
        <v>0.42231638799999999</v>
      </c>
      <c r="J26" s="14" t="s">
        <v>17</v>
      </c>
      <c r="K26" s="15">
        <v>73050.333333333328</v>
      </c>
      <c r="L26" s="14">
        <v>0</v>
      </c>
      <c r="M26" s="14" t="s">
        <v>14</v>
      </c>
      <c r="N26" s="48">
        <v>100</v>
      </c>
      <c r="O26" s="46">
        <v>285.88627063325947</v>
      </c>
      <c r="P26" s="47">
        <v>5394556.1575057525</v>
      </c>
      <c r="Q26" s="16">
        <v>28111</v>
      </c>
      <c r="R26" s="26" t="s">
        <v>55</v>
      </c>
      <c r="S26" s="26" t="s">
        <v>60</v>
      </c>
      <c r="T26" s="17" t="s">
        <v>63</v>
      </c>
      <c r="U26" s="17">
        <v>5176800</v>
      </c>
      <c r="V26" s="17">
        <v>18107.900000000001</v>
      </c>
      <c r="W26" s="17">
        <v>0</v>
      </c>
      <c r="X26" s="17">
        <v>0</v>
      </c>
      <c r="Y26" s="14" t="s">
        <v>45</v>
      </c>
      <c r="Z26" t="s">
        <v>785</v>
      </c>
    </row>
    <row r="27" spans="1:26" x14ac:dyDescent="0.25">
      <c r="A27">
        <v>25</v>
      </c>
      <c r="B27" s="71">
        <v>44938.916666666664</v>
      </c>
      <c r="C27" s="14" t="s">
        <v>45</v>
      </c>
      <c r="D27" s="14" t="s">
        <v>46</v>
      </c>
      <c r="E27" s="14" t="s">
        <v>474</v>
      </c>
      <c r="F27" s="14">
        <v>253470</v>
      </c>
      <c r="G27" s="14">
        <v>2534700</v>
      </c>
      <c r="H27" s="14">
        <v>1387.43</v>
      </c>
      <c r="I27" s="14">
        <v>-7.4565637440000003</v>
      </c>
      <c r="J27" s="14" t="s">
        <v>17</v>
      </c>
      <c r="K27" s="15">
        <v>73050.333333333328</v>
      </c>
      <c r="L27" s="14">
        <v>0</v>
      </c>
      <c r="M27" s="14" t="s">
        <v>15</v>
      </c>
      <c r="N27" s="48">
        <v>10</v>
      </c>
      <c r="O27" s="46">
        <v>1826.902978889025</v>
      </c>
      <c r="P27" s="47">
        <v>2590436.1117533743</v>
      </c>
      <c r="Q27" s="16">
        <v>28111</v>
      </c>
      <c r="R27" s="26" t="s">
        <v>55</v>
      </c>
      <c r="S27" s="26" t="s">
        <v>60</v>
      </c>
      <c r="T27" s="17" t="s">
        <v>63</v>
      </c>
      <c r="U27" s="17">
        <v>2534700</v>
      </c>
      <c r="V27" s="17">
        <v>1387.43</v>
      </c>
      <c r="W27" s="17">
        <v>0</v>
      </c>
      <c r="X27" s="17">
        <v>0</v>
      </c>
      <c r="Y27" s="14" t="s">
        <v>45</v>
      </c>
      <c r="Z27" t="s">
        <v>970</v>
      </c>
    </row>
    <row r="28" spans="1:26" x14ac:dyDescent="0.25">
      <c r="A28">
        <v>26</v>
      </c>
      <c r="B28" s="71">
        <v>44938.916666666664</v>
      </c>
      <c r="C28" s="14" t="s">
        <v>45</v>
      </c>
      <c r="D28" s="14" t="s">
        <v>46</v>
      </c>
      <c r="E28" s="14" t="s">
        <v>47</v>
      </c>
      <c r="F28" s="14">
        <v>79404</v>
      </c>
      <c r="G28" s="14">
        <v>14377840.766630201</v>
      </c>
      <c r="H28" s="14">
        <v>18107.2</v>
      </c>
      <c r="I28" s="14">
        <v>54412.331657442002</v>
      </c>
      <c r="J28" s="14" t="s">
        <v>17</v>
      </c>
      <c r="K28" s="15">
        <v>73050.333333333328</v>
      </c>
      <c r="L28" s="14">
        <v>1</v>
      </c>
      <c r="M28" s="14" t="s">
        <v>14</v>
      </c>
      <c r="N28" s="48">
        <v>0.01</v>
      </c>
      <c r="O28" s="46">
        <v>794.04</v>
      </c>
      <c r="P28" s="47">
        <v>14983207.699403016</v>
      </c>
      <c r="Q28" s="16">
        <v>28111</v>
      </c>
      <c r="R28" s="26" t="s">
        <v>55</v>
      </c>
      <c r="S28" s="26" t="s">
        <v>60</v>
      </c>
      <c r="T28" s="17" t="s">
        <v>63</v>
      </c>
      <c r="U28" s="17">
        <v>14377840.766630201</v>
      </c>
      <c r="V28" s="17">
        <v>18107.2</v>
      </c>
      <c r="W28" s="17">
        <v>0</v>
      </c>
      <c r="X28" s="17">
        <v>0</v>
      </c>
      <c r="Y28" s="14" t="s">
        <v>45</v>
      </c>
      <c r="Z28" t="s">
        <v>785</v>
      </c>
    </row>
    <row r="29" spans="1:26" x14ac:dyDescent="0.25">
      <c r="A29">
        <v>27</v>
      </c>
      <c r="B29" s="71">
        <v>44938.916666666664</v>
      </c>
      <c r="C29" s="14" t="s">
        <v>45</v>
      </c>
      <c r="D29" s="14" t="s">
        <v>46</v>
      </c>
      <c r="E29" s="14" t="s">
        <v>475</v>
      </c>
      <c r="F29" s="14">
        <v>82157</v>
      </c>
      <c r="G29" s="14">
        <v>11400187.646876</v>
      </c>
      <c r="H29" s="14">
        <v>1387.61</v>
      </c>
      <c r="I29" s="14">
        <v>-52344.481048977003</v>
      </c>
      <c r="J29" s="14" t="s">
        <v>17</v>
      </c>
      <c r="K29" s="15">
        <v>73050.333333333328</v>
      </c>
      <c r="L29" s="14">
        <v>1</v>
      </c>
      <c r="M29" s="14" t="s">
        <v>15</v>
      </c>
      <c r="N29" s="48">
        <v>0.1</v>
      </c>
      <c r="O29" s="46">
        <v>8215.7000000000007</v>
      </c>
      <c r="P29" s="47">
        <v>11649357.524324769</v>
      </c>
      <c r="Q29" s="16">
        <v>28111</v>
      </c>
      <c r="R29" s="26" t="s">
        <v>55</v>
      </c>
      <c r="S29" s="26" t="s">
        <v>60</v>
      </c>
      <c r="T29" s="17" t="s">
        <v>63</v>
      </c>
      <c r="U29" s="17">
        <v>11400187.646876</v>
      </c>
      <c r="V29" s="17">
        <v>1387.61</v>
      </c>
      <c r="W29" s="17">
        <v>0</v>
      </c>
      <c r="X29" s="17">
        <v>0</v>
      </c>
      <c r="Y29" s="14" t="s">
        <v>45</v>
      </c>
      <c r="Z29" t="s">
        <v>970</v>
      </c>
    </row>
    <row r="30" spans="1:26" x14ac:dyDescent="0.25">
      <c r="A30">
        <v>28</v>
      </c>
      <c r="B30" s="71">
        <v>44938.916666666664</v>
      </c>
      <c r="C30" s="14" t="s">
        <v>45</v>
      </c>
      <c r="D30" s="14" t="s">
        <v>46</v>
      </c>
      <c r="E30" s="14" t="s">
        <v>948</v>
      </c>
      <c r="F30" s="14">
        <v>5176</v>
      </c>
      <c r="G30" s="14">
        <v>721772.50675524794</v>
      </c>
      <c r="H30" s="14">
        <v>1394.46</v>
      </c>
      <c r="I30" s="14">
        <v>39943.057889452</v>
      </c>
      <c r="J30" s="14" t="s">
        <v>13</v>
      </c>
      <c r="K30" s="15">
        <v>45016.333333333336</v>
      </c>
      <c r="L30" s="14">
        <v>1</v>
      </c>
      <c r="M30" s="14" t="s">
        <v>15</v>
      </c>
      <c r="N30" s="48">
        <v>0.1</v>
      </c>
      <c r="O30" s="46">
        <v>517.6</v>
      </c>
      <c r="P30" s="47">
        <v>733924.97956236242</v>
      </c>
      <c r="Q30" s="16">
        <v>77</v>
      </c>
      <c r="R30" s="26" t="s">
        <v>277</v>
      </c>
      <c r="S30" s="26" t="s">
        <v>60</v>
      </c>
      <c r="T30" s="17" t="s">
        <v>950</v>
      </c>
      <c r="U30" s="17">
        <v>728990.23182280047</v>
      </c>
      <c r="V30" s="17">
        <v>1408.4046000000001</v>
      </c>
      <c r="W30" s="17">
        <v>0.01</v>
      </c>
      <c r="X30" s="17">
        <v>7217.7250675525283</v>
      </c>
      <c r="Y30" s="14" t="s">
        <v>45</v>
      </c>
      <c r="Z30" t="s">
        <v>961</v>
      </c>
    </row>
    <row r="31" spans="1:26" x14ac:dyDescent="0.25">
      <c r="A31">
        <v>29</v>
      </c>
      <c r="B31" s="71">
        <v>44938.916666666664</v>
      </c>
      <c r="C31" s="14" t="s">
        <v>45</v>
      </c>
      <c r="D31" s="14" t="s">
        <v>46</v>
      </c>
      <c r="E31" s="14" t="s">
        <v>962</v>
      </c>
      <c r="F31" s="14">
        <v>717</v>
      </c>
      <c r="G31" s="14">
        <v>100017.916490383</v>
      </c>
      <c r="H31" s="14">
        <v>1394.95</v>
      </c>
      <c r="I31" s="14">
        <v>4057.562043167</v>
      </c>
      <c r="J31" s="14" t="s">
        <v>13</v>
      </c>
      <c r="K31" s="15">
        <v>45107.333333333336</v>
      </c>
      <c r="L31" s="14">
        <v>1</v>
      </c>
      <c r="M31" s="14" t="s">
        <v>15</v>
      </c>
      <c r="N31" s="48">
        <v>0.1</v>
      </c>
      <c r="O31" s="46">
        <v>71.7</v>
      </c>
      <c r="P31" s="47">
        <v>101666.19210707377</v>
      </c>
      <c r="Q31" s="16">
        <v>168</v>
      </c>
      <c r="R31" s="26" t="s">
        <v>949</v>
      </c>
      <c r="S31" s="26" t="s">
        <v>60</v>
      </c>
      <c r="T31" s="17" t="s">
        <v>953</v>
      </c>
      <c r="U31" s="17">
        <v>101018.09565528683</v>
      </c>
      <c r="V31" s="17">
        <v>1408.8995</v>
      </c>
      <c r="W31" s="17">
        <v>0.01</v>
      </c>
      <c r="X31" s="17">
        <v>1000.179164903835</v>
      </c>
      <c r="Y31" s="14" t="s">
        <v>45</v>
      </c>
      <c r="Z31" t="s">
        <v>963</v>
      </c>
    </row>
    <row r="32" spans="1:26" x14ac:dyDescent="0.25">
      <c r="A32">
        <v>30</v>
      </c>
      <c r="B32" s="71">
        <v>44938.916666666664</v>
      </c>
      <c r="C32" s="14" t="s">
        <v>45</v>
      </c>
      <c r="D32" s="14" t="s">
        <v>46</v>
      </c>
      <c r="E32" s="14" t="s">
        <v>473</v>
      </c>
      <c r="F32" s="14">
        <v>-2250</v>
      </c>
      <c r="G32" s="14">
        <v>-21550.5</v>
      </c>
      <c r="H32" s="14">
        <v>0.95779999999999998</v>
      </c>
      <c r="I32" s="14">
        <v>-36.667999999999999</v>
      </c>
      <c r="J32" s="14" t="s">
        <v>17</v>
      </c>
      <c r="K32" s="15">
        <v>73050.333333333328</v>
      </c>
      <c r="L32" s="14">
        <v>1</v>
      </c>
      <c r="M32" s="14" t="s">
        <v>23</v>
      </c>
      <c r="N32" s="48">
        <v>10</v>
      </c>
      <c r="O32" s="46">
        <v>-22500</v>
      </c>
      <c r="P32" s="47">
        <v>-22280.455728156194</v>
      </c>
      <c r="Q32" s="16">
        <v>28111</v>
      </c>
      <c r="R32" s="26" t="s">
        <v>55</v>
      </c>
      <c r="S32" s="26" t="s">
        <v>61</v>
      </c>
      <c r="T32" s="17" t="s">
        <v>64</v>
      </c>
      <c r="U32" s="17">
        <v>-21550.5</v>
      </c>
      <c r="V32" s="17">
        <v>0.95779999999999998</v>
      </c>
      <c r="W32" s="17">
        <v>0</v>
      </c>
      <c r="X32" s="17">
        <v>0</v>
      </c>
      <c r="Y32" s="14" t="s">
        <v>45</v>
      </c>
      <c r="Z32" t="s">
        <v>957</v>
      </c>
    </row>
    <row r="33" spans="1:26" x14ac:dyDescent="0.25">
      <c r="A33">
        <v>31</v>
      </c>
      <c r="B33" s="71">
        <v>44938.916666666664</v>
      </c>
      <c r="C33" s="14" t="s">
        <v>45</v>
      </c>
      <c r="D33" s="14" t="s">
        <v>46</v>
      </c>
      <c r="E33" s="14" t="s">
        <v>943</v>
      </c>
      <c r="F33" s="14">
        <v>-91454</v>
      </c>
      <c r="G33" s="14">
        <v>-9145400</v>
      </c>
      <c r="H33" s="14">
        <v>18209.599999999999</v>
      </c>
      <c r="I33" s="14">
        <v>-20.628144206999998</v>
      </c>
      <c r="J33" s="14" t="s">
        <v>13</v>
      </c>
      <c r="K33" s="15">
        <v>45016.333333333336</v>
      </c>
      <c r="L33" s="14">
        <v>0</v>
      </c>
      <c r="M33" s="14" t="s">
        <v>14</v>
      </c>
      <c r="N33" s="48">
        <v>100</v>
      </c>
      <c r="O33" s="46">
        <v>-502.22959318161855</v>
      </c>
      <c r="P33" s="47">
        <v>-9476865.5325007215</v>
      </c>
      <c r="Q33" s="16">
        <v>77</v>
      </c>
      <c r="R33" s="26" t="s">
        <v>277</v>
      </c>
      <c r="S33" s="26" t="s">
        <v>61</v>
      </c>
      <c r="T33" s="17" t="s">
        <v>951</v>
      </c>
      <c r="U33" s="17">
        <v>-9236854</v>
      </c>
      <c r="V33" s="17">
        <v>18391.696</v>
      </c>
      <c r="W33" s="17">
        <v>0.01</v>
      </c>
      <c r="X33" s="17">
        <v>-91454</v>
      </c>
      <c r="Y33" s="14" t="s">
        <v>45</v>
      </c>
      <c r="Z33" t="s">
        <v>954</v>
      </c>
    </row>
    <row r="34" spans="1:26" x14ac:dyDescent="0.25">
      <c r="A34">
        <v>32</v>
      </c>
      <c r="B34" s="71">
        <v>44938.916666666664</v>
      </c>
      <c r="C34" s="14" t="s">
        <v>45</v>
      </c>
      <c r="D34" s="14" t="s">
        <v>46</v>
      </c>
      <c r="E34" s="14" t="s">
        <v>944</v>
      </c>
      <c r="F34" s="14">
        <v>-3192</v>
      </c>
      <c r="G34" s="14">
        <v>-319200</v>
      </c>
      <c r="H34" s="18">
        <v>18290.599999999999</v>
      </c>
      <c r="I34" s="14">
        <v>-0.190820879</v>
      </c>
      <c r="J34" s="14" t="s">
        <v>13</v>
      </c>
      <c r="K34" s="15">
        <v>45107.333333333336</v>
      </c>
      <c r="L34" s="14">
        <v>0</v>
      </c>
      <c r="M34" s="14" t="s">
        <v>14</v>
      </c>
      <c r="N34" s="48">
        <v>100</v>
      </c>
      <c r="O34" s="46">
        <v>-17.451587154057275</v>
      </c>
      <c r="P34" s="47">
        <v>-329304.26050762401</v>
      </c>
      <c r="Q34" s="16">
        <v>168</v>
      </c>
      <c r="R34" s="26" t="s">
        <v>949</v>
      </c>
      <c r="S34" s="26" t="s">
        <v>61</v>
      </c>
      <c r="T34" s="17" t="s">
        <v>952</v>
      </c>
      <c r="U34" s="17">
        <v>-322392</v>
      </c>
      <c r="V34" s="17">
        <v>18473.505999999998</v>
      </c>
      <c r="W34" s="17">
        <v>0.01</v>
      </c>
      <c r="X34" s="17">
        <v>-3192</v>
      </c>
      <c r="Y34" s="14" t="s">
        <v>45</v>
      </c>
      <c r="Z34" t="s">
        <v>955</v>
      </c>
    </row>
    <row r="35" spans="1:26" x14ac:dyDescent="0.25">
      <c r="A35">
        <v>33</v>
      </c>
      <c r="B35" s="71">
        <v>44938.916666666664</v>
      </c>
      <c r="C35" s="14" t="s">
        <v>45</v>
      </c>
      <c r="D35" s="14" t="s">
        <v>46</v>
      </c>
      <c r="E35" s="14" t="s">
        <v>947</v>
      </c>
      <c r="F35" s="14">
        <v>-621487</v>
      </c>
      <c r="G35" s="14">
        <v>-6214870</v>
      </c>
      <c r="H35" s="14">
        <v>1395.47</v>
      </c>
      <c r="I35" s="14">
        <v>-292.53851759200001</v>
      </c>
      <c r="J35" s="14" t="s">
        <v>13</v>
      </c>
      <c r="K35" s="15">
        <v>45016.333333333336</v>
      </c>
      <c r="L35" s="14">
        <v>0</v>
      </c>
      <c r="M35" s="14" t="s">
        <v>15</v>
      </c>
      <c r="N35" s="48">
        <v>10</v>
      </c>
      <c r="O35" s="46">
        <v>-4453.6034454341543</v>
      </c>
      <c r="P35" s="47">
        <v>-6314935.8919419013</v>
      </c>
      <c r="Q35" s="16">
        <v>77</v>
      </c>
      <c r="R35" s="26" t="s">
        <v>277</v>
      </c>
      <c r="S35" s="26" t="s">
        <v>61</v>
      </c>
      <c r="T35" s="17" t="s">
        <v>951</v>
      </c>
      <c r="U35" s="17">
        <v>-6277018.7000000002</v>
      </c>
      <c r="V35" s="17">
        <v>1409.4247</v>
      </c>
      <c r="W35" s="17">
        <v>0.01</v>
      </c>
      <c r="X35" s="17">
        <v>-62148.700000000186</v>
      </c>
      <c r="Y35" s="14" t="s">
        <v>45</v>
      </c>
      <c r="Z35" t="s">
        <v>956</v>
      </c>
    </row>
    <row r="36" spans="1:26" x14ac:dyDescent="0.25">
      <c r="A36">
        <v>34</v>
      </c>
      <c r="B36" s="71">
        <v>44938.916666666664</v>
      </c>
      <c r="C36" s="14" t="s">
        <v>45</v>
      </c>
      <c r="D36" s="14" t="s">
        <v>46</v>
      </c>
      <c r="E36" s="14" t="s">
        <v>476</v>
      </c>
      <c r="F36" s="14">
        <v>-22276</v>
      </c>
      <c r="G36" s="14">
        <v>-138289.408</v>
      </c>
      <c r="H36" s="14">
        <v>6.2080000000000002</v>
      </c>
      <c r="I36" s="14">
        <v>170.00881966399999</v>
      </c>
      <c r="J36" s="14" t="s">
        <v>17</v>
      </c>
      <c r="K36" s="15">
        <v>73050.333333333328</v>
      </c>
      <c r="L36" s="14">
        <v>1</v>
      </c>
      <c r="M36" s="14" t="s">
        <v>27</v>
      </c>
      <c r="N36" s="48">
        <v>1</v>
      </c>
      <c r="O36" s="46">
        <v>-22276</v>
      </c>
      <c r="P36" s="47">
        <v>-142150.541662106</v>
      </c>
      <c r="Q36" s="16">
        <v>28111</v>
      </c>
      <c r="R36" s="26" t="s">
        <v>55</v>
      </c>
      <c r="S36" s="26" t="s">
        <v>61</v>
      </c>
      <c r="T36" s="17" t="s">
        <v>64</v>
      </c>
      <c r="U36" s="17">
        <v>-138289.408</v>
      </c>
      <c r="V36" s="17">
        <v>6.2080000000000002</v>
      </c>
      <c r="W36" s="17">
        <v>0</v>
      </c>
      <c r="X36" s="17">
        <v>0</v>
      </c>
      <c r="Y36" s="14" t="s">
        <v>45</v>
      </c>
      <c r="Z36" t="s">
        <v>790</v>
      </c>
    </row>
    <row r="37" spans="1:26" x14ac:dyDescent="0.25">
      <c r="A37">
        <v>35</v>
      </c>
      <c r="B37" s="71">
        <v>44938.916666666664</v>
      </c>
      <c r="C37" s="14" t="s">
        <v>45</v>
      </c>
      <c r="D37" s="14" t="s">
        <v>46</v>
      </c>
      <c r="E37" s="14" t="s">
        <v>477</v>
      </c>
      <c r="F37" s="14">
        <v>-89029</v>
      </c>
      <c r="G37" s="14">
        <v>-827969.7</v>
      </c>
      <c r="H37" s="14">
        <v>9.3000000000000007E-6</v>
      </c>
      <c r="I37" s="14">
        <v>104940.705870498</v>
      </c>
      <c r="J37" s="14" t="s">
        <v>17</v>
      </c>
      <c r="K37" s="15">
        <v>73050.333333333328</v>
      </c>
      <c r="L37" s="14">
        <v>1</v>
      </c>
      <c r="M37" s="14" t="s">
        <v>37</v>
      </c>
      <c r="N37" s="48">
        <v>1000000</v>
      </c>
      <c r="O37" s="46">
        <v>-89029000000</v>
      </c>
      <c r="P37" s="47">
        <v>-843227.78742992668</v>
      </c>
      <c r="Q37" s="16">
        <v>28111</v>
      </c>
      <c r="R37" s="26" t="s">
        <v>55</v>
      </c>
      <c r="S37" s="26" t="s">
        <v>61</v>
      </c>
      <c r="T37" s="17" t="s">
        <v>64</v>
      </c>
      <c r="U37" s="17">
        <v>-827969.7</v>
      </c>
      <c r="V37" s="17">
        <v>9.3000000000000007E-6</v>
      </c>
      <c r="W37" s="17">
        <v>0</v>
      </c>
      <c r="X37" s="17">
        <v>0</v>
      </c>
      <c r="Y37" s="14" t="s">
        <v>45</v>
      </c>
      <c r="Z37" t="s">
        <v>792</v>
      </c>
    </row>
    <row r="38" spans="1:26" x14ac:dyDescent="0.25">
      <c r="A38">
        <v>36</v>
      </c>
      <c r="B38" s="71">
        <v>44938.916666666664</v>
      </c>
      <c r="C38" s="14" t="s">
        <v>45</v>
      </c>
      <c r="D38" s="14" t="s">
        <v>46</v>
      </c>
      <c r="E38" s="14" t="s">
        <v>945</v>
      </c>
      <c r="F38" s="14">
        <v>-3200</v>
      </c>
      <c r="G38" s="14">
        <v>-582403.18698227406</v>
      </c>
      <c r="H38" s="14">
        <v>18200.099999999999</v>
      </c>
      <c r="I38" s="14">
        <v>2813.6667197510001</v>
      </c>
      <c r="J38" s="14" t="s">
        <v>13</v>
      </c>
      <c r="K38" s="15">
        <v>45016.333333333336</v>
      </c>
      <c r="L38" s="14">
        <v>1</v>
      </c>
      <c r="M38" s="14" t="s">
        <v>14</v>
      </c>
      <c r="N38" s="48">
        <v>0.01</v>
      </c>
      <c r="O38" s="46">
        <v>-32</v>
      </c>
      <c r="P38" s="47">
        <v>-603826.817768496</v>
      </c>
      <c r="Q38" s="16">
        <v>77</v>
      </c>
      <c r="R38" s="26" t="s">
        <v>277</v>
      </c>
      <c r="S38" s="26" t="s">
        <v>61</v>
      </c>
      <c r="T38" s="17" t="s">
        <v>951</v>
      </c>
      <c r="U38" s="17">
        <v>-588227.21885209682</v>
      </c>
      <c r="V38" s="17">
        <v>18382.100999999999</v>
      </c>
      <c r="W38" s="17">
        <v>0.01</v>
      </c>
      <c r="X38" s="17">
        <v>-5824.0318698227638</v>
      </c>
      <c r="Y38" s="14" t="s">
        <v>45</v>
      </c>
      <c r="Z38" t="s">
        <v>954</v>
      </c>
    </row>
    <row r="39" spans="1:26" x14ac:dyDescent="0.25">
      <c r="A39">
        <v>37</v>
      </c>
      <c r="B39" s="71">
        <v>44938.916666666664</v>
      </c>
      <c r="C39" s="14" t="s">
        <v>45</v>
      </c>
      <c r="D39" s="14" t="s">
        <v>46</v>
      </c>
      <c r="E39" s="14" t="s">
        <v>946</v>
      </c>
      <c r="F39" s="14">
        <v>-382</v>
      </c>
      <c r="G39" s="14">
        <v>-69676.798442601998</v>
      </c>
      <c r="H39" s="14">
        <v>18240</v>
      </c>
      <c r="I39" s="14">
        <v>-1602.914621053</v>
      </c>
      <c r="J39" s="14" t="s">
        <v>13</v>
      </c>
      <c r="K39" s="15">
        <v>45107.333333333336</v>
      </c>
      <c r="L39" s="14">
        <v>1</v>
      </c>
      <c r="M39" s="14" t="s">
        <v>14</v>
      </c>
      <c r="N39" s="48">
        <v>0.01</v>
      </c>
      <c r="O39" s="46">
        <v>-3.8200000000000003</v>
      </c>
      <c r="P39" s="47">
        <v>-72081.826371114221</v>
      </c>
      <c r="Q39" s="16">
        <v>168</v>
      </c>
      <c r="R39" s="26" t="s">
        <v>949</v>
      </c>
      <c r="S39" s="26" t="s">
        <v>61</v>
      </c>
      <c r="T39" s="17" t="s">
        <v>952</v>
      </c>
      <c r="U39" s="17">
        <v>-70373.566427028025</v>
      </c>
      <c r="V39" s="17">
        <v>18422.400000000001</v>
      </c>
      <c r="W39" s="17">
        <v>0.01</v>
      </c>
      <c r="X39" s="17">
        <v>-696.7679844260274</v>
      </c>
      <c r="Y39" s="14" t="s">
        <v>45</v>
      </c>
      <c r="Z39" t="s">
        <v>955</v>
      </c>
    </row>
    <row r="40" spans="1:26" x14ac:dyDescent="0.25">
      <c r="A40">
        <v>38</v>
      </c>
      <c r="B40" s="71">
        <v>44938.916666666664</v>
      </c>
      <c r="C40" s="14" t="s">
        <v>45</v>
      </c>
      <c r="D40" s="14" t="s">
        <v>51</v>
      </c>
      <c r="E40" s="14" t="s">
        <v>478</v>
      </c>
      <c r="F40" s="14">
        <v>17440</v>
      </c>
      <c r="G40" s="14">
        <v>13585.760202444</v>
      </c>
      <c r="H40" s="14">
        <v>7.79</v>
      </c>
      <c r="I40" s="14">
        <v>-17948.250061801002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8">
        <v>0.1</v>
      </c>
      <c r="O40" s="46">
        <v>1744</v>
      </c>
      <c r="P40" s="47">
        <v>13585.76</v>
      </c>
      <c r="Q40" s="16">
        <v>28111</v>
      </c>
      <c r="R40" s="26" t="s">
        <v>55</v>
      </c>
      <c r="S40" s="26" t="s">
        <v>60</v>
      </c>
      <c r="T40" s="17" t="s">
        <v>63</v>
      </c>
      <c r="U40" s="17">
        <v>13585.760202444</v>
      </c>
      <c r="V40" s="17">
        <v>7.79</v>
      </c>
      <c r="W40" s="17">
        <v>0</v>
      </c>
      <c r="X40" s="17">
        <v>0</v>
      </c>
      <c r="Y40" s="14" t="s">
        <v>45</v>
      </c>
      <c r="Z40" t="s">
        <v>784</v>
      </c>
    </row>
    <row r="41" spans="1:26" x14ac:dyDescent="0.25">
      <c r="A41">
        <v>39</v>
      </c>
      <c r="B41" s="71">
        <v>44938.916666666664</v>
      </c>
      <c r="C41" s="14" t="s">
        <v>265</v>
      </c>
      <c r="D41" s="14" t="s">
        <v>296</v>
      </c>
      <c r="E41" s="14" t="s">
        <v>966</v>
      </c>
      <c r="F41" s="14">
        <v>17</v>
      </c>
      <c r="G41" s="14">
        <v>1215500</v>
      </c>
      <c r="H41" s="14">
        <v>1430</v>
      </c>
      <c r="I41" s="14">
        <v>0</v>
      </c>
      <c r="J41" s="14" t="s">
        <v>280</v>
      </c>
      <c r="K41" s="15">
        <v>44982</v>
      </c>
      <c r="L41" s="14">
        <v>1</v>
      </c>
      <c r="M41" s="14" t="s">
        <v>15</v>
      </c>
      <c r="N41" s="48">
        <v>50</v>
      </c>
      <c r="O41" s="46">
        <v>850</v>
      </c>
      <c r="P41" s="47">
        <v>1205247.7446445285</v>
      </c>
      <c r="Q41" s="16">
        <v>43</v>
      </c>
      <c r="R41" s="26" t="s">
        <v>425</v>
      </c>
      <c r="S41" s="26" t="s">
        <v>60</v>
      </c>
      <c r="T41" s="17" t="s">
        <v>969</v>
      </c>
      <c r="U41" s="17">
        <v>1227655</v>
      </c>
      <c r="V41" s="17">
        <v>1444.3</v>
      </c>
      <c r="W41" s="17">
        <v>0.01</v>
      </c>
      <c r="X41" s="17">
        <v>12155</v>
      </c>
      <c r="Y41" s="14" t="s">
        <v>265</v>
      </c>
      <c r="Z41" t="s">
        <v>971</v>
      </c>
    </row>
    <row r="42" spans="1:26" x14ac:dyDescent="0.25">
      <c r="A42">
        <v>40</v>
      </c>
      <c r="B42" s="71">
        <v>44938.916666666664</v>
      </c>
      <c r="C42" s="14" t="s">
        <v>265</v>
      </c>
      <c r="D42" s="14" t="s">
        <v>296</v>
      </c>
      <c r="E42" s="14" t="s">
        <v>958</v>
      </c>
      <c r="F42" s="14">
        <v>-267</v>
      </c>
      <c r="G42" s="14">
        <v>-19183950</v>
      </c>
      <c r="H42" s="14">
        <v>1437</v>
      </c>
      <c r="I42" s="14">
        <v>0</v>
      </c>
      <c r="J42" s="14" t="s">
        <v>280</v>
      </c>
      <c r="K42" s="15">
        <v>44954</v>
      </c>
      <c r="L42" s="14">
        <v>1</v>
      </c>
      <c r="M42" s="14" t="s">
        <v>15</v>
      </c>
      <c r="N42" s="48">
        <v>50</v>
      </c>
      <c r="O42" s="46">
        <v>-13350</v>
      </c>
      <c r="P42" s="47">
        <v>-18929479.283534653</v>
      </c>
      <c r="Q42" s="16">
        <v>15</v>
      </c>
      <c r="R42" s="26" t="s">
        <v>312</v>
      </c>
      <c r="S42" s="26" t="s">
        <v>61</v>
      </c>
      <c r="T42" s="17" t="s">
        <v>980</v>
      </c>
      <c r="U42" s="17">
        <v>-19375789.5</v>
      </c>
      <c r="V42" s="17">
        <v>1451.3700000000001</v>
      </c>
      <c r="W42" s="17">
        <v>0.01</v>
      </c>
      <c r="X42" s="17">
        <v>-191839.5</v>
      </c>
      <c r="Y42" s="14" t="s">
        <v>265</v>
      </c>
      <c r="Z42" t="s">
        <v>981</v>
      </c>
    </row>
    <row r="43" spans="1:26" x14ac:dyDescent="0.25">
      <c r="A43">
        <v>41</v>
      </c>
      <c r="B43" s="71">
        <v>44938.916666666664</v>
      </c>
      <c r="C43" s="14" t="s">
        <v>265</v>
      </c>
      <c r="D43" s="14" t="s">
        <v>296</v>
      </c>
      <c r="E43" s="14" t="s">
        <v>959</v>
      </c>
      <c r="F43" s="14">
        <v>-796</v>
      </c>
      <c r="G43" s="14">
        <v>-76236900</v>
      </c>
      <c r="H43" s="14">
        <v>19155</v>
      </c>
      <c r="I43" s="14">
        <v>0</v>
      </c>
      <c r="J43" s="14" t="s">
        <v>280</v>
      </c>
      <c r="K43" s="15">
        <v>44954</v>
      </c>
      <c r="L43" s="14">
        <v>1</v>
      </c>
      <c r="M43" s="14" t="s">
        <v>14</v>
      </c>
      <c r="N43" s="48">
        <v>5</v>
      </c>
      <c r="O43" s="46">
        <v>-3980</v>
      </c>
      <c r="P43" s="47">
        <v>-75100960.459956691</v>
      </c>
      <c r="Q43" s="16">
        <v>15</v>
      </c>
      <c r="R43" s="26" t="s">
        <v>312</v>
      </c>
      <c r="S43" s="26" t="s">
        <v>61</v>
      </c>
      <c r="T43" s="17" t="s">
        <v>980</v>
      </c>
      <c r="U43" s="17">
        <v>-76999269</v>
      </c>
      <c r="V43" s="17">
        <v>19346.55</v>
      </c>
      <c r="W43" s="17">
        <v>0.01</v>
      </c>
      <c r="X43" s="17">
        <v>-762369</v>
      </c>
      <c r="Y43" s="14" t="s">
        <v>265</v>
      </c>
      <c r="Z43" t="s">
        <v>982</v>
      </c>
    </row>
    <row r="44" spans="1:26" x14ac:dyDescent="0.25">
      <c r="A44">
        <v>42</v>
      </c>
      <c r="B44" s="71">
        <v>44938.916666666664</v>
      </c>
      <c r="C44" s="14" t="s">
        <v>265</v>
      </c>
      <c r="D44" s="14" t="s">
        <v>296</v>
      </c>
      <c r="E44" s="14" t="s">
        <v>967</v>
      </c>
      <c r="F44" s="14">
        <v>4</v>
      </c>
      <c r="G44" s="14">
        <v>382600</v>
      </c>
      <c r="H44" s="14">
        <v>19130</v>
      </c>
      <c r="I44" s="14">
        <v>0</v>
      </c>
      <c r="J44" s="14" t="s">
        <v>280</v>
      </c>
      <c r="K44" s="15">
        <v>44982</v>
      </c>
      <c r="L44" s="14">
        <v>1</v>
      </c>
      <c r="M44" s="14" t="s">
        <v>14</v>
      </c>
      <c r="N44" s="48">
        <v>5</v>
      </c>
      <c r="O44" s="46">
        <v>20</v>
      </c>
      <c r="P44" s="47">
        <v>377391.76110531</v>
      </c>
      <c r="Q44" s="16">
        <v>43</v>
      </c>
      <c r="R44" s="26" t="s">
        <v>425</v>
      </c>
      <c r="S44" s="26" t="s">
        <v>60</v>
      </c>
      <c r="T44" s="17" t="s">
        <v>969</v>
      </c>
      <c r="U44" s="17">
        <v>386426</v>
      </c>
      <c r="V44" s="17">
        <v>19321.3</v>
      </c>
      <c r="W44" s="17">
        <v>0.01</v>
      </c>
      <c r="X44" s="17">
        <v>3826</v>
      </c>
      <c r="Y44" s="14" t="s">
        <v>265</v>
      </c>
      <c r="Z44" t="s">
        <v>972</v>
      </c>
    </row>
    <row r="45" spans="1:26" x14ac:dyDescent="0.25">
      <c r="B45" s="71">
        <v>44939.000003356479</v>
      </c>
      <c r="C45" s="14" t="s">
        <v>268</v>
      </c>
      <c r="D45" s="14" t="s">
        <v>793</v>
      </c>
      <c r="E45" s="14" t="s">
        <v>121</v>
      </c>
      <c r="F45" s="14">
        <v>377.09760540000002</v>
      </c>
      <c r="G45" s="14">
        <v>9.8431534717962399E-2</v>
      </c>
      <c r="H45" s="14">
        <v>2.6102402483715799E-4</v>
      </c>
      <c r="I45" s="14">
        <v>0</v>
      </c>
      <c r="J45" s="14" t="s">
        <v>252</v>
      </c>
      <c r="K45" s="15"/>
      <c r="L45" s="14">
        <v>1</v>
      </c>
      <c r="M45" s="14" t="s">
        <v>121</v>
      </c>
      <c r="N45" s="48"/>
      <c r="O45" s="46"/>
      <c r="P45" s="47"/>
      <c r="Q45" s="16">
        <v>0</v>
      </c>
      <c r="R45" s="26" t="s">
        <v>252</v>
      </c>
      <c r="S45" s="26" t="s">
        <v>60</v>
      </c>
      <c r="T45" s="17" t="s">
        <v>794</v>
      </c>
      <c r="U45" s="17">
        <v>9.8431534717962399E-2</v>
      </c>
      <c r="V45" s="17">
        <v>2.6102402483715799E-4</v>
      </c>
      <c r="W45" s="17">
        <v>0</v>
      </c>
      <c r="X45" s="17">
        <v>0</v>
      </c>
      <c r="Y45" s="14" t="s">
        <v>268</v>
      </c>
      <c r="Z45" t="s">
        <v>121</v>
      </c>
    </row>
    <row r="46" spans="1:26" x14ac:dyDescent="0.25">
      <c r="B46" s="71">
        <v>44939.000003356479</v>
      </c>
      <c r="C46" s="14" t="s">
        <v>268</v>
      </c>
      <c r="D46" s="14" t="s">
        <v>793</v>
      </c>
      <c r="E46" s="14" t="s">
        <v>116</v>
      </c>
      <c r="F46" s="14">
        <v>259.6125314599999</v>
      </c>
      <c r="G46" s="14">
        <v>17617.601442644576</v>
      </c>
      <c r="H46" s="14">
        <v>67.861136531304268</v>
      </c>
      <c r="I46" s="14">
        <v>0</v>
      </c>
      <c r="J46" s="14" t="s">
        <v>252</v>
      </c>
      <c r="K46" s="15"/>
      <c r="L46" s="14">
        <v>1</v>
      </c>
      <c r="M46" s="14" t="s">
        <v>116</v>
      </c>
      <c r="N46" s="48"/>
      <c r="O46" s="46"/>
      <c r="P46" s="47"/>
      <c r="Q46" s="16">
        <v>0</v>
      </c>
      <c r="R46" s="26" t="s">
        <v>252</v>
      </c>
      <c r="S46" s="26" t="s">
        <v>60</v>
      </c>
      <c r="T46" s="17" t="s">
        <v>794</v>
      </c>
      <c r="U46" s="17">
        <v>17617.601442644576</v>
      </c>
      <c r="V46" s="17">
        <v>67.861136531304268</v>
      </c>
      <c r="W46" s="17">
        <v>0</v>
      </c>
      <c r="X46" s="17">
        <v>0</v>
      </c>
      <c r="Y46" s="14" t="s">
        <v>268</v>
      </c>
      <c r="Z46" t="s">
        <v>116</v>
      </c>
    </row>
    <row r="47" spans="1:26" x14ac:dyDescent="0.25">
      <c r="B47" s="71">
        <v>44939.000003356479</v>
      </c>
      <c r="C47" s="14" t="s">
        <v>268</v>
      </c>
      <c r="D47" s="14" t="s">
        <v>793</v>
      </c>
      <c r="E47" s="14" t="s">
        <v>84</v>
      </c>
      <c r="F47" s="14">
        <v>-7528.6586742899381</v>
      </c>
      <c r="G47" s="14">
        <v>-2482.6390012973861</v>
      </c>
      <c r="H47" s="14">
        <v>0.32975847474338249</v>
      </c>
      <c r="I47" s="14">
        <v>0</v>
      </c>
      <c r="J47" s="14" t="s">
        <v>252</v>
      </c>
      <c r="K47" s="15"/>
      <c r="L47" s="14">
        <v>1</v>
      </c>
      <c r="M47" s="14" t="s">
        <v>84</v>
      </c>
      <c r="N47" s="48"/>
      <c r="O47" s="46"/>
      <c r="P47" s="47"/>
      <c r="Q47" s="16">
        <v>0</v>
      </c>
      <c r="R47" s="26" t="s">
        <v>252</v>
      </c>
      <c r="S47" s="26" t="s">
        <v>61</v>
      </c>
      <c r="T47" s="17" t="s">
        <v>803</v>
      </c>
      <c r="U47" s="17">
        <v>-2482.6390012973861</v>
      </c>
      <c r="V47" s="17">
        <v>0.32975847474338249</v>
      </c>
      <c r="W47" s="17">
        <v>0</v>
      </c>
      <c r="X47" s="17">
        <v>0</v>
      </c>
      <c r="Y47" s="14" t="s">
        <v>268</v>
      </c>
      <c r="Z47" t="s">
        <v>84</v>
      </c>
    </row>
    <row r="48" spans="1:26" x14ac:dyDescent="0.25">
      <c r="B48" s="71">
        <v>44939.000003356479</v>
      </c>
      <c r="C48" s="14" t="s">
        <v>268</v>
      </c>
      <c r="D48" s="14" t="s">
        <v>793</v>
      </c>
      <c r="E48" s="14" t="s">
        <v>122</v>
      </c>
      <c r="F48" s="14">
        <v>5323.8234272600093</v>
      </c>
      <c r="G48" s="14">
        <v>1131.4535147694405</v>
      </c>
      <c r="H48" s="14">
        <v>0.21252649157670525</v>
      </c>
      <c r="I48" s="14">
        <v>0</v>
      </c>
      <c r="J48" s="14" t="s">
        <v>252</v>
      </c>
      <c r="K48" s="15"/>
      <c r="L48" s="14">
        <v>1</v>
      </c>
      <c r="M48" s="14" t="s">
        <v>122</v>
      </c>
      <c r="N48" s="48"/>
      <c r="O48" s="46"/>
      <c r="P48" s="47"/>
      <c r="Q48" s="16">
        <v>0</v>
      </c>
      <c r="R48" s="26" t="s">
        <v>252</v>
      </c>
      <c r="S48" s="26" t="s">
        <v>60</v>
      </c>
      <c r="T48" s="17" t="s">
        <v>794</v>
      </c>
      <c r="U48" s="17">
        <v>1131.4535147694405</v>
      </c>
      <c r="V48" s="17">
        <v>0.21252649157670525</v>
      </c>
      <c r="W48" s="17">
        <v>0</v>
      </c>
      <c r="X48" s="17">
        <v>0</v>
      </c>
      <c r="Y48" s="14" t="s">
        <v>268</v>
      </c>
      <c r="Z48" t="s">
        <v>122</v>
      </c>
    </row>
    <row r="49" spans="2:26" x14ac:dyDescent="0.25">
      <c r="B49" s="71">
        <v>44939.000003356479</v>
      </c>
      <c r="C49" s="14" t="s">
        <v>268</v>
      </c>
      <c r="D49" s="14" t="s">
        <v>793</v>
      </c>
      <c r="E49" s="14" t="s">
        <v>123</v>
      </c>
      <c r="F49" s="14">
        <v>0.53247394999999997</v>
      </c>
      <c r="G49" s="14">
        <v>1.6120070397661099E-2</v>
      </c>
      <c r="H49" s="14">
        <v>3.0273913677206367E-2</v>
      </c>
      <c r="I49" s="14">
        <v>0</v>
      </c>
      <c r="J49" s="14" t="s">
        <v>252</v>
      </c>
      <c r="K49" s="15"/>
      <c r="L49" s="14">
        <v>1</v>
      </c>
      <c r="M49" s="14" t="s">
        <v>123</v>
      </c>
      <c r="N49" s="48"/>
      <c r="O49" s="46"/>
      <c r="P49" s="47"/>
      <c r="Q49" s="16">
        <v>0</v>
      </c>
      <c r="R49" s="26" t="s">
        <v>252</v>
      </c>
      <c r="S49" s="26" t="s">
        <v>60</v>
      </c>
      <c r="T49" s="17" t="s">
        <v>794</v>
      </c>
      <c r="U49" s="17">
        <v>1.6120070397661099E-2</v>
      </c>
      <c r="V49" s="17">
        <v>3.0273913677206367E-2</v>
      </c>
      <c r="W49" s="17">
        <v>0</v>
      </c>
      <c r="X49" s="17">
        <v>0</v>
      </c>
      <c r="Y49" s="14" t="s">
        <v>268</v>
      </c>
      <c r="Z49" t="s">
        <v>123</v>
      </c>
    </row>
    <row r="50" spans="2:26" x14ac:dyDescent="0.25">
      <c r="B50" s="71">
        <v>44939.000003356479</v>
      </c>
      <c r="C50" s="14" t="s">
        <v>268</v>
      </c>
      <c r="D50" s="14" t="s">
        <v>793</v>
      </c>
      <c r="E50" s="14" t="s">
        <v>35</v>
      </c>
      <c r="F50" s="14">
        <v>0.37945432000000001</v>
      </c>
      <c r="G50" s="14">
        <v>4.6576848424695072</v>
      </c>
      <c r="H50" s="14">
        <v>12.274691832391069</v>
      </c>
      <c r="I50" s="14">
        <v>0</v>
      </c>
      <c r="J50" s="14" t="s">
        <v>252</v>
      </c>
      <c r="K50" s="15"/>
      <c r="L50" s="14">
        <v>1</v>
      </c>
      <c r="M50" s="14" t="s">
        <v>35</v>
      </c>
      <c r="N50" s="48"/>
      <c r="O50" s="46"/>
      <c r="P50" s="47"/>
      <c r="Q50" s="16">
        <v>0</v>
      </c>
      <c r="R50" s="26" t="s">
        <v>252</v>
      </c>
      <c r="S50" s="26" t="s">
        <v>60</v>
      </c>
      <c r="T50" s="17" t="s">
        <v>794</v>
      </c>
      <c r="U50" s="17">
        <v>4.6576848424695072</v>
      </c>
      <c r="V50" s="17">
        <v>12.274691832391069</v>
      </c>
      <c r="W50" s="17">
        <v>0</v>
      </c>
      <c r="X50" s="17">
        <v>0</v>
      </c>
      <c r="Y50" s="14" t="s">
        <v>268</v>
      </c>
      <c r="Z50" t="s">
        <v>35</v>
      </c>
    </row>
    <row r="51" spans="2:26" x14ac:dyDescent="0.25">
      <c r="B51" s="71">
        <v>44939.000003356479</v>
      </c>
      <c r="C51" s="14" t="s">
        <v>268</v>
      </c>
      <c r="D51" s="14" t="s">
        <v>793</v>
      </c>
      <c r="E51" s="14" t="s">
        <v>187</v>
      </c>
      <c r="F51" s="14">
        <v>1180.684737489999</v>
      </c>
      <c r="G51" s="14">
        <v>18250.257533760596</v>
      </c>
      <c r="H51" s="14">
        <v>15.457350259781084</v>
      </c>
      <c r="I51" s="14">
        <v>0</v>
      </c>
      <c r="J51" s="14" t="s">
        <v>252</v>
      </c>
      <c r="K51" s="15"/>
      <c r="L51" s="14">
        <v>1</v>
      </c>
      <c r="M51" s="14" t="s">
        <v>187</v>
      </c>
      <c r="N51" s="48"/>
      <c r="O51" s="46"/>
      <c r="P51" s="47"/>
      <c r="Q51" s="16">
        <v>0</v>
      </c>
      <c r="R51" s="26" t="s">
        <v>252</v>
      </c>
      <c r="S51" s="26" t="s">
        <v>60</v>
      </c>
      <c r="T51" s="17" t="s">
        <v>794</v>
      </c>
      <c r="U51" s="17">
        <v>18250.257533760596</v>
      </c>
      <c r="V51" s="17">
        <v>15.457350259781084</v>
      </c>
      <c r="W51" s="17">
        <v>0</v>
      </c>
      <c r="X51" s="17">
        <v>0</v>
      </c>
      <c r="Y51" s="14" t="s">
        <v>268</v>
      </c>
      <c r="Z51" t="s">
        <v>187</v>
      </c>
    </row>
    <row r="52" spans="2:26" x14ac:dyDescent="0.25">
      <c r="B52" s="71">
        <v>44939.000003356479</v>
      </c>
      <c r="C52" s="14" t="s">
        <v>268</v>
      </c>
      <c r="D52" s="14" t="s">
        <v>793</v>
      </c>
      <c r="E52" s="14" t="s">
        <v>124</v>
      </c>
      <c r="F52" s="14">
        <v>-598.57559033000143</v>
      </c>
      <c r="G52" s="14">
        <v>-122.57272702780028</v>
      </c>
      <c r="H52" s="14">
        <v>0.20477401519200703</v>
      </c>
      <c r="I52" s="14">
        <v>0</v>
      </c>
      <c r="J52" s="14" t="s">
        <v>252</v>
      </c>
      <c r="K52" s="15"/>
      <c r="L52" s="14">
        <v>1</v>
      </c>
      <c r="M52" s="14" t="s">
        <v>124</v>
      </c>
      <c r="N52" s="48"/>
      <c r="O52" s="46"/>
      <c r="P52" s="47"/>
      <c r="Q52" s="16">
        <v>0</v>
      </c>
      <c r="R52" s="26" t="s">
        <v>252</v>
      </c>
      <c r="S52" s="26" t="s">
        <v>61</v>
      </c>
      <c r="T52" s="17" t="s">
        <v>803</v>
      </c>
      <c r="U52" s="17">
        <v>-122.57272702780028</v>
      </c>
      <c r="V52" s="17">
        <v>0.20477401519200703</v>
      </c>
      <c r="W52" s="17">
        <v>0</v>
      </c>
      <c r="X52" s="17">
        <v>0</v>
      </c>
      <c r="Y52" s="14" t="s">
        <v>268</v>
      </c>
      <c r="Z52" t="s">
        <v>124</v>
      </c>
    </row>
    <row r="53" spans="2:26" x14ac:dyDescent="0.25">
      <c r="B53" s="71">
        <v>44939.000003356479</v>
      </c>
      <c r="C53" s="14" t="s">
        <v>268</v>
      </c>
      <c r="D53" s="14" t="s">
        <v>793</v>
      </c>
      <c r="E53" s="14" t="s">
        <v>20</v>
      </c>
      <c r="F53" s="14">
        <v>6367.6423283900012</v>
      </c>
      <c r="G53" s="14">
        <v>762273.43132788339</v>
      </c>
      <c r="H53" s="14">
        <v>119.71046613741213</v>
      </c>
      <c r="I53" s="14">
        <v>0</v>
      </c>
      <c r="J53" s="14" t="s">
        <v>252</v>
      </c>
      <c r="K53" s="15"/>
      <c r="L53" s="14">
        <v>1</v>
      </c>
      <c r="M53" s="14" t="s">
        <v>20</v>
      </c>
      <c r="N53" s="48"/>
      <c r="O53" s="46"/>
      <c r="P53" s="47"/>
      <c r="Q53" s="16">
        <v>0</v>
      </c>
      <c r="R53" s="26" t="s">
        <v>252</v>
      </c>
      <c r="S53" s="26" t="s">
        <v>60</v>
      </c>
      <c r="T53" s="17" t="s">
        <v>794</v>
      </c>
      <c r="U53" s="17">
        <v>762273.43132788339</v>
      </c>
      <c r="V53" s="17">
        <v>119.71046613741213</v>
      </c>
      <c r="W53" s="17">
        <v>0</v>
      </c>
      <c r="X53" s="17">
        <v>0</v>
      </c>
      <c r="Y53" s="14" t="s">
        <v>268</v>
      </c>
      <c r="Z53" t="s">
        <v>20</v>
      </c>
    </row>
    <row r="54" spans="2:26" x14ac:dyDescent="0.25">
      <c r="B54" s="71">
        <v>44939.000003356479</v>
      </c>
      <c r="C54" s="14" t="s">
        <v>268</v>
      </c>
      <c r="D54" s="14" t="s">
        <v>793</v>
      </c>
      <c r="E54" s="14" t="s">
        <v>125</v>
      </c>
      <c r="F54" s="14">
        <v>2.5033500000000001E-3</v>
      </c>
      <c r="G54" s="14">
        <v>1.13535741150493E-4</v>
      </c>
      <c r="H54" s="14">
        <v>4.5353522739725968E-2</v>
      </c>
      <c r="I54" s="14">
        <v>0</v>
      </c>
      <c r="J54" s="14" t="s">
        <v>252</v>
      </c>
      <c r="K54" s="15"/>
      <c r="L54" s="14">
        <v>1</v>
      </c>
      <c r="M54" s="14" t="s">
        <v>125</v>
      </c>
      <c r="N54" s="48"/>
      <c r="O54" s="46"/>
      <c r="P54" s="47"/>
      <c r="Q54" s="16">
        <v>0</v>
      </c>
      <c r="R54" s="26" t="s">
        <v>252</v>
      </c>
      <c r="S54" s="26" t="s">
        <v>60</v>
      </c>
      <c r="T54" s="17" t="s">
        <v>794</v>
      </c>
      <c r="U54" s="17">
        <v>1.13535741150493E-4</v>
      </c>
      <c r="V54" s="17">
        <v>4.5353522739725968E-2</v>
      </c>
      <c r="W54" s="17">
        <v>0</v>
      </c>
      <c r="X54" s="17">
        <v>0</v>
      </c>
      <c r="Y54" s="14" t="s">
        <v>268</v>
      </c>
      <c r="Z54" t="s">
        <v>125</v>
      </c>
    </row>
    <row r="55" spans="2:26" x14ac:dyDescent="0.25">
      <c r="B55" s="71">
        <v>44939.000003356479</v>
      </c>
      <c r="C55" s="14" t="s">
        <v>268</v>
      </c>
      <c r="D55" s="14" t="s">
        <v>793</v>
      </c>
      <c r="E55" s="14" t="s">
        <v>126</v>
      </c>
      <c r="F55" s="14">
        <v>115.29838952</v>
      </c>
      <c r="G55" s="14">
        <v>6.7795787076243297</v>
      </c>
      <c r="H55" s="14">
        <v>5.8800289716521355E-2</v>
      </c>
      <c r="I55" s="14">
        <v>0</v>
      </c>
      <c r="J55" s="14" t="s">
        <v>252</v>
      </c>
      <c r="K55" s="15"/>
      <c r="L55" s="14">
        <v>1</v>
      </c>
      <c r="M55" s="14" t="s">
        <v>126</v>
      </c>
      <c r="N55" s="48"/>
      <c r="O55" s="46"/>
      <c r="P55" s="47"/>
      <c r="Q55" s="16">
        <v>0</v>
      </c>
      <c r="R55" s="26" t="s">
        <v>252</v>
      </c>
      <c r="S55" s="26" t="s">
        <v>60</v>
      </c>
      <c r="T55" s="17" t="s">
        <v>794</v>
      </c>
      <c r="U55" s="17">
        <v>6.7795787076243297</v>
      </c>
      <c r="V55" s="17">
        <v>5.8800289716521355E-2</v>
      </c>
      <c r="W55" s="17">
        <v>0</v>
      </c>
      <c r="X55" s="17">
        <v>0</v>
      </c>
      <c r="Y55" s="14" t="s">
        <v>268</v>
      </c>
      <c r="Z55" t="s">
        <v>126</v>
      </c>
    </row>
    <row r="56" spans="2:26" x14ac:dyDescent="0.25">
      <c r="B56" s="71">
        <v>44939.000003356479</v>
      </c>
      <c r="C56" s="14" t="s">
        <v>268</v>
      </c>
      <c r="D56" s="14" t="s">
        <v>793</v>
      </c>
      <c r="E56" s="14" t="s">
        <v>87</v>
      </c>
      <c r="F56" s="14">
        <v>2579.5538582299996</v>
      </c>
      <c r="G56" s="14">
        <v>742427.4226120899</v>
      </c>
      <c r="H56" s="14">
        <v>287.81233632451381</v>
      </c>
      <c r="I56" s="14">
        <v>0</v>
      </c>
      <c r="J56" s="14" t="s">
        <v>252</v>
      </c>
      <c r="L56" s="14">
        <v>1</v>
      </c>
      <c r="M56" s="14" t="s">
        <v>87</v>
      </c>
      <c r="N56" s="48"/>
      <c r="O56" s="46"/>
      <c r="P56" s="47"/>
      <c r="Q56" s="16">
        <v>0</v>
      </c>
      <c r="R56" s="26" t="s">
        <v>252</v>
      </c>
      <c r="S56" s="26" t="s">
        <v>60</v>
      </c>
      <c r="T56" s="17" t="s">
        <v>794</v>
      </c>
      <c r="U56" s="17">
        <v>742427.4226120899</v>
      </c>
      <c r="V56" s="17">
        <v>287.81233632451381</v>
      </c>
      <c r="W56" s="17">
        <v>0</v>
      </c>
      <c r="X56" s="17">
        <v>0</v>
      </c>
      <c r="Y56" s="14" t="s">
        <v>268</v>
      </c>
      <c r="Z56" t="s">
        <v>87</v>
      </c>
    </row>
    <row r="57" spans="2:26" x14ac:dyDescent="0.25">
      <c r="B57" s="71">
        <v>44939.000003356479</v>
      </c>
      <c r="C57" s="14" t="s">
        <v>268</v>
      </c>
      <c r="D57" s="14" t="s">
        <v>793</v>
      </c>
      <c r="E57" s="14" t="s">
        <v>127</v>
      </c>
      <c r="F57" s="14">
        <v>14.7502</v>
      </c>
      <c r="G57" s="14">
        <v>2.82684210675981</v>
      </c>
      <c r="H57" s="18">
        <v>0.19164771370963174</v>
      </c>
      <c r="I57" s="14">
        <v>0</v>
      </c>
      <c r="J57" s="14" t="s">
        <v>252</v>
      </c>
      <c r="L57" s="14">
        <v>1</v>
      </c>
      <c r="M57" s="14" t="s">
        <v>127</v>
      </c>
      <c r="N57" s="48"/>
      <c r="O57" s="46"/>
      <c r="P57" s="47"/>
      <c r="Q57" s="16">
        <v>0</v>
      </c>
      <c r="R57" s="26" t="s">
        <v>252</v>
      </c>
      <c r="S57" s="26" t="s">
        <v>60</v>
      </c>
      <c r="T57" s="17" t="s">
        <v>794</v>
      </c>
      <c r="U57" s="17">
        <v>2.82684210675981</v>
      </c>
      <c r="V57" s="17">
        <v>0.19164771370963174</v>
      </c>
      <c r="W57" s="17">
        <v>0</v>
      </c>
      <c r="X57" s="17">
        <v>0</v>
      </c>
      <c r="Y57" s="14" t="s">
        <v>268</v>
      </c>
      <c r="Z57" t="s">
        <v>127</v>
      </c>
    </row>
    <row r="58" spans="2:26" x14ac:dyDescent="0.25">
      <c r="B58" s="71">
        <v>44939.000003356479</v>
      </c>
      <c r="C58" s="14" t="s">
        <v>268</v>
      </c>
      <c r="D58" s="14" t="s">
        <v>793</v>
      </c>
      <c r="E58" s="14" t="s">
        <v>113</v>
      </c>
      <c r="F58" s="14">
        <v>0.58628509000000018</v>
      </c>
      <c r="G58" s="14">
        <v>24.710735750667347</v>
      </c>
      <c r="H58" s="14">
        <v>42.147985974992714</v>
      </c>
      <c r="I58" s="14">
        <v>0</v>
      </c>
      <c r="J58" s="14" t="s">
        <v>252</v>
      </c>
      <c r="L58" s="14">
        <v>1</v>
      </c>
      <c r="M58" s="14" t="s">
        <v>113</v>
      </c>
      <c r="N58" s="48"/>
      <c r="O58" s="46"/>
      <c r="P58" s="47"/>
      <c r="Q58" s="16">
        <v>0</v>
      </c>
      <c r="R58" s="26" t="s">
        <v>252</v>
      </c>
      <c r="S58" s="26" t="s">
        <v>60</v>
      </c>
      <c r="T58" s="17" t="s">
        <v>794</v>
      </c>
      <c r="U58" s="17">
        <v>24.710735750667347</v>
      </c>
      <c r="V58" s="17">
        <v>42.147985974992714</v>
      </c>
      <c r="W58" s="17">
        <v>0</v>
      </c>
      <c r="X58" s="17">
        <v>0</v>
      </c>
      <c r="Y58" s="14" t="s">
        <v>268</v>
      </c>
      <c r="Z58" t="s">
        <v>113</v>
      </c>
    </row>
    <row r="59" spans="2:26" x14ac:dyDescent="0.25">
      <c r="B59" s="71">
        <v>44939.000003356479</v>
      </c>
      <c r="C59" s="14" t="s">
        <v>268</v>
      </c>
      <c r="D59" s="14" t="s">
        <v>793</v>
      </c>
      <c r="E59" s="14" t="s">
        <v>14</v>
      </c>
      <c r="F59" s="14">
        <v>69.266920300000294</v>
      </c>
      <c r="G59" s="14">
        <v>1307038.2519176784</v>
      </c>
      <c r="H59" s="14">
        <v>18869.588055262113</v>
      </c>
      <c r="I59" s="14">
        <v>0</v>
      </c>
      <c r="J59" s="14" t="s">
        <v>252</v>
      </c>
      <c r="L59" s="14">
        <v>1</v>
      </c>
      <c r="M59" s="14" t="s">
        <v>14</v>
      </c>
      <c r="N59" s="48"/>
      <c r="O59" s="46"/>
      <c r="P59" s="47"/>
      <c r="Q59" s="16">
        <v>0</v>
      </c>
      <c r="R59" s="26" t="s">
        <v>252</v>
      </c>
      <c r="S59" s="26" t="s">
        <v>60</v>
      </c>
      <c r="T59" s="17" t="s">
        <v>794</v>
      </c>
      <c r="U59" s="17">
        <v>1307038.2519176784</v>
      </c>
      <c r="V59" s="17">
        <v>18869.588055262113</v>
      </c>
      <c r="W59" s="17">
        <v>0</v>
      </c>
      <c r="X59" s="17">
        <v>0</v>
      </c>
      <c r="Y59" s="14" t="s">
        <v>268</v>
      </c>
      <c r="Z59" t="s">
        <v>14</v>
      </c>
    </row>
    <row r="60" spans="2:26" x14ac:dyDescent="0.25">
      <c r="B60" s="71">
        <v>44939.000003356479</v>
      </c>
      <c r="C60" s="14" t="s">
        <v>268</v>
      </c>
      <c r="D60" s="14" t="s">
        <v>793</v>
      </c>
      <c r="E60" s="14" t="s">
        <v>128</v>
      </c>
      <c r="F60" s="14">
        <v>0.33565571999999999</v>
      </c>
      <c r="G60" s="14">
        <v>5.0099972829981999E-3</v>
      </c>
      <c r="H60" s="14">
        <v>1.4926000018704285E-2</v>
      </c>
      <c r="I60" s="14">
        <v>0</v>
      </c>
      <c r="J60" s="14" t="s">
        <v>252</v>
      </c>
      <c r="L60" s="14">
        <v>1</v>
      </c>
      <c r="M60" s="14" t="s">
        <v>128</v>
      </c>
      <c r="N60" s="48"/>
      <c r="O60" s="46"/>
      <c r="P60" s="47"/>
      <c r="Q60" s="16">
        <v>0</v>
      </c>
      <c r="R60" s="26" t="s">
        <v>252</v>
      </c>
      <c r="S60" s="26" t="s">
        <v>60</v>
      </c>
      <c r="T60" s="17" t="s">
        <v>794</v>
      </c>
      <c r="U60" s="17">
        <v>5.0099972829981999E-3</v>
      </c>
      <c r="V60" s="17">
        <v>1.4926000018704285E-2</v>
      </c>
      <c r="W60" s="17">
        <v>0</v>
      </c>
      <c r="X60" s="17">
        <v>0</v>
      </c>
      <c r="Y60" s="14" t="s">
        <v>268</v>
      </c>
      <c r="Z60" t="s">
        <v>128</v>
      </c>
    </row>
    <row r="61" spans="2:26" x14ac:dyDescent="0.25">
      <c r="B61" s="71">
        <v>44939.000003356479</v>
      </c>
      <c r="C61" s="14" t="s">
        <v>268</v>
      </c>
      <c r="D61" s="14" t="s">
        <v>793</v>
      </c>
      <c r="E61" s="14" t="s">
        <v>129</v>
      </c>
      <c r="F61" s="14">
        <v>1367501156.8785999</v>
      </c>
      <c r="G61" s="14">
        <v>935.32266578065196</v>
      </c>
      <c r="H61" s="14">
        <v>6.839648076902398E-7</v>
      </c>
      <c r="I61" s="14">
        <v>0</v>
      </c>
      <c r="J61" s="14" t="s">
        <v>252</v>
      </c>
      <c r="L61" s="14">
        <v>1</v>
      </c>
      <c r="M61" s="14" t="s">
        <v>129</v>
      </c>
      <c r="N61" s="48"/>
      <c r="O61" s="46"/>
      <c r="P61" s="47"/>
      <c r="Q61" s="16">
        <v>0</v>
      </c>
      <c r="R61" s="26" t="s">
        <v>252</v>
      </c>
      <c r="S61" s="26" t="s">
        <v>60</v>
      </c>
      <c r="T61" s="17" t="s">
        <v>794</v>
      </c>
      <c r="U61" s="17">
        <v>935.32266578065196</v>
      </c>
      <c r="V61" s="17">
        <v>6.839648076902398E-7</v>
      </c>
      <c r="W61" s="17">
        <v>0</v>
      </c>
      <c r="X61" s="17">
        <v>0</v>
      </c>
      <c r="Y61" s="14" t="s">
        <v>268</v>
      </c>
      <c r="Z61" t="s">
        <v>129</v>
      </c>
    </row>
    <row r="62" spans="2:26" x14ac:dyDescent="0.25">
      <c r="B62" s="71">
        <v>44939.000003356479</v>
      </c>
      <c r="C62" s="14" t="s">
        <v>268</v>
      </c>
      <c r="D62" s="14" t="s">
        <v>793</v>
      </c>
      <c r="E62" s="14" t="s">
        <v>88</v>
      </c>
      <c r="F62" s="14">
        <v>17958248.750725169</v>
      </c>
      <c r="G62" s="14">
        <v>17963978.599099595</v>
      </c>
      <c r="H62" s="14">
        <v>1.0003190649853424</v>
      </c>
      <c r="I62" s="14">
        <v>0</v>
      </c>
      <c r="J62" s="14" t="s">
        <v>252</v>
      </c>
      <c r="L62" s="14">
        <v>1</v>
      </c>
      <c r="M62" s="14" t="s">
        <v>88</v>
      </c>
      <c r="N62" s="48"/>
      <c r="O62" s="46"/>
      <c r="P62" s="47"/>
      <c r="Q62" s="16">
        <v>0</v>
      </c>
      <c r="R62" s="26" t="s">
        <v>252</v>
      </c>
      <c r="S62" s="26" t="s">
        <v>60</v>
      </c>
      <c r="T62" s="17" t="s">
        <v>794</v>
      </c>
      <c r="U62" s="17">
        <v>17963978.599099595</v>
      </c>
      <c r="V62" s="17">
        <v>1.0003190649853424</v>
      </c>
      <c r="W62" s="17">
        <v>0</v>
      </c>
      <c r="X62" s="17">
        <v>0</v>
      </c>
      <c r="Y62" s="14" t="s">
        <v>268</v>
      </c>
      <c r="Z62" t="s">
        <v>88</v>
      </c>
    </row>
    <row r="63" spans="2:26" x14ac:dyDescent="0.25">
      <c r="B63" s="71">
        <v>44939.000003356479</v>
      </c>
      <c r="C63" s="14" t="s">
        <v>268</v>
      </c>
      <c r="D63" s="14" t="s">
        <v>793</v>
      </c>
      <c r="E63" s="14" t="s">
        <v>130</v>
      </c>
      <c r="F63" s="14">
        <v>1.7855998900000001</v>
      </c>
      <c r="G63" s="14">
        <v>4.3801594662575801E-3</v>
      </c>
      <c r="H63" s="14">
        <v>2.4530464471845255E-3</v>
      </c>
      <c r="I63" s="14">
        <v>0</v>
      </c>
      <c r="J63" s="14" t="s">
        <v>252</v>
      </c>
      <c r="L63" s="14">
        <v>1</v>
      </c>
      <c r="M63" s="14" t="s">
        <v>130</v>
      </c>
      <c r="N63" s="48"/>
      <c r="O63" s="46"/>
      <c r="P63" s="47"/>
      <c r="Q63" s="16">
        <v>0</v>
      </c>
      <c r="R63" s="26" t="s">
        <v>252</v>
      </c>
      <c r="S63" s="26" t="s">
        <v>60</v>
      </c>
      <c r="T63" s="17" t="s">
        <v>794</v>
      </c>
      <c r="U63" s="17">
        <v>4.3801594662575801E-3</v>
      </c>
      <c r="V63" s="17">
        <v>2.4530464471845255E-3</v>
      </c>
      <c r="W63" s="17">
        <v>0</v>
      </c>
      <c r="X63" s="17">
        <v>0</v>
      </c>
      <c r="Y63" s="14" t="s">
        <v>268</v>
      </c>
      <c r="Z63" t="s">
        <v>130</v>
      </c>
    </row>
    <row r="64" spans="2:26" x14ac:dyDescent="0.25">
      <c r="B64" s="71">
        <v>44939.000003356479</v>
      </c>
      <c r="C64" s="14" t="s">
        <v>268</v>
      </c>
      <c r="D64" s="14" t="s">
        <v>793</v>
      </c>
      <c r="E64" s="14" t="s">
        <v>31</v>
      </c>
      <c r="F64" s="14">
        <v>266.64580509000007</v>
      </c>
      <c r="G64" s="14">
        <v>10054.2582405383</v>
      </c>
      <c r="H64" s="14">
        <v>37.706418209522255</v>
      </c>
      <c r="I64" s="14">
        <v>0</v>
      </c>
      <c r="J64" s="14" t="s">
        <v>252</v>
      </c>
      <c r="L64" s="14">
        <v>1</v>
      </c>
      <c r="M64" s="14" t="s">
        <v>31</v>
      </c>
      <c r="N64" s="48"/>
      <c r="O64" s="46"/>
      <c r="P64" s="47"/>
      <c r="Q64" s="16">
        <v>0</v>
      </c>
      <c r="R64" s="26" t="s">
        <v>252</v>
      </c>
      <c r="S64" s="26" t="s">
        <v>60</v>
      </c>
      <c r="T64" s="17" t="s">
        <v>794</v>
      </c>
      <c r="U64" s="17">
        <v>10054.2582405383</v>
      </c>
      <c r="V64" s="17">
        <v>37.706418209522255</v>
      </c>
      <c r="W64" s="17">
        <v>0</v>
      </c>
      <c r="X64" s="17">
        <v>0</v>
      </c>
      <c r="Y64" s="14" t="s">
        <v>268</v>
      </c>
      <c r="Z64" t="s">
        <v>31</v>
      </c>
    </row>
    <row r="65" spans="2:26" x14ac:dyDescent="0.25">
      <c r="B65" s="71">
        <v>44939.000003356479</v>
      </c>
      <c r="C65" s="14" t="s">
        <v>268</v>
      </c>
      <c r="D65" s="14" t="s">
        <v>793</v>
      </c>
      <c r="E65" s="14" t="s">
        <v>131</v>
      </c>
      <c r="F65" s="14">
        <v>0.30791584</v>
      </c>
      <c r="G65" s="14">
        <v>2.04778472878973E-2</v>
      </c>
      <c r="H65" s="14">
        <v>6.6504689358940744E-2</v>
      </c>
      <c r="I65" s="14">
        <v>0</v>
      </c>
      <c r="J65" s="14" t="s">
        <v>252</v>
      </c>
      <c r="L65" s="14">
        <v>1</v>
      </c>
      <c r="M65" s="14" t="s">
        <v>131</v>
      </c>
      <c r="N65" s="48"/>
      <c r="O65" s="46"/>
      <c r="P65" s="47"/>
      <c r="Q65" s="16">
        <v>0</v>
      </c>
      <c r="R65" s="26" t="s">
        <v>252</v>
      </c>
      <c r="S65" s="26" t="s">
        <v>60</v>
      </c>
      <c r="T65" s="17" t="s">
        <v>794</v>
      </c>
      <c r="U65" s="17">
        <v>2.04778472878973E-2</v>
      </c>
      <c r="V65" s="17">
        <v>6.6504689358940744E-2</v>
      </c>
      <c r="W65" s="17">
        <v>0</v>
      </c>
      <c r="X65" s="17">
        <v>0</v>
      </c>
      <c r="Y65" s="14" t="s">
        <v>268</v>
      </c>
      <c r="Z65" t="s">
        <v>131</v>
      </c>
    </row>
    <row r="66" spans="2:26" x14ac:dyDescent="0.25">
      <c r="B66" s="71">
        <v>44939.000003356479</v>
      </c>
      <c r="C66" s="14" t="s">
        <v>268</v>
      </c>
      <c r="D66" s="14" t="s">
        <v>793</v>
      </c>
      <c r="E66" s="14" t="s">
        <v>188</v>
      </c>
      <c r="F66" s="14">
        <v>171.77652669999998</v>
      </c>
      <c r="G66" s="14">
        <v>118.3739751420452</v>
      </c>
      <c r="H66" s="14">
        <v>0.68911612905516506</v>
      </c>
      <c r="I66" s="14">
        <v>0</v>
      </c>
      <c r="J66" s="14" t="s">
        <v>252</v>
      </c>
      <c r="L66" s="14">
        <v>1</v>
      </c>
      <c r="M66" s="14" t="s">
        <v>188</v>
      </c>
      <c r="N66" s="48"/>
      <c r="O66" s="46"/>
      <c r="P66" s="47"/>
      <c r="Q66" s="16">
        <v>0</v>
      </c>
      <c r="R66" s="26" t="s">
        <v>252</v>
      </c>
      <c r="S66" s="26" t="s">
        <v>60</v>
      </c>
      <c r="T66" s="17" t="s">
        <v>794</v>
      </c>
      <c r="U66" s="17">
        <v>118.3739751420452</v>
      </c>
      <c r="V66" s="17">
        <v>0.68911612905516506</v>
      </c>
      <c r="W66" s="17">
        <v>0</v>
      </c>
      <c r="X66" s="17">
        <v>0</v>
      </c>
      <c r="Y66" s="14" t="s">
        <v>268</v>
      </c>
      <c r="Z66" t="s">
        <v>188</v>
      </c>
    </row>
    <row r="67" spans="2:26" x14ac:dyDescent="0.25">
      <c r="B67" s="71">
        <v>44939.000003356479</v>
      </c>
      <c r="C67" s="14" t="s">
        <v>268</v>
      </c>
      <c r="D67" s="14" t="s">
        <v>793</v>
      </c>
      <c r="E67" s="14" t="s">
        <v>189</v>
      </c>
      <c r="F67" s="14">
        <v>6.0184751099999998</v>
      </c>
      <c r="G67" s="14">
        <v>21.351558049632693</v>
      </c>
      <c r="H67" s="14">
        <v>3.5476690788595278</v>
      </c>
      <c r="I67" s="14">
        <v>0</v>
      </c>
      <c r="J67" s="14" t="s">
        <v>252</v>
      </c>
      <c r="L67" s="14">
        <v>1</v>
      </c>
      <c r="M67" s="14" t="s">
        <v>189</v>
      </c>
      <c r="N67" s="48"/>
      <c r="O67" s="46"/>
      <c r="P67" s="47"/>
      <c r="Q67" s="16">
        <v>0</v>
      </c>
      <c r="R67" s="26" t="s">
        <v>252</v>
      </c>
      <c r="S67" s="26" t="s">
        <v>60</v>
      </c>
      <c r="T67" s="17" t="s">
        <v>794</v>
      </c>
      <c r="U67" s="17">
        <v>21.351558049632693</v>
      </c>
      <c r="V67" s="17">
        <v>3.5476690788595278</v>
      </c>
      <c r="W67" s="17">
        <v>0</v>
      </c>
      <c r="X67" s="17">
        <v>0</v>
      </c>
      <c r="Y67" s="14" t="s">
        <v>268</v>
      </c>
      <c r="Z67" t="s">
        <v>189</v>
      </c>
    </row>
    <row r="68" spans="2:26" x14ac:dyDescent="0.25">
      <c r="B68" s="71">
        <v>44939.000003356479</v>
      </c>
      <c r="C68" s="14" t="s">
        <v>268</v>
      </c>
      <c r="D68" s="14" t="s">
        <v>793</v>
      </c>
      <c r="E68" s="14" t="s">
        <v>416</v>
      </c>
      <c r="F68" s="14">
        <v>172554.34841886</v>
      </c>
      <c r="G68" s="14">
        <v>172564.61571339701</v>
      </c>
      <c r="H68" s="14">
        <v>1.0000595018012071</v>
      </c>
      <c r="I68" s="14">
        <v>0</v>
      </c>
      <c r="J68" s="14" t="s">
        <v>252</v>
      </c>
      <c r="L68" s="14">
        <v>1</v>
      </c>
      <c r="M68" s="14" t="s">
        <v>416</v>
      </c>
      <c r="N68" s="48"/>
      <c r="O68" s="46"/>
      <c r="P68" s="47"/>
      <c r="Q68" s="16">
        <v>0</v>
      </c>
      <c r="R68" s="26" t="s">
        <v>252</v>
      </c>
      <c r="S68" s="26" t="s">
        <v>60</v>
      </c>
      <c r="T68" s="17" t="s">
        <v>794</v>
      </c>
      <c r="U68" s="17">
        <v>172564.61571339701</v>
      </c>
      <c r="V68" s="17">
        <v>1.0000595018012071</v>
      </c>
      <c r="W68" s="17">
        <v>0</v>
      </c>
      <c r="X68" s="17">
        <v>0</v>
      </c>
      <c r="Y68" s="14" t="s">
        <v>268</v>
      </c>
      <c r="Z68" t="s">
        <v>416</v>
      </c>
    </row>
    <row r="69" spans="2:26" x14ac:dyDescent="0.25">
      <c r="B69" s="71">
        <v>44939.000003356479</v>
      </c>
      <c r="C69" s="14" t="s">
        <v>268</v>
      </c>
      <c r="D69" s="14" t="s">
        <v>793</v>
      </c>
      <c r="E69" s="14" t="s">
        <v>132</v>
      </c>
      <c r="F69" s="14">
        <v>0.21919872999990275</v>
      </c>
      <c r="G69" s="14">
        <v>10.818879293816281</v>
      </c>
      <c r="H69" s="14">
        <v>49.3564871193418</v>
      </c>
      <c r="I69" s="14">
        <v>0</v>
      </c>
      <c r="J69" s="14" t="s">
        <v>252</v>
      </c>
      <c r="L69" s="14">
        <v>1</v>
      </c>
      <c r="M69" s="14" t="s">
        <v>132</v>
      </c>
      <c r="N69" s="48"/>
      <c r="O69" s="46"/>
      <c r="P69" s="47"/>
      <c r="Q69" s="16">
        <v>0</v>
      </c>
      <c r="R69" s="26" t="s">
        <v>252</v>
      </c>
      <c r="S69" s="26" t="s">
        <v>60</v>
      </c>
      <c r="T69" s="17" t="s">
        <v>794</v>
      </c>
      <c r="U69" s="17">
        <v>10.818879293816281</v>
      </c>
      <c r="V69" s="17">
        <v>49.3564871193418</v>
      </c>
      <c r="W69" s="17">
        <v>0</v>
      </c>
      <c r="X69" s="17">
        <v>0</v>
      </c>
      <c r="Y69" s="23" t="s">
        <v>268</v>
      </c>
      <c r="Z69" t="s">
        <v>132</v>
      </c>
    </row>
    <row r="70" spans="2:26" x14ac:dyDescent="0.25">
      <c r="B70" s="71">
        <v>44939.000003356479</v>
      </c>
      <c r="C70" s="14" t="s">
        <v>268</v>
      </c>
      <c r="D70" s="14" t="s">
        <v>793</v>
      </c>
      <c r="E70" s="14" t="s">
        <v>190</v>
      </c>
      <c r="F70" s="14">
        <v>74364.178118850105</v>
      </c>
      <c r="G70" s="14">
        <v>5970.3827725013398</v>
      </c>
      <c r="H70" s="14">
        <v>8.028573600261367E-2</v>
      </c>
      <c r="I70" s="14">
        <v>0</v>
      </c>
      <c r="J70" s="14" t="s">
        <v>252</v>
      </c>
      <c r="L70" s="14">
        <v>1</v>
      </c>
      <c r="M70" s="14" t="s">
        <v>190</v>
      </c>
      <c r="N70" s="48"/>
      <c r="O70" s="46"/>
      <c r="P70" s="47"/>
      <c r="Q70" s="16">
        <v>0</v>
      </c>
      <c r="R70" s="26" t="s">
        <v>252</v>
      </c>
      <c r="S70" s="26" t="s">
        <v>60</v>
      </c>
      <c r="T70" s="17" t="s">
        <v>794</v>
      </c>
      <c r="U70" s="17">
        <v>5970.3827725013398</v>
      </c>
      <c r="V70" s="17">
        <v>8.028573600261367E-2</v>
      </c>
      <c r="W70" s="17">
        <v>0</v>
      </c>
      <c r="X70" s="17">
        <v>0</v>
      </c>
      <c r="Y70" s="23" t="s">
        <v>268</v>
      </c>
      <c r="Z70" t="s">
        <v>190</v>
      </c>
    </row>
    <row r="71" spans="2:26" x14ac:dyDescent="0.25">
      <c r="B71" s="71">
        <v>44939.000003356479</v>
      </c>
      <c r="C71" s="14" t="s">
        <v>268</v>
      </c>
      <c r="D71" s="14" t="s">
        <v>793</v>
      </c>
      <c r="E71" s="14" t="s">
        <v>133</v>
      </c>
      <c r="F71" s="14">
        <v>5.9800000000000001E-4</v>
      </c>
      <c r="G71" s="14">
        <v>6.9374385267831303E-6</v>
      </c>
      <c r="H71" s="14">
        <v>1.1601067770540352E-2</v>
      </c>
      <c r="I71" s="14">
        <v>0</v>
      </c>
      <c r="J71" s="14" t="s">
        <v>252</v>
      </c>
      <c r="L71" s="14">
        <v>1</v>
      </c>
      <c r="M71" s="14" t="s">
        <v>133</v>
      </c>
      <c r="N71" s="48"/>
      <c r="O71" s="46"/>
      <c r="P71" s="47"/>
      <c r="Q71" s="16">
        <v>0</v>
      </c>
      <c r="R71" s="26" t="s">
        <v>252</v>
      </c>
      <c r="S71" s="26" t="s">
        <v>60</v>
      </c>
      <c r="T71" s="17" t="s">
        <v>794</v>
      </c>
      <c r="U71" s="17">
        <v>6.9374385267831303E-6</v>
      </c>
      <c r="V71" s="17">
        <v>1.1601067770540352E-2</v>
      </c>
      <c r="W71" s="17">
        <v>0</v>
      </c>
      <c r="X71" s="17">
        <v>0</v>
      </c>
      <c r="Y71" s="23" t="s">
        <v>268</v>
      </c>
      <c r="Z71" t="s">
        <v>133</v>
      </c>
    </row>
    <row r="72" spans="2:26" x14ac:dyDescent="0.25">
      <c r="B72" s="71">
        <v>44939.000003356479</v>
      </c>
      <c r="C72" s="14" t="s">
        <v>268</v>
      </c>
      <c r="D72" s="14" t="s">
        <v>793</v>
      </c>
      <c r="E72" s="14" t="s">
        <v>22</v>
      </c>
      <c r="F72" s="14">
        <v>-456.1666598699976</v>
      </c>
      <c r="G72" s="14">
        <v>-2385.5134843317719</v>
      </c>
      <c r="H72" s="14">
        <v>5.2294779390751982</v>
      </c>
      <c r="I72" s="14">
        <v>0</v>
      </c>
      <c r="J72" s="14" t="s">
        <v>252</v>
      </c>
      <c r="L72" s="14">
        <v>1</v>
      </c>
      <c r="M72" s="14" t="s">
        <v>22</v>
      </c>
      <c r="N72" s="48"/>
      <c r="O72" s="46"/>
      <c r="P72" s="47"/>
      <c r="Q72" s="16">
        <v>0</v>
      </c>
      <c r="R72" s="26" t="s">
        <v>252</v>
      </c>
      <c r="S72" s="26" t="s">
        <v>61</v>
      </c>
      <c r="T72" s="17" t="s">
        <v>803</v>
      </c>
      <c r="U72" s="17">
        <v>-2385.5134843317719</v>
      </c>
      <c r="V72" s="17">
        <v>5.2294779390751982</v>
      </c>
      <c r="W72" s="17">
        <v>0</v>
      </c>
      <c r="X72" s="17">
        <v>0</v>
      </c>
      <c r="Y72" s="23" t="s">
        <v>268</v>
      </c>
      <c r="Z72" t="s">
        <v>22</v>
      </c>
    </row>
    <row r="73" spans="2:26" x14ac:dyDescent="0.25">
      <c r="B73" s="71">
        <v>44939.000003356479</v>
      </c>
      <c r="C73" s="14" t="s">
        <v>268</v>
      </c>
      <c r="D73" s="14" t="s">
        <v>793</v>
      </c>
      <c r="E73" s="14" t="s">
        <v>28</v>
      </c>
      <c r="F73" s="14">
        <v>1932.5640325299973</v>
      </c>
      <c r="G73" s="14">
        <v>587.68537643045784</v>
      </c>
      <c r="H73" s="14">
        <v>0.30409619890374101</v>
      </c>
      <c r="I73" s="14">
        <v>0</v>
      </c>
      <c r="J73" s="14" t="s">
        <v>252</v>
      </c>
      <c r="L73" s="14">
        <v>1</v>
      </c>
      <c r="M73" s="14" t="s">
        <v>28</v>
      </c>
      <c r="N73" s="48"/>
      <c r="O73" s="46"/>
      <c r="P73" s="47"/>
      <c r="Q73" s="25">
        <v>0</v>
      </c>
      <c r="R73" s="26" t="s">
        <v>252</v>
      </c>
      <c r="S73" s="26" t="s">
        <v>60</v>
      </c>
      <c r="T73" s="26" t="s">
        <v>794</v>
      </c>
      <c r="U73" s="17">
        <v>587.68537643045784</v>
      </c>
      <c r="V73" s="26">
        <v>0.30409619890374101</v>
      </c>
      <c r="W73" s="26">
        <v>0</v>
      </c>
      <c r="X73" s="26">
        <v>0</v>
      </c>
      <c r="Y73" s="23" t="s">
        <v>268</v>
      </c>
      <c r="Z73" t="s">
        <v>28</v>
      </c>
    </row>
    <row r="74" spans="2:26" x14ac:dyDescent="0.25">
      <c r="B74" s="71">
        <v>44939.000003356479</v>
      </c>
      <c r="C74" s="14" t="s">
        <v>268</v>
      </c>
      <c r="D74" s="14" t="s">
        <v>793</v>
      </c>
      <c r="E74" s="14" t="s">
        <v>23</v>
      </c>
      <c r="F74" s="14">
        <v>773075.55244513147</v>
      </c>
      <c r="G74" s="14">
        <v>765532.24981215771</v>
      </c>
      <c r="H74" s="14">
        <v>0.99024247680693644</v>
      </c>
      <c r="I74" s="14">
        <v>0</v>
      </c>
      <c r="J74" s="14" t="s">
        <v>252</v>
      </c>
      <c r="L74" s="14">
        <v>1</v>
      </c>
      <c r="M74" s="14" t="s">
        <v>23</v>
      </c>
      <c r="N74" s="48"/>
      <c r="O74" s="46"/>
      <c r="P74" s="47"/>
      <c r="Q74" s="25">
        <v>0</v>
      </c>
      <c r="R74" s="26" t="s">
        <v>252</v>
      </c>
      <c r="S74" s="26" t="s">
        <v>60</v>
      </c>
      <c r="T74" s="26" t="s">
        <v>794</v>
      </c>
      <c r="U74" s="17">
        <v>765532.24981215771</v>
      </c>
      <c r="V74" s="26">
        <v>0.99024247680693644</v>
      </c>
      <c r="W74" s="26">
        <v>0</v>
      </c>
      <c r="X74" s="26">
        <v>0</v>
      </c>
      <c r="Y74" s="23" t="s">
        <v>268</v>
      </c>
      <c r="Z74" t="s">
        <v>23</v>
      </c>
    </row>
    <row r="75" spans="2:26" x14ac:dyDescent="0.25">
      <c r="B75" s="71">
        <v>44939.000003356479</v>
      </c>
      <c r="C75" s="14" t="s">
        <v>268</v>
      </c>
      <c r="D75" s="14" t="s">
        <v>793</v>
      </c>
      <c r="E75" s="14" t="s">
        <v>29</v>
      </c>
      <c r="F75" s="14">
        <v>97705.161936399891</v>
      </c>
      <c r="G75" s="14">
        <v>2043772.9540111423</v>
      </c>
      <c r="H75" s="14">
        <v>20.917758217744051</v>
      </c>
      <c r="I75" s="14">
        <v>0</v>
      </c>
      <c r="J75" s="14" t="s">
        <v>252</v>
      </c>
      <c r="L75" s="14">
        <v>1</v>
      </c>
      <c r="M75" s="14" t="s">
        <v>29</v>
      </c>
      <c r="N75" s="48"/>
      <c r="O75" s="46"/>
      <c r="P75" s="47"/>
      <c r="Q75" s="25">
        <v>0</v>
      </c>
      <c r="R75" s="26" t="s">
        <v>252</v>
      </c>
      <c r="S75" s="26" t="s">
        <v>60</v>
      </c>
      <c r="T75" s="26" t="s">
        <v>794</v>
      </c>
      <c r="U75" s="17">
        <v>2043772.9540111423</v>
      </c>
      <c r="V75" s="26">
        <v>20.917758217744051</v>
      </c>
      <c r="W75" s="26">
        <v>0</v>
      </c>
      <c r="X75" s="26">
        <v>0</v>
      </c>
      <c r="Y75" s="23" t="s">
        <v>268</v>
      </c>
      <c r="Z75" t="s">
        <v>29</v>
      </c>
    </row>
    <row r="76" spans="2:26" x14ac:dyDescent="0.25">
      <c r="B76" s="71">
        <v>44939.000003356479</v>
      </c>
      <c r="C76" s="14" t="s">
        <v>268</v>
      </c>
      <c r="D76" s="14" t="s">
        <v>793</v>
      </c>
      <c r="E76" s="14" t="s">
        <v>15</v>
      </c>
      <c r="F76" s="14">
        <v>6098.8714269800066</v>
      </c>
      <c r="G76" s="14">
        <v>8647824.7438172642</v>
      </c>
      <c r="H76" s="14">
        <v>1417.9385231112224</v>
      </c>
      <c r="I76" s="14">
        <v>0</v>
      </c>
      <c r="J76" s="14" t="s">
        <v>252</v>
      </c>
      <c r="L76" s="14">
        <v>1</v>
      </c>
      <c r="M76" s="14" t="s">
        <v>15</v>
      </c>
      <c r="N76" s="48"/>
      <c r="O76" s="46"/>
      <c r="P76" s="47"/>
      <c r="Q76" s="25">
        <v>0</v>
      </c>
      <c r="R76" s="26" t="s">
        <v>252</v>
      </c>
      <c r="S76" s="26" t="s">
        <v>60</v>
      </c>
      <c r="T76" s="26" t="s">
        <v>794</v>
      </c>
      <c r="U76" s="17">
        <v>8647824.7438172642</v>
      </c>
      <c r="V76" s="26">
        <v>1417.9385231112224</v>
      </c>
      <c r="W76" s="26">
        <v>0</v>
      </c>
      <c r="X76" s="26">
        <v>0</v>
      </c>
      <c r="Y76" s="23" t="s">
        <v>268</v>
      </c>
      <c r="Z76" t="s">
        <v>15</v>
      </c>
    </row>
    <row r="77" spans="2:26" x14ac:dyDescent="0.25">
      <c r="B77" s="71">
        <v>44939.000003356479</v>
      </c>
      <c r="C77" s="14" t="s">
        <v>268</v>
      </c>
      <c r="D77" s="14" t="s">
        <v>793</v>
      </c>
      <c r="E77" s="14" t="s">
        <v>290</v>
      </c>
      <c r="F77" s="14">
        <v>9823.8374246499989</v>
      </c>
      <c r="G77" s="14">
        <v>3355.0192806686136</v>
      </c>
      <c r="H77" s="14">
        <v>0.34151820064226535</v>
      </c>
      <c r="I77" s="14">
        <v>0</v>
      </c>
      <c r="J77" s="14" t="s">
        <v>252</v>
      </c>
      <c r="L77" s="14">
        <v>1</v>
      </c>
      <c r="M77" s="14" t="s">
        <v>290</v>
      </c>
      <c r="N77" s="48"/>
      <c r="O77" s="46"/>
      <c r="P77" s="47"/>
      <c r="Q77" s="25">
        <v>0</v>
      </c>
      <c r="R77" s="26" t="s">
        <v>252</v>
      </c>
      <c r="S77" s="26" t="s">
        <v>60</v>
      </c>
      <c r="T77" s="26" t="s">
        <v>794</v>
      </c>
      <c r="U77" s="17">
        <v>3355.0192806686136</v>
      </c>
      <c r="V77" s="26">
        <v>0.34151820064226535</v>
      </c>
      <c r="W77" s="26">
        <v>0</v>
      </c>
      <c r="X77" s="26">
        <v>0</v>
      </c>
      <c r="Y77" s="23" t="s">
        <v>268</v>
      </c>
      <c r="Z77" t="s">
        <v>290</v>
      </c>
    </row>
    <row r="78" spans="2:26" x14ac:dyDescent="0.25">
      <c r="B78" s="71">
        <v>44939.000003356479</v>
      </c>
      <c r="C78" s="14" t="s">
        <v>268</v>
      </c>
      <c r="D78" s="14" t="s">
        <v>793</v>
      </c>
      <c r="E78" s="14" t="s">
        <v>272</v>
      </c>
      <c r="F78" s="14">
        <v>4732.5387514900003</v>
      </c>
      <c r="G78" s="14">
        <v>16251.980146977308</v>
      </c>
      <c r="H78" s="14">
        <v>3.4340934116726478</v>
      </c>
      <c r="I78" s="14">
        <v>0</v>
      </c>
      <c r="J78" s="14" t="s">
        <v>252</v>
      </c>
      <c r="L78" s="14">
        <v>1</v>
      </c>
      <c r="M78" s="14" t="s">
        <v>272</v>
      </c>
      <c r="N78" s="48"/>
      <c r="O78" s="46"/>
      <c r="P78" s="47"/>
      <c r="Q78" s="25">
        <v>0</v>
      </c>
      <c r="R78" s="26" t="s">
        <v>252</v>
      </c>
      <c r="S78" s="26" t="s">
        <v>60</v>
      </c>
      <c r="T78" s="26" t="s">
        <v>794</v>
      </c>
      <c r="U78" s="17">
        <v>16251.980146977308</v>
      </c>
      <c r="V78" s="26">
        <v>3.4340934116726478</v>
      </c>
      <c r="W78" s="26">
        <v>0</v>
      </c>
      <c r="X78" s="26">
        <v>0</v>
      </c>
      <c r="Y78" s="23" t="s">
        <v>268</v>
      </c>
      <c r="Z78" t="s">
        <v>272</v>
      </c>
    </row>
    <row r="79" spans="2:26" x14ac:dyDescent="0.25">
      <c r="B79" s="71">
        <v>44939.000003356479</v>
      </c>
      <c r="C79" s="14" t="s">
        <v>268</v>
      </c>
      <c r="D79" s="14" t="s">
        <v>793</v>
      </c>
      <c r="E79" s="14" t="s">
        <v>107</v>
      </c>
      <c r="F79" s="14">
        <v>799777.39938650001</v>
      </c>
      <c r="G79" s="14">
        <v>867934.42936221696</v>
      </c>
      <c r="H79" s="14">
        <v>1.0852199999999992</v>
      </c>
      <c r="I79" s="14">
        <v>0</v>
      </c>
      <c r="J79" s="14" t="s">
        <v>259</v>
      </c>
      <c r="L79" s="14">
        <v>1</v>
      </c>
      <c r="M79" s="14" t="s">
        <v>107</v>
      </c>
      <c r="N79" s="48"/>
      <c r="O79" s="46"/>
      <c r="P79" s="47"/>
      <c r="Q79" s="25">
        <v>0</v>
      </c>
      <c r="R79" s="26" t="s">
        <v>259</v>
      </c>
      <c r="S79" s="26" t="s">
        <v>60</v>
      </c>
      <c r="T79" s="26" t="s">
        <v>801</v>
      </c>
      <c r="U79" s="17">
        <v>867934.42936221696</v>
      </c>
      <c r="V79" s="26">
        <v>1.0852199999999992</v>
      </c>
      <c r="W79" s="26">
        <v>0</v>
      </c>
      <c r="X79" s="26">
        <v>0</v>
      </c>
      <c r="Y79" s="23" t="s">
        <v>268</v>
      </c>
      <c r="Z79" t="s">
        <v>107</v>
      </c>
    </row>
    <row r="80" spans="2:26" x14ac:dyDescent="0.25">
      <c r="B80" s="71">
        <v>44939.000003356479</v>
      </c>
      <c r="C80" s="14" t="s">
        <v>268</v>
      </c>
      <c r="D80" s="14" t="s">
        <v>793</v>
      </c>
      <c r="E80" s="14" t="s">
        <v>258</v>
      </c>
      <c r="F80" s="14">
        <v>-14658148.713035181</v>
      </c>
      <c r="G80" s="14">
        <v>-15897685.982357444</v>
      </c>
      <c r="H80" s="14">
        <v>1.0845630163528064</v>
      </c>
      <c r="I80" s="14">
        <v>0</v>
      </c>
      <c r="J80" s="14" t="s">
        <v>252</v>
      </c>
      <c r="L80" s="14">
        <v>1</v>
      </c>
      <c r="M80" s="14" t="s">
        <v>258</v>
      </c>
      <c r="N80" s="48"/>
      <c r="O80" s="46"/>
      <c r="P80" s="47"/>
      <c r="Q80" s="25">
        <v>0</v>
      </c>
      <c r="R80" s="26" t="s">
        <v>252</v>
      </c>
      <c r="S80" s="26" t="s">
        <v>61</v>
      </c>
      <c r="T80" s="26" t="s">
        <v>803</v>
      </c>
      <c r="U80" s="17">
        <v>-15897685.982357444</v>
      </c>
      <c r="V80" s="26">
        <v>1.0845630163528064</v>
      </c>
      <c r="W80" s="26">
        <v>0</v>
      </c>
      <c r="X80" s="26">
        <v>0</v>
      </c>
      <c r="Y80" s="23" t="s">
        <v>268</v>
      </c>
      <c r="Z80" t="s">
        <v>258</v>
      </c>
    </row>
    <row r="81" spans="2:26" x14ac:dyDescent="0.25">
      <c r="B81" s="71">
        <v>44939.000003356479</v>
      </c>
      <c r="C81" s="14" t="s">
        <v>268</v>
      </c>
      <c r="D81" s="14" t="s">
        <v>793</v>
      </c>
      <c r="E81" s="14" t="s">
        <v>30</v>
      </c>
      <c r="F81" s="14">
        <v>1.1855028299999999</v>
      </c>
      <c r="G81" s="14">
        <v>4.5680565118387095</v>
      </c>
      <c r="H81" s="14">
        <v>3.8532649574853481</v>
      </c>
      <c r="I81" s="14">
        <v>0</v>
      </c>
      <c r="J81" s="14" t="s">
        <v>252</v>
      </c>
      <c r="L81" s="14">
        <v>1</v>
      </c>
      <c r="M81" s="14" t="s">
        <v>30</v>
      </c>
      <c r="N81" s="48"/>
      <c r="O81" s="46"/>
      <c r="P81" s="47"/>
      <c r="Q81" s="25">
        <v>0</v>
      </c>
      <c r="R81" s="26" t="s">
        <v>252</v>
      </c>
      <c r="S81" s="26" t="s">
        <v>60</v>
      </c>
      <c r="T81" s="26" t="s">
        <v>794</v>
      </c>
      <c r="U81" s="17">
        <v>4.5680565118387095</v>
      </c>
      <c r="V81" s="26">
        <v>3.8532649574853481</v>
      </c>
      <c r="W81" s="26">
        <v>0</v>
      </c>
      <c r="X81" s="26">
        <v>0</v>
      </c>
      <c r="Y81" s="23" t="s">
        <v>268</v>
      </c>
      <c r="Z81" t="s">
        <v>30</v>
      </c>
    </row>
    <row r="82" spans="2:26" x14ac:dyDescent="0.25">
      <c r="B82" s="71">
        <v>44939.000003356479</v>
      </c>
      <c r="C82" s="14" t="s">
        <v>268</v>
      </c>
      <c r="D82" s="14" t="s">
        <v>793</v>
      </c>
      <c r="E82" s="14" t="s">
        <v>191</v>
      </c>
      <c r="F82" s="14">
        <v>3976.8653915600153</v>
      </c>
      <c r="G82" s="14">
        <v>1087.4612716261327</v>
      </c>
      <c r="H82" s="14">
        <v>0.27344683929559693</v>
      </c>
      <c r="I82" s="14">
        <v>0</v>
      </c>
      <c r="J82" s="14" t="s">
        <v>252</v>
      </c>
      <c r="L82" s="14">
        <v>1</v>
      </c>
      <c r="M82" s="14" t="s">
        <v>191</v>
      </c>
      <c r="N82" s="48"/>
      <c r="O82" s="46"/>
      <c r="P82" s="47"/>
      <c r="Q82" s="25">
        <v>0</v>
      </c>
      <c r="R82" s="26" t="s">
        <v>252</v>
      </c>
      <c r="S82" s="26" t="s">
        <v>60</v>
      </c>
      <c r="T82" s="26" t="s">
        <v>794</v>
      </c>
      <c r="U82" s="17">
        <v>1087.4612716261327</v>
      </c>
      <c r="V82" s="26">
        <v>0.27344683929559693</v>
      </c>
      <c r="W82" s="26">
        <v>0</v>
      </c>
      <c r="X82" s="26">
        <v>0</v>
      </c>
      <c r="Y82" s="23" t="s">
        <v>268</v>
      </c>
      <c r="Z82" t="s">
        <v>191</v>
      </c>
    </row>
    <row r="83" spans="2:26" x14ac:dyDescent="0.25">
      <c r="B83" s="71">
        <v>44939.000003356479</v>
      </c>
      <c r="C83" s="14" t="s">
        <v>268</v>
      </c>
      <c r="D83" s="14" t="s">
        <v>793</v>
      </c>
      <c r="E83" s="14" t="s">
        <v>109</v>
      </c>
      <c r="F83" s="14">
        <v>3.2244594900000001</v>
      </c>
      <c r="G83" s="14">
        <v>4.4523692177403333</v>
      </c>
      <c r="H83" s="14">
        <v>1.3808110263281159</v>
      </c>
      <c r="I83" s="14">
        <v>0</v>
      </c>
      <c r="J83" s="14" t="s">
        <v>252</v>
      </c>
      <c r="L83" s="14">
        <v>1</v>
      </c>
      <c r="M83" s="14" t="s">
        <v>109</v>
      </c>
      <c r="N83" s="48"/>
      <c r="O83" s="46"/>
      <c r="P83" s="47"/>
      <c r="Q83" s="25">
        <v>0</v>
      </c>
      <c r="R83" s="26" t="s">
        <v>252</v>
      </c>
      <c r="S83" s="26" t="s">
        <v>60</v>
      </c>
      <c r="T83" s="26" t="s">
        <v>794</v>
      </c>
      <c r="U83" s="17">
        <v>4.4523692177403333</v>
      </c>
      <c r="V83" s="26">
        <v>1.3808110263281159</v>
      </c>
      <c r="W83" s="26">
        <v>0</v>
      </c>
      <c r="X83" s="26">
        <v>0</v>
      </c>
      <c r="Y83" s="23" t="s">
        <v>268</v>
      </c>
      <c r="Z83" t="s">
        <v>109</v>
      </c>
    </row>
    <row r="84" spans="2:26" x14ac:dyDescent="0.25">
      <c r="B84" s="71">
        <v>44939.000003356479</v>
      </c>
      <c r="C84" s="14" t="s">
        <v>268</v>
      </c>
      <c r="D84" s="14" t="s">
        <v>793</v>
      </c>
      <c r="E84" s="14" t="s">
        <v>134</v>
      </c>
      <c r="F84" s="14">
        <v>54.776400000000002</v>
      </c>
      <c r="G84" s="14">
        <v>123.290471367386</v>
      </c>
      <c r="H84" s="14">
        <v>2.2507954405069701</v>
      </c>
      <c r="I84" s="14">
        <v>0</v>
      </c>
      <c r="J84" s="14" t="s">
        <v>252</v>
      </c>
      <c r="L84" s="14">
        <v>1</v>
      </c>
      <c r="M84" s="14" t="s">
        <v>134</v>
      </c>
      <c r="N84" s="48"/>
      <c r="O84" s="46"/>
      <c r="P84" s="47"/>
      <c r="Q84" s="25">
        <v>0</v>
      </c>
      <c r="R84" s="26" t="s">
        <v>252</v>
      </c>
      <c r="S84" s="26" t="s">
        <v>60</v>
      </c>
      <c r="T84" s="26" t="s">
        <v>794</v>
      </c>
      <c r="U84" s="17">
        <v>123.290471367386</v>
      </c>
      <c r="V84" s="26">
        <v>2.2507954405069701</v>
      </c>
      <c r="W84" s="26">
        <v>0</v>
      </c>
      <c r="X84" s="26">
        <v>0</v>
      </c>
      <c r="Y84" s="23" t="s">
        <v>268</v>
      </c>
      <c r="Z84" t="s">
        <v>134</v>
      </c>
    </row>
    <row r="85" spans="2:26" x14ac:dyDescent="0.25">
      <c r="B85" s="71">
        <v>44939.000003356479</v>
      </c>
      <c r="C85" s="14" t="s">
        <v>268</v>
      </c>
      <c r="D85" s="14" t="s">
        <v>793</v>
      </c>
      <c r="E85" s="14" t="s">
        <v>177</v>
      </c>
      <c r="F85" s="14">
        <v>0.01</v>
      </c>
      <c r="G85" s="14">
        <v>1.2211649999999999E-2</v>
      </c>
      <c r="H85" s="14">
        <v>1.2211649999999998</v>
      </c>
      <c r="I85" s="14">
        <v>0</v>
      </c>
      <c r="J85" s="14" t="s">
        <v>252</v>
      </c>
      <c r="L85" s="14">
        <v>1</v>
      </c>
      <c r="M85" s="14" t="s">
        <v>177</v>
      </c>
      <c r="N85" s="48"/>
      <c r="O85" s="46"/>
      <c r="P85" s="47"/>
      <c r="Q85" s="25">
        <v>0</v>
      </c>
      <c r="R85" s="26" t="s">
        <v>252</v>
      </c>
      <c r="S85" s="26" t="s">
        <v>60</v>
      </c>
      <c r="T85" s="26" t="s">
        <v>794</v>
      </c>
      <c r="U85" s="17">
        <v>1.2211649999999999E-2</v>
      </c>
      <c r="V85" s="26">
        <v>1.2211649999999998</v>
      </c>
      <c r="W85" s="26">
        <v>0</v>
      </c>
      <c r="X85" s="26">
        <v>0</v>
      </c>
      <c r="Y85" s="23" t="s">
        <v>268</v>
      </c>
      <c r="Z85" t="s">
        <v>177</v>
      </c>
    </row>
    <row r="86" spans="2:26" x14ac:dyDescent="0.25">
      <c r="B86" s="71">
        <v>44939.000003356479</v>
      </c>
      <c r="C86" s="14" t="s">
        <v>268</v>
      </c>
      <c r="D86" s="14" t="s">
        <v>793</v>
      </c>
      <c r="E86" s="14" t="s">
        <v>135</v>
      </c>
      <c r="F86" s="14">
        <v>741.59223907999694</v>
      </c>
      <c r="G86" s="14">
        <v>35.335117635084316</v>
      </c>
      <c r="H86" s="14">
        <v>4.7647636764538266E-2</v>
      </c>
      <c r="I86" s="14">
        <v>0</v>
      </c>
      <c r="J86" s="14" t="s">
        <v>252</v>
      </c>
      <c r="L86" s="14">
        <v>1</v>
      </c>
      <c r="M86" s="14" t="s">
        <v>135</v>
      </c>
      <c r="N86" s="48"/>
      <c r="O86" s="46"/>
      <c r="P86" s="47"/>
      <c r="Q86" s="25">
        <v>0</v>
      </c>
      <c r="R86" s="26" t="s">
        <v>252</v>
      </c>
      <c r="S86" s="26" t="s">
        <v>60</v>
      </c>
      <c r="T86" s="26" t="s">
        <v>794</v>
      </c>
      <c r="U86" s="17">
        <v>35.335117635084316</v>
      </c>
      <c r="V86" s="26">
        <v>4.7647636764538266E-2</v>
      </c>
      <c r="W86" s="26">
        <v>0</v>
      </c>
      <c r="X86" s="26">
        <v>0</v>
      </c>
      <c r="Y86" s="23" t="s">
        <v>268</v>
      </c>
      <c r="Z86" t="s">
        <v>135</v>
      </c>
    </row>
    <row r="87" spans="2:26" x14ac:dyDescent="0.25">
      <c r="B87" s="71">
        <v>44939.000003356479</v>
      </c>
      <c r="C87" s="14" t="s">
        <v>268</v>
      </c>
      <c r="D87" s="14" t="s">
        <v>793</v>
      </c>
      <c r="E87" s="14" t="s">
        <v>136</v>
      </c>
      <c r="F87" s="14">
        <v>5337.6979873099999</v>
      </c>
      <c r="G87" s="14">
        <v>1.0398940855485499</v>
      </c>
      <c r="H87" s="14">
        <v>1.9482070510936075E-4</v>
      </c>
      <c r="I87" s="14">
        <v>0</v>
      </c>
      <c r="J87" s="14" t="s">
        <v>252</v>
      </c>
      <c r="L87" s="14">
        <v>1</v>
      </c>
      <c r="M87" s="14" t="s">
        <v>136</v>
      </c>
      <c r="N87" s="48"/>
      <c r="O87" s="46"/>
      <c r="P87" s="47"/>
      <c r="Q87" s="25">
        <v>0</v>
      </c>
      <c r="R87" s="26" t="s">
        <v>252</v>
      </c>
      <c r="S87" s="26" t="s">
        <v>60</v>
      </c>
      <c r="T87" s="26" t="s">
        <v>794</v>
      </c>
      <c r="U87" s="17">
        <v>1.0398940855485499</v>
      </c>
      <c r="V87" s="26">
        <v>1.9482070510936075E-4</v>
      </c>
      <c r="W87" s="26">
        <v>0</v>
      </c>
      <c r="X87" s="26">
        <v>0</v>
      </c>
      <c r="Y87" s="23" t="s">
        <v>268</v>
      </c>
      <c r="Z87" t="s">
        <v>136</v>
      </c>
    </row>
    <row r="88" spans="2:26" x14ac:dyDescent="0.25">
      <c r="B88" s="71">
        <v>44939.000003356479</v>
      </c>
      <c r="C88" s="14" t="s">
        <v>268</v>
      </c>
      <c r="D88" s="14" t="s">
        <v>793</v>
      </c>
      <c r="E88" s="14" t="s">
        <v>137</v>
      </c>
      <c r="F88" s="14">
        <v>1594.9850023900001</v>
      </c>
      <c r="G88" s="14">
        <v>8106.9204874240804</v>
      </c>
      <c r="H88" s="14">
        <v>5.0827565621471624</v>
      </c>
      <c r="I88" s="14">
        <v>0</v>
      </c>
      <c r="J88" s="14" t="s">
        <v>252</v>
      </c>
      <c r="L88" s="14">
        <v>1</v>
      </c>
      <c r="M88" s="14" t="s">
        <v>137</v>
      </c>
      <c r="N88" s="48"/>
      <c r="O88" s="46"/>
      <c r="P88" s="47"/>
      <c r="Q88" s="25">
        <v>0</v>
      </c>
      <c r="R88" s="26" t="s">
        <v>252</v>
      </c>
      <c r="S88" s="26" t="s">
        <v>60</v>
      </c>
      <c r="T88" s="26" t="s">
        <v>794</v>
      </c>
      <c r="U88" s="17">
        <v>8106.9204874240804</v>
      </c>
      <c r="V88" s="26">
        <v>5.0827565621471624</v>
      </c>
      <c r="W88" s="26">
        <v>0</v>
      </c>
      <c r="X88" s="26">
        <v>0</v>
      </c>
      <c r="Y88" s="23" t="s">
        <v>268</v>
      </c>
      <c r="Z88" t="s">
        <v>137</v>
      </c>
    </row>
    <row r="89" spans="2:26" x14ac:dyDescent="0.25">
      <c r="B89" s="71">
        <v>44939.000003356479</v>
      </c>
      <c r="C89" s="14" t="s">
        <v>268</v>
      </c>
      <c r="D89" s="14" t="s">
        <v>793</v>
      </c>
      <c r="E89" s="14" t="s">
        <v>139</v>
      </c>
      <c r="F89" s="14">
        <v>14.785856219999999</v>
      </c>
      <c r="G89" s="14">
        <v>0.121917236886426</v>
      </c>
      <c r="H89" s="14">
        <v>8.2455310718844536E-3</v>
      </c>
      <c r="I89" s="14">
        <v>0</v>
      </c>
      <c r="J89" s="14" t="s">
        <v>252</v>
      </c>
      <c r="L89" s="14">
        <v>1</v>
      </c>
      <c r="M89" s="14" t="s">
        <v>139</v>
      </c>
      <c r="N89" s="48"/>
      <c r="O89" s="46"/>
      <c r="P89" s="47"/>
      <c r="Q89" s="25">
        <v>0</v>
      </c>
      <c r="R89" s="26" t="s">
        <v>252</v>
      </c>
      <c r="S89" s="26" t="s">
        <v>60</v>
      </c>
      <c r="T89" s="26" t="s">
        <v>794</v>
      </c>
      <c r="U89" s="17">
        <v>0.121917236886426</v>
      </c>
      <c r="V89" s="26">
        <v>8.2455310718844536E-3</v>
      </c>
      <c r="W89" s="26">
        <v>0</v>
      </c>
      <c r="X89" s="26">
        <v>0</v>
      </c>
      <c r="Y89" s="23" t="s">
        <v>268</v>
      </c>
      <c r="Z89" t="s">
        <v>139</v>
      </c>
    </row>
    <row r="90" spans="2:26" x14ac:dyDescent="0.25">
      <c r="B90" s="71">
        <v>44939.000003356479</v>
      </c>
      <c r="C90" s="14" t="s">
        <v>268</v>
      </c>
      <c r="D90" s="14" t="s">
        <v>793</v>
      </c>
      <c r="E90" s="14" t="s">
        <v>140</v>
      </c>
      <c r="F90" s="14">
        <v>0.81765067999999996</v>
      </c>
      <c r="G90" s="14">
        <v>1.1689388986948599E-2</v>
      </c>
      <c r="H90" s="14">
        <v>1.4296311704832924E-2</v>
      </c>
      <c r="I90" s="14">
        <v>0</v>
      </c>
      <c r="J90" s="14" t="s">
        <v>252</v>
      </c>
      <c r="L90" s="14">
        <v>1</v>
      </c>
      <c r="M90" s="14" t="s">
        <v>140</v>
      </c>
      <c r="N90" s="48"/>
      <c r="O90" s="46"/>
      <c r="P90" s="47"/>
      <c r="Q90" s="25">
        <v>0</v>
      </c>
      <c r="R90" s="26" t="s">
        <v>252</v>
      </c>
      <c r="S90" s="26" t="s">
        <v>60</v>
      </c>
      <c r="T90" s="26" t="s">
        <v>794</v>
      </c>
      <c r="U90" s="17">
        <v>1.1689388986948599E-2</v>
      </c>
      <c r="V90" s="26">
        <v>1.4296311704832924E-2</v>
      </c>
      <c r="W90" s="26">
        <v>0</v>
      </c>
      <c r="X90" s="26">
        <v>0</v>
      </c>
      <c r="Y90" s="23" t="s">
        <v>268</v>
      </c>
      <c r="Z90" t="s">
        <v>140</v>
      </c>
    </row>
    <row r="91" spans="2:26" x14ac:dyDescent="0.25">
      <c r="B91" s="71">
        <v>44939.000003356479</v>
      </c>
      <c r="C91" s="14" t="s">
        <v>268</v>
      </c>
      <c r="D91" s="14" t="s">
        <v>793</v>
      </c>
      <c r="E91" s="14" t="s">
        <v>141</v>
      </c>
      <c r="F91" s="14">
        <v>9.1121815000000002</v>
      </c>
      <c r="G91" s="14">
        <v>0.20061593833102701</v>
      </c>
      <c r="H91" s="14">
        <v>2.2016235994753507E-2</v>
      </c>
      <c r="I91" s="14">
        <v>0</v>
      </c>
      <c r="J91" s="14" t="s">
        <v>252</v>
      </c>
      <c r="L91" s="14">
        <v>1</v>
      </c>
      <c r="M91" s="14" t="s">
        <v>141</v>
      </c>
      <c r="N91" s="48"/>
      <c r="O91" s="46"/>
      <c r="P91" s="47"/>
      <c r="Q91" s="25">
        <v>0</v>
      </c>
      <c r="R91" s="26" t="s">
        <v>252</v>
      </c>
      <c r="S91" s="26" t="s">
        <v>60</v>
      </c>
      <c r="T91" s="26" t="s">
        <v>794</v>
      </c>
      <c r="U91" s="17">
        <v>0.20061593833102701</v>
      </c>
      <c r="V91" s="26">
        <v>2.2016235994753507E-2</v>
      </c>
      <c r="W91" s="26">
        <v>0</v>
      </c>
      <c r="X91" s="26">
        <v>0</v>
      </c>
      <c r="Y91" s="23" t="s">
        <v>268</v>
      </c>
      <c r="Z91" t="s">
        <v>141</v>
      </c>
    </row>
    <row r="92" spans="2:26" x14ac:dyDescent="0.25">
      <c r="B92" s="71">
        <v>44939.000003356479</v>
      </c>
      <c r="C92" s="14" t="s">
        <v>268</v>
      </c>
      <c r="D92" s="14" t="s">
        <v>793</v>
      </c>
      <c r="E92" s="14" t="s">
        <v>43</v>
      </c>
      <c r="F92" s="14">
        <v>9.3766399999999986E-3</v>
      </c>
      <c r="G92" s="14">
        <v>0.26561840673321507</v>
      </c>
      <c r="H92" s="14">
        <v>28.327674597000112</v>
      </c>
      <c r="I92" s="14">
        <v>0</v>
      </c>
      <c r="J92" s="14" t="s">
        <v>252</v>
      </c>
      <c r="L92" s="14">
        <v>1</v>
      </c>
      <c r="M92" s="14" t="s">
        <v>43</v>
      </c>
      <c r="N92" s="48"/>
      <c r="O92" s="46"/>
      <c r="P92" s="47"/>
      <c r="Q92" s="25">
        <v>0</v>
      </c>
      <c r="R92" s="26" t="s">
        <v>252</v>
      </c>
      <c r="S92" s="26" t="s">
        <v>60</v>
      </c>
      <c r="T92" s="26" t="s">
        <v>794</v>
      </c>
      <c r="U92" s="17">
        <v>0.26561840673321507</v>
      </c>
      <c r="V92" s="26">
        <v>28.327674597000112</v>
      </c>
      <c r="W92" s="26">
        <v>0</v>
      </c>
      <c r="X92" s="26">
        <v>0</v>
      </c>
      <c r="Y92" s="23" t="s">
        <v>268</v>
      </c>
      <c r="Z92" t="s">
        <v>43</v>
      </c>
    </row>
    <row r="93" spans="2:26" x14ac:dyDescent="0.25">
      <c r="B93" s="71">
        <v>44939.000003356479</v>
      </c>
      <c r="C93" s="14" t="s">
        <v>268</v>
      </c>
      <c r="D93" s="14" t="s">
        <v>793</v>
      </c>
      <c r="E93" s="14" t="s">
        <v>142</v>
      </c>
      <c r="F93" s="14">
        <v>0.24234807999999999</v>
      </c>
      <c r="G93" s="14">
        <v>3.0956421739687298E-4</v>
      </c>
      <c r="H93" s="14">
        <v>1.2773537029749646E-3</v>
      </c>
      <c r="I93" s="14">
        <v>0</v>
      </c>
      <c r="J93" s="14" t="s">
        <v>252</v>
      </c>
      <c r="L93" s="14">
        <v>1</v>
      </c>
      <c r="M93" s="14" t="s">
        <v>142</v>
      </c>
      <c r="N93" s="48"/>
      <c r="O93" s="46"/>
      <c r="P93" s="47"/>
      <c r="Q93" s="25">
        <v>0</v>
      </c>
      <c r="R93" s="26" t="s">
        <v>252</v>
      </c>
      <c r="S93" s="26" t="s">
        <v>60</v>
      </c>
      <c r="T93" s="26" t="s">
        <v>794</v>
      </c>
      <c r="U93" s="17">
        <v>3.0956421739687298E-4</v>
      </c>
      <c r="V93" s="26">
        <v>1.2773537029749646E-3</v>
      </c>
      <c r="W93" s="26">
        <v>0</v>
      </c>
      <c r="X93" s="26">
        <v>0</v>
      </c>
      <c r="Y93" s="23" t="s">
        <v>268</v>
      </c>
      <c r="Z93" t="s">
        <v>142</v>
      </c>
    </row>
    <row r="94" spans="2:26" x14ac:dyDescent="0.25">
      <c r="B94" s="71">
        <v>44939.000003356479</v>
      </c>
      <c r="C94" s="14" t="s">
        <v>268</v>
      </c>
      <c r="D94" s="14" t="s">
        <v>793</v>
      </c>
      <c r="E94" s="14" t="s">
        <v>143</v>
      </c>
      <c r="F94" s="14">
        <v>1E-8</v>
      </c>
      <c r="G94" s="14">
        <v>0</v>
      </c>
      <c r="H94" s="14">
        <v>0</v>
      </c>
      <c r="I94" s="14">
        <v>0</v>
      </c>
      <c r="J94" s="14" t="s">
        <v>252</v>
      </c>
      <c r="L94" s="14">
        <v>1</v>
      </c>
      <c r="M94" s="14" t="s">
        <v>143</v>
      </c>
      <c r="N94" s="48"/>
      <c r="O94" s="46"/>
      <c r="P94" s="47"/>
      <c r="Q94" s="25">
        <v>0</v>
      </c>
      <c r="R94" s="26" t="s">
        <v>252</v>
      </c>
      <c r="S94" s="26" t="s">
        <v>60</v>
      </c>
      <c r="T94" s="26" t="s">
        <v>794</v>
      </c>
      <c r="U94" s="17">
        <v>0</v>
      </c>
      <c r="V94" s="26">
        <v>0</v>
      </c>
      <c r="W94" s="26">
        <v>0</v>
      </c>
      <c r="X94" s="26">
        <v>0</v>
      </c>
      <c r="Y94" s="23" t="s">
        <v>268</v>
      </c>
      <c r="Z94" t="s">
        <v>143</v>
      </c>
    </row>
    <row r="95" spans="2:26" x14ac:dyDescent="0.25">
      <c r="B95" s="71">
        <v>44939.000003356479</v>
      </c>
      <c r="C95" s="14" t="s">
        <v>268</v>
      </c>
      <c r="D95" s="14" t="s">
        <v>793</v>
      </c>
      <c r="E95" s="14" t="s">
        <v>27</v>
      </c>
      <c r="F95" s="14">
        <v>76776.503835109994</v>
      </c>
      <c r="G95" s="14">
        <v>489936.32640885597</v>
      </c>
      <c r="H95" s="14">
        <v>6.3813315524378886</v>
      </c>
      <c r="I95" s="14">
        <v>0</v>
      </c>
      <c r="J95" s="14" t="s">
        <v>252</v>
      </c>
      <c r="L95" s="14">
        <v>1</v>
      </c>
      <c r="M95" s="14" t="s">
        <v>27</v>
      </c>
      <c r="N95" s="48"/>
      <c r="O95" s="46"/>
      <c r="P95" s="47"/>
      <c r="Q95" s="25">
        <v>0</v>
      </c>
      <c r="R95" s="26" t="s">
        <v>252</v>
      </c>
      <c r="S95" s="26" t="s">
        <v>60</v>
      </c>
      <c r="T95" s="26" t="s">
        <v>794</v>
      </c>
      <c r="U95" s="17">
        <v>489936.32640885597</v>
      </c>
      <c r="V95" s="26">
        <v>6.3813315524378886</v>
      </c>
      <c r="W95" s="26">
        <v>0</v>
      </c>
      <c r="X95" s="26">
        <v>0</v>
      </c>
      <c r="Y95" s="23" t="s">
        <v>268</v>
      </c>
      <c r="Z95" t="s">
        <v>27</v>
      </c>
    </row>
    <row r="96" spans="2:26" x14ac:dyDescent="0.25">
      <c r="B96" s="71">
        <v>44939.000003356479</v>
      </c>
      <c r="C96" s="14" t="s">
        <v>268</v>
      </c>
      <c r="D96" s="14" t="s">
        <v>793</v>
      </c>
      <c r="E96" s="14" t="s">
        <v>144</v>
      </c>
      <c r="F96" s="14">
        <v>4.3289484800000002</v>
      </c>
      <c r="G96" s="14">
        <v>1.2336208176422599E-6</v>
      </c>
      <c r="H96" s="14">
        <v>2.8497008530862898E-7</v>
      </c>
      <c r="I96" s="14">
        <v>0</v>
      </c>
      <c r="J96" s="14" t="s">
        <v>252</v>
      </c>
      <c r="L96" s="14">
        <v>1</v>
      </c>
      <c r="M96" s="14" t="s">
        <v>144</v>
      </c>
      <c r="N96" s="48"/>
      <c r="O96" s="46"/>
      <c r="P96" s="47"/>
      <c r="Q96" s="25">
        <v>0</v>
      </c>
      <c r="R96" s="26" t="s">
        <v>252</v>
      </c>
      <c r="S96" s="26" t="s">
        <v>60</v>
      </c>
      <c r="T96" s="26" t="s">
        <v>794</v>
      </c>
      <c r="U96" s="17">
        <v>1.2336208176422599E-6</v>
      </c>
      <c r="V96" s="26">
        <v>2.8497008530862898E-7</v>
      </c>
      <c r="W96" s="26">
        <v>0</v>
      </c>
      <c r="X96" s="26">
        <v>0</v>
      </c>
      <c r="Y96" s="23" t="s">
        <v>268</v>
      </c>
      <c r="Z96" t="s">
        <v>144</v>
      </c>
    </row>
    <row r="97" spans="2:26" x14ac:dyDescent="0.25">
      <c r="B97" s="71">
        <v>44939.000003356479</v>
      </c>
      <c r="C97" s="14" t="s">
        <v>268</v>
      </c>
      <c r="D97" s="14" t="s">
        <v>793</v>
      </c>
      <c r="E97" s="14" t="s">
        <v>24</v>
      </c>
      <c r="F97" s="14">
        <v>2805.3495127399983</v>
      </c>
      <c r="G97" s="14">
        <v>241159.70920275006</v>
      </c>
      <c r="H97" s="14">
        <v>85.964229450756818</v>
      </c>
      <c r="I97" s="14">
        <v>0</v>
      </c>
      <c r="J97" s="14" t="s">
        <v>252</v>
      </c>
      <c r="L97" s="14">
        <v>1</v>
      </c>
      <c r="M97" s="14" t="s">
        <v>24</v>
      </c>
      <c r="N97" s="48"/>
      <c r="O97" s="46"/>
      <c r="P97" s="47"/>
      <c r="Q97" s="25">
        <v>0</v>
      </c>
      <c r="R97" s="26" t="s">
        <v>252</v>
      </c>
      <c r="S97" s="26" t="s">
        <v>60</v>
      </c>
      <c r="T97" s="26" t="s">
        <v>794</v>
      </c>
      <c r="U97" s="17">
        <v>241159.70920275006</v>
      </c>
      <c r="V97" s="26">
        <v>85.964229450756818</v>
      </c>
      <c r="W97" s="26">
        <v>0</v>
      </c>
      <c r="X97" s="26">
        <v>0</v>
      </c>
      <c r="Y97" s="23" t="s">
        <v>268</v>
      </c>
      <c r="Z97" t="s">
        <v>24</v>
      </c>
    </row>
    <row r="98" spans="2:26" x14ac:dyDescent="0.25">
      <c r="B98" s="71">
        <v>44939.000003356479</v>
      </c>
      <c r="C98" s="14" t="s">
        <v>268</v>
      </c>
      <c r="D98" s="14" t="s">
        <v>793</v>
      </c>
      <c r="E98" s="14" t="s">
        <v>145</v>
      </c>
      <c r="F98" s="14">
        <v>0.66495972999999997</v>
      </c>
      <c r="G98" s="14">
        <v>1.7157540226222701E-4</v>
      </c>
      <c r="H98" s="14">
        <v>2.5802374868960415E-4</v>
      </c>
      <c r="I98" s="14">
        <v>0</v>
      </c>
      <c r="J98" s="14" t="s">
        <v>252</v>
      </c>
      <c r="L98" s="14">
        <v>1</v>
      </c>
      <c r="M98" s="14" t="s">
        <v>145</v>
      </c>
      <c r="N98" s="48"/>
      <c r="O98" s="46"/>
      <c r="P98" s="47"/>
      <c r="Q98" s="25">
        <v>0</v>
      </c>
      <c r="R98" s="26" t="s">
        <v>252</v>
      </c>
      <c r="S98" s="26" t="s">
        <v>60</v>
      </c>
      <c r="T98" s="26" t="s">
        <v>794</v>
      </c>
      <c r="U98" s="17">
        <v>1.7157540226222701E-4</v>
      </c>
      <c r="V98" s="26">
        <v>2.5802374868960415E-4</v>
      </c>
      <c r="W98" s="26">
        <v>0</v>
      </c>
      <c r="X98" s="26">
        <v>0</v>
      </c>
      <c r="Y98" s="23" t="s">
        <v>268</v>
      </c>
      <c r="Z98" t="s">
        <v>145</v>
      </c>
    </row>
    <row r="99" spans="2:26" x14ac:dyDescent="0.25">
      <c r="B99" s="71">
        <v>44939.000003356479</v>
      </c>
      <c r="C99" s="14" t="s">
        <v>268</v>
      </c>
      <c r="D99" s="14" t="s">
        <v>793</v>
      </c>
      <c r="E99" s="14" t="s">
        <v>192</v>
      </c>
      <c r="F99" s="14">
        <v>10136.16614335998</v>
      </c>
      <c r="G99" s="14">
        <v>4180.6857343839001</v>
      </c>
      <c r="H99" s="14">
        <v>0.41245236860315199</v>
      </c>
      <c r="I99" s="14">
        <v>0</v>
      </c>
      <c r="J99" s="14" t="s">
        <v>252</v>
      </c>
      <c r="L99" s="14">
        <v>1</v>
      </c>
      <c r="M99" s="14" t="s">
        <v>192</v>
      </c>
      <c r="N99" s="48"/>
      <c r="O99" s="46"/>
      <c r="P99" s="47"/>
      <c r="Q99" s="25">
        <v>0</v>
      </c>
      <c r="R99" s="26" t="s">
        <v>252</v>
      </c>
      <c r="S99" s="26" t="s">
        <v>60</v>
      </c>
      <c r="T99" s="26" t="s">
        <v>794</v>
      </c>
      <c r="U99" s="17">
        <v>4180.6857343839001</v>
      </c>
      <c r="V99" s="26">
        <v>0.41245236860315199</v>
      </c>
      <c r="W99" s="26">
        <v>0</v>
      </c>
      <c r="X99" s="26">
        <v>0</v>
      </c>
      <c r="Y99" s="23" t="s">
        <v>268</v>
      </c>
      <c r="Z99" t="s">
        <v>192</v>
      </c>
    </row>
    <row r="100" spans="2:26" x14ac:dyDescent="0.25">
      <c r="B100" s="71">
        <v>44939.000003356479</v>
      </c>
      <c r="C100" s="14" t="s">
        <v>268</v>
      </c>
      <c r="D100" s="14" t="s">
        <v>793</v>
      </c>
      <c r="E100" s="14" t="s">
        <v>193</v>
      </c>
      <c r="F100" s="14">
        <v>-282.95929605999845</v>
      </c>
      <c r="G100" s="14">
        <v>-259.27252278836386</v>
      </c>
      <c r="H100" s="14">
        <v>0.91628911436572114</v>
      </c>
      <c r="I100" s="14">
        <v>0</v>
      </c>
      <c r="J100" s="14" t="s">
        <v>252</v>
      </c>
      <c r="L100" s="14">
        <v>1</v>
      </c>
      <c r="M100" s="14" t="s">
        <v>193</v>
      </c>
      <c r="N100" s="48"/>
      <c r="O100" s="46"/>
      <c r="P100" s="47"/>
      <c r="Q100" s="25">
        <v>0</v>
      </c>
      <c r="R100" s="26" t="s">
        <v>252</v>
      </c>
      <c r="S100" s="26" t="s">
        <v>61</v>
      </c>
      <c r="T100" s="26" t="s">
        <v>803</v>
      </c>
      <c r="U100" s="17">
        <v>-259.27252278836386</v>
      </c>
      <c r="V100" s="26">
        <v>0.91628911436572114</v>
      </c>
      <c r="W100" s="26">
        <v>0</v>
      </c>
      <c r="X100" s="26">
        <v>0</v>
      </c>
      <c r="Y100" s="23" t="s">
        <v>268</v>
      </c>
      <c r="Z100" t="s">
        <v>193</v>
      </c>
    </row>
    <row r="101" spans="2:26" x14ac:dyDescent="0.25">
      <c r="B101" s="71">
        <v>44939.000003356479</v>
      </c>
      <c r="C101" s="14" t="s">
        <v>268</v>
      </c>
      <c r="D101" s="14" t="s">
        <v>793</v>
      </c>
      <c r="E101" s="14" t="s">
        <v>797</v>
      </c>
      <c r="F101" s="14">
        <v>516393.62323616998</v>
      </c>
      <c r="G101" s="14">
        <v>515301.05266681401</v>
      </c>
      <c r="H101" s="14">
        <v>0.99788422916125696</v>
      </c>
      <c r="I101" s="14">
        <v>0</v>
      </c>
      <c r="J101" s="14" t="s">
        <v>252</v>
      </c>
      <c r="L101" s="14">
        <v>1</v>
      </c>
      <c r="M101" s="14" t="s">
        <v>797</v>
      </c>
      <c r="N101" s="48"/>
      <c r="O101" s="46"/>
      <c r="P101" s="47"/>
      <c r="Q101" s="25">
        <v>0</v>
      </c>
      <c r="R101" s="26" t="s">
        <v>252</v>
      </c>
      <c r="S101" s="26" t="s">
        <v>60</v>
      </c>
      <c r="T101" s="26" t="s">
        <v>794</v>
      </c>
      <c r="U101" s="17">
        <v>515301.05266681401</v>
      </c>
      <c r="V101" s="26">
        <v>0.99788422916125696</v>
      </c>
      <c r="W101" s="26">
        <v>0</v>
      </c>
      <c r="X101" s="26">
        <v>0</v>
      </c>
      <c r="Y101" s="23" t="s">
        <v>268</v>
      </c>
      <c r="Z101" t="s">
        <v>797</v>
      </c>
    </row>
    <row r="102" spans="2:26" x14ac:dyDescent="0.25">
      <c r="B102" s="71">
        <v>44939.000003356479</v>
      </c>
      <c r="C102" s="14" t="s">
        <v>268</v>
      </c>
      <c r="D102" s="14" t="s">
        <v>793</v>
      </c>
      <c r="E102" s="14" t="s">
        <v>413</v>
      </c>
      <c r="F102" s="14">
        <v>0.40433681999999926</v>
      </c>
      <c r="G102" s="14">
        <v>263.86036920973993</v>
      </c>
      <c r="H102" s="14">
        <v>652.5756650352555</v>
      </c>
      <c r="I102" s="14">
        <v>0</v>
      </c>
      <c r="J102" s="14" t="s">
        <v>252</v>
      </c>
      <c r="L102" s="14">
        <v>1</v>
      </c>
      <c r="M102" s="14" t="s">
        <v>413</v>
      </c>
      <c r="N102" s="48"/>
      <c r="O102" s="46"/>
      <c r="P102" s="47"/>
      <c r="Q102" s="25">
        <v>0</v>
      </c>
      <c r="R102" s="26" t="s">
        <v>252</v>
      </c>
      <c r="S102" s="26" t="s">
        <v>60</v>
      </c>
      <c r="T102" s="26" t="s">
        <v>794</v>
      </c>
      <c r="U102" s="17">
        <v>263.86036920973993</v>
      </c>
      <c r="V102" s="26">
        <v>652.5756650352555</v>
      </c>
      <c r="W102" s="26">
        <v>0</v>
      </c>
      <c r="X102" s="26">
        <v>0</v>
      </c>
      <c r="Y102" s="23" t="s">
        <v>268</v>
      </c>
      <c r="Z102" t="s">
        <v>413</v>
      </c>
    </row>
    <row r="103" spans="2:26" x14ac:dyDescent="0.25">
      <c r="B103" s="71">
        <v>44939.000003356479</v>
      </c>
      <c r="C103" s="14" t="s">
        <v>268</v>
      </c>
      <c r="D103" s="14" t="s">
        <v>793</v>
      </c>
      <c r="E103" s="14" t="s">
        <v>146</v>
      </c>
      <c r="F103" s="14">
        <v>0.89105878000000005</v>
      </c>
      <c r="G103" s="14">
        <v>6.3991039922190902</v>
      </c>
      <c r="H103" s="14">
        <v>7.1814611289943073</v>
      </c>
      <c r="I103" s="14">
        <v>0</v>
      </c>
      <c r="J103" s="14" t="s">
        <v>252</v>
      </c>
      <c r="L103" s="14">
        <v>1</v>
      </c>
      <c r="M103" s="14" t="s">
        <v>146</v>
      </c>
      <c r="N103" s="48"/>
      <c r="O103" s="46"/>
      <c r="P103" s="47"/>
      <c r="Q103" s="25">
        <v>0</v>
      </c>
      <c r="R103" s="26" t="s">
        <v>252</v>
      </c>
      <c r="S103" s="26" t="s">
        <v>60</v>
      </c>
      <c r="T103" s="26" t="s">
        <v>794</v>
      </c>
      <c r="U103" s="17">
        <v>6.3991039922190902</v>
      </c>
      <c r="V103" s="26">
        <v>7.1814611289943073</v>
      </c>
      <c r="W103" s="26">
        <v>0</v>
      </c>
      <c r="X103" s="26">
        <v>0</v>
      </c>
      <c r="Y103" s="23" t="s">
        <v>268</v>
      </c>
      <c r="Z103" t="s">
        <v>146</v>
      </c>
    </row>
    <row r="104" spans="2:26" x14ac:dyDescent="0.25">
      <c r="B104" s="71">
        <v>44939.000003356479</v>
      </c>
      <c r="C104" s="14" t="s">
        <v>268</v>
      </c>
      <c r="D104" s="14" t="s">
        <v>793</v>
      </c>
      <c r="E104" s="14" t="s">
        <v>147</v>
      </c>
      <c r="F104" s="14">
        <v>40.704174029999997</v>
      </c>
      <c r="G104" s="14">
        <v>6.5557813758032801E-3</v>
      </c>
      <c r="H104" s="14">
        <v>1.6105919188954689E-4</v>
      </c>
      <c r="I104" s="14">
        <v>0</v>
      </c>
      <c r="J104" s="14" t="s">
        <v>252</v>
      </c>
      <c r="L104" s="14">
        <v>1</v>
      </c>
      <c r="M104" s="14" t="s">
        <v>147</v>
      </c>
      <c r="N104" s="48"/>
      <c r="O104" s="46"/>
      <c r="P104" s="47"/>
      <c r="Q104" s="25">
        <v>0</v>
      </c>
      <c r="R104" s="26" t="s">
        <v>252</v>
      </c>
      <c r="S104" s="26" t="s">
        <v>60</v>
      </c>
      <c r="T104" s="26" t="s">
        <v>794</v>
      </c>
      <c r="U104" s="17">
        <v>6.5557813758032801E-3</v>
      </c>
      <c r="V104" s="26">
        <v>1.6105919188954689E-4</v>
      </c>
      <c r="W104" s="26">
        <v>0</v>
      </c>
      <c r="X104" s="26">
        <v>0</v>
      </c>
      <c r="Y104" s="23" t="s">
        <v>268</v>
      </c>
      <c r="Z104" t="s">
        <v>147</v>
      </c>
    </row>
    <row r="105" spans="2:26" x14ac:dyDescent="0.25">
      <c r="B105" s="71">
        <v>44939.000003356479</v>
      </c>
      <c r="C105" s="14" t="s">
        <v>268</v>
      </c>
      <c r="D105" s="14" t="s">
        <v>793</v>
      </c>
      <c r="E105" s="14" t="s">
        <v>148</v>
      </c>
      <c r="F105" s="14">
        <v>3049025070.2014399</v>
      </c>
      <c r="G105" s="14">
        <v>1303.0554985349399</v>
      </c>
      <c r="H105" s="14">
        <v>4.2736791877177022E-7</v>
      </c>
      <c r="I105" s="14">
        <v>0</v>
      </c>
      <c r="J105" s="14" t="s">
        <v>252</v>
      </c>
      <c r="L105" s="14">
        <v>1</v>
      </c>
      <c r="M105" s="14" t="s">
        <v>148</v>
      </c>
      <c r="N105" s="48"/>
      <c r="O105" s="46"/>
      <c r="P105" s="47"/>
      <c r="Q105" s="25">
        <v>0</v>
      </c>
      <c r="R105" s="26" t="s">
        <v>252</v>
      </c>
      <c r="S105" s="26" t="s">
        <v>60</v>
      </c>
      <c r="T105" s="26" t="s">
        <v>794</v>
      </c>
      <c r="U105" s="17">
        <v>1303.0554985349399</v>
      </c>
      <c r="V105" s="26">
        <v>4.2736791877177022E-7</v>
      </c>
      <c r="W105" s="26">
        <v>0</v>
      </c>
      <c r="X105" s="26">
        <v>0</v>
      </c>
      <c r="Y105" s="23" t="s">
        <v>268</v>
      </c>
      <c r="Z105" t="s">
        <v>148</v>
      </c>
    </row>
    <row r="106" spans="2:26" x14ac:dyDescent="0.25">
      <c r="B106" s="71">
        <v>44939.000003356479</v>
      </c>
      <c r="C106" s="14" t="s">
        <v>268</v>
      </c>
      <c r="D106" s="14" t="s">
        <v>793</v>
      </c>
      <c r="E106" s="14" t="s">
        <v>149</v>
      </c>
      <c r="F106" s="14">
        <v>4.3068300000000002E-3</v>
      </c>
      <c r="G106" s="14">
        <v>8.8743929915522204E-4</v>
      </c>
      <c r="H106" s="14">
        <v>0.20605394203050084</v>
      </c>
      <c r="I106" s="14">
        <v>0</v>
      </c>
      <c r="J106" s="14" t="s">
        <v>252</v>
      </c>
      <c r="L106" s="14">
        <v>1</v>
      </c>
      <c r="M106" s="14" t="s">
        <v>149</v>
      </c>
      <c r="N106" s="48"/>
      <c r="O106" s="46"/>
      <c r="P106" s="47"/>
      <c r="Q106" s="25">
        <v>0</v>
      </c>
      <c r="R106" s="26" t="s">
        <v>252</v>
      </c>
      <c r="S106" s="26" t="s">
        <v>60</v>
      </c>
      <c r="T106" s="26" t="s">
        <v>794</v>
      </c>
      <c r="U106" s="17">
        <v>8.8743929915522204E-4</v>
      </c>
      <c r="V106" s="26">
        <v>0.20605394203050084</v>
      </c>
      <c r="W106" s="26">
        <v>0</v>
      </c>
      <c r="X106" s="26">
        <v>0</v>
      </c>
      <c r="Y106" s="23" t="s">
        <v>268</v>
      </c>
      <c r="Z106" t="s">
        <v>149</v>
      </c>
    </row>
    <row r="107" spans="2:26" x14ac:dyDescent="0.25">
      <c r="B107" s="71">
        <v>44939.000003356479</v>
      </c>
      <c r="C107" s="14" t="s">
        <v>268</v>
      </c>
      <c r="D107" s="14" t="s">
        <v>793</v>
      </c>
      <c r="E107" s="14" t="s">
        <v>150</v>
      </c>
      <c r="F107" s="14">
        <v>24404.400819300001</v>
      </c>
      <c r="G107" s="14">
        <v>29584.771730049993</v>
      </c>
      <c r="H107" s="14">
        <v>1.2122719975428835</v>
      </c>
      <c r="I107" s="14">
        <v>0</v>
      </c>
      <c r="J107" s="14" t="s">
        <v>252</v>
      </c>
      <c r="L107" s="14">
        <v>1</v>
      </c>
      <c r="M107" s="14" t="s">
        <v>150</v>
      </c>
      <c r="N107" s="48"/>
      <c r="O107" s="46"/>
      <c r="P107" s="47"/>
      <c r="Q107" s="25">
        <v>0</v>
      </c>
      <c r="R107" s="26" t="s">
        <v>252</v>
      </c>
      <c r="S107" s="26" t="s">
        <v>60</v>
      </c>
      <c r="T107" s="26" t="s">
        <v>794</v>
      </c>
      <c r="U107" s="17">
        <v>29584.771730049993</v>
      </c>
      <c r="V107" s="26">
        <v>1.2122719975428835</v>
      </c>
      <c r="W107" s="26">
        <v>0</v>
      </c>
      <c r="X107" s="26">
        <v>0</v>
      </c>
      <c r="Y107" s="23" t="s">
        <v>268</v>
      </c>
      <c r="Z107" t="s">
        <v>150</v>
      </c>
    </row>
    <row r="108" spans="2:26" x14ac:dyDescent="0.25">
      <c r="B108" s="71">
        <v>44939.000003356479</v>
      </c>
      <c r="C108" s="14" t="s">
        <v>268</v>
      </c>
      <c r="D108" s="14" t="s">
        <v>793</v>
      </c>
      <c r="E108" s="14" t="s">
        <v>151</v>
      </c>
      <c r="F108" s="14">
        <v>0.34782034000000001</v>
      </c>
      <c r="G108" s="14">
        <v>8.4954954190642806E-2</v>
      </c>
      <c r="H108" s="14">
        <v>0.24424952891093948</v>
      </c>
      <c r="I108" s="14">
        <v>0</v>
      </c>
      <c r="J108" s="14" t="s">
        <v>252</v>
      </c>
      <c r="L108" s="14">
        <v>1</v>
      </c>
      <c r="M108" s="14" t="s">
        <v>151</v>
      </c>
      <c r="N108" s="48"/>
      <c r="O108" s="46"/>
      <c r="P108" s="47"/>
      <c r="Q108" s="25">
        <v>0</v>
      </c>
      <c r="R108" s="26" t="s">
        <v>252</v>
      </c>
      <c r="S108" s="26" t="s">
        <v>60</v>
      </c>
      <c r="T108" s="26" t="s">
        <v>794</v>
      </c>
      <c r="U108" s="17">
        <v>8.4954954190642806E-2</v>
      </c>
      <c r="V108" s="26">
        <v>0.24424952891093948</v>
      </c>
      <c r="W108" s="26">
        <v>0</v>
      </c>
      <c r="X108" s="26">
        <v>0</v>
      </c>
      <c r="Y108" s="23" t="s">
        <v>268</v>
      </c>
      <c r="Z108" t="s">
        <v>151</v>
      </c>
    </row>
    <row r="109" spans="2:26" x14ac:dyDescent="0.25">
      <c r="B109" s="71">
        <v>44939.000003356479</v>
      </c>
      <c r="C109" s="14" t="s">
        <v>268</v>
      </c>
      <c r="D109" s="14" t="s">
        <v>793</v>
      </c>
      <c r="E109" s="14" t="s">
        <v>89</v>
      </c>
      <c r="F109" s="14">
        <v>14647.551935540163</v>
      </c>
      <c r="G109" s="14">
        <v>1073.948722064757</v>
      </c>
      <c r="H109" s="14">
        <v>7.3319331912316085E-2</v>
      </c>
      <c r="I109" s="14">
        <v>0</v>
      </c>
      <c r="J109" s="14" t="s">
        <v>252</v>
      </c>
      <c r="L109" s="14">
        <v>1</v>
      </c>
      <c r="M109" s="14" t="s">
        <v>89</v>
      </c>
      <c r="N109" s="48"/>
      <c r="O109" s="46"/>
      <c r="P109" s="47"/>
      <c r="Q109" s="25">
        <v>0</v>
      </c>
      <c r="R109" s="26" t="s">
        <v>252</v>
      </c>
      <c r="S109" s="26" t="s">
        <v>60</v>
      </c>
      <c r="T109" s="26" t="s">
        <v>794</v>
      </c>
      <c r="U109" s="17">
        <v>1073.948722064757</v>
      </c>
      <c r="V109" s="26">
        <v>7.3319331912316085E-2</v>
      </c>
      <c r="W109" s="26">
        <v>0</v>
      </c>
      <c r="X109" s="26">
        <v>0</v>
      </c>
      <c r="Y109" s="23" t="s">
        <v>268</v>
      </c>
      <c r="Z109" t="s">
        <v>89</v>
      </c>
    </row>
    <row r="110" spans="2:26" x14ac:dyDescent="0.25">
      <c r="B110" s="71">
        <v>44939.000003356479</v>
      </c>
      <c r="C110" s="14" t="s">
        <v>268</v>
      </c>
      <c r="D110" s="14" t="s">
        <v>793</v>
      </c>
      <c r="E110" s="14" t="s">
        <v>152</v>
      </c>
      <c r="F110" s="14">
        <v>3.0962099999999998E-3</v>
      </c>
      <c r="G110" s="14">
        <v>6.8010097540225998E-3</v>
      </c>
      <c r="H110" s="14">
        <v>2.1965595854359363</v>
      </c>
      <c r="I110" s="14">
        <v>0</v>
      </c>
      <c r="J110" s="14" t="s">
        <v>252</v>
      </c>
      <c r="L110" s="14">
        <v>1</v>
      </c>
      <c r="M110" s="14" t="s">
        <v>152</v>
      </c>
      <c r="N110" s="48"/>
      <c r="O110" s="46"/>
      <c r="P110" s="47"/>
      <c r="Q110" s="25">
        <v>0</v>
      </c>
      <c r="R110" s="26" t="s">
        <v>252</v>
      </c>
      <c r="S110" s="26" t="s">
        <v>60</v>
      </c>
      <c r="T110" s="26" t="s">
        <v>794</v>
      </c>
      <c r="U110" s="17">
        <v>6.8010097540225998E-3</v>
      </c>
      <c r="V110" s="26">
        <v>2.1965595854359363</v>
      </c>
      <c r="W110" s="26">
        <v>0</v>
      </c>
      <c r="X110" s="26">
        <v>0</v>
      </c>
      <c r="Y110" s="23" t="s">
        <v>268</v>
      </c>
      <c r="Z110" t="s">
        <v>152</v>
      </c>
    </row>
    <row r="111" spans="2:26" x14ac:dyDescent="0.25">
      <c r="B111" s="71">
        <v>44939.000003356479</v>
      </c>
      <c r="C111" s="14" t="s">
        <v>268</v>
      </c>
      <c r="D111" s="14" t="s">
        <v>793</v>
      </c>
      <c r="E111" s="14" t="s">
        <v>153</v>
      </c>
      <c r="F111" s="14">
        <v>2.6598900000000002E-2</v>
      </c>
      <c r="G111" s="14">
        <v>6.4412294033312095E-4</v>
      </c>
      <c r="H111" s="14">
        <v>2.4216149552542431E-2</v>
      </c>
      <c r="I111" s="14">
        <v>0</v>
      </c>
      <c r="J111" s="14" t="s">
        <v>252</v>
      </c>
      <c r="L111" s="14">
        <v>1</v>
      </c>
      <c r="M111" s="14" t="s">
        <v>153</v>
      </c>
      <c r="N111" s="48"/>
      <c r="O111" s="46"/>
      <c r="P111" s="47"/>
      <c r="Q111" s="25">
        <v>0</v>
      </c>
      <c r="R111" s="26" t="s">
        <v>252</v>
      </c>
      <c r="S111" s="26" t="s">
        <v>60</v>
      </c>
      <c r="T111" s="26" t="s">
        <v>794</v>
      </c>
      <c r="U111" s="17">
        <v>6.4412294033312095E-4</v>
      </c>
      <c r="V111" s="26">
        <v>2.4216149552542431E-2</v>
      </c>
      <c r="W111" s="26">
        <v>0</v>
      </c>
      <c r="X111" s="26">
        <v>0</v>
      </c>
      <c r="Y111" s="23" t="s">
        <v>268</v>
      </c>
      <c r="Z111" t="s">
        <v>153</v>
      </c>
    </row>
    <row r="112" spans="2:26" x14ac:dyDescent="0.25">
      <c r="B112" s="71">
        <v>44939.000003356479</v>
      </c>
      <c r="C112" s="14" t="s">
        <v>268</v>
      </c>
      <c r="D112" s="14" t="s">
        <v>793</v>
      </c>
      <c r="E112" s="14" t="s">
        <v>291</v>
      </c>
      <c r="F112" s="14">
        <v>9.5929999999999998E-5</v>
      </c>
      <c r="G112" s="14">
        <v>4.0479294959959199E-6</v>
      </c>
      <c r="H112" s="14">
        <v>4.2196700677534872E-2</v>
      </c>
      <c r="I112" s="14">
        <v>0</v>
      </c>
      <c r="J112" s="14" t="s">
        <v>252</v>
      </c>
      <c r="L112" s="14">
        <v>1</v>
      </c>
      <c r="M112" s="14" t="s">
        <v>291</v>
      </c>
      <c r="N112" s="48"/>
      <c r="O112" s="46"/>
      <c r="P112" s="47"/>
      <c r="Q112" s="25">
        <v>0</v>
      </c>
      <c r="R112" s="26" t="s">
        <v>252</v>
      </c>
      <c r="S112" s="26" t="s">
        <v>60</v>
      </c>
      <c r="T112" s="26" t="s">
        <v>794</v>
      </c>
      <c r="U112" s="17">
        <v>4.0479294959959199E-6</v>
      </c>
      <c r="V112" s="26">
        <v>4.2196700677534872E-2</v>
      </c>
      <c r="W112" s="26">
        <v>0</v>
      </c>
      <c r="X112" s="26">
        <v>0</v>
      </c>
      <c r="Y112" s="23" t="s">
        <v>268</v>
      </c>
      <c r="Z112" t="s">
        <v>291</v>
      </c>
    </row>
    <row r="113" spans="2:26" x14ac:dyDescent="0.25">
      <c r="B113" s="71">
        <v>44939.000003356479</v>
      </c>
      <c r="C113" s="14" t="s">
        <v>268</v>
      </c>
      <c r="D113" s="14" t="s">
        <v>793</v>
      </c>
      <c r="E113" s="14" t="s">
        <v>98</v>
      </c>
      <c r="F113" s="14">
        <v>1236499.8774543798</v>
      </c>
      <c r="G113" s="14">
        <v>14475.986299032353</v>
      </c>
      <c r="H113" s="14">
        <v>1.1707228252084027E-2</v>
      </c>
      <c r="I113" s="14">
        <v>0</v>
      </c>
      <c r="J113" s="14" t="s">
        <v>252</v>
      </c>
      <c r="L113" s="14">
        <v>1</v>
      </c>
      <c r="M113" s="14" t="s">
        <v>98</v>
      </c>
      <c r="N113" s="48"/>
      <c r="O113" s="46"/>
      <c r="P113" s="47"/>
      <c r="Q113" s="25">
        <v>0</v>
      </c>
      <c r="R113" s="26" t="s">
        <v>252</v>
      </c>
      <c r="S113" s="26" t="s">
        <v>60</v>
      </c>
      <c r="T113" s="26" t="s">
        <v>794</v>
      </c>
      <c r="U113" s="17">
        <v>14475.986299032353</v>
      </c>
      <c r="V113" s="26">
        <v>1.1707228252084027E-2</v>
      </c>
      <c r="W113" s="26">
        <v>0</v>
      </c>
      <c r="X113" s="26">
        <v>0</v>
      </c>
      <c r="Y113" s="23" t="s">
        <v>268</v>
      </c>
      <c r="Z113" t="s">
        <v>98</v>
      </c>
    </row>
    <row r="114" spans="2:26" x14ac:dyDescent="0.25">
      <c r="B114" s="71">
        <v>44939.000003356479</v>
      </c>
      <c r="C114" s="14" t="s">
        <v>268</v>
      </c>
      <c r="D114" s="14" t="s">
        <v>793</v>
      </c>
      <c r="E114" s="14" t="s">
        <v>181</v>
      </c>
      <c r="F114" s="14">
        <v>3449324.2188823698</v>
      </c>
      <c r="G114" s="14">
        <v>27668.2027522961</v>
      </c>
      <c r="H114" s="14">
        <v>8.0213401224605643E-3</v>
      </c>
      <c r="I114" s="14">
        <v>0</v>
      </c>
      <c r="J114" s="14" t="s">
        <v>252</v>
      </c>
      <c r="L114" s="14">
        <v>1</v>
      </c>
      <c r="M114" s="14" t="s">
        <v>181</v>
      </c>
      <c r="N114" s="48"/>
      <c r="O114" s="46"/>
      <c r="P114" s="47"/>
      <c r="Q114" s="25">
        <v>0</v>
      </c>
      <c r="R114" s="26" t="s">
        <v>252</v>
      </c>
      <c r="S114" s="26" t="s">
        <v>60</v>
      </c>
      <c r="T114" s="26" t="s">
        <v>794</v>
      </c>
      <c r="U114" s="17">
        <v>27668.2027522961</v>
      </c>
      <c r="V114" s="26">
        <v>8.0213401224605643E-3</v>
      </c>
      <c r="W114" s="26">
        <v>0</v>
      </c>
      <c r="X114" s="26">
        <v>0</v>
      </c>
      <c r="Y114" s="23" t="s">
        <v>268</v>
      </c>
      <c r="Z114" t="s">
        <v>181</v>
      </c>
    </row>
    <row r="115" spans="2:26" x14ac:dyDescent="0.25">
      <c r="B115" s="71">
        <v>44939.000003356479</v>
      </c>
      <c r="C115" s="14" t="s">
        <v>268</v>
      </c>
      <c r="D115" s="14" t="s">
        <v>793</v>
      </c>
      <c r="E115" s="14" t="s">
        <v>37</v>
      </c>
      <c r="F115" s="14">
        <v>166400452488.18237</v>
      </c>
      <c r="G115" s="14">
        <v>1576042.4735642169</v>
      </c>
      <c r="H115" s="14">
        <v>9.4713833405960602E-6</v>
      </c>
      <c r="I115" s="14">
        <v>0</v>
      </c>
      <c r="J115" s="14" t="s">
        <v>252</v>
      </c>
      <c r="L115" s="14">
        <v>1</v>
      </c>
      <c r="M115" s="14" t="s">
        <v>37</v>
      </c>
      <c r="N115" s="48"/>
      <c r="O115" s="46"/>
      <c r="P115" s="47"/>
      <c r="Q115" s="25">
        <v>0</v>
      </c>
      <c r="R115" s="26" t="s">
        <v>252</v>
      </c>
      <c r="S115" s="26" t="s">
        <v>60</v>
      </c>
      <c r="T115" s="26" t="s">
        <v>794</v>
      </c>
      <c r="U115" s="17">
        <v>1576042.4735642169</v>
      </c>
      <c r="V115" s="26">
        <v>9.4713833405960602E-6</v>
      </c>
      <c r="W115" s="26">
        <v>0</v>
      </c>
      <c r="X115" s="26">
        <v>0</v>
      </c>
      <c r="Y115" s="23" t="s">
        <v>268</v>
      </c>
      <c r="Z115" t="s">
        <v>37</v>
      </c>
    </row>
    <row r="116" spans="2:26" x14ac:dyDescent="0.25">
      <c r="B116" s="71">
        <v>44939.000003356479</v>
      </c>
      <c r="C116" s="14" t="s">
        <v>268</v>
      </c>
      <c r="D116" s="14" t="s">
        <v>793</v>
      </c>
      <c r="E116" s="14" t="s">
        <v>154</v>
      </c>
      <c r="F116" s="14">
        <v>438.68546953000049</v>
      </c>
      <c r="G116" s="14">
        <v>7290.5332064228614</v>
      </c>
      <c r="H116" s="14">
        <v>16.619044196366485</v>
      </c>
      <c r="I116" s="14">
        <v>0</v>
      </c>
      <c r="J116" s="14" t="s">
        <v>252</v>
      </c>
      <c r="L116" s="14">
        <v>1</v>
      </c>
      <c r="M116" s="14" t="s">
        <v>154</v>
      </c>
      <c r="N116" s="48"/>
      <c r="O116" s="46"/>
      <c r="P116" s="47"/>
      <c r="Q116" s="25">
        <v>0</v>
      </c>
      <c r="R116" s="26" t="s">
        <v>252</v>
      </c>
      <c r="S116" s="26" t="s">
        <v>60</v>
      </c>
      <c r="T116" s="26" t="s">
        <v>794</v>
      </c>
      <c r="U116" s="17">
        <v>7290.5332064228614</v>
      </c>
      <c r="V116" s="26">
        <v>16.619044196366485</v>
      </c>
      <c r="W116" s="26">
        <v>0</v>
      </c>
      <c r="X116" s="26">
        <v>0</v>
      </c>
      <c r="Y116" s="23" t="s">
        <v>268</v>
      </c>
      <c r="Z116" t="s">
        <v>154</v>
      </c>
    </row>
    <row r="117" spans="2:26" x14ac:dyDescent="0.25">
      <c r="B117" s="71">
        <v>44939.000003356479</v>
      </c>
      <c r="C117" s="14" t="s">
        <v>268</v>
      </c>
      <c r="D117" s="14" t="s">
        <v>793</v>
      </c>
      <c r="E117" s="14" t="s">
        <v>155</v>
      </c>
      <c r="F117" s="14">
        <v>38753.774400000002</v>
      </c>
      <c r="G117" s="14">
        <v>6256.6543580955404</v>
      </c>
      <c r="H117" s="14">
        <v>0.1614463224540921</v>
      </c>
      <c r="I117" s="14">
        <v>0</v>
      </c>
      <c r="J117" s="14" t="s">
        <v>252</v>
      </c>
      <c r="L117" s="14">
        <v>1</v>
      </c>
      <c r="M117" s="14" t="s">
        <v>155</v>
      </c>
      <c r="N117" s="48"/>
      <c r="O117" s="46"/>
      <c r="P117" s="47"/>
      <c r="Q117" s="25">
        <v>0</v>
      </c>
      <c r="R117" s="26" t="s">
        <v>252</v>
      </c>
      <c r="S117" s="26" t="s">
        <v>60</v>
      </c>
      <c r="T117" s="26" t="s">
        <v>794</v>
      </c>
      <c r="U117" s="17">
        <v>6256.6543580955404</v>
      </c>
      <c r="V117" s="26">
        <v>0.1614463224540921</v>
      </c>
      <c r="W117" s="26">
        <v>0</v>
      </c>
      <c r="X117" s="26">
        <v>0</v>
      </c>
      <c r="Y117" s="23" t="s">
        <v>268</v>
      </c>
      <c r="Z117" t="s">
        <v>155</v>
      </c>
    </row>
    <row r="118" spans="2:26" x14ac:dyDescent="0.25">
      <c r="B118" s="71">
        <v>44939.000003356479</v>
      </c>
      <c r="C118" s="14" t="s">
        <v>268</v>
      </c>
      <c r="D118" s="14" t="s">
        <v>793</v>
      </c>
      <c r="E118" s="14" t="s">
        <v>156</v>
      </c>
      <c r="F118" s="14">
        <v>29.76350429</v>
      </c>
      <c r="G118" s="14">
        <v>8.8686409626250899</v>
      </c>
      <c r="H118" s="14">
        <v>0.29797032218429981</v>
      </c>
      <c r="I118" s="14">
        <v>0</v>
      </c>
      <c r="J118" s="14" t="s">
        <v>252</v>
      </c>
      <c r="L118" s="14">
        <v>1</v>
      </c>
      <c r="M118" s="14" t="s">
        <v>156</v>
      </c>
      <c r="N118" s="48"/>
      <c r="O118" s="46"/>
      <c r="P118" s="47"/>
      <c r="Q118" s="25">
        <v>0</v>
      </c>
      <c r="R118" s="26" t="s">
        <v>252</v>
      </c>
      <c r="S118" s="26" t="s">
        <v>60</v>
      </c>
      <c r="T118" s="26" t="s">
        <v>794</v>
      </c>
      <c r="U118" s="17">
        <v>8.8686409626250899</v>
      </c>
      <c r="V118" s="26">
        <v>0.29797032218429981</v>
      </c>
      <c r="W118" s="26">
        <v>0</v>
      </c>
      <c r="X118" s="26">
        <v>0</v>
      </c>
      <c r="Y118" s="23" t="s">
        <v>268</v>
      </c>
      <c r="Z118" t="s">
        <v>156</v>
      </c>
    </row>
    <row r="119" spans="2:26" x14ac:dyDescent="0.25">
      <c r="B119" s="71">
        <v>44939.000003356479</v>
      </c>
      <c r="C119" s="14" t="s">
        <v>268</v>
      </c>
      <c r="D119" s="14" t="s">
        <v>793</v>
      </c>
      <c r="E119" s="14" t="s">
        <v>414</v>
      </c>
      <c r="F119" s="14">
        <v>3.4043949599986263</v>
      </c>
      <c r="G119" s="14">
        <v>3.8731446776814664</v>
      </c>
      <c r="H119" s="14">
        <v>1.1376895816115968</v>
      </c>
      <c r="I119" s="14">
        <v>0</v>
      </c>
      <c r="J119" s="14" t="s">
        <v>252</v>
      </c>
      <c r="L119" s="14">
        <v>1</v>
      </c>
      <c r="M119" s="14" t="s">
        <v>414</v>
      </c>
      <c r="N119" s="48"/>
      <c r="O119" s="46"/>
      <c r="P119" s="47"/>
      <c r="Q119" s="25">
        <v>0</v>
      </c>
      <c r="R119" s="26" t="s">
        <v>252</v>
      </c>
      <c r="S119" s="26" t="s">
        <v>60</v>
      </c>
      <c r="T119" s="26" t="s">
        <v>794</v>
      </c>
      <c r="U119" s="17">
        <v>3.8731446776814664</v>
      </c>
      <c r="V119" s="26">
        <v>1.1376895816115968</v>
      </c>
      <c r="W119" s="26">
        <v>0</v>
      </c>
      <c r="X119" s="26">
        <v>0</v>
      </c>
      <c r="Y119" s="23" t="s">
        <v>268</v>
      </c>
      <c r="Z119" t="s">
        <v>414</v>
      </c>
    </row>
    <row r="120" spans="2:26" x14ac:dyDescent="0.25">
      <c r="B120" s="71">
        <v>44939.000003356479</v>
      </c>
      <c r="C120" s="14" t="s">
        <v>268</v>
      </c>
      <c r="D120" s="14" t="s">
        <v>793</v>
      </c>
      <c r="E120" s="14" t="s">
        <v>25</v>
      </c>
      <c r="F120" s="14">
        <v>45.224419630000007</v>
      </c>
      <c r="G120" s="14">
        <v>2.582820857668378</v>
      </c>
      <c r="H120" s="14">
        <v>5.7111199630631444E-2</v>
      </c>
      <c r="I120" s="14">
        <v>0</v>
      </c>
      <c r="J120" s="14" t="s">
        <v>252</v>
      </c>
      <c r="L120" s="14">
        <v>1</v>
      </c>
      <c r="M120" s="14" t="s">
        <v>25</v>
      </c>
      <c r="N120" s="48"/>
      <c r="O120" s="46"/>
      <c r="P120" s="47"/>
      <c r="Q120" s="25">
        <v>0</v>
      </c>
      <c r="R120" s="26" t="s">
        <v>252</v>
      </c>
      <c r="S120" s="26" t="s">
        <v>60</v>
      </c>
      <c r="T120" s="26" t="s">
        <v>794</v>
      </c>
      <c r="U120" s="17">
        <v>2.582820857668378</v>
      </c>
      <c r="V120" s="26">
        <v>5.7111199630631444E-2</v>
      </c>
      <c r="W120" s="26">
        <v>0</v>
      </c>
      <c r="X120" s="26">
        <v>0</v>
      </c>
      <c r="Y120" s="23" t="s">
        <v>268</v>
      </c>
      <c r="Z120" t="s">
        <v>25</v>
      </c>
    </row>
    <row r="121" spans="2:26" x14ac:dyDescent="0.25">
      <c r="B121" s="71">
        <v>44939.000003356479</v>
      </c>
      <c r="C121" s="14" t="s">
        <v>268</v>
      </c>
      <c r="D121" s="14" t="s">
        <v>793</v>
      </c>
      <c r="E121" s="14" t="s">
        <v>179</v>
      </c>
      <c r="F121" s="14">
        <v>0.10983253</v>
      </c>
      <c r="G121" s="14">
        <v>2.6601917850581499E-4</v>
      </c>
      <c r="H121" s="14">
        <v>2.4220436195525586E-3</v>
      </c>
      <c r="I121" s="14">
        <v>0</v>
      </c>
      <c r="J121" s="14" t="s">
        <v>252</v>
      </c>
      <c r="L121" s="14">
        <v>1</v>
      </c>
      <c r="M121" s="14" t="s">
        <v>179</v>
      </c>
      <c r="N121" s="48"/>
      <c r="O121" s="46"/>
      <c r="P121" s="47"/>
      <c r="Q121" s="25">
        <v>0</v>
      </c>
      <c r="R121" s="26" t="s">
        <v>252</v>
      </c>
      <c r="S121" s="26" t="s">
        <v>60</v>
      </c>
      <c r="T121" s="26" t="s">
        <v>794</v>
      </c>
      <c r="U121" s="17">
        <v>2.6601917850581499E-4</v>
      </c>
      <c r="V121" s="26">
        <v>2.4220436195525586E-3</v>
      </c>
      <c r="W121" s="26">
        <v>0</v>
      </c>
      <c r="X121" s="26">
        <v>0</v>
      </c>
      <c r="Y121" s="23" t="s">
        <v>268</v>
      </c>
      <c r="Z121" t="s">
        <v>179</v>
      </c>
    </row>
    <row r="122" spans="2:26" x14ac:dyDescent="0.25">
      <c r="B122" s="71">
        <v>44939.000003356479</v>
      </c>
      <c r="C122" s="14" t="s">
        <v>268</v>
      </c>
      <c r="D122" s="14" t="s">
        <v>793</v>
      </c>
      <c r="E122" s="14" t="s">
        <v>157</v>
      </c>
      <c r="F122" s="14">
        <v>6.3152970000000003E-2</v>
      </c>
      <c r="G122" s="14">
        <v>2.2172842281770701E-4</v>
      </c>
      <c r="H122" s="14">
        <v>3.5109737961287807E-3</v>
      </c>
      <c r="I122" s="14">
        <v>0</v>
      </c>
      <c r="J122" s="14" t="s">
        <v>252</v>
      </c>
      <c r="L122" s="14">
        <v>1</v>
      </c>
      <c r="M122" s="14" t="s">
        <v>157</v>
      </c>
      <c r="N122" s="48"/>
      <c r="O122" s="46"/>
      <c r="P122" s="47"/>
      <c r="Q122" s="25">
        <v>0</v>
      </c>
      <c r="R122" s="26" t="s">
        <v>252</v>
      </c>
      <c r="S122" s="26" t="s">
        <v>60</v>
      </c>
      <c r="T122" s="26" t="s">
        <v>794</v>
      </c>
      <c r="U122" s="17">
        <v>2.2172842281770701E-4</v>
      </c>
      <c r="V122" s="26">
        <v>3.5109737961287807E-3</v>
      </c>
      <c r="W122" s="26">
        <v>0</v>
      </c>
      <c r="X122" s="26">
        <v>0</v>
      </c>
      <c r="Y122" s="23" t="s">
        <v>268</v>
      </c>
      <c r="Z122" t="s">
        <v>157</v>
      </c>
    </row>
    <row r="123" spans="2:26" x14ac:dyDescent="0.25">
      <c r="B123" s="71">
        <v>44939.000003356479</v>
      </c>
      <c r="C123" s="14" t="s">
        <v>268</v>
      </c>
      <c r="D123" s="14" t="s">
        <v>793</v>
      </c>
      <c r="E123" s="14" t="s">
        <v>158</v>
      </c>
      <c r="F123" s="14">
        <v>20</v>
      </c>
      <c r="G123" s="14">
        <v>19.997862390323</v>
      </c>
      <c r="H123" s="14">
        <v>0.99989311951615001</v>
      </c>
      <c r="I123" s="14">
        <v>0</v>
      </c>
      <c r="J123" s="14" t="s">
        <v>252</v>
      </c>
      <c r="L123" s="14">
        <v>1</v>
      </c>
      <c r="M123" s="14" t="s">
        <v>158</v>
      </c>
      <c r="N123" s="48"/>
      <c r="O123" s="46"/>
      <c r="P123" s="47"/>
      <c r="Q123" s="25">
        <v>0</v>
      </c>
      <c r="R123" s="26" t="s">
        <v>252</v>
      </c>
      <c r="S123" s="26" t="s">
        <v>60</v>
      </c>
      <c r="T123" s="26" t="s">
        <v>794</v>
      </c>
      <c r="U123" s="17">
        <v>19.997862390323</v>
      </c>
      <c r="V123" s="26">
        <v>0.99989311951615001</v>
      </c>
      <c r="W123" s="26">
        <v>0</v>
      </c>
      <c r="X123" s="26">
        <v>0</v>
      </c>
      <c r="Y123" s="23" t="s">
        <v>268</v>
      </c>
      <c r="Z123" t="s">
        <v>158</v>
      </c>
    </row>
    <row r="124" spans="2:26" x14ac:dyDescent="0.25">
      <c r="B124" s="71">
        <v>44939.000003356479</v>
      </c>
      <c r="C124" s="14" t="s">
        <v>268</v>
      </c>
      <c r="D124" s="14" t="s">
        <v>793</v>
      </c>
      <c r="E124" s="14" t="s">
        <v>159</v>
      </c>
      <c r="F124" s="14">
        <v>19.016342339999596</v>
      </c>
      <c r="G124" s="14">
        <v>117.39513185528108</v>
      </c>
      <c r="H124" s="14">
        <v>6.1733812820748559</v>
      </c>
      <c r="I124" s="14">
        <v>0</v>
      </c>
      <c r="J124" s="14" t="s">
        <v>252</v>
      </c>
      <c r="L124" s="14">
        <v>1</v>
      </c>
      <c r="M124" s="14" t="s">
        <v>159</v>
      </c>
      <c r="N124" s="48"/>
      <c r="O124" s="46"/>
      <c r="P124" s="47"/>
      <c r="Q124" s="25">
        <v>0</v>
      </c>
      <c r="R124" s="26" t="s">
        <v>252</v>
      </c>
      <c r="S124" s="26" t="s">
        <v>60</v>
      </c>
      <c r="T124" s="26" t="s">
        <v>794</v>
      </c>
      <c r="U124" s="17">
        <v>117.39513185528108</v>
      </c>
      <c r="V124" s="26">
        <v>6.1733812820748559</v>
      </c>
      <c r="W124" s="26">
        <v>0</v>
      </c>
      <c r="X124" s="26">
        <v>0</v>
      </c>
      <c r="Y124" s="23" t="s">
        <v>268</v>
      </c>
      <c r="Z124" t="s">
        <v>159</v>
      </c>
    </row>
    <row r="125" spans="2:26" x14ac:dyDescent="0.25">
      <c r="B125" s="71">
        <v>44939.000003356479</v>
      </c>
      <c r="C125" s="14" t="s">
        <v>268</v>
      </c>
      <c r="D125" s="14" t="s">
        <v>793</v>
      </c>
      <c r="E125" s="14" t="s">
        <v>95</v>
      </c>
      <c r="F125" s="14">
        <v>50544676.376692504</v>
      </c>
      <c r="G125" s="14">
        <v>50544676.376692504</v>
      </c>
      <c r="H125" s="14">
        <v>1</v>
      </c>
      <c r="I125" s="14">
        <v>0</v>
      </c>
      <c r="J125" s="14" t="s">
        <v>259</v>
      </c>
      <c r="L125" s="14">
        <v>1</v>
      </c>
      <c r="M125" s="14" t="s">
        <v>95</v>
      </c>
      <c r="N125" s="48"/>
      <c r="O125" s="46"/>
      <c r="P125" s="47"/>
      <c r="Q125" s="25">
        <v>0</v>
      </c>
      <c r="R125" s="26" t="s">
        <v>259</v>
      </c>
      <c r="S125" s="26" t="s">
        <v>60</v>
      </c>
      <c r="T125" s="26" t="s">
        <v>801</v>
      </c>
      <c r="U125" s="17">
        <v>50544676.376692504</v>
      </c>
      <c r="V125" s="26">
        <v>1</v>
      </c>
      <c r="W125" s="26">
        <v>0</v>
      </c>
      <c r="X125" s="26">
        <v>0</v>
      </c>
      <c r="Y125" s="23" t="s">
        <v>268</v>
      </c>
      <c r="Z125" t="s">
        <v>95</v>
      </c>
    </row>
    <row r="126" spans="2:26" x14ac:dyDescent="0.25">
      <c r="B126" s="71">
        <v>44939.000003356479</v>
      </c>
      <c r="C126" s="14" t="s">
        <v>268</v>
      </c>
      <c r="D126" s="14" t="s">
        <v>793</v>
      </c>
      <c r="E126" s="14" t="s">
        <v>92</v>
      </c>
      <c r="F126" s="14">
        <v>-60012301.008624122</v>
      </c>
      <c r="G126" s="14">
        <v>-60016630.873781361</v>
      </c>
      <c r="H126" s="14">
        <v>1.0000721496274008</v>
      </c>
      <c r="I126" s="14">
        <v>0</v>
      </c>
      <c r="J126" s="14" t="s">
        <v>252</v>
      </c>
      <c r="L126" s="14">
        <v>1</v>
      </c>
      <c r="M126" s="14" t="s">
        <v>92</v>
      </c>
      <c r="N126" s="48"/>
      <c r="O126" s="46"/>
      <c r="P126" s="47"/>
      <c r="Q126" s="25">
        <v>0</v>
      </c>
      <c r="R126" s="26" t="s">
        <v>252</v>
      </c>
      <c r="S126" s="26" t="s">
        <v>61</v>
      </c>
      <c r="T126" s="26" t="s">
        <v>803</v>
      </c>
      <c r="U126" s="17">
        <v>-60016630.873781361</v>
      </c>
      <c r="V126" s="26">
        <v>1.0000721496274008</v>
      </c>
      <c r="W126" s="26">
        <v>0</v>
      </c>
      <c r="X126" s="26">
        <v>0</v>
      </c>
      <c r="Y126" s="23" t="s">
        <v>268</v>
      </c>
      <c r="Z126" t="s">
        <v>92</v>
      </c>
    </row>
    <row r="127" spans="2:26" x14ac:dyDescent="0.25">
      <c r="B127" s="71">
        <v>44939.000003356479</v>
      </c>
      <c r="C127" s="14" t="s">
        <v>268</v>
      </c>
      <c r="D127" s="14" t="s">
        <v>793</v>
      </c>
      <c r="E127" s="14" t="s">
        <v>160</v>
      </c>
      <c r="F127" s="14">
        <v>0.34680431</v>
      </c>
      <c r="G127" s="14">
        <v>0.34621618871566701</v>
      </c>
      <c r="H127" s="14">
        <v>0.99830416962138391</v>
      </c>
      <c r="I127" s="14">
        <v>0</v>
      </c>
      <c r="J127" s="14" t="s">
        <v>252</v>
      </c>
      <c r="L127" s="14">
        <v>1</v>
      </c>
      <c r="M127" s="14" t="s">
        <v>160</v>
      </c>
      <c r="N127" s="48"/>
      <c r="O127" s="46"/>
      <c r="P127" s="47"/>
      <c r="Q127" s="25">
        <v>0</v>
      </c>
      <c r="R127" s="26" t="s">
        <v>252</v>
      </c>
      <c r="S127" s="26" t="s">
        <v>60</v>
      </c>
      <c r="T127" s="26" t="s">
        <v>794</v>
      </c>
      <c r="U127" s="17">
        <v>0.34621618871566701</v>
      </c>
      <c r="V127" s="26">
        <v>0.99830416962138391</v>
      </c>
      <c r="W127" s="26">
        <v>0</v>
      </c>
      <c r="X127" s="26">
        <v>0</v>
      </c>
      <c r="Y127" s="23" t="s">
        <v>268</v>
      </c>
      <c r="Z127" t="s">
        <v>160</v>
      </c>
    </row>
    <row r="128" spans="2:26" x14ac:dyDescent="0.25">
      <c r="B128" s="71">
        <v>44939.000003356479</v>
      </c>
      <c r="C128" s="14" t="s">
        <v>268</v>
      </c>
      <c r="D128" s="14" t="s">
        <v>793</v>
      </c>
      <c r="E128" s="14" t="s">
        <v>38</v>
      </c>
      <c r="F128" s="14">
        <v>22868766.327822391</v>
      </c>
      <c r="G128" s="14">
        <v>22870871.379113585</v>
      </c>
      <c r="H128" s="14">
        <v>1.0000920491845087</v>
      </c>
      <c r="I128" s="14">
        <v>0</v>
      </c>
      <c r="J128" s="14" t="s">
        <v>252</v>
      </c>
      <c r="L128" s="14">
        <v>1</v>
      </c>
      <c r="M128" s="14" t="s">
        <v>38</v>
      </c>
      <c r="N128" s="48"/>
      <c r="O128" s="46"/>
      <c r="P128" s="47"/>
      <c r="Q128" s="25">
        <v>0</v>
      </c>
      <c r="R128" s="26" t="s">
        <v>252</v>
      </c>
      <c r="S128" s="26" t="s">
        <v>60</v>
      </c>
      <c r="T128" s="26" t="s">
        <v>794</v>
      </c>
      <c r="U128" s="17">
        <v>22870871.379113585</v>
      </c>
      <c r="V128" s="26">
        <v>1.0000920491845087</v>
      </c>
      <c r="W128" s="26">
        <v>0</v>
      </c>
      <c r="X128" s="26">
        <v>0</v>
      </c>
      <c r="Y128" s="23" t="s">
        <v>268</v>
      </c>
      <c r="Z128" t="s">
        <v>38</v>
      </c>
    </row>
    <row r="129" spans="2:26" x14ac:dyDescent="0.25">
      <c r="B129" s="71">
        <v>44939.000003356479</v>
      </c>
      <c r="C129" s="14" t="s">
        <v>268</v>
      </c>
      <c r="D129" s="14" t="s">
        <v>793</v>
      </c>
      <c r="E129" s="14" t="s">
        <v>96</v>
      </c>
      <c r="F129" s="14">
        <v>29.9885932</v>
      </c>
      <c r="G129" s="14">
        <v>0</v>
      </c>
      <c r="H129" s="14">
        <v>0</v>
      </c>
      <c r="I129" s="14">
        <v>0</v>
      </c>
      <c r="J129" s="14" t="s">
        <v>252</v>
      </c>
      <c r="L129" s="14">
        <v>1</v>
      </c>
      <c r="M129" s="14" t="s">
        <v>96</v>
      </c>
      <c r="N129" s="48"/>
      <c r="O129" s="46"/>
      <c r="P129" s="47"/>
      <c r="Q129" s="25">
        <v>0</v>
      </c>
      <c r="R129" s="26" t="s">
        <v>252</v>
      </c>
      <c r="S129" s="26" t="s">
        <v>60</v>
      </c>
      <c r="T129" s="26" t="s">
        <v>794</v>
      </c>
      <c r="U129" s="17">
        <v>0</v>
      </c>
      <c r="V129" s="26">
        <v>0</v>
      </c>
      <c r="W129" s="26">
        <v>0</v>
      </c>
      <c r="X129" s="26">
        <v>0</v>
      </c>
      <c r="Y129" s="23" t="s">
        <v>268</v>
      </c>
      <c r="Z129" t="s">
        <v>96</v>
      </c>
    </row>
    <row r="130" spans="2:26" x14ac:dyDescent="0.25">
      <c r="B130" s="71">
        <v>44939.000003356479</v>
      </c>
      <c r="C130" s="14" t="s">
        <v>268</v>
      </c>
      <c r="D130" s="14" t="s">
        <v>793</v>
      </c>
      <c r="E130" s="14" t="s">
        <v>196</v>
      </c>
      <c r="F130" s="14">
        <v>-74.040518480000003</v>
      </c>
      <c r="G130" s="14">
        <v>-1.395094484201119</v>
      </c>
      <c r="H130" s="14">
        <v>1.8842311113447498E-2</v>
      </c>
      <c r="I130" s="14">
        <v>0</v>
      </c>
      <c r="J130" s="14" t="s">
        <v>252</v>
      </c>
      <c r="L130" s="14">
        <v>1</v>
      </c>
      <c r="M130" s="14" t="s">
        <v>196</v>
      </c>
      <c r="N130" s="48"/>
      <c r="O130" s="46"/>
      <c r="P130" s="47"/>
      <c r="Q130" s="25">
        <v>0</v>
      </c>
      <c r="R130" s="26" t="s">
        <v>252</v>
      </c>
      <c r="S130" s="26" t="s">
        <v>61</v>
      </c>
      <c r="T130" s="26" t="s">
        <v>803</v>
      </c>
      <c r="U130" s="17">
        <v>-1.395094484201119</v>
      </c>
      <c r="V130" s="26">
        <v>1.8842311113447498E-2</v>
      </c>
      <c r="W130" s="26">
        <v>0</v>
      </c>
      <c r="X130" s="26">
        <v>0</v>
      </c>
      <c r="Y130" s="23" t="s">
        <v>268</v>
      </c>
      <c r="Z130" t="s">
        <v>196</v>
      </c>
    </row>
    <row r="131" spans="2:26" x14ac:dyDescent="0.25">
      <c r="B131" s="71">
        <v>44939.000003356479</v>
      </c>
      <c r="C131" s="14" t="s">
        <v>268</v>
      </c>
      <c r="D131" s="14" t="s">
        <v>793</v>
      </c>
      <c r="E131" s="14" t="s">
        <v>161</v>
      </c>
      <c r="F131" s="14">
        <v>0.20872535</v>
      </c>
      <c r="G131" s="14">
        <v>2.25420236368514E-4</v>
      </c>
      <c r="H131" s="14">
        <v>1.0799849484909906E-3</v>
      </c>
      <c r="I131" s="14">
        <v>0</v>
      </c>
      <c r="J131" s="14" t="s">
        <v>252</v>
      </c>
      <c r="L131" s="14">
        <v>1</v>
      </c>
      <c r="M131" s="14" t="s">
        <v>161</v>
      </c>
      <c r="N131" s="48"/>
      <c r="O131" s="46"/>
      <c r="P131" s="47"/>
      <c r="Q131" s="25">
        <v>0</v>
      </c>
      <c r="R131" s="26" t="s">
        <v>252</v>
      </c>
      <c r="S131" s="26" t="s">
        <v>60</v>
      </c>
      <c r="T131" s="26" t="s">
        <v>794</v>
      </c>
      <c r="U131" s="17">
        <v>2.25420236368514E-4</v>
      </c>
      <c r="V131" s="26">
        <v>1.0799849484909906E-3</v>
      </c>
      <c r="W131" s="26">
        <v>0</v>
      </c>
      <c r="X131" s="26">
        <v>0</v>
      </c>
      <c r="Y131" s="23" t="s">
        <v>268</v>
      </c>
      <c r="Z131" t="s">
        <v>161</v>
      </c>
    </row>
    <row r="132" spans="2:26" x14ac:dyDescent="0.25">
      <c r="B132" s="71">
        <v>44939.000003356479</v>
      </c>
      <c r="C132" s="14" t="s">
        <v>268</v>
      </c>
      <c r="D132" s="14" t="s">
        <v>793</v>
      </c>
      <c r="E132" s="14" t="s">
        <v>257</v>
      </c>
      <c r="F132" s="14">
        <v>128.58989367000001</v>
      </c>
      <c r="G132" s="14">
        <v>182220.348791973</v>
      </c>
      <c r="H132" s="14">
        <v>1417.0658641308523</v>
      </c>
      <c r="I132" s="14">
        <v>0</v>
      </c>
      <c r="J132" s="14" t="s">
        <v>252</v>
      </c>
      <c r="L132" s="14">
        <v>1</v>
      </c>
      <c r="M132" s="14" t="s">
        <v>257</v>
      </c>
      <c r="N132" s="48"/>
      <c r="O132" s="46"/>
      <c r="P132" s="47"/>
      <c r="Q132" s="25">
        <v>0</v>
      </c>
      <c r="R132" s="26" t="s">
        <v>252</v>
      </c>
      <c r="S132" s="26" t="s">
        <v>60</v>
      </c>
      <c r="T132" s="26" t="s">
        <v>794</v>
      </c>
      <c r="U132" s="17">
        <v>182220.348791973</v>
      </c>
      <c r="V132" s="26">
        <v>1417.0658641308523</v>
      </c>
      <c r="W132" s="26">
        <v>0</v>
      </c>
      <c r="X132" s="26">
        <v>0</v>
      </c>
      <c r="Y132" s="23" t="s">
        <v>268</v>
      </c>
      <c r="Z132" t="s">
        <v>257</v>
      </c>
    </row>
    <row r="133" spans="2:26" x14ac:dyDescent="0.25">
      <c r="B133" s="71">
        <v>44939.000003356479</v>
      </c>
      <c r="C133" s="14" t="s">
        <v>268</v>
      </c>
      <c r="D133" s="14" t="s">
        <v>793</v>
      </c>
      <c r="E133" s="14" t="s">
        <v>185</v>
      </c>
      <c r="F133" s="14">
        <v>1644286.05309931</v>
      </c>
      <c r="G133" s="14">
        <v>281459.93846142199</v>
      </c>
      <c r="H133" s="14">
        <v>0.1711745580587386</v>
      </c>
      <c r="I133" s="14">
        <v>0</v>
      </c>
      <c r="J133" s="14" t="s">
        <v>252</v>
      </c>
      <c r="L133" s="14">
        <v>1</v>
      </c>
      <c r="M133" s="14" t="s">
        <v>185</v>
      </c>
      <c r="N133" s="48"/>
      <c r="O133" s="46"/>
      <c r="P133" s="47"/>
      <c r="Q133" s="25">
        <v>0</v>
      </c>
      <c r="R133" s="26" t="s">
        <v>252</v>
      </c>
      <c r="S133" s="26" t="s">
        <v>60</v>
      </c>
      <c r="T133" s="26" t="s">
        <v>794</v>
      </c>
      <c r="U133" s="17">
        <v>281459.93846142199</v>
      </c>
      <c r="V133" s="26">
        <v>0.1711745580587386</v>
      </c>
      <c r="W133" s="26">
        <v>0</v>
      </c>
      <c r="X133" s="26">
        <v>0</v>
      </c>
      <c r="Y133" s="23" t="s">
        <v>268</v>
      </c>
      <c r="Z133" t="s">
        <v>185</v>
      </c>
    </row>
    <row r="134" spans="2:26" x14ac:dyDescent="0.25">
      <c r="B134" s="71">
        <v>44939.000003356479</v>
      </c>
      <c r="C134" s="14" t="s">
        <v>268</v>
      </c>
      <c r="D134" s="14" t="s">
        <v>793</v>
      </c>
      <c r="E134" s="14" t="s">
        <v>162</v>
      </c>
      <c r="F134" s="14">
        <v>97856395.370000005</v>
      </c>
      <c r="G134" s="14">
        <v>2672.5893784244149</v>
      </c>
      <c r="H134" s="14">
        <v>2.7311340953437111E-5</v>
      </c>
      <c r="I134" s="14">
        <v>0</v>
      </c>
      <c r="J134" s="14" t="s">
        <v>252</v>
      </c>
      <c r="L134" s="14">
        <v>1</v>
      </c>
      <c r="M134" s="14" t="s">
        <v>162</v>
      </c>
      <c r="N134" s="48"/>
      <c r="O134" s="46"/>
      <c r="P134" s="47"/>
      <c r="Q134" s="25">
        <v>0</v>
      </c>
      <c r="R134" s="26" t="s">
        <v>252</v>
      </c>
      <c r="S134" s="26" t="s">
        <v>60</v>
      </c>
      <c r="T134" s="26" t="s">
        <v>794</v>
      </c>
      <c r="U134" s="17">
        <v>2672.5893784244149</v>
      </c>
      <c r="V134" s="26">
        <v>2.7311340953437111E-5</v>
      </c>
      <c r="W134" s="26">
        <v>0</v>
      </c>
      <c r="X134" s="26">
        <v>0</v>
      </c>
      <c r="Y134" s="23" t="s">
        <v>268</v>
      </c>
      <c r="Z134" t="s">
        <v>162</v>
      </c>
    </row>
    <row r="135" spans="2:26" x14ac:dyDescent="0.25">
      <c r="B135" s="71">
        <v>44939.000003356479</v>
      </c>
      <c r="C135" s="14" t="s">
        <v>268</v>
      </c>
      <c r="D135" s="14" t="s">
        <v>793</v>
      </c>
      <c r="E135" s="14" t="s">
        <v>163</v>
      </c>
      <c r="F135" s="14">
        <v>2869.9265463700249</v>
      </c>
      <c r="G135" s="14">
        <v>234.31166277531338</v>
      </c>
      <c r="H135" s="14">
        <v>8.1643783905089237E-2</v>
      </c>
      <c r="I135" s="14">
        <v>0</v>
      </c>
      <c r="J135" s="14" t="s">
        <v>252</v>
      </c>
      <c r="L135" s="14">
        <v>1</v>
      </c>
      <c r="M135" s="14" t="s">
        <v>163</v>
      </c>
      <c r="N135" s="48"/>
      <c r="O135" s="46"/>
      <c r="P135" s="47"/>
      <c r="Q135" s="25">
        <v>0</v>
      </c>
      <c r="R135" s="26" t="s">
        <v>252</v>
      </c>
      <c r="S135" s="26" t="s">
        <v>60</v>
      </c>
      <c r="T135" s="26" t="s">
        <v>794</v>
      </c>
      <c r="U135" s="17">
        <v>234.31166277531338</v>
      </c>
      <c r="V135" s="26">
        <v>8.1643783905089237E-2</v>
      </c>
      <c r="W135" s="26">
        <v>0</v>
      </c>
      <c r="X135" s="26">
        <v>0</v>
      </c>
      <c r="Y135" s="23" t="s">
        <v>268</v>
      </c>
      <c r="Z135" t="s">
        <v>163</v>
      </c>
    </row>
    <row r="136" spans="2:26" x14ac:dyDescent="0.25">
      <c r="B136" s="71">
        <v>44939.000003356479</v>
      </c>
      <c r="C136" s="14" t="s">
        <v>268</v>
      </c>
      <c r="D136" s="14" t="s">
        <v>793</v>
      </c>
      <c r="E136" s="14" t="s">
        <v>99</v>
      </c>
      <c r="F136" s="14">
        <v>115730.79447086998</v>
      </c>
      <c r="G136" s="14">
        <v>43421.863354855188</v>
      </c>
      <c r="H136" s="14">
        <v>0.37519714224190076</v>
      </c>
      <c r="I136" s="14">
        <v>0</v>
      </c>
      <c r="J136" s="14" t="s">
        <v>252</v>
      </c>
      <c r="L136" s="14">
        <v>1</v>
      </c>
      <c r="M136" s="14" t="s">
        <v>99</v>
      </c>
      <c r="N136" s="48"/>
      <c r="O136" s="46"/>
      <c r="P136" s="47"/>
      <c r="Q136" s="25">
        <v>0</v>
      </c>
      <c r="R136" s="26" t="s">
        <v>252</v>
      </c>
      <c r="S136" s="26" t="s">
        <v>60</v>
      </c>
      <c r="T136" s="26" t="s">
        <v>794</v>
      </c>
      <c r="U136" s="17">
        <v>43421.863354855188</v>
      </c>
      <c r="V136" s="26">
        <v>0.37519714224190076</v>
      </c>
      <c r="W136" s="26">
        <v>0</v>
      </c>
      <c r="X136" s="26">
        <v>0</v>
      </c>
      <c r="Y136" s="23" t="s">
        <v>268</v>
      </c>
      <c r="Z136" t="s">
        <v>99</v>
      </c>
    </row>
    <row r="137" spans="2:26" x14ac:dyDescent="0.25">
      <c r="B137" s="71">
        <v>44939.000003356479</v>
      </c>
      <c r="C137" s="14" t="s">
        <v>268</v>
      </c>
      <c r="D137" s="14" t="s">
        <v>793</v>
      </c>
      <c r="E137" s="14" t="s">
        <v>164</v>
      </c>
      <c r="F137" s="14">
        <v>195.97342208999771</v>
      </c>
      <c r="G137" s="14">
        <v>174.26541521408524</v>
      </c>
      <c r="H137" s="14">
        <v>0.88922984226941038</v>
      </c>
      <c r="I137" s="14">
        <v>0</v>
      </c>
      <c r="J137" s="14" t="s">
        <v>252</v>
      </c>
      <c r="L137" s="14">
        <v>1</v>
      </c>
      <c r="M137" s="14" t="s">
        <v>164</v>
      </c>
      <c r="N137" s="48"/>
      <c r="O137" s="46"/>
      <c r="P137" s="47"/>
      <c r="Q137" s="25">
        <v>0</v>
      </c>
      <c r="R137" s="26" t="s">
        <v>252</v>
      </c>
      <c r="S137" s="26" t="s">
        <v>60</v>
      </c>
      <c r="T137" s="26" t="s">
        <v>794</v>
      </c>
      <c r="U137" s="17">
        <v>174.26541521408524</v>
      </c>
      <c r="V137" s="26">
        <v>0.88922984226941038</v>
      </c>
      <c r="W137" s="26">
        <v>0</v>
      </c>
      <c r="X137" s="26">
        <v>0</v>
      </c>
      <c r="Y137" s="23" t="s">
        <v>268</v>
      </c>
      <c r="Z137" t="s">
        <v>164</v>
      </c>
    </row>
    <row r="138" spans="2:26" x14ac:dyDescent="0.25">
      <c r="B138" s="71">
        <v>44939.000003356479</v>
      </c>
      <c r="C138" s="14" t="s">
        <v>268</v>
      </c>
      <c r="D138" s="14" t="s">
        <v>793</v>
      </c>
      <c r="E138" s="14" t="s">
        <v>171</v>
      </c>
      <c r="F138" s="14">
        <v>0.11047114</v>
      </c>
      <c r="G138" s="14">
        <v>688.71214889128601</v>
      </c>
      <c r="H138" s="14">
        <v>6234.3173872496118</v>
      </c>
      <c r="I138" s="14">
        <v>0</v>
      </c>
      <c r="J138" s="14" t="s">
        <v>252</v>
      </c>
      <c r="L138" s="14">
        <v>1</v>
      </c>
      <c r="M138" s="14" t="s">
        <v>171</v>
      </c>
      <c r="N138" s="48"/>
      <c r="O138" s="46"/>
      <c r="P138" s="47"/>
      <c r="Q138" s="25">
        <v>0</v>
      </c>
      <c r="R138" s="26" t="s">
        <v>252</v>
      </c>
      <c r="S138" s="26" t="s">
        <v>60</v>
      </c>
      <c r="T138" s="26" t="s">
        <v>794</v>
      </c>
      <c r="U138" s="17">
        <v>688.71214889128601</v>
      </c>
      <c r="V138" s="26">
        <v>6234.3173872496118</v>
      </c>
      <c r="W138" s="26">
        <v>0</v>
      </c>
      <c r="X138" s="26">
        <v>0</v>
      </c>
      <c r="Y138" s="23" t="s">
        <v>268</v>
      </c>
      <c r="Z138" t="s">
        <v>171</v>
      </c>
    </row>
    <row r="139" spans="2:26" x14ac:dyDescent="0.25">
      <c r="B139" s="71">
        <v>44939.000003356479</v>
      </c>
      <c r="C139" s="14" t="s">
        <v>268</v>
      </c>
      <c r="D139" s="14" t="s">
        <v>793</v>
      </c>
      <c r="E139" s="14" t="s">
        <v>117</v>
      </c>
      <c r="F139" s="14">
        <v>1.572583E-2</v>
      </c>
      <c r="G139" s="14">
        <v>19.32006318989286</v>
      </c>
      <c r="H139" s="14">
        <v>1228.5560246990372</v>
      </c>
      <c r="I139" s="14">
        <v>0</v>
      </c>
      <c r="J139" s="14" t="s">
        <v>252</v>
      </c>
      <c r="L139" s="14">
        <v>1</v>
      </c>
      <c r="M139" s="14" t="s">
        <v>117</v>
      </c>
      <c r="N139" s="48"/>
      <c r="O139" s="46"/>
      <c r="P139" s="47"/>
      <c r="Q139" s="25">
        <v>0</v>
      </c>
      <c r="R139" s="26" t="s">
        <v>252</v>
      </c>
      <c r="S139" s="26" t="s">
        <v>60</v>
      </c>
      <c r="T139" s="26" t="s">
        <v>794</v>
      </c>
      <c r="U139" s="17">
        <v>19.32006318989286</v>
      </c>
      <c r="V139" s="26">
        <v>1228.5560246990372</v>
      </c>
      <c r="W139" s="26">
        <v>0</v>
      </c>
      <c r="X139" s="26">
        <v>0</v>
      </c>
      <c r="Y139" s="23" t="s">
        <v>268</v>
      </c>
      <c r="Z139" t="s">
        <v>117</v>
      </c>
    </row>
    <row r="140" spans="2:26" x14ac:dyDescent="0.25">
      <c r="B140" s="71">
        <v>44939.000003356479</v>
      </c>
      <c r="C140" s="14" t="s">
        <v>268</v>
      </c>
      <c r="D140" s="14" t="s">
        <v>793</v>
      </c>
      <c r="E140" s="14" t="s">
        <v>165</v>
      </c>
      <c r="F140" s="14">
        <v>2.173E-4</v>
      </c>
      <c r="G140" s="14">
        <v>9.8461120696399299E-3</v>
      </c>
      <c r="H140" s="14">
        <v>45.311146201748414</v>
      </c>
      <c r="I140" s="14">
        <v>0</v>
      </c>
      <c r="J140" s="14" t="s">
        <v>252</v>
      </c>
      <c r="L140" s="14">
        <v>1</v>
      </c>
      <c r="M140" s="14" t="s">
        <v>165</v>
      </c>
      <c r="N140" s="48"/>
      <c r="O140" s="46"/>
      <c r="P140" s="47"/>
      <c r="Q140" s="25">
        <v>0</v>
      </c>
      <c r="R140" s="26" t="s">
        <v>252</v>
      </c>
      <c r="S140" s="26" t="s">
        <v>60</v>
      </c>
      <c r="T140" s="26" t="s">
        <v>794</v>
      </c>
      <c r="U140" s="17">
        <v>9.8461120696399299E-3</v>
      </c>
      <c r="V140" s="26">
        <v>45.311146201748414</v>
      </c>
      <c r="W140" s="26">
        <v>0</v>
      </c>
      <c r="X140" s="26">
        <v>0</v>
      </c>
      <c r="Y140" s="23" t="s">
        <v>268</v>
      </c>
      <c r="Z140" t="s">
        <v>165</v>
      </c>
    </row>
    <row r="141" spans="2:26" x14ac:dyDescent="0.25">
      <c r="B141" s="71">
        <v>44939.000003356479</v>
      </c>
      <c r="C141" s="14" t="s">
        <v>268</v>
      </c>
      <c r="D141" s="14" t="s">
        <v>793</v>
      </c>
      <c r="E141" s="14" t="s">
        <v>26</v>
      </c>
      <c r="F141" s="14">
        <v>3907091.4422444296</v>
      </c>
      <c r="G141" s="14">
        <v>93670.485278223263</v>
      </c>
      <c r="H141" s="14">
        <v>2.3974479907338496E-2</v>
      </c>
      <c r="I141" s="14">
        <v>0</v>
      </c>
      <c r="J141" s="14" t="s">
        <v>252</v>
      </c>
      <c r="L141" s="14">
        <v>1</v>
      </c>
      <c r="M141" s="14" t="s">
        <v>26</v>
      </c>
      <c r="N141" s="48"/>
      <c r="O141" s="46"/>
      <c r="P141" s="47"/>
      <c r="Q141" s="25">
        <v>0</v>
      </c>
      <c r="R141" s="26" t="s">
        <v>252</v>
      </c>
      <c r="S141" s="26" t="s">
        <v>60</v>
      </c>
      <c r="T141" s="26" t="s">
        <v>794</v>
      </c>
      <c r="U141" s="17">
        <v>93670.485278223263</v>
      </c>
      <c r="V141" s="26">
        <v>2.3974479907338496E-2</v>
      </c>
      <c r="W141" s="26">
        <v>0</v>
      </c>
      <c r="X141" s="26">
        <v>0</v>
      </c>
      <c r="Y141" s="23" t="s">
        <v>268</v>
      </c>
      <c r="Z141" t="s">
        <v>26</v>
      </c>
    </row>
    <row r="142" spans="2:26" x14ac:dyDescent="0.25">
      <c r="B142" s="71"/>
      <c r="N142" s="48"/>
      <c r="O142" s="46"/>
      <c r="P142" s="47"/>
      <c r="Q142" s="25"/>
      <c r="T142" s="26"/>
      <c r="V142" s="26"/>
      <c r="W142" s="26"/>
      <c r="X142" s="26"/>
    </row>
    <row r="143" spans="2:26" x14ac:dyDescent="0.25">
      <c r="B143" s="71"/>
      <c r="N143" s="48"/>
      <c r="O143" s="46"/>
      <c r="P143" s="47"/>
      <c r="Q143" s="25"/>
      <c r="T143" s="26"/>
      <c r="V143" s="26"/>
      <c r="W143" s="26"/>
      <c r="X143" s="26"/>
    </row>
    <row r="144" spans="2:26" x14ac:dyDescent="0.25">
      <c r="B144" s="71"/>
      <c r="N144" s="48"/>
      <c r="O144" s="46"/>
      <c r="P144" s="47"/>
      <c r="Q144" s="25"/>
      <c r="T144" s="26"/>
      <c r="V144" s="26"/>
      <c r="W144" s="26"/>
      <c r="X144" s="26"/>
    </row>
    <row r="145" spans="2:24" x14ac:dyDescent="0.25">
      <c r="B145" s="71"/>
      <c r="N145" s="48"/>
      <c r="O145" s="46"/>
      <c r="P145" s="47"/>
      <c r="Q145" s="25"/>
      <c r="T145" s="26"/>
      <c r="V145" s="26"/>
      <c r="W145" s="26"/>
      <c r="X145" s="26"/>
    </row>
    <row r="146" spans="2:24" x14ac:dyDescent="0.25">
      <c r="B146" s="71"/>
      <c r="N146" s="48"/>
      <c r="O146" s="46"/>
      <c r="P146" s="47"/>
      <c r="Q146" s="25"/>
      <c r="T146" s="26"/>
      <c r="V146" s="26"/>
      <c r="W146" s="26"/>
      <c r="X146" s="26"/>
    </row>
    <row r="147" spans="2:24" x14ac:dyDescent="0.25">
      <c r="B147" s="71"/>
      <c r="N147" s="48"/>
      <c r="O147" s="46"/>
      <c r="P147" s="47"/>
      <c r="Q147" s="25"/>
      <c r="T147" s="26"/>
      <c r="V147" s="26"/>
      <c r="W147" s="26"/>
      <c r="X147" s="26"/>
    </row>
    <row r="148" spans="2:24" x14ac:dyDescent="0.25">
      <c r="B148" s="71"/>
      <c r="N148" s="48"/>
      <c r="O148" s="46"/>
      <c r="P148" s="47"/>
      <c r="Q148" s="25"/>
      <c r="T148" s="26"/>
      <c r="V148" s="26"/>
      <c r="W148" s="26"/>
      <c r="X148" s="26"/>
    </row>
    <row r="149" spans="2:24" x14ac:dyDescent="0.25">
      <c r="B149" s="71"/>
      <c r="N149" s="48"/>
      <c r="O149" s="46"/>
      <c r="P149" s="47"/>
      <c r="Q149" s="25"/>
      <c r="T149" s="26"/>
      <c r="V149" s="26"/>
      <c r="W149" s="26"/>
      <c r="X149" s="26"/>
    </row>
    <row r="150" spans="2:24" x14ac:dyDescent="0.25">
      <c r="B150" s="71"/>
      <c r="N150" s="48"/>
      <c r="O150" s="46"/>
      <c r="P150" s="47"/>
      <c r="Q150" s="25"/>
      <c r="T150" s="26"/>
      <c r="V150" s="26"/>
      <c r="W150" s="26"/>
      <c r="X150" s="26"/>
    </row>
    <row r="151" spans="2:24" x14ac:dyDescent="0.25">
      <c r="B151" s="71"/>
      <c r="N151" s="48"/>
      <c r="O151" s="46"/>
      <c r="P151" s="47"/>
      <c r="Q151" s="25"/>
      <c r="T151" s="26"/>
      <c r="V151" s="26"/>
      <c r="W151" s="26"/>
      <c r="X151" s="26"/>
    </row>
    <row r="152" spans="2:24" x14ac:dyDescent="0.25">
      <c r="B152" s="71"/>
      <c r="N152" s="48"/>
      <c r="O152" s="46"/>
      <c r="P152" s="47"/>
      <c r="Q152" s="25"/>
      <c r="T152" s="26"/>
      <c r="V152" s="26"/>
      <c r="W152" s="26"/>
      <c r="X152" s="26"/>
    </row>
    <row r="153" spans="2:24" x14ac:dyDescent="0.25">
      <c r="B153" s="71"/>
      <c r="N153" s="48"/>
      <c r="O153" s="46"/>
      <c r="P153" s="47"/>
      <c r="Q153" s="25"/>
      <c r="T153" s="26"/>
      <c r="V153" s="26"/>
      <c r="W153" s="26"/>
      <c r="X153" s="26"/>
    </row>
    <row r="154" spans="2:24" x14ac:dyDescent="0.25">
      <c r="B154" s="71"/>
      <c r="N154" s="48"/>
      <c r="O154" s="46"/>
      <c r="P154" s="47"/>
      <c r="Q154" s="25"/>
      <c r="T154" s="26"/>
      <c r="V154" s="26"/>
      <c r="W154" s="26"/>
      <c r="X154" s="26"/>
    </row>
    <row r="155" spans="2:24" x14ac:dyDescent="0.25">
      <c r="B155" s="71"/>
      <c r="N155" s="48"/>
      <c r="O155" s="46"/>
      <c r="P155" s="47"/>
      <c r="Q155" s="25"/>
      <c r="T155" s="26"/>
      <c r="V155" s="26"/>
      <c r="W155" s="26"/>
      <c r="X155" s="26"/>
    </row>
    <row r="156" spans="2:24" x14ac:dyDescent="0.25">
      <c r="B156" s="71"/>
      <c r="N156" s="48"/>
      <c r="O156" s="46"/>
      <c r="P156" s="47"/>
      <c r="Q156" s="25"/>
      <c r="T156" s="26"/>
      <c r="V156" s="26"/>
      <c r="W156" s="26"/>
      <c r="X156" s="26"/>
    </row>
    <row r="157" spans="2:24" x14ac:dyDescent="0.25">
      <c r="B157" s="71"/>
      <c r="N157" s="48"/>
      <c r="O157" s="46"/>
      <c r="P157" s="47"/>
      <c r="Q157" s="25"/>
      <c r="T157" s="26"/>
      <c r="V157" s="26"/>
      <c r="W157" s="26"/>
      <c r="X157" s="26"/>
    </row>
    <row r="158" spans="2:24" x14ac:dyDescent="0.25">
      <c r="B158" s="71"/>
      <c r="N158" s="48"/>
      <c r="O158" s="46"/>
      <c r="P158" s="47"/>
      <c r="Q158" s="25"/>
      <c r="T158" s="26"/>
      <c r="V158" s="26"/>
      <c r="W158" s="26"/>
      <c r="X158" s="26"/>
    </row>
    <row r="159" spans="2:24" x14ac:dyDescent="0.25">
      <c r="B159" s="71"/>
      <c r="N159" s="48"/>
      <c r="O159" s="46"/>
      <c r="P159" s="47"/>
      <c r="Q159" s="25"/>
      <c r="T159" s="26"/>
      <c r="V159" s="26"/>
      <c r="W159" s="26"/>
      <c r="X159" s="26"/>
    </row>
    <row r="160" spans="2:24" x14ac:dyDescent="0.25">
      <c r="B160" s="71"/>
      <c r="N160" s="48"/>
      <c r="O160" s="46"/>
      <c r="P160" s="47"/>
      <c r="Q160" s="25"/>
      <c r="T160" s="26"/>
      <c r="V160" s="26"/>
      <c r="W160" s="26"/>
      <c r="X160" s="26"/>
    </row>
    <row r="161" spans="2:24" x14ac:dyDescent="0.25">
      <c r="B161" s="71"/>
      <c r="N161" s="48"/>
      <c r="O161" s="46"/>
      <c r="P161" s="47"/>
      <c r="Q161" s="25"/>
      <c r="T161" s="26"/>
      <c r="V161" s="26"/>
      <c r="W161" s="26"/>
      <c r="X161" s="26"/>
    </row>
    <row r="162" spans="2:24" x14ac:dyDescent="0.25">
      <c r="B162" s="71"/>
      <c r="N162" s="48"/>
      <c r="O162" s="46"/>
      <c r="P162" s="47"/>
      <c r="Q162" s="25"/>
      <c r="T162" s="26"/>
      <c r="V162" s="26"/>
      <c r="W162" s="26"/>
      <c r="X162" s="26"/>
    </row>
    <row r="163" spans="2:24" x14ac:dyDescent="0.25">
      <c r="B163" s="71"/>
      <c r="N163" s="48"/>
      <c r="O163" s="46"/>
      <c r="P163" s="47"/>
      <c r="Q163" s="25"/>
      <c r="T163" s="26"/>
      <c r="V163" s="26"/>
      <c r="W163" s="26"/>
      <c r="X163" s="26"/>
    </row>
    <row r="164" spans="2:24" x14ac:dyDescent="0.25">
      <c r="B164" s="71"/>
      <c r="N164" s="48"/>
      <c r="O164" s="46"/>
      <c r="P164" s="47"/>
      <c r="Q164" s="25"/>
      <c r="T164" s="26"/>
      <c r="V164" s="26"/>
      <c r="W164" s="26"/>
      <c r="X164" s="26"/>
    </row>
    <row r="165" spans="2:24" x14ac:dyDescent="0.25">
      <c r="B165" s="71"/>
      <c r="N165" s="48"/>
      <c r="O165" s="46"/>
      <c r="P165" s="47"/>
      <c r="Q165" s="25"/>
      <c r="T165" s="26"/>
      <c r="V165" s="26"/>
      <c r="W165" s="26"/>
      <c r="X165" s="26"/>
    </row>
    <row r="166" spans="2:24" x14ac:dyDescent="0.25">
      <c r="B166" s="71"/>
      <c r="N166" s="48"/>
      <c r="O166" s="46"/>
      <c r="P166" s="47"/>
      <c r="Q166" s="25"/>
      <c r="T166" s="26"/>
      <c r="V166" s="26"/>
      <c r="W166" s="26"/>
      <c r="X166" s="26"/>
    </row>
    <row r="167" spans="2:24" x14ac:dyDescent="0.25">
      <c r="B167" s="71"/>
      <c r="N167" s="48"/>
      <c r="O167" s="46"/>
      <c r="P167" s="47"/>
      <c r="Q167" s="25"/>
      <c r="T167" s="26"/>
      <c r="V167" s="26"/>
      <c r="W167" s="26"/>
      <c r="X167" s="26"/>
    </row>
    <row r="168" spans="2:24" x14ac:dyDescent="0.25">
      <c r="B168" s="71"/>
      <c r="N168" s="48"/>
      <c r="O168" s="46"/>
      <c r="P168" s="47"/>
      <c r="Q168" s="25"/>
      <c r="T168" s="26"/>
      <c r="V168" s="26"/>
      <c r="W168" s="26"/>
      <c r="X168" s="26"/>
    </row>
    <row r="169" spans="2:24" x14ac:dyDescent="0.25">
      <c r="B169" s="71"/>
      <c r="N169" s="48"/>
      <c r="O169" s="46"/>
      <c r="P169" s="47"/>
      <c r="Q169" s="25"/>
      <c r="T169" s="26"/>
      <c r="V169" s="26"/>
      <c r="W169" s="26"/>
      <c r="X169" s="26"/>
    </row>
    <row r="170" spans="2:24" x14ac:dyDescent="0.25">
      <c r="B170" s="71"/>
      <c r="N170" s="48"/>
      <c r="O170" s="46"/>
      <c r="P170" s="47"/>
      <c r="Q170" s="25"/>
      <c r="T170" s="26"/>
      <c r="V170" s="26"/>
      <c r="W170" s="26"/>
      <c r="X170" s="26"/>
    </row>
    <row r="171" spans="2:24" x14ac:dyDescent="0.25">
      <c r="B171" s="71"/>
      <c r="N171" s="48"/>
      <c r="O171" s="46"/>
      <c r="P171" s="47"/>
      <c r="Q171" s="25"/>
      <c r="T171" s="26"/>
      <c r="V171" s="26"/>
      <c r="W171" s="26"/>
      <c r="X171" s="26"/>
    </row>
    <row r="172" spans="2:24" x14ac:dyDescent="0.25">
      <c r="B172" s="71"/>
      <c r="N172" s="48"/>
      <c r="O172" s="46"/>
      <c r="P172" s="47"/>
      <c r="Q172" s="25"/>
      <c r="T172" s="26"/>
      <c r="V172" s="26"/>
      <c r="W172" s="26"/>
      <c r="X172" s="26"/>
    </row>
    <row r="173" spans="2:24" x14ac:dyDescent="0.25">
      <c r="B173" s="71"/>
      <c r="N173" s="48"/>
      <c r="O173" s="46"/>
      <c r="P173" s="47"/>
      <c r="Q173" s="25"/>
      <c r="T173" s="26"/>
      <c r="V173" s="26"/>
      <c r="W173" s="26"/>
      <c r="X173" s="26"/>
    </row>
    <row r="174" spans="2:24" x14ac:dyDescent="0.25">
      <c r="B174" s="71"/>
      <c r="N174" s="48"/>
      <c r="O174" s="46"/>
      <c r="P174" s="47"/>
      <c r="Q174" s="25"/>
      <c r="T174" s="26"/>
      <c r="V174" s="26"/>
      <c r="W174" s="26"/>
      <c r="X174" s="26"/>
    </row>
  </sheetData>
  <autoFilter ref="C1:X168" xr:uid="{CC3770C1-D3AF-4CB2-B622-4EC4E705064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9C58-F514-43A9-8D0F-4EBDD505178F}">
  <sheetPr codeName="Sheet4"/>
  <dimension ref="A1:BB581"/>
  <sheetViews>
    <sheetView topLeftCell="P1" zoomScale="80" zoomScaleNormal="80" workbookViewId="0">
      <pane ySplit="1" topLeftCell="A2" activePane="bottomLeft" state="frozenSplit"/>
      <selection pane="bottomLeft" activeCell="AG2" sqref="AG2:AI98"/>
    </sheetView>
  </sheetViews>
  <sheetFormatPr defaultRowHeight="15" x14ac:dyDescent="0.25"/>
  <cols>
    <col min="1" max="1" width="9" customWidth="1"/>
    <col min="2" max="2" width="19.5703125" bestFit="1" customWidth="1"/>
    <col min="3" max="3" width="11.85546875" bestFit="1" customWidth="1"/>
    <col min="4" max="4" width="24" bestFit="1" customWidth="1"/>
    <col min="5" max="5" width="43.85546875" customWidth="1"/>
    <col min="6" max="7" width="13.5703125" bestFit="1" customWidth="1"/>
    <col min="8" max="8" width="13" bestFit="1" customWidth="1"/>
    <col min="9" max="9" width="13.5703125" bestFit="1" customWidth="1"/>
    <col min="10" max="10" width="15.5703125" bestFit="1" customWidth="1"/>
    <col min="11" max="11" width="16.28515625" bestFit="1" customWidth="1"/>
    <col min="12" max="12" width="8" bestFit="1" customWidth="1"/>
    <col min="13" max="13" width="43.85546875" bestFit="1" customWidth="1"/>
    <col min="14" max="14" width="13.7109375" bestFit="1" customWidth="1"/>
    <col min="15" max="15" width="6.7109375" bestFit="1" customWidth="1"/>
    <col min="16" max="16" width="10.42578125" bestFit="1" customWidth="1"/>
    <col min="17" max="17" width="16.42578125" bestFit="1" customWidth="1"/>
    <col min="18" max="18" width="15" bestFit="1" customWidth="1"/>
    <col min="19" max="19" width="13" bestFit="1" customWidth="1"/>
    <col min="20" max="20" width="4.85546875" bestFit="1" customWidth="1"/>
    <col min="21" max="21" width="13.5703125" bestFit="1" customWidth="1"/>
    <col min="22" max="22" width="18.85546875" bestFit="1" customWidth="1"/>
    <col min="23" max="23" width="26.28515625" customWidth="1"/>
    <col min="24" max="24" width="2.28515625" customWidth="1"/>
    <col min="25" max="25" width="14.140625" bestFit="1" customWidth="1"/>
    <col min="26" max="26" width="18.42578125" bestFit="1" customWidth="1"/>
    <col min="27" max="27" width="15.28515625" bestFit="1" customWidth="1"/>
    <col min="29" max="29" width="5.5703125" customWidth="1"/>
    <col min="30" max="30" width="19.5703125" bestFit="1" customWidth="1"/>
    <col min="31" max="31" width="9.7109375" customWidth="1"/>
    <col min="33" max="33" width="15" customWidth="1"/>
    <col min="34" max="35" width="13.5703125" bestFit="1" customWidth="1"/>
    <col min="36" max="36" width="13" bestFit="1" customWidth="1"/>
    <col min="37" max="37" width="13.42578125" bestFit="1" customWidth="1"/>
    <col min="38" max="38" width="15.5703125" bestFit="1" customWidth="1"/>
    <col min="39" max="39" width="15.28515625" bestFit="1" customWidth="1"/>
    <col min="40" max="40" width="8" bestFit="1" customWidth="1"/>
    <col min="41" max="41" width="11.5703125" customWidth="1"/>
    <col min="42" max="44" width="9.140625" customWidth="1"/>
    <col min="45" max="45" width="13.7109375" bestFit="1" customWidth="1"/>
    <col min="46" max="46" width="8.7109375" customWidth="1"/>
    <col min="47" max="47" width="10.42578125" bestFit="1" customWidth="1"/>
    <col min="48" max="48" width="16.42578125" bestFit="1" customWidth="1"/>
    <col min="49" max="49" width="15" bestFit="1" customWidth="1"/>
    <col min="50" max="50" width="12.140625" bestFit="1" customWidth="1"/>
    <col min="51" max="51" width="4.85546875" bestFit="1" customWidth="1"/>
    <col min="52" max="52" width="10" bestFit="1" customWidth="1"/>
    <col min="53" max="53" width="8.7109375" bestFit="1" customWidth="1"/>
    <col min="54" max="54" width="20.28515625" bestFit="1" customWidth="1"/>
  </cols>
  <sheetData>
    <row r="1" spans="1:54" x14ac:dyDescent="0.25">
      <c r="B1" s="70" t="s">
        <v>435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52</v>
      </c>
      <c r="O1" s="13" t="s">
        <v>53</v>
      </c>
      <c r="P1" s="13" t="s">
        <v>59</v>
      </c>
      <c r="Q1" s="13" t="s">
        <v>62</v>
      </c>
      <c r="R1" s="13" t="s">
        <v>67</v>
      </c>
      <c r="S1" s="13" t="s">
        <v>68</v>
      </c>
      <c r="T1" s="13" t="s">
        <v>69</v>
      </c>
      <c r="U1" s="13" t="s">
        <v>70</v>
      </c>
      <c r="V1" s="12" t="s">
        <v>216</v>
      </c>
      <c r="W1" s="11" t="s">
        <v>254</v>
      </c>
      <c r="X1" s="87" t="s">
        <v>264</v>
      </c>
      <c r="Y1" s="2" t="s">
        <v>57</v>
      </c>
      <c r="Z1" t="s">
        <v>269</v>
      </c>
      <c r="AA1" t="s">
        <v>58</v>
      </c>
      <c r="AC1" s="10" t="s">
        <v>433</v>
      </c>
      <c r="AD1" s="70" t="s">
        <v>435</v>
      </c>
      <c r="AE1" s="12" t="s">
        <v>0</v>
      </c>
      <c r="AF1" s="12" t="s">
        <v>1</v>
      </c>
      <c r="AG1" s="12" t="s">
        <v>2</v>
      </c>
      <c r="AH1" s="12" t="s">
        <v>3</v>
      </c>
      <c r="AI1" s="12" t="s">
        <v>4</v>
      </c>
      <c r="AJ1" s="12" t="s">
        <v>5</v>
      </c>
      <c r="AK1" s="12" t="s">
        <v>6</v>
      </c>
      <c r="AL1" s="12" t="s">
        <v>7</v>
      </c>
      <c r="AM1" s="12" t="s">
        <v>8</v>
      </c>
      <c r="AN1" s="12" t="s">
        <v>9</v>
      </c>
      <c r="AO1" s="12" t="s">
        <v>10</v>
      </c>
      <c r="AS1" s="13" t="s">
        <v>52</v>
      </c>
      <c r="AT1" s="13" t="s">
        <v>53</v>
      </c>
      <c r="AU1" s="13" t="s">
        <v>59</v>
      </c>
      <c r="AV1" s="13" t="s">
        <v>62</v>
      </c>
      <c r="AW1" s="13" t="s">
        <v>67</v>
      </c>
      <c r="AX1" s="13" t="s">
        <v>68</v>
      </c>
      <c r="AY1" s="13" t="s">
        <v>69</v>
      </c>
      <c r="AZ1" s="13" t="s">
        <v>70</v>
      </c>
      <c r="BA1" s="12" t="s">
        <v>216</v>
      </c>
      <c r="BB1" s="11" t="s">
        <v>254</v>
      </c>
    </row>
    <row r="2" spans="1:54" x14ac:dyDescent="0.25">
      <c r="A2">
        <v>43</v>
      </c>
      <c r="B2" s="71">
        <v>44939.000003356479</v>
      </c>
      <c r="C2" s="14" t="s">
        <v>11</v>
      </c>
      <c r="D2" s="23" t="s">
        <v>83</v>
      </c>
      <c r="E2" s="23" t="s">
        <v>116</v>
      </c>
      <c r="F2" s="23">
        <v>628.35861419000003</v>
      </c>
      <c r="G2" s="23">
        <v>42641.129708168803</v>
      </c>
      <c r="H2" s="23">
        <v>67.861136531304297</v>
      </c>
      <c r="I2" s="23">
        <v>0</v>
      </c>
      <c r="J2" s="23" t="s">
        <v>85</v>
      </c>
      <c r="K2" s="24">
        <v>44939.000003356479</v>
      </c>
      <c r="L2" s="23">
        <v>1</v>
      </c>
      <c r="M2" s="23" t="s">
        <v>116</v>
      </c>
      <c r="N2" s="25">
        <v>0</v>
      </c>
      <c r="O2" s="26" t="str">
        <f t="shared" ref="O2:O65" si="0">IF($C2="","",IF(OR($E2="USD",$E2="EUR"),"CASH","COIN"))</f>
        <v>COIN</v>
      </c>
      <c r="P2" s="26" t="str">
        <f>IF($C2="","",IF($J2="CME FUTURE","HEDGE",IF($G2&gt;0,"LONG","SHORT")))</f>
        <v>LONG</v>
      </c>
      <c r="Q2" s="26" t="str">
        <f>O2&amp;" "&amp;P2</f>
        <v>COIN LONG</v>
      </c>
      <c r="R2" s="26">
        <v>0</v>
      </c>
      <c r="S2" s="26">
        <v>0</v>
      </c>
      <c r="T2" s="26">
        <v>0</v>
      </c>
      <c r="U2" s="26">
        <v>0</v>
      </c>
      <c r="V2" s="23" t="str">
        <f t="shared" ref="V2:V65" si="1">IF($C2="","",IF(ISERROR(SEARCH("-",$D2)),$D2,LEFT($D2,SEARCH("-",$D2)-1)))</f>
        <v>BINE</v>
      </c>
      <c r="W2" t="str">
        <f>IF($C2="","",$M2&amp;" "&amp;$Q2)</f>
        <v>AAVE COIN LONG</v>
      </c>
      <c r="X2" s="88" t="s">
        <v>264</v>
      </c>
      <c r="Y2" s="3" t="s">
        <v>121</v>
      </c>
      <c r="Z2" s="31">
        <v>377.09760540000002</v>
      </c>
      <c r="AA2" s="98">
        <v>9.8431534717962399E-2</v>
      </c>
      <c r="AD2" s="71">
        <f>IF($AG2="","",$B$2)</f>
        <v>44939.000003356479</v>
      </c>
      <c r="AE2" s="14" t="str">
        <f>IF($AG2="","","-")</f>
        <v>-</v>
      </c>
      <c r="AF2" s="14" t="str">
        <f>IF($AG2="","","WALLET")</f>
        <v>WALLET</v>
      </c>
      <c r="AG2" s="14" t="s">
        <v>121</v>
      </c>
      <c r="AH2" s="14">
        <v>377.09760540000002</v>
      </c>
      <c r="AI2" s="14">
        <v>9.8431534717962399E-2</v>
      </c>
      <c r="AJ2" s="14">
        <f>IF(AH2&lt;&gt;0,AI2/AH2,"")</f>
        <v>2.6102402483715799E-4</v>
      </c>
      <c r="AK2" s="14">
        <f>IF($AG2="","",0)</f>
        <v>0</v>
      </c>
      <c r="AL2" s="14" t="str">
        <f>IF(AE2="","",IF(OR($AG2="USD",$AG2="EUR"),"CASH","COIN"))</f>
        <v>COIN</v>
      </c>
      <c r="AM2" s="24"/>
      <c r="AN2" s="14">
        <f>IF($AG2="","",1)</f>
        <v>1</v>
      </c>
      <c r="AO2" s="14" t="str">
        <f>IF($AG2="","",$AG2)</f>
        <v>AAC</v>
      </c>
      <c r="AP2" s="45"/>
      <c r="AQ2" s="46"/>
      <c r="AR2" s="47"/>
      <c r="AS2" s="25">
        <f t="shared" ref="AS2:AS65" si="2">IF($AE2="","",0)</f>
        <v>0</v>
      </c>
      <c r="AT2" s="26" t="str">
        <f t="shared" ref="AT2:AT33" si="3">IF(OR($AG2="USD",AG2="EUR"),"CASH","COIN")</f>
        <v>COIN</v>
      </c>
      <c r="AU2" s="26" t="str">
        <f>IF($AE2="","",IF($AH2&gt;0,"LONG","SHORT"))</f>
        <v>LONG</v>
      </c>
      <c r="AV2" s="26" t="str">
        <f t="shared" ref="AV2:AV33" si="4">IF($AE2="","",$AT2&amp;" "&amp;$AU2)</f>
        <v>COIN LONG</v>
      </c>
      <c r="AW2" s="26">
        <f t="shared" ref="AW2:AW33" si="5">IF($AE2="","",$AI2*(1+$AY2))</f>
        <v>9.8431534717962399E-2</v>
      </c>
      <c r="AX2" s="26">
        <f t="shared" ref="AX2:AX33" si="6">IF($AE2="","",$AJ2*(1+$AY2))</f>
        <v>2.6102402483715799E-4</v>
      </c>
      <c r="AY2" s="26">
        <f t="shared" ref="AY2:AY65" si="7">IF($AE2="","",0)</f>
        <v>0</v>
      </c>
      <c r="AZ2" s="26">
        <f t="shared" ref="AZ2:AZ33" si="8">IF($AE2="","",$AI2-$AW2)</f>
        <v>0</v>
      </c>
      <c r="BA2" s="23" t="s">
        <v>268</v>
      </c>
      <c r="BB2" t="str">
        <f>IF($AE2="","",$AO2)</f>
        <v>AAC</v>
      </c>
    </row>
    <row r="3" spans="1:54" x14ac:dyDescent="0.25">
      <c r="A3">
        <v>44</v>
      </c>
      <c r="B3" s="71">
        <v>44939.000003356479</v>
      </c>
      <c r="C3" s="14" t="s">
        <v>11</v>
      </c>
      <c r="D3" s="23" t="s">
        <v>83</v>
      </c>
      <c r="E3" s="23" t="s">
        <v>84</v>
      </c>
      <c r="F3" s="23">
        <v>291912.33526399999</v>
      </c>
      <c r="G3" s="23">
        <v>96260.566435433502</v>
      </c>
      <c r="H3" s="23">
        <v>0.329758474743375</v>
      </c>
      <c r="I3" s="23">
        <v>0</v>
      </c>
      <c r="J3" s="23" t="s">
        <v>85</v>
      </c>
      <c r="K3" s="24">
        <v>44939.000003356479</v>
      </c>
      <c r="L3" s="23">
        <v>1</v>
      </c>
      <c r="M3" s="23" t="s">
        <v>84</v>
      </c>
      <c r="N3" s="25">
        <v>0</v>
      </c>
      <c r="O3" s="26" t="str">
        <f t="shared" si="0"/>
        <v>COIN</v>
      </c>
      <c r="P3" s="26" t="str">
        <f t="shared" ref="P3:P66" si="9">IF($C3="","",IF($J3="CME FUTURE","HEDGE",IF($G3&gt;0,"LONG","SHORT")))</f>
        <v>LONG</v>
      </c>
      <c r="Q3" s="26" t="str">
        <f t="shared" ref="Q3:Q66" si="10">O3&amp;" "&amp;P3</f>
        <v>COIN LONG</v>
      </c>
      <c r="R3" s="26">
        <v>0</v>
      </c>
      <c r="S3" s="26">
        <v>0</v>
      </c>
      <c r="T3" s="26">
        <v>0</v>
      </c>
      <c r="U3" s="26">
        <v>0</v>
      </c>
      <c r="V3" s="23" t="str">
        <f t="shared" si="1"/>
        <v>BINE</v>
      </c>
      <c r="W3" t="str">
        <f t="shared" ref="W3:W66" si="11">IF($C3="","",$M3&amp;" "&amp;$Q3)</f>
        <v>ADA COIN LONG</v>
      </c>
      <c r="X3" s="88" t="s">
        <v>264</v>
      </c>
      <c r="Y3" s="3" t="s">
        <v>116</v>
      </c>
      <c r="Z3" s="31">
        <v>259.6125314599999</v>
      </c>
      <c r="AA3" s="31">
        <v>17617.601442644576</v>
      </c>
      <c r="AD3" s="71">
        <f t="shared" ref="AD3:AD66" si="12">IF($AG3="","",$B$2)</f>
        <v>44939.000003356479</v>
      </c>
      <c r="AE3" s="14" t="str">
        <f t="shared" ref="AE3:AE66" si="13">IF($AG3="","","-")</f>
        <v>-</v>
      </c>
      <c r="AF3" s="14" t="str">
        <f t="shared" ref="AF3:AF66" si="14">IF($AG3="","","WALLET")</f>
        <v>WALLET</v>
      </c>
      <c r="AG3" s="14" t="s">
        <v>116</v>
      </c>
      <c r="AH3" s="14">
        <v>259.6125314599999</v>
      </c>
      <c r="AI3" s="14">
        <v>17617.601442644576</v>
      </c>
      <c r="AJ3" s="14">
        <f t="shared" ref="AJ3:AJ66" si="15">IF(AH3&lt;&gt;0,AI3/AH3,"")</f>
        <v>67.861136531304268</v>
      </c>
      <c r="AK3" s="14">
        <f t="shared" ref="AK3:AK66" si="16">IF($AG3="","",0)</f>
        <v>0</v>
      </c>
      <c r="AL3" s="14" t="str">
        <f t="shared" ref="AL3:AL66" si="17">IF(AE3="","",IF(OR($AG3="USD",$AG3="EUR"),"CASH","COIN"))</f>
        <v>COIN</v>
      </c>
      <c r="AM3" s="24"/>
      <c r="AN3" s="14">
        <f t="shared" ref="AN3:AN66" si="18">IF($AG3="","",1)</f>
        <v>1</v>
      </c>
      <c r="AO3" s="14" t="str">
        <f t="shared" ref="AO3:AO66" si="19">IF($AG3="","",$AG3)</f>
        <v>AAVE</v>
      </c>
      <c r="AP3" s="45"/>
      <c r="AQ3" s="46"/>
      <c r="AR3" s="47"/>
      <c r="AS3" s="25">
        <f t="shared" si="2"/>
        <v>0</v>
      </c>
      <c r="AT3" s="26" t="str">
        <f t="shared" si="3"/>
        <v>COIN</v>
      </c>
      <c r="AU3" s="26" t="str">
        <f t="shared" ref="AU3:AU66" si="20">IF($AE3="","",IF($AH3&gt;0,"LONG","SHORT"))</f>
        <v>LONG</v>
      </c>
      <c r="AV3" s="26" t="str">
        <f t="shared" si="4"/>
        <v>COIN LONG</v>
      </c>
      <c r="AW3" s="26">
        <f t="shared" si="5"/>
        <v>17617.601442644576</v>
      </c>
      <c r="AX3" s="26">
        <f t="shared" si="6"/>
        <v>67.861136531304268</v>
      </c>
      <c r="AY3" s="26">
        <f t="shared" si="7"/>
        <v>0</v>
      </c>
      <c r="AZ3" s="26">
        <f t="shared" si="8"/>
        <v>0</v>
      </c>
      <c r="BA3" s="23" t="s">
        <v>268</v>
      </c>
      <c r="BB3" t="str">
        <f t="shared" ref="BB3:BB66" si="21">IF($AE3="","",$AO3)</f>
        <v>AAVE</v>
      </c>
    </row>
    <row r="4" spans="1:54" x14ac:dyDescent="0.25">
      <c r="A4">
        <v>45</v>
      </c>
      <c r="B4" s="71">
        <v>44939.000003356479</v>
      </c>
      <c r="C4" s="14" t="s">
        <v>11</v>
      </c>
      <c r="D4" s="23" t="s">
        <v>83</v>
      </c>
      <c r="E4" s="23" t="s">
        <v>122</v>
      </c>
      <c r="F4" s="23">
        <v>215007.15676099999</v>
      </c>
      <c r="G4" s="23">
        <v>45694.716690300898</v>
      </c>
      <c r="H4" s="23">
        <v>0.21252649157671899</v>
      </c>
      <c r="I4" s="23">
        <v>0</v>
      </c>
      <c r="J4" s="23" t="s">
        <v>85</v>
      </c>
      <c r="K4" s="24">
        <v>44939.000003356479</v>
      </c>
      <c r="L4" s="23">
        <v>1</v>
      </c>
      <c r="M4" s="23" t="s">
        <v>122</v>
      </c>
      <c r="N4" s="25">
        <v>0</v>
      </c>
      <c r="O4" s="26" t="str">
        <f t="shared" si="0"/>
        <v>COIN</v>
      </c>
      <c r="P4" s="26" t="str">
        <f t="shared" si="9"/>
        <v>LONG</v>
      </c>
      <c r="Q4" s="26" t="str">
        <f t="shared" si="10"/>
        <v>COIN LONG</v>
      </c>
      <c r="R4" s="26">
        <v>0</v>
      </c>
      <c r="S4" s="26">
        <v>0</v>
      </c>
      <c r="T4" s="26">
        <v>0</v>
      </c>
      <c r="U4" s="26">
        <v>0</v>
      </c>
      <c r="V4" s="23" t="str">
        <f t="shared" si="1"/>
        <v>BINE</v>
      </c>
      <c r="W4" t="str">
        <f t="shared" si="11"/>
        <v>ALGO COIN LONG</v>
      </c>
      <c r="X4" s="88" t="s">
        <v>264</v>
      </c>
      <c r="Y4" s="3" t="s">
        <v>84</v>
      </c>
      <c r="Z4" s="31">
        <v>-7528.6586742899381</v>
      </c>
      <c r="AA4" s="31">
        <v>-2482.6390012973861</v>
      </c>
      <c r="AD4" s="71">
        <f t="shared" si="12"/>
        <v>44939.000003356479</v>
      </c>
      <c r="AE4" s="14" t="str">
        <f t="shared" si="13"/>
        <v>-</v>
      </c>
      <c r="AF4" s="14" t="str">
        <f t="shared" si="14"/>
        <v>WALLET</v>
      </c>
      <c r="AG4" s="14" t="s">
        <v>84</v>
      </c>
      <c r="AH4" s="14">
        <v>-7528.6586742899381</v>
      </c>
      <c r="AI4" s="14">
        <v>-2482.6390012973861</v>
      </c>
      <c r="AJ4" s="14">
        <f t="shared" si="15"/>
        <v>0.32975847474338249</v>
      </c>
      <c r="AK4" s="14">
        <f t="shared" si="16"/>
        <v>0</v>
      </c>
      <c r="AL4" s="14" t="str">
        <f t="shared" si="17"/>
        <v>COIN</v>
      </c>
      <c r="AM4" s="24"/>
      <c r="AN4" s="14">
        <f t="shared" si="18"/>
        <v>1</v>
      </c>
      <c r="AO4" s="14" t="str">
        <f t="shared" si="19"/>
        <v>ADA</v>
      </c>
      <c r="AP4" s="45"/>
      <c r="AQ4" s="46"/>
      <c r="AR4" s="47"/>
      <c r="AS4" s="25">
        <f t="shared" si="2"/>
        <v>0</v>
      </c>
      <c r="AT4" s="26" t="str">
        <f t="shared" si="3"/>
        <v>COIN</v>
      </c>
      <c r="AU4" s="26" t="str">
        <f t="shared" si="20"/>
        <v>SHORT</v>
      </c>
      <c r="AV4" s="26" t="str">
        <f t="shared" si="4"/>
        <v>COIN SHORT</v>
      </c>
      <c r="AW4" s="26">
        <f t="shared" si="5"/>
        <v>-2482.6390012973861</v>
      </c>
      <c r="AX4" s="26">
        <f t="shared" si="6"/>
        <v>0.32975847474338249</v>
      </c>
      <c r="AY4" s="26">
        <f t="shared" si="7"/>
        <v>0</v>
      </c>
      <c r="AZ4" s="26">
        <f t="shared" si="8"/>
        <v>0</v>
      </c>
      <c r="BA4" s="23" t="s">
        <v>268</v>
      </c>
      <c r="BB4" t="str">
        <f t="shared" si="21"/>
        <v>ADA</v>
      </c>
    </row>
    <row r="5" spans="1:54" x14ac:dyDescent="0.25">
      <c r="A5">
        <v>46</v>
      </c>
      <c r="B5" s="71">
        <v>44939.000003356479</v>
      </c>
      <c r="C5" s="14" t="s">
        <v>11</v>
      </c>
      <c r="D5" s="23" t="s">
        <v>83</v>
      </c>
      <c r="E5" s="23" t="s">
        <v>35</v>
      </c>
      <c r="F5" s="23">
        <v>4.2548999999999998E-3</v>
      </c>
      <c r="G5" s="23">
        <v>5.2227586277640702E-2</v>
      </c>
      <c r="H5" s="23">
        <v>12.274691832390999</v>
      </c>
      <c r="I5" s="23">
        <v>0</v>
      </c>
      <c r="J5" s="23" t="s">
        <v>85</v>
      </c>
      <c r="K5" s="24">
        <v>44939.000003356479</v>
      </c>
      <c r="L5" s="23">
        <v>1</v>
      </c>
      <c r="M5" s="23" t="s">
        <v>35</v>
      </c>
      <c r="N5" s="25">
        <v>0</v>
      </c>
      <c r="O5" s="26" t="str">
        <f t="shared" si="0"/>
        <v>COIN</v>
      </c>
      <c r="P5" s="26" t="str">
        <f t="shared" si="9"/>
        <v>LONG</v>
      </c>
      <c r="Q5" s="26" t="str">
        <f t="shared" si="10"/>
        <v>COIN LONG</v>
      </c>
      <c r="R5" s="26">
        <v>0</v>
      </c>
      <c r="S5" s="26">
        <v>0</v>
      </c>
      <c r="T5" s="26">
        <v>0</v>
      </c>
      <c r="U5" s="26">
        <v>0</v>
      </c>
      <c r="V5" s="23" t="str">
        <f t="shared" si="1"/>
        <v>BINE</v>
      </c>
      <c r="W5" t="str">
        <f t="shared" si="11"/>
        <v>ATOM COIN LONG</v>
      </c>
      <c r="X5" s="88" t="s">
        <v>264</v>
      </c>
      <c r="Y5" s="3" t="s">
        <v>122</v>
      </c>
      <c r="Z5" s="31">
        <v>5323.8234272600093</v>
      </c>
      <c r="AA5" s="31">
        <v>1131.4535147694405</v>
      </c>
      <c r="AD5" s="71">
        <f t="shared" si="12"/>
        <v>44939.000003356479</v>
      </c>
      <c r="AE5" s="14" t="str">
        <f t="shared" si="13"/>
        <v>-</v>
      </c>
      <c r="AF5" s="14" t="str">
        <f t="shared" si="14"/>
        <v>WALLET</v>
      </c>
      <c r="AG5" s="14" t="s">
        <v>122</v>
      </c>
      <c r="AH5" s="14">
        <v>5323.8234272600093</v>
      </c>
      <c r="AI5" s="14">
        <v>1131.4535147694405</v>
      </c>
      <c r="AJ5" s="14">
        <f t="shared" si="15"/>
        <v>0.21252649157670525</v>
      </c>
      <c r="AK5" s="14">
        <f t="shared" si="16"/>
        <v>0</v>
      </c>
      <c r="AL5" s="14" t="str">
        <f t="shared" si="17"/>
        <v>COIN</v>
      </c>
      <c r="AM5" s="24"/>
      <c r="AN5" s="14">
        <f t="shared" si="18"/>
        <v>1</v>
      </c>
      <c r="AO5" s="14" t="str">
        <f t="shared" si="19"/>
        <v>ALGO</v>
      </c>
      <c r="AP5" s="45"/>
      <c r="AQ5" s="46"/>
      <c r="AR5" s="47"/>
      <c r="AS5" s="25">
        <f t="shared" si="2"/>
        <v>0</v>
      </c>
      <c r="AT5" s="26" t="str">
        <f t="shared" si="3"/>
        <v>COIN</v>
      </c>
      <c r="AU5" s="26" t="str">
        <f t="shared" si="20"/>
        <v>LONG</v>
      </c>
      <c r="AV5" s="26" t="str">
        <f t="shared" si="4"/>
        <v>COIN LONG</v>
      </c>
      <c r="AW5" s="26">
        <f t="shared" si="5"/>
        <v>1131.4535147694405</v>
      </c>
      <c r="AX5" s="26">
        <f t="shared" si="6"/>
        <v>0.21252649157670525</v>
      </c>
      <c r="AY5" s="26">
        <f t="shared" si="7"/>
        <v>0</v>
      </c>
      <c r="AZ5" s="26">
        <f t="shared" si="8"/>
        <v>0</v>
      </c>
      <c r="BA5" s="23" t="s">
        <v>268</v>
      </c>
      <c r="BB5" t="str">
        <f t="shared" si="21"/>
        <v>ALGO</v>
      </c>
    </row>
    <row r="6" spans="1:54" x14ac:dyDescent="0.25">
      <c r="A6">
        <v>47</v>
      </c>
      <c r="B6" s="71">
        <v>44939.000003356479</v>
      </c>
      <c r="C6" s="14" t="s">
        <v>11</v>
      </c>
      <c r="D6" s="23" t="s">
        <v>83</v>
      </c>
      <c r="E6" s="23" t="s">
        <v>187</v>
      </c>
      <c r="F6" s="23">
        <v>3951.2305524499998</v>
      </c>
      <c r="G6" s="23">
        <v>61075.554606368001</v>
      </c>
      <c r="H6" s="23">
        <v>15.4573502597811</v>
      </c>
      <c r="I6" s="23">
        <v>0</v>
      </c>
      <c r="J6" s="23" t="s">
        <v>85</v>
      </c>
      <c r="K6" s="24">
        <v>44939.000003356479</v>
      </c>
      <c r="L6" s="23">
        <v>1</v>
      </c>
      <c r="M6" s="23" t="s">
        <v>187</v>
      </c>
      <c r="N6" s="25">
        <v>0</v>
      </c>
      <c r="O6" s="26" t="str">
        <f t="shared" si="0"/>
        <v>COIN</v>
      </c>
      <c r="P6" s="26" t="str">
        <f t="shared" si="9"/>
        <v>LONG</v>
      </c>
      <c r="Q6" s="26" t="str">
        <f t="shared" si="10"/>
        <v>COIN LONG</v>
      </c>
      <c r="R6" s="26">
        <v>0</v>
      </c>
      <c r="S6" s="26">
        <v>0</v>
      </c>
      <c r="T6" s="26">
        <v>0</v>
      </c>
      <c r="U6" s="26">
        <v>0</v>
      </c>
      <c r="V6" s="23" t="str">
        <f t="shared" si="1"/>
        <v>BINE</v>
      </c>
      <c r="W6" t="str">
        <f t="shared" si="11"/>
        <v>AVAX COIN LONG</v>
      </c>
      <c r="X6" s="88" t="s">
        <v>264</v>
      </c>
      <c r="Y6" s="3" t="s">
        <v>123</v>
      </c>
      <c r="Z6" s="31">
        <v>0.53247394999999997</v>
      </c>
      <c r="AA6" s="31">
        <v>1.6120070397661099E-2</v>
      </c>
      <c r="AD6" s="71">
        <f t="shared" si="12"/>
        <v>44939.000003356479</v>
      </c>
      <c r="AE6" s="14" t="str">
        <f t="shared" si="13"/>
        <v>-</v>
      </c>
      <c r="AF6" s="14" t="str">
        <f t="shared" si="14"/>
        <v>WALLET</v>
      </c>
      <c r="AG6" s="14" t="s">
        <v>123</v>
      </c>
      <c r="AH6" s="14">
        <v>0.53247394999999997</v>
      </c>
      <c r="AI6" s="14">
        <v>1.6120070397661099E-2</v>
      </c>
      <c r="AJ6" s="14">
        <f t="shared" si="15"/>
        <v>3.0273913677206367E-2</v>
      </c>
      <c r="AK6" s="14">
        <f t="shared" si="16"/>
        <v>0</v>
      </c>
      <c r="AL6" s="14" t="str">
        <f t="shared" si="17"/>
        <v>COIN</v>
      </c>
      <c r="AM6" s="24"/>
      <c r="AN6" s="14">
        <f t="shared" si="18"/>
        <v>1</v>
      </c>
      <c r="AO6" s="14" t="str">
        <f t="shared" si="19"/>
        <v>ARPA</v>
      </c>
      <c r="AP6" s="45"/>
      <c r="AQ6" s="46"/>
      <c r="AR6" s="47"/>
      <c r="AS6" s="25">
        <f t="shared" si="2"/>
        <v>0</v>
      </c>
      <c r="AT6" s="26" t="str">
        <f t="shared" si="3"/>
        <v>COIN</v>
      </c>
      <c r="AU6" s="26" t="str">
        <f t="shared" si="20"/>
        <v>LONG</v>
      </c>
      <c r="AV6" s="26" t="str">
        <f t="shared" si="4"/>
        <v>COIN LONG</v>
      </c>
      <c r="AW6" s="26">
        <f t="shared" si="5"/>
        <v>1.6120070397661099E-2</v>
      </c>
      <c r="AX6" s="26">
        <f t="shared" si="6"/>
        <v>3.0273913677206367E-2</v>
      </c>
      <c r="AY6" s="26">
        <f t="shared" si="7"/>
        <v>0</v>
      </c>
      <c r="AZ6" s="26">
        <f t="shared" si="8"/>
        <v>0</v>
      </c>
      <c r="BA6" s="23" t="s">
        <v>268</v>
      </c>
      <c r="BB6" t="str">
        <f t="shared" si="21"/>
        <v>ARPA</v>
      </c>
    </row>
    <row r="7" spans="1:54" x14ac:dyDescent="0.25">
      <c r="A7">
        <v>48</v>
      </c>
      <c r="B7" s="71">
        <v>44939.000003356479</v>
      </c>
      <c r="C7" s="14" t="s">
        <v>11</v>
      </c>
      <c r="D7" s="23" t="s">
        <v>83</v>
      </c>
      <c r="E7" s="23" t="s">
        <v>124</v>
      </c>
      <c r="F7" s="23">
        <v>99068.070622019994</v>
      </c>
      <c r="G7" s="23">
        <v>20286.566598580001</v>
      </c>
      <c r="H7" s="23">
        <v>0.20477401519184199</v>
      </c>
      <c r="I7" s="23">
        <v>0</v>
      </c>
      <c r="J7" s="23" t="s">
        <v>85</v>
      </c>
      <c r="K7" s="24">
        <v>44939.000003356479</v>
      </c>
      <c r="L7" s="23">
        <v>1</v>
      </c>
      <c r="M7" s="23" t="s">
        <v>124</v>
      </c>
      <c r="N7" s="25">
        <v>0</v>
      </c>
      <c r="O7" s="26" t="str">
        <f t="shared" si="0"/>
        <v>COIN</v>
      </c>
      <c r="P7" s="26" t="str">
        <f t="shared" si="9"/>
        <v>LONG</v>
      </c>
      <c r="Q7" s="26" t="str">
        <f t="shared" si="10"/>
        <v>COIN LONG</v>
      </c>
      <c r="R7" s="26">
        <v>0</v>
      </c>
      <c r="S7" s="26">
        <v>0</v>
      </c>
      <c r="T7" s="26">
        <v>0</v>
      </c>
      <c r="U7" s="26">
        <v>0</v>
      </c>
      <c r="V7" s="23" t="str">
        <f t="shared" si="1"/>
        <v>BINE</v>
      </c>
      <c r="W7" t="str">
        <f t="shared" si="11"/>
        <v>BAT COIN LONG</v>
      </c>
      <c r="X7" s="88" t="s">
        <v>264</v>
      </c>
      <c r="Y7" s="3" t="s">
        <v>35</v>
      </c>
      <c r="Z7" s="31">
        <v>0.37945432000000001</v>
      </c>
      <c r="AA7" s="31">
        <v>4.6576848424695072</v>
      </c>
      <c r="AD7" s="71">
        <f t="shared" si="12"/>
        <v>44939.000003356479</v>
      </c>
      <c r="AE7" s="14" t="str">
        <f t="shared" si="13"/>
        <v>-</v>
      </c>
      <c r="AF7" s="14" t="str">
        <f t="shared" si="14"/>
        <v>WALLET</v>
      </c>
      <c r="AG7" s="14" t="s">
        <v>35</v>
      </c>
      <c r="AH7" s="14">
        <v>0.37945432000000001</v>
      </c>
      <c r="AI7" s="14">
        <v>4.6576848424695072</v>
      </c>
      <c r="AJ7" s="14">
        <f t="shared" si="15"/>
        <v>12.274691832391069</v>
      </c>
      <c r="AK7" s="14">
        <f t="shared" si="16"/>
        <v>0</v>
      </c>
      <c r="AL7" s="14" t="str">
        <f t="shared" si="17"/>
        <v>COIN</v>
      </c>
      <c r="AM7" s="24"/>
      <c r="AN7" s="14">
        <f t="shared" si="18"/>
        <v>1</v>
      </c>
      <c r="AO7" s="14" t="str">
        <f t="shared" si="19"/>
        <v>ATOM</v>
      </c>
      <c r="AP7" s="45"/>
      <c r="AQ7" s="46"/>
      <c r="AR7" s="47"/>
      <c r="AS7" s="25">
        <f t="shared" si="2"/>
        <v>0</v>
      </c>
      <c r="AT7" s="26" t="str">
        <f t="shared" si="3"/>
        <v>COIN</v>
      </c>
      <c r="AU7" s="26" t="str">
        <f t="shared" si="20"/>
        <v>LONG</v>
      </c>
      <c r="AV7" s="26" t="str">
        <f t="shared" si="4"/>
        <v>COIN LONG</v>
      </c>
      <c r="AW7" s="26">
        <f t="shared" si="5"/>
        <v>4.6576848424695072</v>
      </c>
      <c r="AX7" s="26">
        <f t="shared" si="6"/>
        <v>12.274691832391069</v>
      </c>
      <c r="AY7" s="26">
        <f t="shared" si="7"/>
        <v>0</v>
      </c>
      <c r="AZ7" s="26">
        <f t="shared" si="8"/>
        <v>0</v>
      </c>
      <c r="BA7" s="23" t="s">
        <v>268</v>
      </c>
      <c r="BB7" t="str">
        <f t="shared" si="21"/>
        <v>ATOM</v>
      </c>
    </row>
    <row r="8" spans="1:54" x14ac:dyDescent="0.25">
      <c r="A8">
        <v>49</v>
      </c>
      <c r="B8" s="71">
        <v>44939.000003356479</v>
      </c>
      <c r="C8" s="14" t="s">
        <v>11</v>
      </c>
      <c r="D8" s="23" t="s">
        <v>83</v>
      </c>
      <c r="E8" s="23" t="s">
        <v>20</v>
      </c>
      <c r="F8" s="23">
        <v>647.60989974999995</v>
      </c>
      <c r="G8" s="23">
        <v>77525.682974275202</v>
      </c>
      <c r="H8" s="23">
        <v>119.710466137412</v>
      </c>
      <c r="I8" s="23">
        <v>0</v>
      </c>
      <c r="J8" s="23" t="s">
        <v>85</v>
      </c>
      <c r="K8" s="24">
        <v>44939.000003356479</v>
      </c>
      <c r="L8" s="23">
        <v>1</v>
      </c>
      <c r="M8" s="23" t="s">
        <v>20</v>
      </c>
      <c r="N8" s="25">
        <v>0</v>
      </c>
      <c r="O8" s="26" t="str">
        <f t="shared" si="0"/>
        <v>COIN</v>
      </c>
      <c r="P8" s="26" t="str">
        <f t="shared" si="9"/>
        <v>LONG</v>
      </c>
      <c r="Q8" s="26" t="str">
        <f t="shared" si="10"/>
        <v>COIN LONG</v>
      </c>
      <c r="R8" s="26">
        <v>0</v>
      </c>
      <c r="S8" s="26">
        <v>0</v>
      </c>
      <c r="T8" s="26">
        <v>0</v>
      </c>
      <c r="U8" s="26">
        <v>0</v>
      </c>
      <c r="V8" s="23" t="str">
        <f t="shared" si="1"/>
        <v>BINE</v>
      </c>
      <c r="W8" t="str">
        <f t="shared" si="11"/>
        <v>BCH COIN LONG</v>
      </c>
      <c r="X8" s="88" t="s">
        <v>264</v>
      </c>
      <c r="Y8" s="3" t="s">
        <v>187</v>
      </c>
      <c r="Z8" s="31">
        <v>1180.684737489999</v>
      </c>
      <c r="AA8" s="31">
        <v>18250.257533760596</v>
      </c>
      <c r="AD8" s="71">
        <f t="shared" si="12"/>
        <v>44939.000003356479</v>
      </c>
      <c r="AE8" s="14" t="str">
        <f t="shared" si="13"/>
        <v>-</v>
      </c>
      <c r="AF8" s="14" t="str">
        <f t="shared" si="14"/>
        <v>WALLET</v>
      </c>
      <c r="AG8" s="14" t="s">
        <v>187</v>
      </c>
      <c r="AH8" s="14">
        <v>1180.684737489999</v>
      </c>
      <c r="AI8" s="14">
        <v>18250.257533760596</v>
      </c>
      <c r="AJ8" s="14">
        <f t="shared" si="15"/>
        <v>15.457350259781084</v>
      </c>
      <c r="AK8" s="14">
        <f t="shared" si="16"/>
        <v>0</v>
      </c>
      <c r="AL8" s="14" t="str">
        <f t="shared" si="17"/>
        <v>COIN</v>
      </c>
      <c r="AM8" s="24"/>
      <c r="AN8" s="14">
        <f t="shared" si="18"/>
        <v>1</v>
      </c>
      <c r="AO8" s="14" t="str">
        <f t="shared" si="19"/>
        <v>AVAX</v>
      </c>
      <c r="AP8" s="45"/>
      <c r="AQ8" s="46"/>
      <c r="AR8" s="47"/>
      <c r="AS8" s="25">
        <f t="shared" si="2"/>
        <v>0</v>
      </c>
      <c r="AT8" s="26" t="str">
        <f t="shared" si="3"/>
        <v>COIN</v>
      </c>
      <c r="AU8" s="26" t="str">
        <f t="shared" si="20"/>
        <v>LONG</v>
      </c>
      <c r="AV8" s="26" t="str">
        <f t="shared" si="4"/>
        <v>COIN LONG</v>
      </c>
      <c r="AW8" s="26">
        <f t="shared" si="5"/>
        <v>18250.257533760596</v>
      </c>
      <c r="AX8" s="26">
        <f t="shared" si="6"/>
        <v>15.457350259781084</v>
      </c>
      <c r="AY8" s="26">
        <f t="shared" si="7"/>
        <v>0</v>
      </c>
      <c r="AZ8" s="26">
        <f t="shared" si="8"/>
        <v>0</v>
      </c>
      <c r="BA8" s="23" t="s">
        <v>268</v>
      </c>
      <c r="BB8" t="str">
        <f t="shared" si="21"/>
        <v>AVAX</v>
      </c>
    </row>
    <row r="9" spans="1:54" x14ac:dyDescent="0.25">
      <c r="A9">
        <v>50</v>
      </c>
      <c r="B9" s="71">
        <v>44939.000003356479</v>
      </c>
      <c r="C9" s="14" t="s">
        <v>11</v>
      </c>
      <c r="D9" s="23" t="s">
        <v>83</v>
      </c>
      <c r="E9" s="23" t="s">
        <v>87</v>
      </c>
      <c r="F9" s="23">
        <v>36.319834</v>
      </c>
      <c r="G9" s="23">
        <v>10453.2962784585</v>
      </c>
      <c r="H9" s="23">
        <v>287.81233632451398</v>
      </c>
      <c r="I9" s="23">
        <v>0</v>
      </c>
      <c r="J9" s="23" t="s">
        <v>85</v>
      </c>
      <c r="K9" s="24">
        <v>44939.000003356479</v>
      </c>
      <c r="L9" s="23">
        <v>1</v>
      </c>
      <c r="M9" s="23" t="s">
        <v>87</v>
      </c>
      <c r="N9" s="25">
        <v>0</v>
      </c>
      <c r="O9" s="26" t="str">
        <f t="shared" si="0"/>
        <v>COIN</v>
      </c>
      <c r="P9" s="26" t="str">
        <f t="shared" si="9"/>
        <v>LONG</v>
      </c>
      <c r="Q9" s="26" t="str">
        <f t="shared" si="10"/>
        <v>COIN LONG</v>
      </c>
      <c r="R9" s="26">
        <v>0</v>
      </c>
      <c r="S9" s="26">
        <v>0</v>
      </c>
      <c r="T9" s="26">
        <v>0</v>
      </c>
      <c r="U9" s="26">
        <v>0</v>
      </c>
      <c r="V9" s="23" t="str">
        <f t="shared" si="1"/>
        <v>BINE</v>
      </c>
      <c r="W9" t="str">
        <f t="shared" si="11"/>
        <v>BNB COIN LONG</v>
      </c>
      <c r="X9" s="88" t="s">
        <v>264</v>
      </c>
      <c r="Y9" s="3" t="s">
        <v>124</v>
      </c>
      <c r="Z9" s="31">
        <v>-598.57559033000143</v>
      </c>
      <c r="AA9" s="31">
        <v>-122.57272702780028</v>
      </c>
      <c r="AD9" s="71">
        <f t="shared" si="12"/>
        <v>44939.000003356479</v>
      </c>
      <c r="AE9" s="14" t="str">
        <f t="shared" si="13"/>
        <v>-</v>
      </c>
      <c r="AF9" s="14" t="str">
        <f t="shared" si="14"/>
        <v>WALLET</v>
      </c>
      <c r="AG9" s="14" t="s">
        <v>124</v>
      </c>
      <c r="AH9" s="14">
        <v>-598.57559033000143</v>
      </c>
      <c r="AI9" s="14">
        <v>-122.57272702780028</v>
      </c>
      <c r="AJ9" s="14">
        <f t="shared" si="15"/>
        <v>0.20477401519200703</v>
      </c>
      <c r="AK9" s="14">
        <f t="shared" si="16"/>
        <v>0</v>
      </c>
      <c r="AL9" s="14" t="str">
        <f t="shared" si="17"/>
        <v>COIN</v>
      </c>
      <c r="AM9" s="24"/>
      <c r="AN9" s="14">
        <f t="shared" si="18"/>
        <v>1</v>
      </c>
      <c r="AO9" s="14" t="str">
        <f t="shared" si="19"/>
        <v>BAT</v>
      </c>
      <c r="AP9" s="45"/>
      <c r="AQ9" s="46"/>
      <c r="AR9" s="47"/>
      <c r="AS9" s="25">
        <f t="shared" si="2"/>
        <v>0</v>
      </c>
      <c r="AT9" s="26" t="str">
        <f t="shared" si="3"/>
        <v>COIN</v>
      </c>
      <c r="AU9" s="26" t="str">
        <f t="shared" si="20"/>
        <v>SHORT</v>
      </c>
      <c r="AV9" s="26" t="str">
        <f t="shared" si="4"/>
        <v>COIN SHORT</v>
      </c>
      <c r="AW9" s="26">
        <f t="shared" si="5"/>
        <v>-122.57272702780028</v>
      </c>
      <c r="AX9" s="26">
        <f t="shared" si="6"/>
        <v>0.20477401519200703</v>
      </c>
      <c r="AY9" s="26">
        <f t="shared" si="7"/>
        <v>0</v>
      </c>
      <c r="AZ9" s="26">
        <f t="shared" si="8"/>
        <v>0</v>
      </c>
      <c r="BA9" s="23" t="s">
        <v>268</v>
      </c>
      <c r="BB9" t="str">
        <f t="shared" si="21"/>
        <v>BAT</v>
      </c>
    </row>
    <row r="10" spans="1:54" x14ac:dyDescent="0.25">
      <c r="A10">
        <v>51</v>
      </c>
      <c r="B10" s="71">
        <v>44939.000003356479</v>
      </c>
      <c r="C10" s="14" t="s">
        <v>11</v>
      </c>
      <c r="D10" s="23" t="s">
        <v>83</v>
      </c>
      <c r="E10" s="23" t="s">
        <v>14</v>
      </c>
      <c r="F10" s="23">
        <v>54.877967439999999</v>
      </c>
      <c r="G10" s="23">
        <v>1035524.63890307</v>
      </c>
      <c r="H10" s="23">
        <v>18869.5880552655</v>
      </c>
      <c r="I10" s="23">
        <v>0</v>
      </c>
      <c r="J10" s="23" t="s">
        <v>85</v>
      </c>
      <c r="K10" s="24">
        <v>44939.000003356479</v>
      </c>
      <c r="L10" s="23">
        <v>1</v>
      </c>
      <c r="M10" s="23" t="s">
        <v>14</v>
      </c>
      <c r="N10" s="25">
        <v>0</v>
      </c>
      <c r="O10" s="26" t="str">
        <f t="shared" si="0"/>
        <v>COIN</v>
      </c>
      <c r="P10" s="26" t="str">
        <f t="shared" si="9"/>
        <v>LONG</v>
      </c>
      <c r="Q10" s="26" t="str">
        <f t="shared" si="10"/>
        <v>COIN LONG</v>
      </c>
      <c r="R10" s="26">
        <v>0</v>
      </c>
      <c r="S10" s="26">
        <v>0</v>
      </c>
      <c r="T10" s="26">
        <v>0</v>
      </c>
      <c r="U10" s="26">
        <v>0</v>
      </c>
      <c r="V10" s="23" t="str">
        <f t="shared" si="1"/>
        <v>BINE</v>
      </c>
      <c r="W10" t="str">
        <f t="shared" si="11"/>
        <v>BTC COIN LONG</v>
      </c>
      <c r="X10" s="88" t="s">
        <v>264</v>
      </c>
      <c r="Y10" s="3" t="s">
        <v>20</v>
      </c>
      <c r="Z10" s="31">
        <v>6367.6423283900012</v>
      </c>
      <c r="AA10" s="31">
        <v>762273.43132788339</v>
      </c>
      <c r="AD10" s="71">
        <f t="shared" si="12"/>
        <v>44939.000003356479</v>
      </c>
      <c r="AE10" s="14" t="str">
        <f t="shared" si="13"/>
        <v>-</v>
      </c>
      <c r="AF10" s="14" t="str">
        <f t="shared" si="14"/>
        <v>WALLET</v>
      </c>
      <c r="AG10" s="14" t="s">
        <v>20</v>
      </c>
      <c r="AH10" s="14">
        <v>6367.6423283900012</v>
      </c>
      <c r="AI10" s="14">
        <v>762273.43132788339</v>
      </c>
      <c r="AJ10" s="14">
        <f t="shared" si="15"/>
        <v>119.71046613741213</v>
      </c>
      <c r="AK10" s="14">
        <f t="shared" si="16"/>
        <v>0</v>
      </c>
      <c r="AL10" s="14" t="str">
        <f t="shared" si="17"/>
        <v>COIN</v>
      </c>
      <c r="AM10" s="24"/>
      <c r="AN10" s="14">
        <f t="shared" si="18"/>
        <v>1</v>
      </c>
      <c r="AO10" s="14" t="str">
        <f t="shared" si="19"/>
        <v>BCH</v>
      </c>
      <c r="AP10" s="45"/>
      <c r="AQ10" s="46"/>
      <c r="AR10" s="47"/>
      <c r="AS10" s="25">
        <f t="shared" si="2"/>
        <v>0</v>
      </c>
      <c r="AT10" s="26" t="str">
        <f t="shared" si="3"/>
        <v>COIN</v>
      </c>
      <c r="AU10" s="26" t="str">
        <f t="shared" si="20"/>
        <v>LONG</v>
      </c>
      <c r="AV10" s="26" t="str">
        <f t="shared" si="4"/>
        <v>COIN LONG</v>
      </c>
      <c r="AW10" s="26">
        <f t="shared" si="5"/>
        <v>762273.43132788339</v>
      </c>
      <c r="AX10" s="26">
        <f t="shared" si="6"/>
        <v>119.71046613741213</v>
      </c>
      <c r="AY10" s="26">
        <f t="shared" si="7"/>
        <v>0</v>
      </c>
      <c r="AZ10" s="26">
        <f t="shared" si="8"/>
        <v>0</v>
      </c>
      <c r="BA10" s="23" t="s">
        <v>268</v>
      </c>
      <c r="BB10" t="str">
        <f t="shared" si="21"/>
        <v>BCH</v>
      </c>
    </row>
    <row r="11" spans="1:54" x14ac:dyDescent="0.25">
      <c r="A11">
        <v>52</v>
      </c>
      <c r="B11" s="71">
        <v>44939.000003356479</v>
      </c>
      <c r="C11" s="14" t="s">
        <v>11</v>
      </c>
      <c r="D11" s="23" t="s">
        <v>83</v>
      </c>
      <c r="E11" s="23" t="s">
        <v>88</v>
      </c>
      <c r="F11" s="23">
        <v>926.54662797000003</v>
      </c>
      <c r="G11" s="23">
        <v>926.84225655627404</v>
      </c>
      <c r="H11" s="23">
        <v>1.00031906498534</v>
      </c>
      <c r="I11" s="23">
        <v>0</v>
      </c>
      <c r="J11" s="23" t="s">
        <v>85</v>
      </c>
      <c r="K11" s="24">
        <v>44939.000003356479</v>
      </c>
      <c r="L11" s="23">
        <v>1</v>
      </c>
      <c r="M11" s="23" t="s">
        <v>88</v>
      </c>
      <c r="N11" s="25">
        <v>0</v>
      </c>
      <c r="O11" s="26" t="str">
        <f t="shared" si="0"/>
        <v>COIN</v>
      </c>
      <c r="P11" s="26" t="str">
        <f t="shared" si="9"/>
        <v>LONG</v>
      </c>
      <c r="Q11" s="26" t="str">
        <f t="shared" si="10"/>
        <v>COIN LONG</v>
      </c>
      <c r="R11" s="26">
        <v>0</v>
      </c>
      <c r="S11" s="26">
        <v>0</v>
      </c>
      <c r="T11" s="26">
        <v>0</v>
      </c>
      <c r="U11" s="26">
        <v>0</v>
      </c>
      <c r="V11" s="23" t="str">
        <f t="shared" si="1"/>
        <v>BINE</v>
      </c>
      <c r="W11" t="str">
        <f t="shared" si="11"/>
        <v>BUSD COIN LONG</v>
      </c>
      <c r="X11" s="88" t="s">
        <v>264</v>
      </c>
      <c r="Y11" s="3" t="s">
        <v>125</v>
      </c>
      <c r="Z11" s="31">
        <v>2.5033500000000001E-3</v>
      </c>
      <c r="AA11" s="31">
        <v>1.13535741150493E-4</v>
      </c>
      <c r="AD11" s="71">
        <f t="shared" si="12"/>
        <v>44939.000003356479</v>
      </c>
      <c r="AE11" s="14" t="str">
        <f t="shared" si="13"/>
        <v>-</v>
      </c>
      <c r="AF11" s="14" t="str">
        <f t="shared" si="14"/>
        <v>WALLET</v>
      </c>
      <c r="AG11" s="14" t="s">
        <v>125</v>
      </c>
      <c r="AH11" s="14">
        <v>2.5033500000000001E-3</v>
      </c>
      <c r="AI11" s="14">
        <v>1.13535741150493E-4</v>
      </c>
      <c r="AJ11" s="14">
        <f t="shared" si="15"/>
        <v>4.5353522739725968E-2</v>
      </c>
      <c r="AK11" s="14">
        <f t="shared" si="16"/>
        <v>0</v>
      </c>
      <c r="AL11" s="14" t="str">
        <f t="shared" si="17"/>
        <v>COIN</v>
      </c>
      <c r="AM11" s="24"/>
      <c r="AN11" s="14">
        <f t="shared" si="18"/>
        <v>1</v>
      </c>
      <c r="AO11" s="14" t="str">
        <f t="shared" si="19"/>
        <v>BHD</v>
      </c>
      <c r="AP11" s="45"/>
      <c r="AQ11" s="46"/>
      <c r="AR11" s="47"/>
      <c r="AS11" s="25">
        <f t="shared" si="2"/>
        <v>0</v>
      </c>
      <c r="AT11" s="26" t="str">
        <f t="shared" si="3"/>
        <v>COIN</v>
      </c>
      <c r="AU11" s="26" t="str">
        <f t="shared" si="20"/>
        <v>LONG</v>
      </c>
      <c r="AV11" s="26" t="str">
        <f t="shared" si="4"/>
        <v>COIN LONG</v>
      </c>
      <c r="AW11" s="26">
        <f t="shared" si="5"/>
        <v>1.13535741150493E-4</v>
      </c>
      <c r="AX11" s="26">
        <f t="shared" si="6"/>
        <v>4.5353522739725968E-2</v>
      </c>
      <c r="AY11" s="26">
        <f t="shared" si="7"/>
        <v>0</v>
      </c>
      <c r="AZ11" s="26">
        <f t="shared" si="8"/>
        <v>0</v>
      </c>
      <c r="BA11" s="23" t="s">
        <v>268</v>
      </c>
      <c r="BB11" t="str">
        <f t="shared" si="21"/>
        <v>BHD</v>
      </c>
    </row>
    <row r="12" spans="1:54" x14ac:dyDescent="0.25">
      <c r="A12">
        <v>53</v>
      </c>
      <c r="B12" s="71">
        <v>44939.000003356479</v>
      </c>
      <c r="C12" s="14" t="s">
        <v>11</v>
      </c>
      <c r="D12" s="23" t="s">
        <v>83</v>
      </c>
      <c r="E12" s="23" t="s">
        <v>31</v>
      </c>
      <c r="F12" s="23">
        <v>2144.7124639100002</v>
      </c>
      <c r="G12" s="23">
        <v>80869.425103363305</v>
      </c>
      <c r="H12" s="23">
        <v>37.706418209521303</v>
      </c>
      <c r="I12" s="23">
        <v>0</v>
      </c>
      <c r="J12" s="23" t="s">
        <v>85</v>
      </c>
      <c r="K12" s="24">
        <v>44939.000003356479</v>
      </c>
      <c r="L12" s="23">
        <v>1</v>
      </c>
      <c r="M12" s="23" t="s">
        <v>31</v>
      </c>
      <c r="N12" s="25">
        <v>0</v>
      </c>
      <c r="O12" s="26" t="str">
        <f t="shared" si="0"/>
        <v>COIN</v>
      </c>
      <c r="P12" s="26" t="str">
        <f t="shared" si="9"/>
        <v>LONG</v>
      </c>
      <c r="Q12" s="26" t="str">
        <f t="shared" si="10"/>
        <v>COIN LONG</v>
      </c>
      <c r="R12" s="26">
        <v>0</v>
      </c>
      <c r="S12" s="26">
        <v>0</v>
      </c>
      <c r="T12" s="26">
        <v>0</v>
      </c>
      <c r="U12" s="26">
        <v>0</v>
      </c>
      <c r="V12" s="23" t="str">
        <f t="shared" si="1"/>
        <v>BINE</v>
      </c>
      <c r="W12" t="str">
        <f t="shared" si="11"/>
        <v>COMP COIN LONG</v>
      </c>
      <c r="X12" s="88" t="s">
        <v>264</v>
      </c>
      <c r="Y12" s="3" t="s">
        <v>126</v>
      </c>
      <c r="Z12" s="31">
        <v>115.29838952</v>
      </c>
      <c r="AA12" s="31">
        <v>6.7795787076243297</v>
      </c>
      <c r="AD12" s="71">
        <f t="shared" si="12"/>
        <v>44939.000003356479</v>
      </c>
      <c r="AE12" s="14" t="str">
        <f t="shared" si="13"/>
        <v>-</v>
      </c>
      <c r="AF12" s="14" t="str">
        <f t="shared" si="14"/>
        <v>WALLET</v>
      </c>
      <c r="AG12" s="14" t="s">
        <v>126</v>
      </c>
      <c r="AH12" s="14">
        <v>115.29838952</v>
      </c>
      <c r="AI12" s="14">
        <v>6.7795787076243297</v>
      </c>
      <c r="AJ12" s="14">
        <f t="shared" si="15"/>
        <v>5.8800289716521355E-2</v>
      </c>
      <c r="AK12" s="14">
        <f t="shared" si="16"/>
        <v>0</v>
      </c>
      <c r="AL12" s="14" t="str">
        <f t="shared" si="17"/>
        <v>COIN</v>
      </c>
      <c r="AM12" s="24"/>
      <c r="AN12" s="14">
        <f t="shared" si="18"/>
        <v>1</v>
      </c>
      <c r="AO12" s="14" t="str">
        <f t="shared" si="19"/>
        <v>BLZ</v>
      </c>
      <c r="AP12" s="45"/>
      <c r="AQ12" s="46"/>
      <c r="AR12" s="47"/>
      <c r="AS12" s="25">
        <f t="shared" si="2"/>
        <v>0</v>
      </c>
      <c r="AT12" s="26" t="str">
        <f t="shared" si="3"/>
        <v>COIN</v>
      </c>
      <c r="AU12" s="26" t="str">
        <f t="shared" si="20"/>
        <v>LONG</v>
      </c>
      <c r="AV12" s="26" t="str">
        <f t="shared" si="4"/>
        <v>COIN LONG</v>
      </c>
      <c r="AW12" s="26">
        <f t="shared" si="5"/>
        <v>6.7795787076243297</v>
      </c>
      <c r="AX12" s="26">
        <f t="shared" si="6"/>
        <v>5.8800289716521355E-2</v>
      </c>
      <c r="AY12" s="26">
        <f t="shared" si="7"/>
        <v>0</v>
      </c>
      <c r="AZ12" s="26">
        <f t="shared" si="8"/>
        <v>0</v>
      </c>
      <c r="BA12" s="23" t="s">
        <v>268</v>
      </c>
      <c r="BB12" t="str">
        <f t="shared" si="21"/>
        <v>BLZ</v>
      </c>
    </row>
    <row r="13" spans="1:54" x14ac:dyDescent="0.25">
      <c r="A13">
        <v>54</v>
      </c>
      <c r="B13" s="71">
        <v>44939.000003356479</v>
      </c>
      <c r="C13" s="14" t="s">
        <v>11</v>
      </c>
      <c r="D13" s="23" t="s">
        <v>83</v>
      </c>
      <c r="E13" s="23" t="s">
        <v>188</v>
      </c>
      <c r="F13" s="23">
        <v>1.5637979999999999E-2</v>
      </c>
      <c r="G13" s="23">
        <v>1.0776384243842E-2</v>
      </c>
      <c r="H13" s="23">
        <v>0.68911612905516495</v>
      </c>
      <c r="I13" s="23">
        <v>0</v>
      </c>
      <c r="J13" s="23" t="s">
        <v>85</v>
      </c>
      <c r="K13" s="24">
        <v>44939.000003356479</v>
      </c>
      <c r="L13" s="23">
        <v>1</v>
      </c>
      <c r="M13" s="23" t="s">
        <v>188</v>
      </c>
      <c r="N13" s="25">
        <v>0</v>
      </c>
      <c r="O13" s="26" t="str">
        <f t="shared" si="0"/>
        <v>COIN</v>
      </c>
      <c r="P13" s="26" t="str">
        <f t="shared" si="9"/>
        <v>LONG</v>
      </c>
      <c r="Q13" s="26" t="str">
        <f t="shared" si="10"/>
        <v>COIN LONG</v>
      </c>
      <c r="R13" s="26">
        <v>0</v>
      </c>
      <c r="S13" s="26">
        <v>0</v>
      </c>
      <c r="T13" s="26">
        <v>0</v>
      </c>
      <c r="U13" s="26">
        <v>0</v>
      </c>
      <c r="V13" s="23" t="str">
        <f t="shared" si="1"/>
        <v>BINE</v>
      </c>
      <c r="W13" t="str">
        <f t="shared" si="11"/>
        <v>CRV COIN LONG</v>
      </c>
      <c r="X13" s="88" t="s">
        <v>264</v>
      </c>
      <c r="Y13" s="3" t="s">
        <v>87</v>
      </c>
      <c r="Z13" s="31">
        <v>2579.5538582299996</v>
      </c>
      <c r="AA13" s="31">
        <v>742427.4226120899</v>
      </c>
      <c r="AD13" s="71">
        <f t="shared" si="12"/>
        <v>44939.000003356479</v>
      </c>
      <c r="AE13" s="14" t="str">
        <f t="shared" si="13"/>
        <v>-</v>
      </c>
      <c r="AF13" s="14" t="str">
        <f t="shared" si="14"/>
        <v>WALLET</v>
      </c>
      <c r="AG13" s="14" t="s">
        <v>87</v>
      </c>
      <c r="AH13" s="14">
        <v>2579.5538582299996</v>
      </c>
      <c r="AI13" s="14">
        <v>742427.4226120899</v>
      </c>
      <c r="AJ13" s="14">
        <f t="shared" si="15"/>
        <v>287.81233632451381</v>
      </c>
      <c r="AK13" s="14">
        <f t="shared" si="16"/>
        <v>0</v>
      </c>
      <c r="AL13" s="14" t="str">
        <f t="shared" si="17"/>
        <v>COIN</v>
      </c>
      <c r="AM13" s="24"/>
      <c r="AN13" s="14">
        <f t="shared" si="18"/>
        <v>1</v>
      </c>
      <c r="AO13" s="14" t="str">
        <f t="shared" si="19"/>
        <v>BNB</v>
      </c>
      <c r="AP13" s="45"/>
      <c r="AQ13" s="46"/>
      <c r="AR13" s="47"/>
      <c r="AS13" s="25">
        <f t="shared" si="2"/>
        <v>0</v>
      </c>
      <c r="AT13" s="26" t="str">
        <f t="shared" si="3"/>
        <v>COIN</v>
      </c>
      <c r="AU13" s="26" t="str">
        <f t="shared" si="20"/>
        <v>LONG</v>
      </c>
      <c r="AV13" s="26" t="str">
        <f t="shared" si="4"/>
        <v>COIN LONG</v>
      </c>
      <c r="AW13" s="26">
        <f t="shared" si="5"/>
        <v>742427.4226120899</v>
      </c>
      <c r="AX13" s="26">
        <f t="shared" si="6"/>
        <v>287.81233632451381</v>
      </c>
      <c r="AY13" s="26">
        <f t="shared" si="7"/>
        <v>0</v>
      </c>
      <c r="AZ13" s="26">
        <f t="shared" si="8"/>
        <v>0</v>
      </c>
      <c r="BA13" s="23" t="s">
        <v>268</v>
      </c>
      <c r="BB13" t="str">
        <f t="shared" si="21"/>
        <v>BNB</v>
      </c>
    </row>
    <row r="14" spans="1:54" x14ac:dyDescent="0.25">
      <c r="A14">
        <v>55</v>
      </c>
      <c r="B14" s="71">
        <v>44939.000003356479</v>
      </c>
      <c r="C14" s="14" t="s">
        <v>11</v>
      </c>
      <c r="D14" s="23" t="s">
        <v>83</v>
      </c>
      <c r="E14" s="23" t="s">
        <v>132</v>
      </c>
      <c r="F14" s="23">
        <v>897.22841947999996</v>
      </c>
      <c r="G14" s="23">
        <v>44284.042928966599</v>
      </c>
      <c r="H14" s="23">
        <v>49.356487119112799</v>
      </c>
      <c r="I14" s="23">
        <v>0</v>
      </c>
      <c r="J14" s="23" t="s">
        <v>85</v>
      </c>
      <c r="K14" s="24">
        <v>44939.000003356479</v>
      </c>
      <c r="L14" s="23">
        <v>1</v>
      </c>
      <c r="M14" s="23" t="s">
        <v>132</v>
      </c>
      <c r="N14" s="25">
        <v>0</v>
      </c>
      <c r="O14" s="26" t="str">
        <f t="shared" si="0"/>
        <v>COIN</v>
      </c>
      <c r="P14" s="26" t="str">
        <f t="shared" si="9"/>
        <v>LONG</v>
      </c>
      <c r="Q14" s="26" t="str">
        <f t="shared" si="10"/>
        <v>COIN LONG</v>
      </c>
      <c r="R14" s="26">
        <v>0</v>
      </c>
      <c r="S14" s="26">
        <v>0</v>
      </c>
      <c r="T14" s="26">
        <v>0</v>
      </c>
      <c r="U14" s="26">
        <v>0</v>
      </c>
      <c r="V14" s="23" t="str">
        <f t="shared" si="1"/>
        <v>BINE</v>
      </c>
      <c r="W14" t="str">
        <f t="shared" si="11"/>
        <v>DASH COIN LONG</v>
      </c>
      <c r="X14" s="88" t="s">
        <v>264</v>
      </c>
      <c r="Y14" s="3" t="s">
        <v>127</v>
      </c>
      <c r="Z14" s="31">
        <v>14.7502</v>
      </c>
      <c r="AA14" s="31">
        <v>2.82684210675981</v>
      </c>
      <c r="AD14" s="71">
        <f t="shared" si="12"/>
        <v>44939.000003356479</v>
      </c>
      <c r="AE14" s="14" t="str">
        <f t="shared" si="13"/>
        <v>-</v>
      </c>
      <c r="AF14" s="14" t="str">
        <f t="shared" si="14"/>
        <v>WALLET</v>
      </c>
      <c r="AG14" s="14" t="s">
        <v>127</v>
      </c>
      <c r="AH14" s="14">
        <v>14.7502</v>
      </c>
      <c r="AI14" s="14">
        <v>2.82684210675981</v>
      </c>
      <c r="AJ14" s="14">
        <f t="shared" si="15"/>
        <v>0.19164771370963174</v>
      </c>
      <c r="AK14" s="14">
        <f t="shared" si="16"/>
        <v>0</v>
      </c>
      <c r="AL14" s="14" t="str">
        <f t="shared" si="17"/>
        <v>COIN</v>
      </c>
      <c r="AM14" s="24"/>
      <c r="AN14" s="14">
        <f t="shared" si="18"/>
        <v>1</v>
      </c>
      <c r="AO14" s="14" t="str">
        <f t="shared" si="19"/>
        <v>BOBA</v>
      </c>
      <c r="AP14" s="45"/>
      <c r="AQ14" s="46"/>
      <c r="AR14" s="47"/>
      <c r="AS14" s="25">
        <f t="shared" si="2"/>
        <v>0</v>
      </c>
      <c r="AT14" s="26" t="str">
        <f t="shared" si="3"/>
        <v>COIN</v>
      </c>
      <c r="AU14" s="26" t="str">
        <f t="shared" si="20"/>
        <v>LONG</v>
      </c>
      <c r="AV14" s="26" t="str">
        <f t="shared" si="4"/>
        <v>COIN LONG</v>
      </c>
      <c r="AW14" s="26">
        <f t="shared" si="5"/>
        <v>2.82684210675981</v>
      </c>
      <c r="AX14" s="26">
        <f t="shared" si="6"/>
        <v>0.19164771370963174</v>
      </c>
      <c r="AY14" s="26">
        <f t="shared" si="7"/>
        <v>0</v>
      </c>
      <c r="AZ14" s="26">
        <f t="shared" si="8"/>
        <v>0</v>
      </c>
      <c r="BA14" s="23" t="s">
        <v>268</v>
      </c>
      <c r="BB14" t="str">
        <f t="shared" si="21"/>
        <v>BOBA</v>
      </c>
    </row>
    <row r="15" spans="1:54" x14ac:dyDescent="0.25">
      <c r="A15">
        <v>56</v>
      </c>
      <c r="B15" s="71">
        <v>44939.000003356479</v>
      </c>
      <c r="C15" s="14" t="s">
        <v>11</v>
      </c>
      <c r="D15" s="23" t="s">
        <v>83</v>
      </c>
      <c r="E15" s="23" t="s">
        <v>190</v>
      </c>
      <c r="F15" s="23">
        <v>572364.17811884999</v>
      </c>
      <c r="G15" s="23">
        <v>45952.679301803502</v>
      </c>
      <c r="H15" s="23">
        <v>8.0285736002614697E-2</v>
      </c>
      <c r="I15" s="23">
        <v>0</v>
      </c>
      <c r="J15" s="23" t="s">
        <v>85</v>
      </c>
      <c r="K15" s="24">
        <v>44939.000003356479</v>
      </c>
      <c r="L15" s="23">
        <v>1</v>
      </c>
      <c r="M15" s="23" t="s">
        <v>190</v>
      </c>
      <c r="N15" s="25">
        <v>0</v>
      </c>
      <c r="O15" s="26" t="str">
        <f t="shared" si="0"/>
        <v>COIN</v>
      </c>
      <c r="P15" s="26" t="str">
        <f t="shared" si="9"/>
        <v>LONG</v>
      </c>
      <c r="Q15" s="26" t="str">
        <f t="shared" si="10"/>
        <v>COIN LONG</v>
      </c>
      <c r="R15" s="26">
        <v>0</v>
      </c>
      <c r="S15" s="26">
        <v>0</v>
      </c>
      <c r="T15" s="26">
        <v>0</v>
      </c>
      <c r="U15" s="26">
        <v>0</v>
      </c>
      <c r="V15" s="23" t="str">
        <f t="shared" si="1"/>
        <v>BINE</v>
      </c>
      <c r="W15" t="str">
        <f t="shared" si="11"/>
        <v>DOGE COIN LONG</v>
      </c>
      <c r="X15" s="88" t="s">
        <v>264</v>
      </c>
      <c r="Y15" s="3" t="s">
        <v>113</v>
      </c>
      <c r="Z15" s="31">
        <v>0.58628509000000018</v>
      </c>
      <c r="AA15" s="31">
        <v>24.710735750667347</v>
      </c>
      <c r="AD15" s="71">
        <f t="shared" si="12"/>
        <v>44939.000003356479</v>
      </c>
      <c r="AE15" s="14" t="str">
        <f t="shared" si="13"/>
        <v>-</v>
      </c>
      <c r="AF15" s="14" t="str">
        <f t="shared" si="14"/>
        <v>WALLET</v>
      </c>
      <c r="AG15" s="14" t="s">
        <v>113</v>
      </c>
      <c r="AH15" s="14">
        <v>0.58628509000000018</v>
      </c>
      <c r="AI15" s="14">
        <v>24.710735750667347</v>
      </c>
      <c r="AJ15" s="14">
        <f t="shared" si="15"/>
        <v>42.147985974992714</v>
      </c>
      <c r="AK15" s="14">
        <f t="shared" si="16"/>
        <v>0</v>
      </c>
      <c r="AL15" s="14" t="str">
        <f t="shared" si="17"/>
        <v>COIN</v>
      </c>
      <c r="AM15" s="24"/>
      <c r="AN15" s="14">
        <f t="shared" si="18"/>
        <v>1</v>
      </c>
      <c r="AO15" s="14" t="str">
        <f t="shared" si="19"/>
        <v>BSV</v>
      </c>
      <c r="AP15" s="45"/>
      <c r="AQ15" s="46"/>
      <c r="AR15" s="47"/>
      <c r="AS15" s="25">
        <f t="shared" si="2"/>
        <v>0</v>
      </c>
      <c r="AT15" s="26" t="str">
        <f t="shared" si="3"/>
        <v>COIN</v>
      </c>
      <c r="AU15" s="26" t="str">
        <f t="shared" si="20"/>
        <v>LONG</v>
      </c>
      <c r="AV15" s="26" t="str">
        <f t="shared" si="4"/>
        <v>COIN LONG</v>
      </c>
      <c r="AW15" s="26">
        <f t="shared" si="5"/>
        <v>24.710735750667347</v>
      </c>
      <c r="AX15" s="26">
        <f t="shared" si="6"/>
        <v>42.147985974992714</v>
      </c>
      <c r="AY15" s="26">
        <f t="shared" si="7"/>
        <v>0</v>
      </c>
      <c r="AZ15" s="26">
        <f t="shared" si="8"/>
        <v>0</v>
      </c>
      <c r="BA15" s="23" t="s">
        <v>268</v>
      </c>
      <c r="BB15" t="str">
        <f t="shared" si="21"/>
        <v>BSV</v>
      </c>
    </row>
    <row r="16" spans="1:54" x14ac:dyDescent="0.25">
      <c r="A16">
        <v>57</v>
      </c>
      <c r="B16" s="71">
        <v>44939.000003356479</v>
      </c>
      <c r="C16" s="14" t="s">
        <v>11</v>
      </c>
      <c r="D16" s="23" t="s">
        <v>83</v>
      </c>
      <c r="E16" s="23" t="s">
        <v>22</v>
      </c>
      <c r="F16" s="23">
        <v>4160.7489116799998</v>
      </c>
      <c r="G16" s="23">
        <v>21758.5446436567</v>
      </c>
      <c r="H16" s="23">
        <v>5.2294779390740098</v>
      </c>
      <c r="I16" s="23">
        <v>0</v>
      </c>
      <c r="J16" s="23" t="s">
        <v>85</v>
      </c>
      <c r="K16" s="24">
        <v>44939.000003356479</v>
      </c>
      <c r="L16" s="23">
        <v>1</v>
      </c>
      <c r="M16" s="23" t="s">
        <v>22</v>
      </c>
      <c r="N16" s="25">
        <v>0</v>
      </c>
      <c r="O16" s="26" t="str">
        <f t="shared" si="0"/>
        <v>COIN</v>
      </c>
      <c r="P16" s="26" t="str">
        <f t="shared" si="9"/>
        <v>LONG</v>
      </c>
      <c r="Q16" s="26" t="str">
        <f t="shared" si="10"/>
        <v>COIN LONG</v>
      </c>
      <c r="R16" s="26">
        <v>0</v>
      </c>
      <c r="S16" s="26">
        <v>0</v>
      </c>
      <c r="T16" s="26">
        <v>0</v>
      </c>
      <c r="U16" s="26">
        <v>0</v>
      </c>
      <c r="V16" s="23" t="str">
        <f t="shared" si="1"/>
        <v>BINE</v>
      </c>
      <c r="W16" t="str">
        <f t="shared" si="11"/>
        <v>DOT COIN LONG</v>
      </c>
      <c r="X16" s="88" t="s">
        <v>264</v>
      </c>
      <c r="Y16" s="3" t="s">
        <v>14</v>
      </c>
      <c r="Z16" s="31">
        <v>69.266920300000294</v>
      </c>
      <c r="AA16" s="31">
        <v>1307038.2519176784</v>
      </c>
      <c r="AD16" s="71">
        <f t="shared" si="12"/>
        <v>44939.000003356479</v>
      </c>
      <c r="AE16" s="14" t="str">
        <f t="shared" si="13"/>
        <v>-</v>
      </c>
      <c r="AF16" s="14" t="str">
        <f t="shared" si="14"/>
        <v>WALLET</v>
      </c>
      <c r="AG16" s="14" t="s">
        <v>14</v>
      </c>
      <c r="AH16" s="14">
        <v>69.266920300000294</v>
      </c>
      <c r="AI16" s="14">
        <v>1307038.2519176784</v>
      </c>
      <c r="AJ16" s="14">
        <f t="shared" si="15"/>
        <v>18869.588055262113</v>
      </c>
      <c r="AK16" s="14">
        <f t="shared" si="16"/>
        <v>0</v>
      </c>
      <c r="AL16" s="14" t="str">
        <f t="shared" si="17"/>
        <v>COIN</v>
      </c>
      <c r="AM16" s="24"/>
      <c r="AN16" s="14">
        <f t="shared" si="18"/>
        <v>1</v>
      </c>
      <c r="AO16" s="14" t="str">
        <f t="shared" si="19"/>
        <v>BTC</v>
      </c>
      <c r="AP16" s="45"/>
      <c r="AQ16" s="46"/>
      <c r="AR16" s="47"/>
      <c r="AS16" s="25">
        <f t="shared" si="2"/>
        <v>0</v>
      </c>
      <c r="AT16" s="26" t="str">
        <f t="shared" si="3"/>
        <v>COIN</v>
      </c>
      <c r="AU16" s="26" t="str">
        <f t="shared" si="20"/>
        <v>LONG</v>
      </c>
      <c r="AV16" s="26" t="str">
        <f t="shared" si="4"/>
        <v>COIN LONG</v>
      </c>
      <c r="AW16" s="26">
        <f t="shared" si="5"/>
        <v>1307038.2519176784</v>
      </c>
      <c r="AX16" s="26">
        <f t="shared" si="6"/>
        <v>18869.588055262113</v>
      </c>
      <c r="AY16" s="26">
        <f t="shared" si="7"/>
        <v>0</v>
      </c>
      <c r="AZ16" s="26">
        <f t="shared" si="8"/>
        <v>0</v>
      </c>
      <c r="BA16" s="23" t="s">
        <v>268</v>
      </c>
      <c r="BB16" t="str">
        <f t="shared" si="21"/>
        <v>BTC</v>
      </c>
    </row>
    <row r="17" spans="1:54" x14ac:dyDescent="0.25">
      <c r="A17">
        <v>58</v>
      </c>
      <c r="B17" s="71">
        <v>44939.000003356479</v>
      </c>
      <c r="C17" s="14" t="s">
        <v>11</v>
      </c>
      <c r="D17" s="23" t="s">
        <v>83</v>
      </c>
      <c r="E17" s="23" t="s">
        <v>28</v>
      </c>
      <c r="F17" s="23">
        <v>46415.886590100003</v>
      </c>
      <c r="G17" s="23">
        <v>14114.894680797301</v>
      </c>
      <c r="H17" s="23">
        <v>0.304096198903759</v>
      </c>
      <c r="I17" s="23">
        <v>0</v>
      </c>
      <c r="J17" s="23" t="s">
        <v>85</v>
      </c>
      <c r="K17" s="24">
        <v>44939.000003356479</v>
      </c>
      <c r="L17" s="23">
        <v>1</v>
      </c>
      <c r="M17" s="23" t="s">
        <v>28</v>
      </c>
      <c r="N17" s="25">
        <v>0</v>
      </c>
      <c r="O17" s="26" t="str">
        <f t="shared" si="0"/>
        <v>COIN</v>
      </c>
      <c r="P17" s="26" t="str">
        <f t="shared" si="9"/>
        <v>LONG</v>
      </c>
      <c r="Q17" s="26" t="str">
        <f t="shared" si="10"/>
        <v>COIN LONG</v>
      </c>
      <c r="R17" s="26">
        <v>0</v>
      </c>
      <c r="S17" s="26">
        <v>0</v>
      </c>
      <c r="T17" s="26">
        <v>0</v>
      </c>
      <c r="U17" s="26">
        <v>0</v>
      </c>
      <c r="V17" s="23" t="str">
        <f t="shared" si="1"/>
        <v>BINE</v>
      </c>
      <c r="W17" t="str">
        <f t="shared" si="11"/>
        <v>ENJ COIN LONG</v>
      </c>
      <c r="X17" s="88" t="s">
        <v>264</v>
      </c>
      <c r="Y17" s="3" t="s">
        <v>128</v>
      </c>
      <c r="Z17" s="31">
        <v>0.33565571999999999</v>
      </c>
      <c r="AA17" s="31">
        <v>5.0099972829981999E-3</v>
      </c>
      <c r="AD17" s="71">
        <f t="shared" si="12"/>
        <v>44939.000003356479</v>
      </c>
      <c r="AE17" s="14" t="str">
        <f t="shared" si="13"/>
        <v>-</v>
      </c>
      <c r="AF17" s="14" t="str">
        <f t="shared" si="14"/>
        <v>WALLET</v>
      </c>
      <c r="AG17" s="14" t="s">
        <v>128</v>
      </c>
      <c r="AH17" s="14">
        <v>0.33565571999999999</v>
      </c>
      <c r="AI17" s="14">
        <v>5.0099972829981999E-3</v>
      </c>
      <c r="AJ17" s="14">
        <f t="shared" si="15"/>
        <v>1.4926000018704285E-2</v>
      </c>
      <c r="AK17" s="14">
        <f t="shared" si="16"/>
        <v>0</v>
      </c>
      <c r="AL17" s="14" t="str">
        <f t="shared" si="17"/>
        <v>COIN</v>
      </c>
      <c r="AM17" s="24"/>
      <c r="AN17" s="14">
        <f t="shared" si="18"/>
        <v>1</v>
      </c>
      <c r="AO17" s="14" t="str">
        <f t="shared" si="19"/>
        <v>BTM</v>
      </c>
      <c r="AP17" s="45"/>
      <c r="AQ17" s="46"/>
      <c r="AR17" s="47"/>
      <c r="AS17" s="25">
        <f t="shared" si="2"/>
        <v>0</v>
      </c>
      <c r="AT17" s="26" t="str">
        <f t="shared" si="3"/>
        <v>COIN</v>
      </c>
      <c r="AU17" s="26" t="str">
        <f t="shared" si="20"/>
        <v>LONG</v>
      </c>
      <c r="AV17" s="26" t="str">
        <f t="shared" si="4"/>
        <v>COIN LONG</v>
      </c>
      <c r="AW17" s="26">
        <f t="shared" si="5"/>
        <v>5.0099972829981999E-3</v>
      </c>
      <c r="AX17" s="26">
        <f t="shared" si="6"/>
        <v>1.4926000018704285E-2</v>
      </c>
      <c r="AY17" s="26">
        <f t="shared" si="7"/>
        <v>0</v>
      </c>
      <c r="AZ17" s="26">
        <f t="shared" si="8"/>
        <v>0</v>
      </c>
      <c r="BA17" s="23" t="s">
        <v>268</v>
      </c>
      <c r="BB17" t="str">
        <f t="shared" si="21"/>
        <v>BTM</v>
      </c>
    </row>
    <row r="18" spans="1:54" x14ac:dyDescent="0.25">
      <c r="A18">
        <v>59</v>
      </c>
      <c r="B18" s="71">
        <v>44939.000003356479</v>
      </c>
      <c r="C18" s="14" t="s">
        <v>11</v>
      </c>
      <c r="D18" s="23" t="s">
        <v>83</v>
      </c>
      <c r="E18" s="23" t="s">
        <v>23</v>
      </c>
      <c r="F18" s="23">
        <v>91912.112699999998</v>
      </c>
      <c r="G18" s="23">
        <v>91015.278128606806</v>
      </c>
      <c r="H18" s="23">
        <v>0.990242476806942</v>
      </c>
      <c r="I18" s="23">
        <v>0</v>
      </c>
      <c r="J18" s="23" t="s">
        <v>85</v>
      </c>
      <c r="K18" s="24">
        <v>44939.000003356479</v>
      </c>
      <c r="L18" s="23">
        <v>1</v>
      </c>
      <c r="M18" s="23" t="s">
        <v>23</v>
      </c>
      <c r="N18" s="25">
        <v>0</v>
      </c>
      <c r="O18" s="26" t="str">
        <f t="shared" si="0"/>
        <v>COIN</v>
      </c>
      <c r="P18" s="26" t="str">
        <f t="shared" si="9"/>
        <v>LONG</v>
      </c>
      <c r="Q18" s="26" t="str">
        <f t="shared" si="10"/>
        <v>COIN LONG</v>
      </c>
      <c r="R18" s="26">
        <v>0</v>
      </c>
      <c r="S18" s="26">
        <v>0</v>
      </c>
      <c r="T18" s="26">
        <v>0</v>
      </c>
      <c r="U18" s="26">
        <v>0</v>
      </c>
      <c r="V18" s="23" t="str">
        <f t="shared" si="1"/>
        <v>BINE</v>
      </c>
      <c r="W18" t="str">
        <f t="shared" si="11"/>
        <v>EOS COIN LONG</v>
      </c>
      <c r="X18" s="88" t="s">
        <v>264</v>
      </c>
      <c r="Y18" s="3" t="s">
        <v>129</v>
      </c>
      <c r="Z18" s="31">
        <v>1367501156.8785999</v>
      </c>
      <c r="AA18" s="31">
        <v>935.32266578065196</v>
      </c>
      <c r="AD18" s="71">
        <f t="shared" si="12"/>
        <v>44939.000003356479</v>
      </c>
      <c r="AE18" s="14" t="str">
        <f t="shared" si="13"/>
        <v>-</v>
      </c>
      <c r="AF18" s="14" t="str">
        <f t="shared" si="14"/>
        <v>WALLET</v>
      </c>
      <c r="AG18" s="14" t="s">
        <v>129</v>
      </c>
      <c r="AH18" s="14">
        <v>1367501156.8785999</v>
      </c>
      <c r="AI18" s="14">
        <v>935.32266578065196</v>
      </c>
      <c r="AJ18" s="14">
        <f t="shared" si="15"/>
        <v>6.839648076902398E-7</v>
      </c>
      <c r="AK18" s="14">
        <f t="shared" si="16"/>
        <v>0</v>
      </c>
      <c r="AL18" s="14" t="str">
        <f t="shared" si="17"/>
        <v>COIN</v>
      </c>
      <c r="AM18" s="24"/>
      <c r="AN18" s="14">
        <f t="shared" si="18"/>
        <v>1</v>
      </c>
      <c r="AO18" s="14" t="str">
        <f t="shared" si="19"/>
        <v>BTT</v>
      </c>
      <c r="AP18" s="45"/>
      <c r="AQ18" s="46"/>
      <c r="AR18" s="47"/>
      <c r="AS18" s="25">
        <f t="shared" si="2"/>
        <v>0</v>
      </c>
      <c r="AT18" s="26" t="str">
        <f t="shared" si="3"/>
        <v>COIN</v>
      </c>
      <c r="AU18" s="26" t="str">
        <f t="shared" si="20"/>
        <v>LONG</v>
      </c>
      <c r="AV18" s="26" t="str">
        <f t="shared" si="4"/>
        <v>COIN LONG</v>
      </c>
      <c r="AW18" s="26">
        <f t="shared" si="5"/>
        <v>935.32266578065196</v>
      </c>
      <c r="AX18" s="26">
        <f t="shared" si="6"/>
        <v>6.839648076902398E-7</v>
      </c>
      <c r="AY18" s="26">
        <f t="shared" si="7"/>
        <v>0</v>
      </c>
      <c r="AZ18" s="26">
        <f t="shared" si="8"/>
        <v>0</v>
      </c>
      <c r="BA18" s="23" t="s">
        <v>268</v>
      </c>
      <c r="BB18" t="str">
        <f t="shared" si="21"/>
        <v>BTT</v>
      </c>
    </row>
    <row r="19" spans="1:54" x14ac:dyDescent="0.25">
      <c r="A19">
        <v>60</v>
      </c>
      <c r="B19" s="71">
        <v>44939.000003356479</v>
      </c>
      <c r="C19" s="14" t="s">
        <v>11</v>
      </c>
      <c r="D19" s="23" t="s">
        <v>83</v>
      </c>
      <c r="E19" s="23" t="s">
        <v>15</v>
      </c>
      <c r="F19" s="23">
        <v>30.1417</v>
      </c>
      <c r="G19" s="23">
        <v>42739.0775820614</v>
      </c>
      <c r="H19" s="23">
        <v>1417.9385231112101</v>
      </c>
      <c r="I19" s="23">
        <v>0</v>
      </c>
      <c r="J19" s="23" t="s">
        <v>85</v>
      </c>
      <c r="K19" s="24">
        <v>44939.000003356479</v>
      </c>
      <c r="L19" s="23">
        <v>1</v>
      </c>
      <c r="M19" s="23" t="s">
        <v>15</v>
      </c>
      <c r="N19" s="25">
        <v>0</v>
      </c>
      <c r="O19" s="26" t="str">
        <f t="shared" si="0"/>
        <v>COIN</v>
      </c>
      <c r="P19" s="26" t="str">
        <f t="shared" si="9"/>
        <v>LONG</v>
      </c>
      <c r="Q19" s="26" t="str">
        <f t="shared" si="10"/>
        <v>COIN LONG</v>
      </c>
      <c r="R19" s="26">
        <v>0</v>
      </c>
      <c r="S19" s="26">
        <v>0</v>
      </c>
      <c r="T19" s="26">
        <v>0</v>
      </c>
      <c r="U19" s="26">
        <v>0</v>
      </c>
      <c r="V19" s="23" t="str">
        <f t="shared" si="1"/>
        <v>BINE</v>
      </c>
      <c r="W19" t="str">
        <f t="shared" si="11"/>
        <v>ETH COIN LONG</v>
      </c>
      <c r="X19" s="88" t="s">
        <v>264</v>
      </c>
      <c r="Y19" s="3" t="s">
        <v>88</v>
      </c>
      <c r="Z19" s="31">
        <v>17958248.750725169</v>
      </c>
      <c r="AA19" s="31">
        <v>17963978.599099595</v>
      </c>
      <c r="AD19" s="71">
        <f t="shared" si="12"/>
        <v>44939.000003356479</v>
      </c>
      <c r="AE19" s="14" t="str">
        <f t="shared" si="13"/>
        <v>-</v>
      </c>
      <c r="AF19" s="14" t="str">
        <f t="shared" si="14"/>
        <v>WALLET</v>
      </c>
      <c r="AG19" s="14" t="s">
        <v>88</v>
      </c>
      <c r="AH19" s="14">
        <v>17958248.750725169</v>
      </c>
      <c r="AI19" s="14">
        <v>17963978.599099595</v>
      </c>
      <c r="AJ19" s="14">
        <f t="shared" si="15"/>
        <v>1.0003190649853424</v>
      </c>
      <c r="AK19" s="14">
        <f t="shared" si="16"/>
        <v>0</v>
      </c>
      <c r="AL19" s="14" t="str">
        <f t="shared" si="17"/>
        <v>COIN</v>
      </c>
      <c r="AM19" s="24"/>
      <c r="AN19" s="14">
        <f t="shared" si="18"/>
        <v>1</v>
      </c>
      <c r="AO19" s="14" t="str">
        <f t="shared" si="19"/>
        <v>BUSD</v>
      </c>
      <c r="AP19" s="45"/>
      <c r="AQ19" s="46"/>
      <c r="AR19" s="47"/>
      <c r="AS19" s="25">
        <f t="shared" si="2"/>
        <v>0</v>
      </c>
      <c r="AT19" s="26" t="str">
        <f t="shared" si="3"/>
        <v>COIN</v>
      </c>
      <c r="AU19" s="26" t="str">
        <f t="shared" si="20"/>
        <v>LONG</v>
      </c>
      <c r="AV19" s="26" t="str">
        <f t="shared" si="4"/>
        <v>COIN LONG</v>
      </c>
      <c r="AW19" s="26">
        <f t="shared" si="5"/>
        <v>17963978.599099595</v>
      </c>
      <c r="AX19" s="26">
        <f t="shared" si="6"/>
        <v>1.0003190649853424</v>
      </c>
      <c r="AY19" s="26">
        <f t="shared" si="7"/>
        <v>0</v>
      </c>
      <c r="AZ19" s="26">
        <f t="shared" si="8"/>
        <v>0</v>
      </c>
      <c r="BA19" s="23" t="s">
        <v>268</v>
      </c>
      <c r="BB19" t="str">
        <f t="shared" si="21"/>
        <v>BUSD</v>
      </c>
    </row>
    <row r="20" spans="1:54" x14ac:dyDescent="0.25">
      <c r="A20">
        <v>61</v>
      </c>
      <c r="B20" s="71">
        <v>44939.000003356479</v>
      </c>
      <c r="C20" s="14" t="s">
        <v>11</v>
      </c>
      <c r="D20" s="23" t="s">
        <v>83</v>
      </c>
      <c r="E20" s="23" t="s">
        <v>107</v>
      </c>
      <c r="F20" s="23">
        <v>799777.3893865</v>
      </c>
      <c r="G20" s="23">
        <v>867934.41851001699</v>
      </c>
      <c r="H20" s="23">
        <v>1.0852200000000001</v>
      </c>
      <c r="I20" s="23">
        <v>0</v>
      </c>
      <c r="J20" s="23" t="s">
        <v>85</v>
      </c>
      <c r="K20" s="24">
        <v>44939.000003356479</v>
      </c>
      <c r="L20" s="23">
        <v>1</v>
      </c>
      <c r="M20" s="23" t="s">
        <v>107</v>
      </c>
      <c r="N20" s="25">
        <v>0</v>
      </c>
      <c r="O20" s="26" t="str">
        <f t="shared" si="0"/>
        <v>CASH</v>
      </c>
      <c r="P20" s="26" t="str">
        <f t="shared" si="9"/>
        <v>LONG</v>
      </c>
      <c r="Q20" s="26" t="str">
        <f t="shared" si="10"/>
        <v>CASH LONG</v>
      </c>
      <c r="R20" s="26">
        <v>0</v>
      </c>
      <c r="S20" s="26">
        <v>0</v>
      </c>
      <c r="T20" s="26">
        <v>0</v>
      </c>
      <c r="U20" s="26">
        <v>0</v>
      </c>
      <c r="V20" s="23" t="str">
        <f t="shared" si="1"/>
        <v>BINE</v>
      </c>
      <c r="W20" t="str">
        <f t="shared" si="11"/>
        <v>EUR CASH LONG</v>
      </c>
      <c r="X20" s="88" t="s">
        <v>264</v>
      </c>
      <c r="Y20" s="3" t="s">
        <v>130</v>
      </c>
      <c r="Z20" s="31">
        <v>1.7855998900000001</v>
      </c>
      <c r="AA20" s="31">
        <v>4.3801594662575801E-3</v>
      </c>
      <c r="AD20" s="71">
        <f t="shared" si="12"/>
        <v>44939.000003356479</v>
      </c>
      <c r="AE20" s="14" t="str">
        <f t="shared" si="13"/>
        <v>-</v>
      </c>
      <c r="AF20" s="14" t="str">
        <f t="shared" si="14"/>
        <v>WALLET</v>
      </c>
      <c r="AG20" s="14" t="s">
        <v>130</v>
      </c>
      <c r="AH20" s="14">
        <v>1.7855998900000001</v>
      </c>
      <c r="AI20" s="14">
        <v>4.3801594662575801E-3</v>
      </c>
      <c r="AJ20" s="14">
        <f t="shared" si="15"/>
        <v>2.4530464471845255E-3</v>
      </c>
      <c r="AK20" s="14">
        <f t="shared" si="16"/>
        <v>0</v>
      </c>
      <c r="AL20" s="14" t="str">
        <f t="shared" si="17"/>
        <v>COIN</v>
      </c>
      <c r="AM20" s="24"/>
      <c r="AN20" s="14">
        <f t="shared" si="18"/>
        <v>1</v>
      </c>
      <c r="AO20" s="14" t="str">
        <f t="shared" si="19"/>
        <v>CMT</v>
      </c>
      <c r="AP20" s="45"/>
      <c r="AQ20" s="46"/>
      <c r="AR20" s="47"/>
      <c r="AS20" s="25">
        <f t="shared" si="2"/>
        <v>0</v>
      </c>
      <c r="AT20" s="26" t="str">
        <f t="shared" si="3"/>
        <v>COIN</v>
      </c>
      <c r="AU20" s="26" t="str">
        <f t="shared" si="20"/>
        <v>LONG</v>
      </c>
      <c r="AV20" s="26" t="str">
        <f t="shared" si="4"/>
        <v>COIN LONG</v>
      </c>
      <c r="AW20" s="26">
        <f t="shared" si="5"/>
        <v>4.3801594662575801E-3</v>
      </c>
      <c r="AX20" s="26">
        <f t="shared" si="6"/>
        <v>2.4530464471845255E-3</v>
      </c>
      <c r="AY20" s="26">
        <f t="shared" si="7"/>
        <v>0</v>
      </c>
      <c r="AZ20" s="26">
        <f t="shared" si="8"/>
        <v>0</v>
      </c>
      <c r="BA20" s="23" t="s">
        <v>268</v>
      </c>
      <c r="BB20" t="str">
        <f t="shared" si="21"/>
        <v>CMT</v>
      </c>
    </row>
    <row r="21" spans="1:54" x14ac:dyDescent="0.25">
      <c r="A21">
        <v>62</v>
      </c>
      <c r="B21" s="71">
        <v>44939.000003356479</v>
      </c>
      <c r="C21" s="14" t="s">
        <v>11</v>
      </c>
      <c r="D21" s="23" t="s">
        <v>83</v>
      </c>
      <c r="E21" s="23" t="s">
        <v>30</v>
      </c>
      <c r="F21" s="23">
        <v>0.19800000000000001</v>
      </c>
      <c r="G21" s="23">
        <v>0.7629464615821</v>
      </c>
      <c r="H21" s="23">
        <v>3.8532649574853499</v>
      </c>
      <c r="I21" s="23">
        <v>0</v>
      </c>
      <c r="J21" s="23" t="s">
        <v>85</v>
      </c>
      <c r="K21" s="24">
        <v>44939.000003356479</v>
      </c>
      <c r="L21" s="23">
        <v>1</v>
      </c>
      <c r="M21" s="23" t="s">
        <v>30</v>
      </c>
      <c r="N21" s="25">
        <v>0</v>
      </c>
      <c r="O21" s="26" t="str">
        <f t="shared" si="0"/>
        <v>COIN</v>
      </c>
      <c r="P21" s="26" t="str">
        <f t="shared" si="9"/>
        <v>LONG</v>
      </c>
      <c r="Q21" s="26" t="str">
        <f t="shared" si="10"/>
        <v>COIN LONG</v>
      </c>
      <c r="R21" s="26">
        <v>0</v>
      </c>
      <c r="S21" s="26">
        <v>0</v>
      </c>
      <c r="T21" s="26">
        <v>0</v>
      </c>
      <c r="U21" s="26">
        <v>0</v>
      </c>
      <c r="V21" s="23" t="str">
        <f t="shared" si="1"/>
        <v>BINE</v>
      </c>
      <c r="W21" t="str">
        <f t="shared" si="11"/>
        <v>FIL COIN LONG</v>
      </c>
      <c r="X21" s="88" t="s">
        <v>264</v>
      </c>
      <c r="Y21" s="3" t="s">
        <v>31</v>
      </c>
      <c r="Z21" s="31">
        <v>266.64580509000007</v>
      </c>
      <c r="AA21" s="31">
        <v>10054.2582405383</v>
      </c>
      <c r="AD21" s="71">
        <f t="shared" si="12"/>
        <v>44939.000003356479</v>
      </c>
      <c r="AE21" s="14" t="str">
        <f t="shared" si="13"/>
        <v>-</v>
      </c>
      <c r="AF21" s="14" t="str">
        <f t="shared" si="14"/>
        <v>WALLET</v>
      </c>
      <c r="AG21" s="14" t="s">
        <v>31</v>
      </c>
      <c r="AH21" s="14">
        <v>266.64580509000007</v>
      </c>
      <c r="AI21" s="14">
        <v>10054.2582405383</v>
      </c>
      <c r="AJ21" s="14">
        <f t="shared" si="15"/>
        <v>37.706418209522255</v>
      </c>
      <c r="AK21" s="14">
        <f t="shared" si="16"/>
        <v>0</v>
      </c>
      <c r="AL21" s="14" t="str">
        <f t="shared" si="17"/>
        <v>COIN</v>
      </c>
      <c r="AM21" s="24"/>
      <c r="AN21" s="14">
        <f t="shared" si="18"/>
        <v>1</v>
      </c>
      <c r="AO21" s="14" t="str">
        <f t="shared" si="19"/>
        <v>COMP</v>
      </c>
      <c r="AP21" s="45"/>
      <c r="AQ21" s="46"/>
      <c r="AR21" s="47"/>
      <c r="AS21" s="25">
        <f t="shared" si="2"/>
        <v>0</v>
      </c>
      <c r="AT21" s="26" t="str">
        <f t="shared" si="3"/>
        <v>COIN</v>
      </c>
      <c r="AU21" s="26" t="str">
        <f t="shared" si="20"/>
        <v>LONG</v>
      </c>
      <c r="AV21" s="26" t="str">
        <f t="shared" si="4"/>
        <v>COIN LONG</v>
      </c>
      <c r="AW21" s="26">
        <f t="shared" si="5"/>
        <v>10054.2582405383</v>
      </c>
      <c r="AX21" s="26">
        <f t="shared" si="6"/>
        <v>37.706418209522255</v>
      </c>
      <c r="AY21" s="26">
        <f t="shared" si="7"/>
        <v>0</v>
      </c>
      <c r="AZ21" s="26">
        <f t="shared" si="8"/>
        <v>0</v>
      </c>
      <c r="BA21" s="23" t="s">
        <v>268</v>
      </c>
      <c r="BB21" t="str">
        <f t="shared" si="21"/>
        <v>COMP</v>
      </c>
    </row>
    <row r="22" spans="1:54" x14ac:dyDescent="0.25">
      <c r="A22">
        <v>63</v>
      </c>
      <c r="B22" s="71">
        <v>44939.000003356479</v>
      </c>
      <c r="C22" s="14" t="s">
        <v>11</v>
      </c>
      <c r="D22" s="23" t="s">
        <v>83</v>
      </c>
      <c r="E22" s="23" t="s">
        <v>191</v>
      </c>
      <c r="F22" s="23">
        <v>270803.45285949</v>
      </c>
      <c r="G22" s="23">
        <v>74050.348254760494</v>
      </c>
      <c r="H22" s="23">
        <v>0.27344683929559199</v>
      </c>
      <c r="I22" s="23">
        <v>0</v>
      </c>
      <c r="J22" s="23" t="s">
        <v>85</v>
      </c>
      <c r="K22" s="24">
        <v>44939.000003356479</v>
      </c>
      <c r="L22" s="23">
        <v>1</v>
      </c>
      <c r="M22" s="23" t="s">
        <v>191</v>
      </c>
      <c r="N22" s="25">
        <v>0</v>
      </c>
      <c r="O22" s="26" t="str">
        <f t="shared" si="0"/>
        <v>COIN</v>
      </c>
      <c r="P22" s="26" t="str">
        <f t="shared" si="9"/>
        <v>LONG</v>
      </c>
      <c r="Q22" s="26" t="str">
        <f t="shared" si="10"/>
        <v>COIN LONG</v>
      </c>
      <c r="R22" s="26">
        <v>0</v>
      </c>
      <c r="S22" s="26">
        <v>0</v>
      </c>
      <c r="T22" s="26">
        <v>0</v>
      </c>
      <c r="U22" s="26">
        <v>0</v>
      </c>
      <c r="V22" s="23" t="str">
        <f t="shared" si="1"/>
        <v>BINE</v>
      </c>
      <c r="W22" t="str">
        <f t="shared" si="11"/>
        <v>FTM COIN LONG</v>
      </c>
      <c r="X22" s="88" t="s">
        <v>264</v>
      </c>
      <c r="Y22" s="3" t="s">
        <v>131</v>
      </c>
      <c r="Z22" s="31">
        <v>0.30791584</v>
      </c>
      <c r="AA22" s="31">
        <v>2.04778472878973E-2</v>
      </c>
      <c r="AD22" s="71">
        <f t="shared" si="12"/>
        <v>44939.000003356479</v>
      </c>
      <c r="AE22" s="14" t="str">
        <f t="shared" si="13"/>
        <v>-</v>
      </c>
      <c r="AF22" s="14" t="str">
        <f t="shared" si="14"/>
        <v>WALLET</v>
      </c>
      <c r="AG22" s="14" t="s">
        <v>131</v>
      </c>
      <c r="AH22" s="14">
        <v>0.30791584</v>
      </c>
      <c r="AI22" s="14">
        <v>2.04778472878973E-2</v>
      </c>
      <c r="AJ22" s="14">
        <f t="shared" si="15"/>
        <v>6.6504689358940744E-2</v>
      </c>
      <c r="AK22" s="14">
        <f t="shared" si="16"/>
        <v>0</v>
      </c>
      <c r="AL22" s="14" t="str">
        <f t="shared" si="17"/>
        <v>COIN</v>
      </c>
      <c r="AM22" s="24"/>
      <c r="AN22" s="14">
        <f t="shared" si="18"/>
        <v>1</v>
      </c>
      <c r="AO22" s="14" t="str">
        <f t="shared" si="19"/>
        <v>CRO</v>
      </c>
      <c r="AP22" s="45"/>
      <c r="AQ22" s="46"/>
      <c r="AR22" s="47"/>
      <c r="AS22" s="25">
        <f t="shared" si="2"/>
        <v>0</v>
      </c>
      <c r="AT22" s="26" t="str">
        <f t="shared" si="3"/>
        <v>COIN</v>
      </c>
      <c r="AU22" s="26" t="str">
        <f t="shared" si="20"/>
        <v>LONG</v>
      </c>
      <c r="AV22" s="26" t="str">
        <f t="shared" si="4"/>
        <v>COIN LONG</v>
      </c>
      <c r="AW22" s="26">
        <f t="shared" si="5"/>
        <v>2.04778472878973E-2</v>
      </c>
      <c r="AX22" s="26">
        <f t="shared" si="6"/>
        <v>6.6504689358940744E-2</v>
      </c>
      <c r="AY22" s="26">
        <f t="shared" si="7"/>
        <v>0</v>
      </c>
      <c r="AZ22" s="26">
        <f t="shared" si="8"/>
        <v>0</v>
      </c>
      <c r="BA22" s="23" t="s">
        <v>268</v>
      </c>
      <c r="BB22" t="str">
        <f t="shared" si="21"/>
        <v>CRO</v>
      </c>
    </row>
    <row r="23" spans="1:54" x14ac:dyDescent="0.25">
      <c r="A23">
        <v>64</v>
      </c>
      <c r="B23" s="71">
        <v>44939.000003356479</v>
      </c>
      <c r="C23" s="14" t="s">
        <v>11</v>
      </c>
      <c r="D23" s="23" t="s">
        <v>83</v>
      </c>
      <c r="E23" s="23" t="s">
        <v>415</v>
      </c>
      <c r="F23" s="23">
        <v>186945.44699999999</v>
      </c>
      <c r="G23" s="23">
        <v>13740.856450371801</v>
      </c>
      <c r="H23" s="23">
        <v>7.3501958303225604E-2</v>
      </c>
      <c r="I23" s="23">
        <v>0</v>
      </c>
      <c r="J23" s="23" t="s">
        <v>85</v>
      </c>
      <c r="K23" s="24">
        <v>44939.000003356479</v>
      </c>
      <c r="L23" s="23">
        <v>1</v>
      </c>
      <c r="M23" s="23" t="s">
        <v>415</v>
      </c>
      <c r="N23" s="25">
        <v>0</v>
      </c>
      <c r="O23" s="26" t="str">
        <f t="shared" si="0"/>
        <v>COIN</v>
      </c>
      <c r="P23" s="26" t="str">
        <f t="shared" si="9"/>
        <v>LONG</v>
      </c>
      <c r="Q23" s="26" t="str">
        <f t="shared" si="10"/>
        <v>COIN LONG</v>
      </c>
      <c r="R23" s="26">
        <v>0</v>
      </c>
      <c r="S23" s="26">
        <v>0</v>
      </c>
      <c r="T23" s="26">
        <v>0</v>
      </c>
      <c r="U23" s="26">
        <v>0</v>
      </c>
      <c r="V23" s="23" t="str">
        <f t="shared" si="1"/>
        <v>BINE</v>
      </c>
      <c r="W23" t="str">
        <f t="shared" si="11"/>
        <v>GRT COIN LONG</v>
      </c>
      <c r="X23" s="88" t="s">
        <v>264</v>
      </c>
      <c r="Y23" s="3" t="s">
        <v>188</v>
      </c>
      <c r="Z23" s="31">
        <v>171.77652669999998</v>
      </c>
      <c r="AA23" s="31">
        <v>118.3739751420452</v>
      </c>
      <c r="AD23" s="71">
        <f t="shared" si="12"/>
        <v>44939.000003356479</v>
      </c>
      <c r="AE23" s="14" t="str">
        <f t="shared" si="13"/>
        <v>-</v>
      </c>
      <c r="AF23" s="14" t="str">
        <f t="shared" si="14"/>
        <v>WALLET</v>
      </c>
      <c r="AG23" s="14" t="s">
        <v>188</v>
      </c>
      <c r="AH23" s="14">
        <v>171.77652669999998</v>
      </c>
      <c r="AI23" s="14">
        <v>118.3739751420452</v>
      </c>
      <c r="AJ23" s="14">
        <f t="shared" si="15"/>
        <v>0.68911612905516506</v>
      </c>
      <c r="AK23" s="14">
        <f t="shared" si="16"/>
        <v>0</v>
      </c>
      <c r="AL23" s="14" t="str">
        <f t="shared" si="17"/>
        <v>COIN</v>
      </c>
      <c r="AM23" s="24"/>
      <c r="AN23" s="14">
        <f t="shared" si="18"/>
        <v>1</v>
      </c>
      <c r="AO23" s="14" t="str">
        <f t="shared" si="19"/>
        <v>CRV</v>
      </c>
      <c r="AP23" s="45"/>
      <c r="AQ23" s="46"/>
      <c r="AR23" s="47"/>
      <c r="AS23" s="25">
        <f t="shared" si="2"/>
        <v>0</v>
      </c>
      <c r="AT23" s="26" t="str">
        <f t="shared" si="3"/>
        <v>COIN</v>
      </c>
      <c r="AU23" s="26" t="str">
        <f t="shared" si="20"/>
        <v>LONG</v>
      </c>
      <c r="AV23" s="26" t="str">
        <f t="shared" si="4"/>
        <v>COIN LONG</v>
      </c>
      <c r="AW23" s="26">
        <f t="shared" si="5"/>
        <v>118.3739751420452</v>
      </c>
      <c r="AX23" s="26">
        <f t="shared" si="6"/>
        <v>0.68911612905516506</v>
      </c>
      <c r="AY23" s="26">
        <f t="shared" si="7"/>
        <v>0</v>
      </c>
      <c r="AZ23" s="26">
        <f t="shared" si="8"/>
        <v>0</v>
      </c>
      <c r="BA23" s="23" t="s">
        <v>268</v>
      </c>
      <c r="BB23" t="str">
        <f t="shared" si="21"/>
        <v>CRV</v>
      </c>
    </row>
    <row r="24" spans="1:54" x14ac:dyDescent="0.25">
      <c r="A24">
        <v>65</v>
      </c>
      <c r="B24" s="71">
        <v>44939.000003356479</v>
      </c>
      <c r="C24" s="14" t="s">
        <v>11</v>
      </c>
      <c r="D24" s="23" t="s">
        <v>83</v>
      </c>
      <c r="E24" s="23" t="s">
        <v>135</v>
      </c>
      <c r="F24" s="23">
        <v>249422.74733057999</v>
      </c>
      <c r="G24" s="23">
        <v>11884.4044656608</v>
      </c>
      <c r="H24" s="23">
        <v>4.7647636764699498E-2</v>
      </c>
      <c r="I24" s="23">
        <v>0</v>
      </c>
      <c r="J24" s="23" t="s">
        <v>85</v>
      </c>
      <c r="K24" s="24">
        <v>44939.000003356479</v>
      </c>
      <c r="L24" s="23">
        <v>1</v>
      </c>
      <c r="M24" s="23" t="s">
        <v>135</v>
      </c>
      <c r="N24" s="25">
        <v>0</v>
      </c>
      <c r="O24" s="26" t="str">
        <f t="shared" si="0"/>
        <v>COIN</v>
      </c>
      <c r="P24" s="26" t="str">
        <f t="shared" si="9"/>
        <v>LONG</v>
      </c>
      <c r="Q24" s="26" t="str">
        <f t="shared" si="10"/>
        <v>COIN LONG</v>
      </c>
      <c r="R24" s="26">
        <v>0</v>
      </c>
      <c r="S24" s="26">
        <v>0</v>
      </c>
      <c r="T24" s="26">
        <v>0</v>
      </c>
      <c r="U24" s="26">
        <v>0</v>
      </c>
      <c r="V24" s="23" t="str">
        <f t="shared" si="1"/>
        <v>BINE</v>
      </c>
      <c r="W24" t="str">
        <f t="shared" si="11"/>
        <v>HBAR COIN LONG</v>
      </c>
      <c r="X24" s="88" t="s">
        <v>264</v>
      </c>
      <c r="Y24" s="3" t="s">
        <v>189</v>
      </c>
      <c r="Z24" s="31">
        <v>6.0184751099999998</v>
      </c>
      <c r="AA24" s="31">
        <v>21.351558049632693</v>
      </c>
      <c r="AD24" s="71">
        <f t="shared" si="12"/>
        <v>44939.000003356479</v>
      </c>
      <c r="AE24" s="14" t="str">
        <f t="shared" si="13"/>
        <v>-</v>
      </c>
      <c r="AF24" s="14" t="str">
        <f t="shared" si="14"/>
        <v>WALLET</v>
      </c>
      <c r="AG24" s="14" t="s">
        <v>189</v>
      </c>
      <c r="AH24" s="14">
        <v>6.0184751099999998</v>
      </c>
      <c r="AI24" s="14">
        <v>21.351558049632693</v>
      </c>
      <c r="AJ24" s="14">
        <f t="shared" si="15"/>
        <v>3.5476690788595278</v>
      </c>
      <c r="AK24" s="14">
        <f t="shared" si="16"/>
        <v>0</v>
      </c>
      <c r="AL24" s="14" t="str">
        <f t="shared" si="17"/>
        <v>COIN</v>
      </c>
      <c r="AM24" s="24"/>
      <c r="AN24" s="14">
        <f t="shared" si="18"/>
        <v>1</v>
      </c>
      <c r="AO24" s="14" t="str">
        <f t="shared" si="19"/>
        <v>CVX</v>
      </c>
      <c r="AP24" s="45"/>
      <c r="AQ24" s="46"/>
      <c r="AR24" s="47"/>
      <c r="AS24" s="25">
        <f t="shared" si="2"/>
        <v>0</v>
      </c>
      <c r="AT24" s="26" t="str">
        <f t="shared" si="3"/>
        <v>COIN</v>
      </c>
      <c r="AU24" s="26" t="str">
        <f t="shared" si="20"/>
        <v>LONG</v>
      </c>
      <c r="AV24" s="26" t="str">
        <f t="shared" si="4"/>
        <v>COIN LONG</v>
      </c>
      <c r="AW24" s="26">
        <f t="shared" si="5"/>
        <v>21.351558049632693</v>
      </c>
      <c r="AX24" s="26">
        <f t="shared" si="6"/>
        <v>3.5476690788595278</v>
      </c>
      <c r="AY24" s="26">
        <f t="shared" si="7"/>
        <v>0</v>
      </c>
      <c r="AZ24" s="26">
        <f t="shared" si="8"/>
        <v>0</v>
      </c>
      <c r="BA24" s="23" t="s">
        <v>268</v>
      </c>
      <c r="BB24" t="str">
        <f t="shared" si="21"/>
        <v>CVX</v>
      </c>
    </row>
    <row r="25" spans="1:54" x14ac:dyDescent="0.25">
      <c r="A25">
        <v>66</v>
      </c>
      <c r="B25" s="71">
        <v>44939.000003356479</v>
      </c>
      <c r="C25" s="14" t="s">
        <v>11</v>
      </c>
      <c r="D25" s="23" t="s">
        <v>83</v>
      </c>
      <c r="E25" s="23" t="s">
        <v>27</v>
      </c>
      <c r="F25" s="23">
        <v>8419.0230946600004</v>
      </c>
      <c r="G25" s="23">
        <v>53724.577714657004</v>
      </c>
      <c r="H25" s="23">
        <v>6.38133155243787</v>
      </c>
      <c r="I25" s="23">
        <v>0</v>
      </c>
      <c r="J25" s="23" t="s">
        <v>85</v>
      </c>
      <c r="K25" s="24">
        <v>44939.000003356479</v>
      </c>
      <c r="L25" s="23">
        <v>1</v>
      </c>
      <c r="M25" s="23" t="s">
        <v>27</v>
      </c>
      <c r="N25" s="25">
        <v>0</v>
      </c>
      <c r="O25" s="26" t="str">
        <f t="shared" si="0"/>
        <v>COIN</v>
      </c>
      <c r="P25" s="26" t="str">
        <f t="shared" si="9"/>
        <v>LONG</v>
      </c>
      <c r="Q25" s="26" t="str">
        <f t="shared" si="10"/>
        <v>COIN LONG</v>
      </c>
      <c r="R25" s="26">
        <v>0</v>
      </c>
      <c r="S25" s="26">
        <v>0</v>
      </c>
      <c r="T25" s="26">
        <v>0</v>
      </c>
      <c r="U25" s="26">
        <v>0</v>
      </c>
      <c r="V25" s="23" t="str">
        <f t="shared" si="1"/>
        <v>BINE</v>
      </c>
      <c r="W25" t="str">
        <f t="shared" si="11"/>
        <v>LINK COIN LONG</v>
      </c>
      <c r="X25" s="88" t="s">
        <v>264</v>
      </c>
      <c r="Y25" s="3" t="s">
        <v>416</v>
      </c>
      <c r="Z25" s="31">
        <v>172554.34841886</v>
      </c>
      <c r="AA25" s="31">
        <v>172564.61571339701</v>
      </c>
      <c r="AD25" s="71">
        <f t="shared" si="12"/>
        <v>44939.000003356479</v>
      </c>
      <c r="AE25" s="14" t="str">
        <f t="shared" si="13"/>
        <v>-</v>
      </c>
      <c r="AF25" s="14" t="str">
        <f t="shared" si="14"/>
        <v>WALLET</v>
      </c>
      <c r="AG25" s="14" t="s">
        <v>416</v>
      </c>
      <c r="AH25" s="14">
        <v>172554.34841886</v>
      </c>
      <c r="AI25" s="14">
        <v>172564.61571339701</v>
      </c>
      <c r="AJ25" s="14">
        <f t="shared" si="15"/>
        <v>1.0000595018012071</v>
      </c>
      <c r="AK25" s="14">
        <f t="shared" si="16"/>
        <v>0</v>
      </c>
      <c r="AL25" s="14" t="str">
        <f t="shared" si="17"/>
        <v>COIN</v>
      </c>
      <c r="AM25" s="24"/>
      <c r="AN25" s="14">
        <f t="shared" si="18"/>
        <v>1</v>
      </c>
      <c r="AO25" s="14" t="str">
        <f t="shared" si="19"/>
        <v>DAI</v>
      </c>
      <c r="AP25" s="45"/>
      <c r="AQ25" s="46"/>
      <c r="AR25" s="47"/>
      <c r="AS25" s="25">
        <f t="shared" si="2"/>
        <v>0</v>
      </c>
      <c r="AT25" s="26" t="str">
        <f t="shared" si="3"/>
        <v>COIN</v>
      </c>
      <c r="AU25" s="26" t="str">
        <f t="shared" si="20"/>
        <v>LONG</v>
      </c>
      <c r="AV25" s="26" t="str">
        <f t="shared" si="4"/>
        <v>COIN LONG</v>
      </c>
      <c r="AW25" s="26">
        <f t="shared" si="5"/>
        <v>172564.61571339701</v>
      </c>
      <c r="AX25" s="26">
        <f t="shared" si="6"/>
        <v>1.0000595018012071</v>
      </c>
      <c r="AY25" s="26">
        <f t="shared" si="7"/>
        <v>0</v>
      </c>
      <c r="AZ25" s="26">
        <f t="shared" si="8"/>
        <v>0</v>
      </c>
      <c r="BA25" s="23" t="s">
        <v>268</v>
      </c>
      <c r="BB25" t="str">
        <f t="shared" si="21"/>
        <v>DAI</v>
      </c>
    </row>
    <row r="26" spans="1:54" x14ac:dyDescent="0.25">
      <c r="A26">
        <v>67</v>
      </c>
      <c r="B26" s="71">
        <v>44939.000003356479</v>
      </c>
      <c r="C26" s="14" t="s">
        <v>11</v>
      </c>
      <c r="D26" s="23" t="s">
        <v>83</v>
      </c>
      <c r="E26" s="23" t="s">
        <v>24</v>
      </c>
      <c r="F26" s="23">
        <v>975.24722336000002</v>
      </c>
      <c r="G26" s="23">
        <v>83836.376080131799</v>
      </c>
      <c r="H26" s="23">
        <v>85.964229450756093</v>
      </c>
      <c r="I26" s="23">
        <v>0</v>
      </c>
      <c r="J26" s="23" t="s">
        <v>85</v>
      </c>
      <c r="K26" s="24">
        <v>44939.000003356479</v>
      </c>
      <c r="L26" s="23">
        <v>1</v>
      </c>
      <c r="M26" s="23" t="s">
        <v>24</v>
      </c>
      <c r="N26" s="25">
        <v>0</v>
      </c>
      <c r="O26" s="26" t="str">
        <f t="shared" si="0"/>
        <v>COIN</v>
      </c>
      <c r="P26" s="26" t="str">
        <f t="shared" si="9"/>
        <v>LONG</v>
      </c>
      <c r="Q26" s="26" t="str">
        <f t="shared" si="10"/>
        <v>COIN LONG</v>
      </c>
      <c r="R26" s="26">
        <v>0</v>
      </c>
      <c r="S26" s="26">
        <v>0</v>
      </c>
      <c r="T26" s="26">
        <v>0</v>
      </c>
      <c r="U26" s="26">
        <v>0</v>
      </c>
      <c r="V26" s="23" t="str">
        <f t="shared" si="1"/>
        <v>BINE</v>
      </c>
      <c r="W26" t="str">
        <f t="shared" si="11"/>
        <v>LTC COIN LONG</v>
      </c>
      <c r="X26" s="88" t="s">
        <v>264</v>
      </c>
      <c r="Y26" s="3" t="s">
        <v>132</v>
      </c>
      <c r="Z26" s="31">
        <v>0.21919872999990275</v>
      </c>
      <c r="AA26" s="31">
        <v>10.818879293816281</v>
      </c>
      <c r="AD26" s="71">
        <f t="shared" si="12"/>
        <v>44939.000003356479</v>
      </c>
      <c r="AE26" s="14" t="str">
        <f t="shared" si="13"/>
        <v>-</v>
      </c>
      <c r="AF26" s="14" t="str">
        <f t="shared" si="14"/>
        <v>WALLET</v>
      </c>
      <c r="AG26" s="14" t="s">
        <v>132</v>
      </c>
      <c r="AH26" s="14">
        <v>0.21919872999990275</v>
      </c>
      <c r="AI26" s="14">
        <v>10.818879293816281</v>
      </c>
      <c r="AJ26" s="14">
        <f t="shared" si="15"/>
        <v>49.3564871193418</v>
      </c>
      <c r="AK26" s="14">
        <f t="shared" si="16"/>
        <v>0</v>
      </c>
      <c r="AL26" s="14" t="str">
        <f t="shared" si="17"/>
        <v>COIN</v>
      </c>
      <c r="AM26" s="24"/>
      <c r="AN26" s="14">
        <f t="shared" si="18"/>
        <v>1</v>
      </c>
      <c r="AO26" s="14" t="str">
        <f t="shared" si="19"/>
        <v>DASH</v>
      </c>
      <c r="AP26" s="45"/>
      <c r="AQ26" s="46"/>
      <c r="AR26" s="47"/>
      <c r="AS26" s="25">
        <f t="shared" si="2"/>
        <v>0</v>
      </c>
      <c r="AT26" s="26" t="str">
        <f t="shared" si="3"/>
        <v>COIN</v>
      </c>
      <c r="AU26" s="26" t="str">
        <f t="shared" si="20"/>
        <v>LONG</v>
      </c>
      <c r="AV26" s="26" t="str">
        <f t="shared" si="4"/>
        <v>COIN LONG</v>
      </c>
      <c r="AW26" s="26">
        <f t="shared" si="5"/>
        <v>10.818879293816281</v>
      </c>
      <c r="AX26" s="26">
        <f t="shared" si="6"/>
        <v>49.3564871193418</v>
      </c>
      <c r="AY26" s="26">
        <f t="shared" si="7"/>
        <v>0</v>
      </c>
      <c r="AZ26" s="26">
        <f t="shared" si="8"/>
        <v>0</v>
      </c>
      <c r="BA26" s="23" t="s">
        <v>268</v>
      </c>
      <c r="BB26" t="str">
        <f t="shared" si="21"/>
        <v>DASH</v>
      </c>
    </row>
    <row r="27" spans="1:54" x14ac:dyDescent="0.25">
      <c r="A27">
        <v>68</v>
      </c>
      <c r="B27" s="71">
        <v>44939.000003356479</v>
      </c>
      <c r="C27" s="14" t="s">
        <v>11</v>
      </c>
      <c r="D27" s="23" t="s">
        <v>83</v>
      </c>
      <c r="E27" s="23" t="s">
        <v>192</v>
      </c>
      <c r="F27" s="23">
        <v>54984.847193989997</v>
      </c>
      <c r="G27" s="23">
        <v>22678.630462443802</v>
      </c>
      <c r="H27" s="23">
        <v>0.41245236860315698</v>
      </c>
      <c r="I27" s="23">
        <v>0</v>
      </c>
      <c r="J27" s="23" t="s">
        <v>85</v>
      </c>
      <c r="K27" s="24">
        <v>44939.000003356479</v>
      </c>
      <c r="L27" s="23">
        <v>1</v>
      </c>
      <c r="M27" s="23" t="s">
        <v>192</v>
      </c>
      <c r="N27" s="25">
        <v>0</v>
      </c>
      <c r="O27" s="26" t="str">
        <f t="shared" si="0"/>
        <v>COIN</v>
      </c>
      <c r="P27" s="26" t="str">
        <f t="shared" si="9"/>
        <v>LONG</v>
      </c>
      <c r="Q27" s="26" t="str">
        <f t="shared" si="10"/>
        <v>COIN LONG</v>
      </c>
      <c r="R27" s="26">
        <v>0</v>
      </c>
      <c r="S27" s="26">
        <v>0</v>
      </c>
      <c r="T27" s="26">
        <v>0</v>
      </c>
      <c r="U27" s="26">
        <v>0</v>
      </c>
      <c r="V27" s="23" t="str">
        <f t="shared" si="1"/>
        <v>BINE</v>
      </c>
      <c r="W27" t="str">
        <f t="shared" si="11"/>
        <v>MANA COIN LONG</v>
      </c>
      <c r="X27" s="88" t="s">
        <v>264</v>
      </c>
      <c r="Y27" s="3" t="s">
        <v>190</v>
      </c>
      <c r="Z27" s="31">
        <v>74364.178118850105</v>
      </c>
      <c r="AA27" s="31">
        <v>5970.3827725013398</v>
      </c>
      <c r="AD27" s="71">
        <f t="shared" si="12"/>
        <v>44939.000003356479</v>
      </c>
      <c r="AE27" s="14" t="str">
        <f t="shared" si="13"/>
        <v>-</v>
      </c>
      <c r="AF27" s="14" t="str">
        <f t="shared" si="14"/>
        <v>WALLET</v>
      </c>
      <c r="AG27" s="14" t="s">
        <v>190</v>
      </c>
      <c r="AH27" s="14">
        <v>74364.178118850105</v>
      </c>
      <c r="AI27" s="14">
        <v>5970.3827725013398</v>
      </c>
      <c r="AJ27" s="14">
        <f t="shared" si="15"/>
        <v>8.028573600261367E-2</v>
      </c>
      <c r="AK27" s="14">
        <f t="shared" si="16"/>
        <v>0</v>
      </c>
      <c r="AL27" s="14" t="str">
        <f t="shared" si="17"/>
        <v>COIN</v>
      </c>
      <c r="AM27" s="24"/>
      <c r="AN27" s="14">
        <f t="shared" si="18"/>
        <v>1</v>
      </c>
      <c r="AO27" s="14" t="str">
        <f t="shared" si="19"/>
        <v>DOGE</v>
      </c>
      <c r="AP27" s="45"/>
      <c r="AQ27" s="46"/>
      <c r="AR27" s="47"/>
      <c r="AS27" s="25">
        <f t="shared" si="2"/>
        <v>0</v>
      </c>
      <c r="AT27" s="26" t="str">
        <f t="shared" si="3"/>
        <v>COIN</v>
      </c>
      <c r="AU27" s="26" t="str">
        <f t="shared" si="20"/>
        <v>LONG</v>
      </c>
      <c r="AV27" s="26" t="str">
        <f t="shared" si="4"/>
        <v>COIN LONG</v>
      </c>
      <c r="AW27" s="26">
        <f t="shared" si="5"/>
        <v>5970.3827725013398</v>
      </c>
      <c r="AX27" s="26">
        <f t="shared" si="6"/>
        <v>8.028573600261367E-2</v>
      </c>
      <c r="AY27" s="26">
        <f t="shared" si="7"/>
        <v>0</v>
      </c>
      <c r="AZ27" s="26">
        <f t="shared" si="8"/>
        <v>0</v>
      </c>
      <c r="BA27" s="23" t="s">
        <v>268</v>
      </c>
      <c r="BB27" t="str">
        <f t="shared" si="21"/>
        <v>DOGE</v>
      </c>
    </row>
    <row r="28" spans="1:54" x14ac:dyDescent="0.25">
      <c r="A28">
        <v>69</v>
      </c>
      <c r="B28" s="71">
        <v>44939.000003356479</v>
      </c>
      <c r="C28" s="14" t="s">
        <v>11</v>
      </c>
      <c r="D28" s="23" t="s">
        <v>83</v>
      </c>
      <c r="E28" s="23" t="s">
        <v>193</v>
      </c>
      <c r="F28" s="23">
        <v>47252.316829759999</v>
      </c>
      <c r="G28" s="23">
        <v>43296.783539646203</v>
      </c>
      <c r="H28" s="23">
        <v>0.91628911436523497</v>
      </c>
      <c r="I28" s="23">
        <v>0</v>
      </c>
      <c r="J28" s="23" t="s">
        <v>85</v>
      </c>
      <c r="K28" s="24">
        <v>44939.000003356479</v>
      </c>
      <c r="L28" s="23">
        <v>1</v>
      </c>
      <c r="M28" s="23" t="s">
        <v>193</v>
      </c>
      <c r="N28" s="25">
        <v>0</v>
      </c>
      <c r="O28" s="26" t="str">
        <f t="shared" si="0"/>
        <v>COIN</v>
      </c>
      <c r="P28" s="26" t="str">
        <f t="shared" si="9"/>
        <v>LONG</v>
      </c>
      <c r="Q28" s="26" t="str">
        <f t="shared" si="10"/>
        <v>COIN LONG</v>
      </c>
      <c r="R28" s="26">
        <v>0</v>
      </c>
      <c r="S28" s="26">
        <v>0</v>
      </c>
      <c r="T28" s="26">
        <v>0</v>
      </c>
      <c r="U28" s="26">
        <v>0</v>
      </c>
      <c r="V28" s="23" t="str">
        <f t="shared" si="1"/>
        <v>BINE</v>
      </c>
      <c r="W28" t="str">
        <f t="shared" si="11"/>
        <v>MATIC COIN LONG</v>
      </c>
      <c r="X28" s="88" t="s">
        <v>264</v>
      </c>
      <c r="Y28" s="3" t="s">
        <v>133</v>
      </c>
      <c r="Z28" s="31">
        <v>5.9800000000000001E-4</v>
      </c>
      <c r="AA28" s="31">
        <v>6.9374385267831303E-6</v>
      </c>
      <c r="AD28" s="71">
        <f t="shared" si="12"/>
        <v>44939.000003356479</v>
      </c>
      <c r="AE28" s="14" t="str">
        <f t="shared" si="13"/>
        <v>-</v>
      </c>
      <c r="AF28" s="14" t="str">
        <f t="shared" si="14"/>
        <v>WALLET</v>
      </c>
      <c r="AG28" s="14" t="s">
        <v>133</v>
      </c>
      <c r="AH28" s="14">
        <v>5.9800000000000001E-4</v>
      </c>
      <c r="AI28" s="14">
        <v>6.9374385267831303E-6</v>
      </c>
      <c r="AJ28" s="14">
        <f t="shared" si="15"/>
        <v>1.1601067770540352E-2</v>
      </c>
      <c r="AK28" s="14">
        <f t="shared" si="16"/>
        <v>0</v>
      </c>
      <c r="AL28" s="14" t="str">
        <f t="shared" si="17"/>
        <v>COIN</v>
      </c>
      <c r="AM28" s="24"/>
      <c r="AN28" s="14">
        <f t="shared" si="18"/>
        <v>1</v>
      </c>
      <c r="AO28" s="14" t="str">
        <f t="shared" si="19"/>
        <v>DON</v>
      </c>
      <c r="AP28" s="45"/>
      <c r="AQ28" s="46"/>
      <c r="AR28" s="47"/>
      <c r="AS28" s="25">
        <f t="shared" si="2"/>
        <v>0</v>
      </c>
      <c r="AT28" s="26" t="str">
        <f t="shared" si="3"/>
        <v>COIN</v>
      </c>
      <c r="AU28" s="26" t="str">
        <f t="shared" si="20"/>
        <v>LONG</v>
      </c>
      <c r="AV28" s="26" t="str">
        <f t="shared" si="4"/>
        <v>COIN LONG</v>
      </c>
      <c r="AW28" s="26">
        <f t="shared" si="5"/>
        <v>6.9374385267831303E-6</v>
      </c>
      <c r="AX28" s="26">
        <f t="shared" si="6"/>
        <v>1.1601067770540352E-2</v>
      </c>
      <c r="AY28" s="26">
        <f t="shared" si="7"/>
        <v>0</v>
      </c>
      <c r="AZ28" s="26">
        <f t="shared" si="8"/>
        <v>0</v>
      </c>
      <c r="BA28" s="23" t="s">
        <v>268</v>
      </c>
      <c r="BB28" t="str">
        <f t="shared" si="21"/>
        <v>DON</v>
      </c>
    </row>
    <row r="29" spans="1:54" x14ac:dyDescent="0.25">
      <c r="A29">
        <v>70</v>
      </c>
      <c r="B29" s="71">
        <v>44939.000003356479</v>
      </c>
      <c r="C29" s="14" t="s">
        <v>11</v>
      </c>
      <c r="D29" s="23" t="s">
        <v>83</v>
      </c>
      <c r="E29" s="23" t="s">
        <v>413</v>
      </c>
      <c r="F29" s="23">
        <v>11.133492329999999</v>
      </c>
      <c r="G29" s="23">
        <v>7265.4461614147704</v>
      </c>
      <c r="H29" s="23">
        <v>652.57566503526505</v>
      </c>
      <c r="I29" s="23">
        <v>0</v>
      </c>
      <c r="J29" s="23" t="s">
        <v>85</v>
      </c>
      <c r="K29" s="24">
        <v>44939.000003356479</v>
      </c>
      <c r="L29" s="23">
        <v>1</v>
      </c>
      <c r="M29" s="23" t="s">
        <v>413</v>
      </c>
      <c r="N29" s="25">
        <v>0</v>
      </c>
      <c r="O29" s="26" t="str">
        <f t="shared" si="0"/>
        <v>COIN</v>
      </c>
      <c r="P29" s="26" t="str">
        <f t="shared" si="9"/>
        <v>LONG</v>
      </c>
      <c r="Q29" s="26" t="str">
        <f t="shared" si="10"/>
        <v>COIN LONG</v>
      </c>
      <c r="R29" s="26">
        <v>0</v>
      </c>
      <c r="S29" s="26">
        <v>0</v>
      </c>
      <c r="T29" s="26">
        <v>0</v>
      </c>
      <c r="U29" s="26">
        <v>0</v>
      </c>
      <c r="V29" s="23" t="str">
        <f t="shared" si="1"/>
        <v>BINE</v>
      </c>
      <c r="W29" t="str">
        <f t="shared" si="11"/>
        <v>MKR COIN LONG</v>
      </c>
      <c r="X29" s="88" t="s">
        <v>264</v>
      </c>
      <c r="Y29" s="3" t="s">
        <v>22</v>
      </c>
      <c r="Z29" s="31">
        <v>-456.1666598699976</v>
      </c>
      <c r="AA29" s="31">
        <v>-2385.5134843317719</v>
      </c>
      <c r="AD29" s="71">
        <f t="shared" si="12"/>
        <v>44939.000003356479</v>
      </c>
      <c r="AE29" s="14" t="str">
        <f t="shared" si="13"/>
        <v>-</v>
      </c>
      <c r="AF29" s="14" t="str">
        <f t="shared" si="14"/>
        <v>WALLET</v>
      </c>
      <c r="AG29" s="14" t="s">
        <v>22</v>
      </c>
      <c r="AH29" s="14">
        <v>-456.1666598699976</v>
      </c>
      <c r="AI29" s="14">
        <v>-2385.5134843317719</v>
      </c>
      <c r="AJ29" s="14">
        <f t="shared" si="15"/>
        <v>5.2294779390751982</v>
      </c>
      <c r="AK29" s="14">
        <f t="shared" si="16"/>
        <v>0</v>
      </c>
      <c r="AL29" s="14" t="str">
        <f t="shared" si="17"/>
        <v>COIN</v>
      </c>
      <c r="AM29" s="24"/>
      <c r="AN29" s="14">
        <f t="shared" si="18"/>
        <v>1</v>
      </c>
      <c r="AO29" s="14" t="str">
        <f t="shared" si="19"/>
        <v>DOT</v>
      </c>
      <c r="AP29" s="45"/>
      <c r="AQ29" s="46"/>
      <c r="AR29" s="47"/>
      <c r="AS29" s="25">
        <f t="shared" si="2"/>
        <v>0</v>
      </c>
      <c r="AT29" s="26" t="str">
        <f t="shared" si="3"/>
        <v>COIN</v>
      </c>
      <c r="AU29" s="26" t="str">
        <f t="shared" si="20"/>
        <v>SHORT</v>
      </c>
      <c r="AV29" s="26" t="str">
        <f t="shared" si="4"/>
        <v>COIN SHORT</v>
      </c>
      <c r="AW29" s="26">
        <f t="shared" si="5"/>
        <v>-2385.5134843317719</v>
      </c>
      <c r="AX29" s="26">
        <f t="shared" si="6"/>
        <v>5.2294779390751982</v>
      </c>
      <c r="AY29" s="26">
        <f t="shared" si="7"/>
        <v>0</v>
      </c>
      <c r="AZ29" s="26">
        <f t="shared" si="8"/>
        <v>0</v>
      </c>
      <c r="BA29" s="23" t="s">
        <v>268</v>
      </c>
      <c r="BB29" t="str">
        <f t="shared" si="21"/>
        <v>DOT</v>
      </c>
    </row>
    <row r="30" spans="1:54" x14ac:dyDescent="0.25">
      <c r="A30">
        <v>71</v>
      </c>
      <c r="B30" s="71">
        <v>44939.000003356479</v>
      </c>
      <c r="C30" s="14" t="s">
        <v>11</v>
      </c>
      <c r="D30" s="23" t="s">
        <v>83</v>
      </c>
      <c r="E30" s="23" t="s">
        <v>150</v>
      </c>
      <c r="F30" s="23">
        <v>24199.849819300001</v>
      </c>
      <c r="G30" s="23">
        <v>29336.8002806806</v>
      </c>
      <c r="H30" s="23">
        <v>1.21227199754288</v>
      </c>
      <c r="I30" s="23">
        <v>0</v>
      </c>
      <c r="J30" s="23" t="s">
        <v>85</v>
      </c>
      <c r="K30" s="24">
        <v>44939.000003356479</v>
      </c>
      <c r="L30" s="23">
        <v>1</v>
      </c>
      <c r="M30" s="23" t="s">
        <v>150</v>
      </c>
      <c r="N30" s="25">
        <v>0</v>
      </c>
      <c r="O30" s="26" t="str">
        <f t="shared" si="0"/>
        <v>COIN</v>
      </c>
      <c r="P30" s="26" t="str">
        <f t="shared" si="9"/>
        <v>LONG</v>
      </c>
      <c r="Q30" s="26" t="str">
        <f t="shared" si="10"/>
        <v>COIN LONG</v>
      </c>
      <c r="R30" s="26">
        <v>0</v>
      </c>
      <c r="S30" s="26">
        <v>0</v>
      </c>
      <c r="T30" s="26">
        <v>0</v>
      </c>
      <c r="U30" s="26">
        <v>0</v>
      </c>
      <c r="V30" s="23" t="str">
        <f t="shared" si="1"/>
        <v>BINE</v>
      </c>
      <c r="W30" t="str">
        <f t="shared" si="11"/>
        <v>OMG COIN LONG</v>
      </c>
      <c r="X30" s="88" t="s">
        <v>264</v>
      </c>
      <c r="Y30" s="3" t="s">
        <v>28</v>
      </c>
      <c r="Z30" s="31">
        <v>1932.5640325299973</v>
      </c>
      <c r="AA30" s="31">
        <v>587.68537643045784</v>
      </c>
      <c r="AD30" s="71">
        <f t="shared" si="12"/>
        <v>44939.000003356479</v>
      </c>
      <c r="AE30" s="14" t="str">
        <f t="shared" si="13"/>
        <v>-</v>
      </c>
      <c r="AF30" s="14" t="str">
        <f t="shared" si="14"/>
        <v>WALLET</v>
      </c>
      <c r="AG30" s="14" t="s">
        <v>28</v>
      </c>
      <c r="AH30" s="14">
        <v>1932.5640325299973</v>
      </c>
      <c r="AI30" s="14">
        <v>587.68537643045784</v>
      </c>
      <c r="AJ30" s="14">
        <f t="shared" si="15"/>
        <v>0.30409619890374101</v>
      </c>
      <c r="AK30" s="14">
        <f t="shared" si="16"/>
        <v>0</v>
      </c>
      <c r="AL30" s="14" t="str">
        <f t="shared" si="17"/>
        <v>COIN</v>
      </c>
      <c r="AM30" s="24"/>
      <c r="AN30" s="14">
        <f t="shared" si="18"/>
        <v>1</v>
      </c>
      <c r="AO30" s="14" t="str">
        <f t="shared" si="19"/>
        <v>ENJ</v>
      </c>
      <c r="AP30" s="45"/>
      <c r="AQ30" s="46"/>
      <c r="AR30" s="47"/>
      <c r="AS30" s="25">
        <f t="shared" si="2"/>
        <v>0</v>
      </c>
      <c r="AT30" s="26" t="str">
        <f t="shared" si="3"/>
        <v>COIN</v>
      </c>
      <c r="AU30" s="26" t="str">
        <f t="shared" si="20"/>
        <v>LONG</v>
      </c>
      <c r="AV30" s="26" t="str">
        <f t="shared" si="4"/>
        <v>COIN LONG</v>
      </c>
      <c r="AW30" s="26">
        <f t="shared" si="5"/>
        <v>587.68537643045784</v>
      </c>
      <c r="AX30" s="26">
        <f t="shared" si="6"/>
        <v>0.30409619890374101</v>
      </c>
      <c r="AY30" s="26">
        <f t="shared" si="7"/>
        <v>0</v>
      </c>
      <c r="AZ30" s="26">
        <f t="shared" si="8"/>
        <v>0</v>
      </c>
      <c r="BA30" s="23" t="s">
        <v>268</v>
      </c>
      <c r="BB30" t="str">
        <f t="shared" si="21"/>
        <v>ENJ</v>
      </c>
    </row>
    <row r="31" spans="1:54" x14ac:dyDescent="0.25">
      <c r="A31">
        <v>72</v>
      </c>
      <c r="B31" s="71">
        <v>44939.000003356479</v>
      </c>
      <c r="C31" s="14" t="s">
        <v>11</v>
      </c>
      <c r="D31" s="23" t="s">
        <v>83</v>
      </c>
      <c r="E31" s="23" t="s">
        <v>89</v>
      </c>
      <c r="F31" s="23">
        <v>313858.75941951998</v>
      </c>
      <c r="G31" s="23">
        <v>23011.9145554516</v>
      </c>
      <c r="H31" s="23">
        <v>7.3319331912265404E-2</v>
      </c>
      <c r="I31" s="23">
        <v>0</v>
      </c>
      <c r="J31" s="23" t="s">
        <v>85</v>
      </c>
      <c r="K31" s="24">
        <v>44939.000003356479</v>
      </c>
      <c r="L31" s="23">
        <v>1</v>
      </c>
      <c r="M31" s="23" t="s">
        <v>89</v>
      </c>
      <c r="N31" s="25">
        <v>0</v>
      </c>
      <c r="O31" s="26" t="str">
        <f t="shared" si="0"/>
        <v>COIN</v>
      </c>
      <c r="P31" s="26" t="str">
        <f t="shared" si="9"/>
        <v>LONG</v>
      </c>
      <c r="Q31" s="26" t="str">
        <f t="shared" si="10"/>
        <v>COIN LONG</v>
      </c>
      <c r="R31" s="26">
        <v>0</v>
      </c>
      <c r="S31" s="26">
        <v>0</v>
      </c>
      <c r="T31" s="26">
        <v>0</v>
      </c>
      <c r="U31" s="26">
        <v>0</v>
      </c>
      <c r="V31" s="23" t="str">
        <f t="shared" si="1"/>
        <v>BINE</v>
      </c>
      <c r="W31" t="str">
        <f t="shared" si="11"/>
        <v>OXT COIN LONG</v>
      </c>
      <c r="X31" s="88" t="s">
        <v>264</v>
      </c>
      <c r="Y31" s="3" t="s">
        <v>23</v>
      </c>
      <c r="Z31" s="31">
        <v>773075.55244513147</v>
      </c>
      <c r="AA31" s="31">
        <v>765532.24981215771</v>
      </c>
      <c r="AD31" s="71">
        <f t="shared" si="12"/>
        <v>44939.000003356479</v>
      </c>
      <c r="AE31" s="14" t="str">
        <f t="shared" si="13"/>
        <v>-</v>
      </c>
      <c r="AF31" s="14" t="str">
        <f t="shared" si="14"/>
        <v>WALLET</v>
      </c>
      <c r="AG31" s="14" t="s">
        <v>23</v>
      </c>
      <c r="AH31" s="14">
        <v>773075.55244513147</v>
      </c>
      <c r="AI31" s="14">
        <v>765532.24981215771</v>
      </c>
      <c r="AJ31" s="14">
        <f t="shared" si="15"/>
        <v>0.99024247680693644</v>
      </c>
      <c r="AK31" s="14">
        <f t="shared" si="16"/>
        <v>0</v>
      </c>
      <c r="AL31" s="14" t="str">
        <f t="shared" si="17"/>
        <v>COIN</v>
      </c>
      <c r="AM31" s="24"/>
      <c r="AN31" s="14">
        <f t="shared" si="18"/>
        <v>1</v>
      </c>
      <c r="AO31" s="14" t="str">
        <f t="shared" si="19"/>
        <v>EOS</v>
      </c>
      <c r="AP31" s="45"/>
      <c r="AQ31" s="46"/>
      <c r="AR31" s="47"/>
      <c r="AS31" s="25">
        <f t="shared" si="2"/>
        <v>0</v>
      </c>
      <c r="AT31" s="26" t="str">
        <f t="shared" si="3"/>
        <v>COIN</v>
      </c>
      <c r="AU31" s="26" t="str">
        <f t="shared" si="20"/>
        <v>LONG</v>
      </c>
      <c r="AV31" s="26" t="str">
        <f t="shared" si="4"/>
        <v>COIN LONG</v>
      </c>
      <c r="AW31" s="26">
        <f t="shared" si="5"/>
        <v>765532.24981215771</v>
      </c>
      <c r="AX31" s="26">
        <f t="shared" si="6"/>
        <v>0.99024247680693644</v>
      </c>
      <c r="AY31" s="26">
        <f t="shared" si="7"/>
        <v>0</v>
      </c>
      <c r="AZ31" s="26">
        <f t="shared" si="8"/>
        <v>0</v>
      </c>
      <c r="BA31" s="23" t="s">
        <v>268</v>
      </c>
      <c r="BB31" t="str">
        <f t="shared" si="21"/>
        <v>EOS</v>
      </c>
    </row>
    <row r="32" spans="1:54" x14ac:dyDescent="0.25">
      <c r="A32">
        <v>73</v>
      </c>
      <c r="B32" s="71">
        <v>44939.000003356479</v>
      </c>
      <c r="C32" s="14" t="s">
        <v>11</v>
      </c>
      <c r="D32" s="23" t="s">
        <v>83</v>
      </c>
      <c r="E32" s="23" t="s">
        <v>37</v>
      </c>
      <c r="F32" s="23">
        <v>81762615062.479996</v>
      </c>
      <c r="G32" s="23">
        <v>774405.07018634095</v>
      </c>
      <c r="H32" s="23">
        <v>9.4713833405960602E-6</v>
      </c>
      <c r="I32" s="23">
        <v>0</v>
      </c>
      <c r="J32" s="23" t="s">
        <v>85</v>
      </c>
      <c r="K32" s="24">
        <v>44939.000003356479</v>
      </c>
      <c r="L32" s="23">
        <v>1</v>
      </c>
      <c r="M32" s="23" t="s">
        <v>37</v>
      </c>
      <c r="N32" s="25">
        <v>0</v>
      </c>
      <c r="O32" s="26" t="str">
        <f t="shared" si="0"/>
        <v>COIN</v>
      </c>
      <c r="P32" s="26" t="str">
        <f t="shared" si="9"/>
        <v>LONG</v>
      </c>
      <c r="Q32" s="26" t="str">
        <f t="shared" si="10"/>
        <v>COIN LONG</v>
      </c>
      <c r="R32" s="26">
        <v>0</v>
      </c>
      <c r="S32" s="26">
        <v>0</v>
      </c>
      <c r="T32" s="26">
        <v>0</v>
      </c>
      <c r="U32" s="26">
        <v>0</v>
      </c>
      <c r="V32" s="23" t="str">
        <f t="shared" si="1"/>
        <v>BINE</v>
      </c>
      <c r="W32" t="str">
        <f t="shared" si="11"/>
        <v>SHIB COIN LONG</v>
      </c>
      <c r="X32" s="88" t="s">
        <v>264</v>
      </c>
      <c r="Y32" s="3" t="s">
        <v>29</v>
      </c>
      <c r="Z32" s="31">
        <v>97705.161936399891</v>
      </c>
      <c r="AA32" s="31">
        <v>2043772.9540111423</v>
      </c>
      <c r="AD32" s="71">
        <f t="shared" si="12"/>
        <v>44939.000003356479</v>
      </c>
      <c r="AE32" s="14" t="str">
        <f t="shared" si="13"/>
        <v>-</v>
      </c>
      <c r="AF32" s="14" t="str">
        <f t="shared" si="14"/>
        <v>WALLET</v>
      </c>
      <c r="AG32" s="14" t="s">
        <v>29</v>
      </c>
      <c r="AH32" s="14">
        <v>97705.161936399891</v>
      </c>
      <c r="AI32" s="14">
        <v>2043772.9540111423</v>
      </c>
      <c r="AJ32" s="14">
        <f t="shared" si="15"/>
        <v>20.917758217744051</v>
      </c>
      <c r="AK32" s="14">
        <f t="shared" si="16"/>
        <v>0</v>
      </c>
      <c r="AL32" s="14" t="str">
        <f t="shared" si="17"/>
        <v>COIN</v>
      </c>
      <c r="AM32" s="24"/>
      <c r="AN32" s="14">
        <f t="shared" si="18"/>
        <v>1</v>
      </c>
      <c r="AO32" s="14" t="str">
        <f t="shared" si="19"/>
        <v>ETC</v>
      </c>
      <c r="AP32" s="45"/>
      <c r="AQ32" s="46"/>
      <c r="AR32" s="47"/>
      <c r="AS32" s="25">
        <f t="shared" si="2"/>
        <v>0</v>
      </c>
      <c r="AT32" s="26" t="str">
        <f t="shared" si="3"/>
        <v>COIN</v>
      </c>
      <c r="AU32" s="26" t="str">
        <f t="shared" si="20"/>
        <v>LONG</v>
      </c>
      <c r="AV32" s="26" t="str">
        <f t="shared" si="4"/>
        <v>COIN LONG</v>
      </c>
      <c r="AW32" s="26">
        <f t="shared" si="5"/>
        <v>2043772.9540111423</v>
      </c>
      <c r="AX32" s="26">
        <f t="shared" si="6"/>
        <v>20.917758217744051</v>
      </c>
      <c r="AY32" s="26">
        <f t="shared" si="7"/>
        <v>0</v>
      </c>
      <c r="AZ32" s="26">
        <f t="shared" si="8"/>
        <v>0</v>
      </c>
      <c r="BA32" s="23" t="s">
        <v>268</v>
      </c>
      <c r="BB32" t="str">
        <f t="shared" si="21"/>
        <v>ETC</v>
      </c>
    </row>
    <row r="33" spans="1:54" x14ac:dyDescent="0.25">
      <c r="A33">
        <v>74</v>
      </c>
      <c r="B33" s="71">
        <v>44939.000003356479</v>
      </c>
      <c r="C33" s="14" t="s">
        <v>11</v>
      </c>
      <c r="D33" s="23" t="s">
        <v>83</v>
      </c>
      <c r="E33" s="23" t="s">
        <v>154</v>
      </c>
      <c r="F33" s="23">
        <v>5426.8777341900004</v>
      </c>
      <c r="G33" s="23">
        <v>90189.520912775901</v>
      </c>
      <c r="H33" s="23">
        <v>16.6190441963655</v>
      </c>
      <c r="I33" s="23">
        <v>0</v>
      </c>
      <c r="J33" s="23" t="s">
        <v>85</v>
      </c>
      <c r="K33" s="24">
        <v>44939.000003356479</v>
      </c>
      <c r="L33" s="23">
        <v>1</v>
      </c>
      <c r="M33" s="23" t="s">
        <v>154</v>
      </c>
      <c r="N33" s="25">
        <v>0</v>
      </c>
      <c r="O33" s="26" t="str">
        <f t="shared" si="0"/>
        <v>COIN</v>
      </c>
      <c r="P33" s="26" t="str">
        <f t="shared" si="9"/>
        <v>LONG</v>
      </c>
      <c r="Q33" s="26" t="str">
        <f t="shared" si="10"/>
        <v>COIN LONG</v>
      </c>
      <c r="R33" s="26">
        <v>0</v>
      </c>
      <c r="S33" s="26">
        <v>0</v>
      </c>
      <c r="T33" s="26">
        <v>0</v>
      </c>
      <c r="U33" s="26">
        <v>0</v>
      </c>
      <c r="V33" s="23" t="str">
        <f t="shared" si="1"/>
        <v>BINE</v>
      </c>
      <c r="W33" t="str">
        <f t="shared" si="11"/>
        <v>SOL COIN LONG</v>
      </c>
      <c r="X33" s="88" t="s">
        <v>264</v>
      </c>
      <c r="Y33" s="3" t="s">
        <v>15</v>
      </c>
      <c r="Z33" s="31">
        <v>6098.8714269800066</v>
      </c>
      <c r="AA33" s="31">
        <v>8647824.7438172642</v>
      </c>
      <c r="AD33" s="71">
        <f t="shared" si="12"/>
        <v>44939.000003356479</v>
      </c>
      <c r="AE33" s="14" t="str">
        <f t="shared" si="13"/>
        <v>-</v>
      </c>
      <c r="AF33" s="14" t="str">
        <f t="shared" si="14"/>
        <v>WALLET</v>
      </c>
      <c r="AG33" s="14" t="s">
        <v>15</v>
      </c>
      <c r="AH33" s="14">
        <v>6098.8714269800066</v>
      </c>
      <c r="AI33" s="14">
        <v>8647824.7438172642</v>
      </c>
      <c r="AJ33" s="14">
        <f t="shared" si="15"/>
        <v>1417.9385231112224</v>
      </c>
      <c r="AK33" s="14">
        <f t="shared" si="16"/>
        <v>0</v>
      </c>
      <c r="AL33" s="14" t="str">
        <f t="shared" si="17"/>
        <v>COIN</v>
      </c>
      <c r="AM33" s="24"/>
      <c r="AN33" s="14">
        <f t="shared" si="18"/>
        <v>1</v>
      </c>
      <c r="AO33" s="14" t="str">
        <f t="shared" si="19"/>
        <v>ETH</v>
      </c>
      <c r="AP33" s="45"/>
      <c r="AQ33" s="46"/>
      <c r="AR33" s="47"/>
      <c r="AS33" s="25">
        <f t="shared" si="2"/>
        <v>0</v>
      </c>
      <c r="AT33" s="26" t="str">
        <f t="shared" si="3"/>
        <v>COIN</v>
      </c>
      <c r="AU33" s="26" t="str">
        <f t="shared" si="20"/>
        <v>LONG</v>
      </c>
      <c r="AV33" s="26" t="str">
        <f t="shared" si="4"/>
        <v>COIN LONG</v>
      </c>
      <c r="AW33" s="26">
        <f t="shared" si="5"/>
        <v>8647824.7438172642</v>
      </c>
      <c r="AX33" s="26">
        <f t="shared" si="6"/>
        <v>1417.9385231112224</v>
      </c>
      <c r="AY33" s="26">
        <f t="shared" si="7"/>
        <v>0</v>
      </c>
      <c r="AZ33" s="26">
        <f t="shared" si="8"/>
        <v>0</v>
      </c>
      <c r="BA33" s="23" t="s">
        <v>268</v>
      </c>
      <c r="BB33" t="str">
        <f t="shared" si="21"/>
        <v>ETH</v>
      </c>
    </row>
    <row r="34" spans="1:54" x14ac:dyDescent="0.25">
      <c r="A34">
        <v>75</v>
      </c>
      <c r="B34" s="71">
        <v>44939.000003356479</v>
      </c>
      <c r="C34" s="14" t="s">
        <v>11</v>
      </c>
      <c r="D34" s="23" t="s">
        <v>83</v>
      </c>
      <c r="E34" s="23" t="s">
        <v>414</v>
      </c>
      <c r="F34" s="23">
        <v>20883.602943549999</v>
      </c>
      <c r="G34" s="23">
        <v>23759.057496110101</v>
      </c>
      <c r="H34" s="23">
        <v>1.1376895816460699</v>
      </c>
      <c r="I34" s="23">
        <v>0</v>
      </c>
      <c r="J34" s="23" t="s">
        <v>85</v>
      </c>
      <c r="K34" s="24">
        <v>44939.000003356479</v>
      </c>
      <c r="L34" s="23">
        <v>1</v>
      </c>
      <c r="M34" s="23" t="s">
        <v>414</v>
      </c>
      <c r="N34" s="25">
        <v>0</v>
      </c>
      <c r="O34" s="26" t="str">
        <f t="shared" si="0"/>
        <v>COIN</v>
      </c>
      <c r="P34" s="26" t="str">
        <f t="shared" si="9"/>
        <v>LONG</v>
      </c>
      <c r="Q34" s="26" t="str">
        <f t="shared" si="10"/>
        <v>COIN LONG</v>
      </c>
      <c r="R34" s="26">
        <v>0</v>
      </c>
      <c r="S34" s="26">
        <v>0</v>
      </c>
      <c r="T34" s="26">
        <v>0</v>
      </c>
      <c r="U34" s="26">
        <v>0</v>
      </c>
      <c r="V34" s="23" t="str">
        <f t="shared" si="1"/>
        <v>BINE</v>
      </c>
      <c r="W34" t="str">
        <f t="shared" si="11"/>
        <v>SUSHI COIN LONG</v>
      </c>
      <c r="X34" s="88" t="s">
        <v>264</v>
      </c>
      <c r="Y34" s="3" t="s">
        <v>290</v>
      </c>
      <c r="Z34" s="31">
        <v>9823.8374246499989</v>
      </c>
      <c r="AA34" s="31">
        <v>3355.0192806686136</v>
      </c>
      <c r="AD34" s="71">
        <f t="shared" si="12"/>
        <v>44939.000003356479</v>
      </c>
      <c r="AE34" s="14" t="str">
        <f t="shared" si="13"/>
        <v>-</v>
      </c>
      <c r="AF34" s="14" t="str">
        <f t="shared" si="14"/>
        <v>WALLET</v>
      </c>
      <c r="AG34" s="14" t="s">
        <v>290</v>
      </c>
      <c r="AH34" s="14">
        <v>9823.8374246499989</v>
      </c>
      <c r="AI34" s="14">
        <v>3355.0192806686136</v>
      </c>
      <c r="AJ34" s="14">
        <f t="shared" si="15"/>
        <v>0.34151820064226535</v>
      </c>
      <c r="AK34" s="14">
        <f t="shared" si="16"/>
        <v>0</v>
      </c>
      <c r="AL34" s="14" t="str">
        <f t="shared" si="17"/>
        <v>COIN</v>
      </c>
      <c r="AM34" s="24"/>
      <c r="AN34" s="14">
        <f t="shared" si="18"/>
        <v>1</v>
      </c>
      <c r="AO34" s="14" t="str">
        <f t="shared" si="19"/>
        <v>ETHF</v>
      </c>
      <c r="AP34" s="45"/>
      <c r="AQ34" s="46"/>
      <c r="AR34" s="47"/>
      <c r="AS34" s="25">
        <f t="shared" si="2"/>
        <v>0</v>
      </c>
      <c r="AT34" s="26" t="str">
        <f t="shared" ref="AT34:AT65" si="22">IF(OR($AG34="USD",AG34="EUR"),"CASH","COIN")</f>
        <v>COIN</v>
      </c>
      <c r="AU34" s="26" t="str">
        <f t="shared" si="20"/>
        <v>LONG</v>
      </c>
      <c r="AV34" s="26" t="str">
        <f t="shared" ref="AV34:AV65" si="23">IF($AE34="","",$AT34&amp;" "&amp;$AU34)</f>
        <v>COIN LONG</v>
      </c>
      <c r="AW34" s="26">
        <f t="shared" ref="AW34:AW65" si="24">IF($AE34="","",$AI34*(1+$AY34))</f>
        <v>3355.0192806686136</v>
      </c>
      <c r="AX34" s="26">
        <f t="shared" ref="AX34:AX65" si="25">IF($AE34="","",$AJ34*(1+$AY34))</f>
        <v>0.34151820064226535</v>
      </c>
      <c r="AY34" s="26">
        <f t="shared" si="7"/>
        <v>0</v>
      </c>
      <c r="AZ34" s="26">
        <f t="shared" ref="AZ34:AZ65" si="26">IF($AE34="","",$AI34-$AW34)</f>
        <v>0</v>
      </c>
      <c r="BA34" s="23" t="s">
        <v>268</v>
      </c>
      <c r="BB34" t="str">
        <f t="shared" si="21"/>
        <v>ETHF</v>
      </c>
    </row>
    <row r="35" spans="1:54" x14ac:dyDescent="0.25">
      <c r="A35">
        <v>76</v>
      </c>
      <c r="B35" s="71">
        <v>44939.000003356479</v>
      </c>
      <c r="C35" s="14" t="s">
        <v>11</v>
      </c>
      <c r="D35" s="23" t="s">
        <v>83</v>
      </c>
      <c r="E35" s="23" t="s">
        <v>159</v>
      </c>
      <c r="F35" s="23">
        <v>5710.7047593899997</v>
      </c>
      <c r="G35" s="23">
        <v>35254.357869090498</v>
      </c>
      <c r="H35" s="23">
        <v>6.1733812820777398</v>
      </c>
      <c r="I35" s="23">
        <v>0</v>
      </c>
      <c r="J35" s="23" t="s">
        <v>85</v>
      </c>
      <c r="K35" s="24">
        <v>44939.000003356479</v>
      </c>
      <c r="L35" s="23">
        <v>1</v>
      </c>
      <c r="M35" s="23" t="s">
        <v>159</v>
      </c>
      <c r="N35" s="25">
        <v>0</v>
      </c>
      <c r="O35" s="26" t="str">
        <f t="shared" si="0"/>
        <v>COIN</v>
      </c>
      <c r="P35" s="26" t="str">
        <f t="shared" si="9"/>
        <v>LONG</v>
      </c>
      <c r="Q35" s="26" t="str">
        <f t="shared" si="10"/>
        <v>COIN LONG</v>
      </c>
      <c r="R35" s="26">
        <v>0</v>
      </c>
      <c r="S35" s="26">
        <v>0</v>
      </c>
      <c r="T35" s="26">
        <v>0</v>
      </c>
      <c r="U35" s="26">
        <v>0</v>
      </c>
      <c r="V35" s="23" t="str">
        <f t="shared" si="1"/>
        <v>BINE</v>
      </c>
      <c r="W35" t="str">
        <f t="shared" si="11"/>
        <v>UNI COIN LONG</v>
      </c>
      <c r="X35" s="88" t="s">
        <v>264</v>
      </c>
      <c r="Y35" s="3" t="s">
        <v>272</v>
      </c>
      <c r="Z35" s="31">
        <v>4732.5387514900003</v>
      </c>
      <c r="AA35" s="31">
        <v>16251.980146977308</v>
      </c>
      <c r="AD35" s="71">
        <f t="shared" si="12"/>
        <v>44939.000003356479</v>
      </c>
      <c r="AE35" s="14" t="str">
        <f t="shared" si="13"/>
        <v>-</v>
      </c>
      <c r="AF35" s="14" t="str">
        <f t="shared" si="14"/>
        <v>WALLET</v>
      </c>
      <c r="AG35" s="14" t="s">
        <v>272</v>
      </c>
      <c r="AH35" s="14">
        <v>4732.5387514900003</v>
      </c>
      <c r="AI35" s="14">
        <v>16251.980146977308</v>
      </c>
      <c r="AJ35" s="14">
        <f t="shared" si="15"/>
        <v>3.4340934116726478</v>
      </c>
      <c r="AK35" s="14">
        <f t="shared" si="16"/>
        <v>0</v>
      </c>
      <c r="AL35" s="14" t="str">
        <f t="shared" si="17"/>
        <v>COIN</v>
      </c>
      <c r="AM35" s="24"/>
      <c r="AN35" s="14">
        <f t="shared" si="18"/>
        <v>1</v>
      </c>
      <c r="AO35" s="14" t="str">
        <f t="shared" si="19"/>
        <v>ETHW</v>
      </c>
      <c r="AP35" s="45"/>
      <c r="AQ35" s="46"/>
      <c r="AR35" s="47"/>
      <c r="AS35" s="25">
        <f t="shared" si="2"/>
        <v>0</v>
      </c>
      <c r="AT35" s="26" t="str">
        <f t="shared" si="22"/>
        <v>COIN</v>
      </c>
      <c r="AU35" s="26" t="str">
        <f t="shared" si="20"/>
        <v>LONG</v>
      </c>
      <c r="AV35" s="26" t="str">
        <f t="shared" si="23"/>
        <v>COIN LONG</v>
      </c>
      <c r="AW35" s="26">
        <f t="shared" si="24"/>
        <v>16251.980146977308</v>
      </c>
      <c r="AX35" s="26">
        <f t="shared" si="25"/>
        <v>3.4340934116726478</v>
      </c>
      <c r="AY35" s="26">
        <f t="shared" si="7"/>
        <v>0</v>
      </c>
      <c r="AZ35" s="26">
        <f t="shared" si="26"/>
        <v>0</v>
      </c>
      <c r="BA35" s="23" t="s">
        <v>268</v>
      </c>
      <c r="BB35" t="str">
        <f t="shared" si="21"/>
        <v>ETHW</v>
      </c>
    </row>
    <row r="36" spans="1:54" x14ac:dyDescent="0.25">
      <c r="A36">
        <v>77</v>
      </c>
      <c r="B36" s="71">
        <v>44939.000003356479</v>
      </c>
      <c r="C36" s="14" t="s">
        <v>11</v>
      </c>
      <c r="D36" s="23" t="s">
        <v>83</v>
      </c>
      <c r="E36" s="23" t="s">
        <v>38</v>
      </c>
      <c r="F36" s="23">
        <v>618871.51817801001</v>
      </c>
      <c r="G36" s="23">
        <v>618928.48479657702</v>
      </c>
      <c r="H36" s="23">
        <v>1.00009204918451</v>
      </c>
      <c r="I36" s="23">
        <v>0</v>
      </c>
      <c r="J36" s="23" t="s">
        <v>85</v>
      </c>
      <c r="K36" s="24">
        <v>44939.000003356479</v>
      </c>
      <c r="L36" s="23">
        <v>1</v>
      </c>
      <c r="M36" s="23" t="s">
        <v>38</v>
      </c>
      <c r="N36" s="25">
        <v>0</v>
      </c>
      <c r="O36" s="26" t="str">
        <f t="shared" si="0"/>
        <v>COIN</v>
      </c>
      <c r="P36" s="26" t="str">
        <f t="shared" si="9"/>
        <v>LONG</v>
      </c>
      <c r="Q36" s="26" t="str">
        <f t="shared" si="10"/>
        <v>COIN LONG</v>
      </c>
      <c r="R36" s="26">
        <v>0</v>
      </c>
      <c r="S36" s="26">
        <v>0</v>
      </c>
      <c r="T36" s="26">
        <v>0</v>
      </c>
      <c r="U36" s="26">
        <v>0</v>
      </c>
      <c r="V36" s="23" t="str">
        <f t="shared" si="1"/>
        <v>BINE</v>
      </c>
      <c r="W36" t="str">
        <f t="shared" si="11"/>
        <v>USDT COIN LONG</v>
      </c>
      <c r="X36" s="88" t="s">
        <v>264</v>
      </c>
      <c r="Y36" s="3" t="s">
        <v>107</v>
      </c>
      <c r="Z36" s="31">
        <v>799777.39938650001</v>
      </c>
      <c r="AA36" s="31">
        <v>867934.42936221696</v>
      </c>
      <c r="AD36" s="71">
        <f t="shared" si="12"/>
        <v>44939.000003356479</v>
      </c>
      <c r="AE36" s="14" t="str">
        <f t="shared" si="13"/>
        <v>-</v>
      </c>
      <c r="AF36" s="14" t="str">
        <f t="shared" si="14"/>
        <v>WALLET</v>
      </c>
      <c r="AG36" s="14" t="s">
        <v>107</v>
      </c>
      <c r="AH36" s="14">
        <v>799777.39938650001</v>
      </c>
      <c r="AI36" s="14">
        <v>867934.42936221696</v>
      </c>
      <c r="AJ36" s="14">
        <f t="shared" si="15"/>
        <v>1.0852199999999992</v>
      </c>
      <c r="AK36" s="14">
        <f t="shared" si="16"/>
        <v>0</v>
      </c>
      <c r="AL36" s="14" t="str">
        <f t="shared" si="17"/>
        <v>CASH</v>
      </c>
      <c r="AM36" s="24"/>
      <c r="AN36" s="14">
        <f t="shared" si="18"/>
        <v>1</v>
      </c>
      <c r="AO36" s="14" t="str">
        <f t="shared" si="19"/>
        <v>EUR</v>
      </c>
      <c r="AP36" s="45"/>
      <c r="AQ36" s="46"/>
      <c r="AR36" s="47"/>
      <c r="AS36" s="25">
        <f t="shared" si="2"/>
        <v>0</v>
      </c>
      <c r="AT36" s="26" t="str">
        <f t="shared" si="22"/>
        <v>CASH</v>
      </c>
      <c r="AU36" s="26" t="str">
        <f t="shared" si="20"/>
        <v>LONG</v>
      </c>
      <c r="AV36" s="26" t="str">
        <f t="shared" si="23"/>
        <v>CASH LONG</v>
      </c>
      <c r="AW36" s="26">
        <f t="shared" si="24"/>
        <v>867934.42936221696</v>
      </c>
      <c r="AX36" s="26">
        <f t="shared" si="25"/>
        <v>1.0852199999999992</v>
      </c>
      <c r="AY36" s="26">
        <f t="shared" si="7"/>
        <v>0</v>
      </c>
      <c r="AZ36" s="26">
        <f t="shared" si="26"/>
        <v>0</v>
      </c>
      <c r="BA36" s="23" t="s">
        <v>268</v>
      </c>
      <c r="BB36" t="str">
        <f t="shared" si="21"/>
        <v>EUR</v>
      </c>
    </row>
    <row r="37" spans="1:54" x14ac:dyDescent="0.25">
      <c r="A37">
        <v>78</v>
      </c>
      <c r="B37" s="71">
        <v>44939.000003356479</v>
      </c>
      <c r="C37" s="14" t="s">
        <v>11</v>
      </c>
      <c r="D37" s="23" t="s">
        <v>83</v>
      </c>
      <c r="E37" s="23" t="s">
        <v>163</v>
      </c>
      <c r="F37" s="23">
        <v>877798.90472430002</v>
      </c>
      <c r="G37" s="23">
        <v>71666.824089438407</v>
      </c>
      <c r="H37" s="23">
        <v>8.1643783905093401E-2</v>
      </c>
      <c r="I37" s="23">
        <v>0</v>
      </c>
      <c r="J37" s="23" t="s">
        <v>85</v>
      </c>
      <c r="K37" s="24">
        <v>44939.000003356479</v>
      </c>
      <c r="L37" s="23">
        <v>1</v>
      </c>
      <c r="M37" s="23" t="s">
        <v>163</v>
      </c>
      <c r="N37" s="25">
        <v>0</v>
      </c>
      <c r="O37" s="26" t="str">
        <f t="shared" si="0"/>
        <v>COIN</v>
      </c>
      <c r="P37" s="26" t="str">
        <f t="shared" si="9"/>
        <v>LONG</v>
      </c>
      <c r="Q37" s="26" t="str">
        <f t="shared" si="10"/>
        <v>COIN LONG</v>
      </c>
      <c r="R37" s="26">
        <v>0</v>
      </c>
      <c r="S37" s="26">
        <v>0</v>
      </c>
      <c r="T37" s="26">
        <v>0</v>
      </c>
      <c r="U37" s="26">
        <v>0</v>
      </c>
      <c r="V37" s="23" t="str">
        <f t="shared" si="1"/>
        <v>BINE</v>
      </c>
      <c r="W37" t="str">
        <f t="shared" si="11"/>
        <v>XLM COIN LONG</v>
      </c>
      <c r="X37" s="88" t="s">
        <v>264</v>
      </c>
      <c r="Y37" s="3" t="s">
        <v>258</v>
      </c>
      <c r="Z37" s="31">
        <v>-14658148.713035181</v>
      </c>
      <c r="AA37" s="31">
        <v>-15897685.982357444</v>
      </c>
      <c r="AD37" s="71">
        <f t="shared" si="12"/>
        <v>44939.000003356479</v>
      </c>
      <c r="AE37" s="14" t="str">
        <f t="shared" si="13"/>
        <v>-</v>
      </c>
      <c r="AF37" s="14" t="str">
        <f t="shared" si="14"/>
        <v>WALLET</v>
      </c>
      <c r="AG37" s="14" t="s">
        <v>258</v>
      </c>
      <c r="AH37" s="14">
        <v>-14658148.713035181</v>
      </c>
      <c r="AI37" s="14">
        <v>-15897685.982357444</v>
      </c>
      <c r="AJ37" s="14">
        <f t="shared" si="15"/>
        <v>1.0845630163528064</v>
      </c>
      <c r="AK37" s="14">
        <f t="shared" si="16"/>
        <v>0</v>
      </c>
      <c r="AL37" s="14" t="str">
        <f t="shared" si="17"/>
        <v>COIN</v>
      </c>
      <c r="AM37" s="24"/>
      <c r="AN37" s="14">
        <f t="shared" si="18"/>
        <v>1</v>
      </c>
      <c r="AO37" s="14" t="str">
        <f t="shared" si="19"/>
        <v>EUROC</v>
      </c>
      <c r="AP37" s="45"/>
      <c r="AQ37" s="46"/>
      <c r="AR37" s="47"/>
      <c r="AS37" s="25">
        <f t="shared" si="2"/>
        <v>0</v>
      </c>
      <c r="AT37" s="26" t="str">
        <f t="shared" si="22"/>
        <v>COIN</v>
      </c>
      <c r="AU37" s="26" t="str">
        <f t="shared" si="20"/>
        <v>SHORT</v>
      </c>
      <c r="AV37" s="26" t="str">
        <f t="shared" si="23"/>
        <v>COIN SHORT</v>
      </c>
      <c r="AW37" s="26">
        <f t="shared" si="24"/>
        <v>-15897685.982357444</v>
      </c>
      <c r="AX37" s="26">
        <f t="shared" si="25"/>
        <v>1.0845630163528064</v>
      </c>
      <c r="AY37" s="26">
        <f t="shared" si="7"/>
        <v>0</v>
      </c>
      <c r="AZ37" s="26">
        <f t="shared" si="26"/>
        <v>0</v>
      </c>
      <c r="BA37" s="23" t="s">
        <v>268</v>
      </c>
      <c r="BB37" t="str">
        <f t="shared" si="21"/>
        <v>EUROC</v>
      </c>
    </row>
    <row r="38" spans="1:54" x14ac:dyDescent="0.25">
      <c r="A38">
        <v>79</v>
      </c>
      <c r="B38" s="71">
        <v>44939.000003356479</v>
      </c>
      <c r="C38" s="14" t="s">
        <v>11</v>
      </c>
      <c r="D38" s="23" t="s">
        <v>83</v>
      </c>
      <c r="E38" s="23" t="s">
        <v>99</v>
      </c>
      <c r="F38" s="23">
        <v>30000</v>
      </c>
      <c r="G38" s="23">
        <v>11255.914267257</v>
      </c>
      <c r="H38" s="23">
        <v>0.37519714224190098</v>
      </c>
      <c r="I38" s="23">
        <v>0</v>
      </c>
      <c r="J38" s="23" t="s">
        <v>85</v>
      </c>
      <c r="K38" s="24">
        <v>44939.000003356479</v>
      </c>
      <c r="L38" s="23">
        <v>1</v>
      </c>
      <c r="M38" s="23" t="s">
        <v>99</v>
      </c>
      <c r="N38" s="25">
        <v>0</v>
      </c>
      <c r="O38" s="26" t="str">
        <f t="shared" si="0"/>
        <v>COIN</v>
      </c>
      <c r="P38" s="26" t="str">
        <f t="shared" si="9"/>
        <v>LONG</v>
      </c>
      <c r="Q38" s="26" t="str">
        <f t="shared" si="10"/>
        <v>COIN LONG</v>
      </c>
      <c r="R38" s="26">
        <v>0</v>
      </c>
      <c r="S38" s="26">
        <v>0</v>
      </c>
      <c r="T38" s="26">
        <v>0</v>
      </c>
      <c r="U38" s="26">
        <v>0</v>
      </c>
      <c r="V38" s="23" t="str">
        <f t="shared" si="1"/>
        <v>BINE</v>
      </c>
      <c r="W38" t="str">
        <f t="shared" si="11"/>
        <v>XRP COIN LONG</v>
      </c>
      <c r="X38" s="88" t="s">
        <v>264</v>
      </c>
      <c r="Y38" s="3" t="s">
        <v>30</v>
      </c>
      <c r="Z38" s="31">
        <v>1.1855028299999999</v>
      </c>
      <c r="AA38" s="31">
        <v>4.5680565118387095</v>
      </c>
      <c r="AD38" s="71">
        <f t="shared" si="12"/>
        <v>44939.000003356479</v>
      </c>
      <c r="AE38" s="14" t="str">
        <f t="shared" si="13"/>
        <v>-</v>
      </c>
      <c r="AF38" s="14" t="str">
        <f t="shared" si="14"/>
        <v>WALLET</v>
      </c>
      <c r="AG38" s="14" t="s">
        <v>30</v>
      </c>
      <c r="AH38" s="14">
        <v>1.1855028299999999</v>
      </c>
      <c r="AI38" s="14">
        <v>4.5680565118387095</v>
      </c>
      <c r="AJ38" s="14">
        <f t="shared" si="15"/>
        <v>3.8532649574853481</v>
      </c>
      <c r="AK38" s="14">
        <f t="shared" si="16"/>
        <v>0</v>
      </c>
      <c r="AL38" s="14" t="str">
        <f t="shared" si="17"/>
        <v>COIN</v>
      </c>
      <c r="AM38" s="24"/>
      <c r="AN38" s="14">
        <f t="shared" si="18"/>
        <v>1</v>
      </c>
      <c r="AO38" s="14" t="str">
        <f t="shared" si="19"/>
        <v>FIL</v>
      </c>
      <c r="AP38" s="45"/>
      <c r="AQ38" s="46"/>
      <c r="AR38" s="47"/>
      <c r="AS38" s="25">
        <f t="shared" si="2"/>
        <v>0</v>
      </c>
      <c r="AT38" s="26" t="str">
        <f t="shared" si="22"/>
        <v>COIN</v>
      </c>
      <c r="AU38" s="26" t="str">
        <f t="shared" si="20"/>
        <v>LONG</v>
      </c>
      <c r="AV38" s="26" t="str">
        <f t="shared" si="23"/>
        <v>COIN LONG</v>
      </c>
      <c r="AW38" s="26">
        <f t="shared" si="24"/>
        <v>4.5680565118387095</v>
      </c>
      <c r="AX38" s="26">
        <f t="shared" si="25"/>
        <v>3.8532649574853481</v>
      </c>
      <c r="AY38" s="26">
        <f t="shared" si="7"/>
        <v>0</v>
      </c>
      <c r="AZ38" s="26">
        <f t="shared" si="26"/>
        <v>0</v>
      </c>
      <c r="BA38" s="23" t="s">
        <v>268</v>
      </c>
      <c r="BB38" t="str">
        <f t="shared" si="21"/>
        <v>FIL</v>
      </c>
    </row>
    <row r="39" spans="1:54" x14ac:dyDescent="0.25">
      <c r="A39">
        <v>80</v>
      </c>
      <c r="B39" s="71">
        <v>44939.000003356479</v>
      </c>
      <c r="C39" s="14" t="s">
        <v>11</v>
      </c>
      <c r="D39" s="23" t="s">
        <v>83</v>
      </c>
      <c r="E39" s="23" t="s">
        <v>164</v>
      </c>
      <c r="F39" s="23">
        <v>62752.228199999998</v>
      </c>
      <c r="G39" s="23">
        <v>55801.153984328099</v>
      </c>
      <c r="H39" s="23">
        <v>0.88922984226921997</v>
      </c>
      <c r="I39" s="23">
        <v>0</v>
      </c>
      <c r="J39" s="23" t="s">
        <v>85</v>
      </c>
      <c r="K39" s="24">
        <v>44939.000003356479</v>
      </c>
      <c r="L39" s="23">
        <v>1</v>
      </c>
      <c r="M39" s="23" t="s">
        <v>164</v>
      </c>
      <c r="N39" s="25">
        <v>0</v>
      </c>
      <c r="O39" s="26" t="str">
        <f t="shared" si="0"/>
        <v>COIN</v>
      </c>
      <c r="P39" s="26" t="str">
        <f t="shared" si="9"/>
        <v>LONG</v>
      </c>
      <c r="Q39" s="26" t="str">
        <f t="shared" si="10"/>
        <v>COIN LONG</v>
      </c>
      <c r="R39" s="26">
        <v>0</v>
      </c>
      <c r="S39" s="26">
        <v>0</v>
      </c>
      <c r="T39" s="26">
        <v>0</v>
      </c>
      <c r="U39" s="26">
        <v>0</v>
      </c>
      <c r="V39" s="23" t="str">
        <f t="shared" si="1"/>
        <v>BINE</v>
      </c>
      <c r="W39" t="str">
        <f t="shared" si="11"/>
        <v>XTZ COIN LONG</v>
      </c>
      <c r="X39" s="88" t="s">
        <v>264</v>
      </c>
      <c r="Y39" s="3" t="s">
        <v>191</v>
      </c>
      <c r="Z39" s="31">
        <v>3976.8653915600153</v>
      </c>
      <c r="AA39" s="31">
        <v>1087.4612716261327</v>
      </c>
      <c r="AD39" s="71">
        <f t="shared" si="12"/>
        <v>44939.000003356479</v>
      </c>
      <c r="AE39" s="14" t="str">
        <f t="shared" si="13"/>
        <v>-</v>
      </c>
      <c r="AF39" s="14" t="str">
        <f t="shared" si="14"/>
        <v>WALLET</v>
      </c>
      <c r="AG39" s="14" t="s">
        <v>191</v>
      </c>
      <c r="AH39" s="14">
        <v>3976.8653915600153</v>
      </c>
      <c r="AI39" s="14">
        <v>1087.4612716261327</v>
      </c>
      <c r="AJ39" s="14">
        <f t="shared" si="15"/>
        <v>0.27344683929559693</v>
      </c>
      <c r="AK39" s="14">
        <f t="shared" si="16"/>
        <v>0</v>
      </c>
      <c r="AL39" s="14" t="str">
        <f t="shared" si="17"/>
        <v>COIN</v>
      </c>
      <c r="AM39" s="24"/>
      <c r="AN39" s="14">
        <f t="shared" si="18"/>
        <v>1</v>
      </c>
      <c r="AO39" s="14" t="str">
        <f t="shared" si="19"/>
        <v>FTM</v>
      </c>
      <c r="AP39" s="45"/>
      <c r="AQ39" s="46"/>
      <c r="AR39" s="47"/>
      <c r="AS39" s="25">
        <f t="shared" si="2"/>
        <v>0</v>
      </c>
      <c r="AT39" s="26" t="str">
        <f t="shared" si="22"/>
        <v>COIN</v>
      </c>
      <c r="AU39" s="26" t="str">
        <f t="shared" si="20"/>
        <v>LONG</v>
      </c>
      <c r="AV39" s="26" t="str">
        <f t="shared" si="23"/>
        <v>COIN LONG</v>
      </c>
      <c r="AW39" s="26">
        <f t="shared" si="24"/>
        <v>1087.4612716261327</v>
      </c>
      <c r="AX39" s="26">
        <f t="shared" si="25"/>
        <v>0.27344683929559693</v>
      </c>
      <c r="AY39" s="26">
        <f t="shared" si="7"/>
        <v>0</v>
      </c>
      <c r="AZ39" s="26">
        <f t="shared" si="26"/>
        <v>0</v>
      </c>
      <c r="BA39" s="23" t="s">
        <v>268</v>
      </c>
      <c r="BB39" t="str">
        <f t="shared" si="21"/>
        <v>FTM</v>
      </c>
    </row>
    <row r="40" spans="1:54" x14ac:dyDescent="0.25">
      <c r="A40">
        <v>81</v>
      </c>
      <c r="B40" s="71">
        <v>44939.000003356479</v>
      </c>
      <c r="C40" s="14" t="s">
        <v>11</v>
      </c>
      <c r="D40" s="23" t="s">
        <v>83</v>
      </c>
      <c r="E40" s="23" t="s">
        <v>171</v>
      </c>
      <c r="F40" s="23">
        <v>7.6026700000000003E-2</v>
      </c>
      <c r="G40" s="23">
        <v>473.97457770520998</v>
      </c>
      <c r="H40" s="23">
        <v>6234.31738724961</v>
      </c>
      <c r="I40" s="23">
        <v>0</v>
      </c>
      <c r="J40" s="23" t="s">
        <v>85</v>
      </c>
      <c r="K40" s="24">
        <v>44939.000003356479</v>
      </c>
      <c r="L40" s="23">
        <v>1</v>
      </c>
      <c r="M40" s="23" t="s">
        <v>171</v>
      </c>
      <c r="N40" s="25">
        <v>0</v>
      </c>
      <c r="O40" s="26" t="str">
        <f t="shared" si="0"/>
        <v>COIN</v>
      </c>
      <c r="P40" s="26" t="str">
        <f t="shared" si="9"/>
        <v>LONG</v>
      </c>
      <c r="Q40" s="26" t="str">
        <f t="shared" si="10"/>
        <v>COIN LONG</v>
      </c>
      <c r="R40" s="26">
        <v>0</v>
      </c>
      <c r="S40" s="26">
        <v>0</v>
      </c>
      <c r="T40" s="26">
        <v>0</v>
      </c>
      <c r="U40" s="26">
        <v>0</v>
      </c>
      <c r="V40" s="23" t="str">
        <f t="shared" si="1"/>
        <v>BINE</v>
      </c>
      <c r="W40" t="str">
        <f t="shared" si="11"/>
        <v>YFI COIN LONG</v>
      </c>
      <c r="X40" s="88" t="s">
        <v>264</v>
      </c>
      <c r="Y40" s="3" t="s">
        <v>109</v>
      </c>
      <c r="Z40" s="31">
        <v>3.2244594900000001</v>
      </c>
      <c r="AA40" s="31">
        <v>4.4523692177403333</v>
      </c>
      <c r="AD40" s="71">
        <f t="shared" si="12"/>
        <v>44939.000003356479</v>
      </c>
      <c r="AE40" s="14" t="str">
        <f t="shared" si="13"/>
        <v>-</v>
      </c>
      <c r="AF40" s="14" t="str">
        <f t="shared" si="14"/>
        <v>WALLET</v>
      </c>
      <c r="AG40" s="14" t="s">
        <v>109</v>
      </c>
      <c r="AH40" s="14">
        <v>3.2244594900000001</v>
      </c>
      <c r="AI40" s="14">
        <v>4.4523692177403333</v>
      </c>
      <c r="AJ40" s="14">
        <f t="shared" si="15"/>
        <v>1.3808110263281159</v>
      </c>
      <c r="AK40" s="14">
        <f t="shared" si="16"/>
        <v>0</v>
      </c>
      <c r="AL40" s="14" t="str">
        <f t="shared" si="17"/>
        <v>COIN</v>
      </c>
      <c r="AM40" s="24"/>
      <c r="AN40" s="14">
        <f t="shared" si="18"/>
        <v>1</v>
      </c>
      <c r="AO40" s="14" t="str">
        <f t="shared" si="19"/>
        <v>FTT</v>
      </c>
      <c r="AP40" s="45"/>
      <c r="AQ40" s="46"/>
      <c r="AR40" s="47"/>
      <c r="AS40" s="25">
        <f t="shared" si="2"/>
        <v>0</v>
      </c>
      <c r="AT40" s="26" t="str">
        <f t="shared" si="22"/>
        <v>COIN</v>
      </c>
      <c r="AU40" s="26" t="str">
        <f t="shared" si="20"/>
        <v>LONG</v>
      </c>
      <c r="AV40" s="26" t="str">
        <f t="shared" si="23"/>
        <v>COIN LONG</v>
      </c>
      <c r="AW40" s="26">
        <f t="shared" si="24"/>
        <v>4.4523692177403333</v>
      </c>
      <c r="AX40" s="26">
        <f t="shared" si="25"/>
        <v>1.3808110263281159</v>
      </c>
      <c r="AY40" s="26">
        <f t="shared" si="7"/>
        <v>0</v>
      </c>
      <c r="AZ40" s="26">
        <f t="shared" si="26"/>
        <v>0</v>
      </c>
      <c r="BA40" s="23" t="s">
        <v>268</v>
      </c>
      <c r="BB40" t="str">
        <f t="shared" si="21"/>
        <v>FTT</v>
      </c>
    </row>
    <row r="41" spans="1:54" x14ac:dyDescent="0.25">
      <c r="A41">
        <v>82</v>
      </c>
      <c r="B41" s="71">
        <v>44939.000003356479</v>
      </c>
      <c r="C41" s="14" t="s">
        <v>11</v>
      </c>
      <c r="D41" s="23" t="s">
        <v>83</v>
      </c>
      <c r="E41" s="23" t="s">
        <v>26</v>
      </c>
      <c r="F41" s="23">
        <v>18966318.7722039</v>
      </c>
      <c r="G41" s="23">
        <v>454707.62832038099</v>
      </c>
      <c r="H41" s="23">
        <v>2.39744799073386E-2</v>
      </c>
      <c r="I41" s="23">
        <v>0</v>
      </c>
      <c r="J41" s="23" t="s">
        <v>85</v>
      </c>
      <c r="K41" s="24">
        <v>44939.000003356479</v>
      </c>
      <c r="L41" s="23">
        <v>1</v>
      </c>
      <c r="M41" s="23" t="s">
        <v>26</v>
      </c>
      <c r="N41" s="25">
        <v>0</v>
      </c>
      <c r="O41" s="26" t="str">
        <f t="shared" si="0"/>
        <v>COIN</v>
      </c>
      <c r="P41" s="26" t="str">
        <f t="shared" si="9"/>
        <v>LONG</v>
      </c>
      <c r="Q41" s="26" t="str">
        <f t="shared" si="10"/>
        <v>COIN LONG</v>
      </c>
      <c r="R41" s="26">
        <v>0</v>
      </c>
      <c r="S41" s="26">
        <v>0</v>
      </c>
      <c r="T41" s="26">
        <v>0</v>
      </c>
      <c r="U41" s="26">
        <v>0</v>
      </c>
      <c r="V41" s="23" t="str">
        <f t="shared" si="1"/>
        <v>BINE</v>
      </c>
      <c r="W41" t="str">
        <f t="shared" si="11"/>
        <v>ZIL COIN LONG</v>
      </c>
      <c r="X41" s="88" t="s">
        <v>264</v>
      </c>
      <c r="Y41" s="3" t="s">
        <v>134</v>
      </c>
      <c r="Z41" s="31">
        <v>54.776400000000002</v>
      </c>
      <c r="AA41" s="31">
        <v>123.290471367386</v>
      </c>
      <c r="AD41" s="71">
        <f t="shared" si="12"/>
        <v>44939.000003356479</v>
      </c>
      <c r="AE41" s="14" t="str">
        <f t="shared" si="13"/>
        <v>-</v>
      </c>
      <c r="AF41" s="14" t="str">
        <f t="shared" si="14"/>
        <v>WALLET</v>
      </c>
      <c r="AG41" s="14" t="s">
        <v>134</v>
      </c>
      <c r="AH41" s="14">
        <v>54.776400000000002</v>
      </c>
      <c r="AI41" s="14">
        <v>123.290471367386</v>
      </c>
      <c r="AJ41" s="14">
        <f t="shared" si="15"/>
        <v>2.2507954405069701</v>
      </c>
      <c r="AK41" s="14">
        <f t="shared" si="16"/>
        <v>0</v>
      </c>
      <c r="AL41" s="14" t="str">
        <f t="shared" si="17"/>
        <v>COIN</v>
      </c>
      <c r="AM41" s="24"/>
      <c r="AN41" s="14">
        <f t="shared" si="18"/>
        <v>1</v>
      </c>
      <c r="AO41" s="14" t="str">
        <f t="shared" si="19"/>
        <v>GAS</v>
      </c>
      <c r="AP41" s="45"/>
      <c r="AQ41" s="46"/>
      <c r="AR41" s="47"/>
      <c r="AS41" s="25">
        <f t="shared" si="2"/>
        <v>0</v>
      </c>
      <c r="AT41" s="26" t="str">
        <f t="shared" si="22"/>
        <v>COIN</v>
      </c>
      <c r="AU41" s="26" t="str">
        <f t="shared" si="20"/>
        <v>LONG</v>
      </c>
      <c r="AV41" s="26" t="str">
        <f t="shared" si="23"/>
        <v>COIN LONG</v>
      </c>
      <c r="AW41" s="26">
        <f t="shared" si="24"/>
        <v>123.290471367386</v>
      </c>
      <c r="AX41" s="26">
        <f t="shared" si="25"/>
        <v>2.2507954405069701</v>
      </c>
      <c r="AY41" s="26">
        <f t="shared" si="7"/>
        <v>0</v>
      </c>
      <c r="AZ41" s="26">
        <f t="shared" si="26"/>
        <v>0</v>
      </c>
      <c r="BA41" s="23" t="s">
        <v>268</v>
      </c>
      <c r="BB41" t="str">
        <f t="shared" si="21"/>
        <v>GAS</v>
      </c>
    </row>
    <row r="42" spans="1:54" x14ac:dyDescent="0.25">
      <c r="A42">
        <v>83</v>
      </c>
      <c r="B42" s="71">
        <v>44939.000001192129</v>
      </c>
      <c r="C42" s="14" t="s">
        <v>11</v>
      </c>
      <c r="D42" s="23" t="s">
        <v>12</v>
      </c>
      <c r="E42" s="23" t="s">
        <v>14</v>
      </c>
      <c r="F42" s="23">
        <v>954.60935715000005</v>
      </c>
      <c r="G42" s="23">
        <v>18013085.3231223</v>
      </c>
      <c r="H42" s="23">
        <v>18869.5880552655</v>
      </c>
      <c r="I42" s="23">
        <v>0</v>
      </c>
      <c r="J42" s="23" t="s">
        <v>85</v>
      </c>
      <c r="K42" s="24">
        <v>44939.000001192129</v>
      </c>
      <c r="L42" s="23">
        <v>1</v>
      </c>
      <c r="M42" s="23" t="s">
        <v>14</v>
      </c>
      <c r="N42" s="25">
        <v>0</v>
      </c>
      <c r="O42" s="26" t="str">
        <f t="shared" si="0"/>
        <v>COIN</v>
      </c>
      <c r="P42" s="26" t="str">
        <f t="shared" si="9"/>
        <v>LONG</v>
      </c>
      <c r="Q42" s="26" t="str">
        <f t="shared" si="10"/>
        <v>COIN LONG</v>
      </c>
      <c r="R42" s="26">
        <v>0</v>
      </c>
      <c r="S42" s="26">
        <v>0</v>
      </c>
      <c r="T42" s="26">
        <v>0</v>
      </c>
      <c r="U42" s="26">
        <v>0</v>
      </c>
      <c r="V42" s="23" t="str">
        <f t="shared" si="1"/>
        <v>BINE</v>
      </c>
      <c r="W42" t="str">
        <f t="shared" si="11"/>
        <v>BTC COIN LONG</v>
      </c>
      <c r="X42" s="88" t="s">
        <v>264</v>
      </c>
      <c r="Y42" s="3" t="s">
        <v>177</v>
      </c>
      <c r="Z42" s="31">
        <v>0.01</v>
      </c>
      <c r="AA42" s="31">
        <v>1.2211649999999999E-2</v>
      </c>
      <c r="AD42" s="71">
        <f t="shared" si="12"/>
        <v>44939.000003356479</v>
      </c>
      <c r="AE42" s="14" t="str">
        <f t="shared" si="13"/>
        <v>-</v>
      </c>
      <c r="AF42" s="14" t="str">
        <f t="shared" si="14"/>
        <v>WALLET</v>
      </c>
      <c r="AG42" s="14" t="s">
        <v>177</v>
      </c>
      <c r="AH42" s="14">
        <v>0.01</v>
      </c>
      <c r="AI42" s="14">
        <v>1.2211649999999999E-2</v>
      </c>
      <c r="AJ42" s="14">
        <f t="shared" si="15"/>
        <v>1.2211649999999998</v>
      </c>
      <c r="AK42" s="14">
        <f t="shared" si="16"/>
        <v>0</v>
      </c>
      <c r="AL42" s="14" t="str">
        <f t="shared" si="17"/>
        <v>COIN</v>
      </c>
      <c r="AM42" s="24"/>
      <c r="AN42" s="14">
        <f t="shared" si="18"/>
        <v>1</v>
      </c>
      <c r="AO42" s="14" t="str">
        <f t="shared" si="19"/>
        <v>GBP</v>
      </c>
      <c r="AP42" s="45"/>
      <c r="AQ42" s="46"/>
      <c r="AR42" s="47"/>
      <c r="AS42" s="25">
        <f t="shared" si="2"/>
        <v>0</v>
      </c>
      <c r="AT42" s="26" t="str">
        <f t="shared" si="22"/>
        <v>COIN</v>
      </c>
      <c r="AU42" s="26" t="str">
        <f t="shared" si="20"/>
        <v>LONG</v>
      </c>
      <c r="AV42" s="26" t="str">
        <f t="shared" si="23"/>
        <v>COIN LONG</v>
      </c>
      <c r="AW42" s="26">
        <f t="shared" si="24"/>
        <v>1.2211649999999999E-2</v>
      </c>
      <c r="AX42" s="26">
        <f t="shared" si="25"/>
        <v>1.2211649999999998</v>
      </c>
      <c r="AY42" s="26">
        <f t="shared" si="7"/>
        <v>0</v>
      </c>
      <c r="AZ42" s="26">
        <f t="shared" si="26"/>
        <v>0</v>
      </c>
      <c r="BA42" s="23" t="s">
        <v>268</v>
      </c>
      <c r="BB42" t="str">
        <f t="shared" si="21"/>
        <v>GBP</v>
      </c>
    </row>
    <row r="43" spans="1:54" x14ac:dyDescent="0.25">
      <c r="A43">
        <v>84</v>
      </c>
      <c r="B43" s="71">
        <v>44939.000001192129</v>
      </c>
      <c r="C43" s="14" t="s">
        <v>11</v>
      </c>
      <c r="D43" s="23" t="s">
        <v>12</v>
      </c>
      <c r="E43" s="23" t="s">
        <v>14</v>
      </c>
      <c r="F43" s="23">
        <v>-21.15213086</v>
      </c>
      <c r="G43" s="23">
        <v>-399131.99581927003</v>
      </c>
      <c r="H43" s="23">
        <v>18869.5880552655</v>
      </c>
      <c r="I43" s="23">
        <v>0</v>
      </c>
      <c r="J43" s="23" t="s">
        <v>253</v>
      </c>
      <c r="K43" s="24">
        <v>44939.000001192129</v>
      </c>
      <c r="L43" s="23">
        <v>1</v>
      </c>
      <c r="M43" s="23" t="s">
        <v>14</v>
      </c>
      <c r="N43" s="25">
        <v>0</v>
      </c>
      <c r="O43" s="26" t="str">
        <f t="shared" si="0"/>
        <v>COIN</v>
      </c>
      <c r="P43" s="26" t="str">
        <f t="shared" si="9"/>
        <v>SHORT</v>
      </c>
      <c r="Q43" s="26" t="str">
        <f t="shared" si="10"/>
        <v>COIN SHORT</v>
      </c>
      <c r="R43" s="26">
        <v>0</v>
      </c>
      <c r="S43" s="26">
        <v>0</v>
      </c>
      <c r="T43" s="26">
        <v>0</v>
      </c>
      <c r="U43" s="26">
        <v>0</v>
      </c>
      <c r="V43" s="23" t="str">
        <f t="shared" si="1"/>
        <v>BINE</v>
      </c>
      <c r="W43" t="str">
        <f t="shared" si="11"/>
        <v>BTC COIN SHORT</v>
      </c>
      <c r="X43" s="88" t="s">
        <v>264</v>
      </c>
      <c r="Y43" s="3" t="s">
        <v>135</v>
      </c>
      <c r="Z43" s="31">
        <v>741.59223907999694</v>
      </c>
      <c r="AA43" s="31">
        <v>35.335117635084316</v>
      </c>
      <c r="AD43" s="71">
        <f t="shared" si="12"/>
        <v>44939.000003356479</v>
      </c>
      <c r="AE43" s="14" t="str">
        <f t="shared" si="13"/>
        <v>-</v>
      </c>
      <c r="AF43" s="14" t="str">
        <f t="shared" si="14"/>
        <v>WALLET</v>
      </c>
      <c r="AG43" s="14" t="s">
        <v>135</v>
      </c>
      <c r="AH43" s="14">
        <v>741.59223907999694</v>
      </c>
      <c r="AI43" s="14">
        <v>35.335117635084316</v>
      </c>
      <c r="AJ43" s="14">
        <f t="shared" si="15"/>
        <v>4.7647636764538266E-2</v>
      </c>
      <c r="AK43" s="14">
        <f t="shared" si="16"/>
        <v>0</v>
      </c>
      <c r="AL43" s="14" t="str">
        <f t="shared" si="17"/>
        <v>COIN</v>
      </c>
      <c r="AM43" s="24"/>
      <c r="AN43" s="14">
        <f t="shared" si="18"/>
        <v>1</v>
      </c>
      <c r="AO43" s="14" t="str">
        <f t="shared" si="19"/>
        <v>HBAR</v>
      </c>
      <c r="AP43" s="45"/>
      <c r="AQ43" s="46"/>
      <c r="AR43" s="47"/>
      <c r="AS43" s="25">
        <f t="shared" si="2"/>
        <v>0</v>
      </c>
      <c r="AT43" s="26" t="str">
        <f t="shared" si="22"/>
        <v>COIN</v>
      </c>
      <c r="AU43" s="26" t="str">
        <f t="shared" si="20"/>
        <v>LONG</v>
      </c>
      <c r="AV43" s="26" t="str">
        <f t="shared" si="23"/>
        <v>COIN LONG</v>
      </c>
      <c r="AW43" s="26">
        <f t="shared" si="24"/>
        <v>35.335117635084316</v>
      </c>
      <c r="AX43" s="26">
        <f t="shared" si="25"/>
        <v>4.7647636764538266E-2</v>
      </c>
      <c r="AY43" s="26">
        <f t="shared" si="7"/>
        <v>0</v>
      </c>
      <c r="AZ43" s="26">
        <f t="shared" si="26"/>
        <v>0</v>
      </c>
      <c r="BA43" s="23" t="s">
        <v>268</v>
      </c>
      <c r="BB43" t="str">
        <f t="shared" si="21"/>
        <v>HBAR</v>
      </c>
    </row>
    <row r="44" spans="1:54" x14ac:dyDescent="0.25">
      <c r="A44">
        <v>85</v>
      </c>
      <c r="B44" s="71">
        <v>44939.000001192129</v>
      </c>
      <c r="C44" s="14" t="s">
        <v>11</v>
      </c>
      <c r="D44" s="23" t="s">
        <v>12</v>
      </c>
      <c r="E44" s="23" t="s">
        <v>15</v>
      </c>
      <c r="F44" s="23">
        <v>6682.76875475</v>
      </c>
      <c r="G44" s="23">
        <v>9475755.2584040202</v>
      </c>
      <c r="H44" s="23">
        <v>1417.9385231112101</v>
      </c>
      <c r="I44" s="23">
        <v>0</v>
      </c>
      <c r="J44" s="23" t="s">
        <v>85</v>
      </c>
      <c r="K44" s="24">
        <v>44939.000001192129</v>
      </c>
      <c r="L44" s="23">
        <v>1</v>
      </c>
      <c r="M44" s="23" t="s">
        <v>15</v>
      </c>
      <c r="N44" s="25">
        <v>0</v>
      </c>
      <c r="O44" s="26" t="str">
        <f t="shared" si="0"/>
        <v>COIN</v>
      </c>
      <c r="P44" s="26" t="str">
        <f t="shared" si="9"/>
        <v>LONG</v>
      </c>
      <c r="Q44" s="26" t="str">
        <f t="shared" si="10"/>
        <v>COIN LONG</v>
      </c>
      <c r="R44" s="26">
        <v>0</v>
      </c>
      <c r="S44" s="26">
        <v>0</v>
      </c>
      <c r="T44" s="26">
        <v>0</v>
      </c>
      <c r="U44" s="26">
        <v>0</v>
      </c>
      <c r="V44" s="23" t="str">
        <f t="shared" si="1"/>
        <v>BINE</v>
      </c>
      <c r="W44" t="str">
        <f t="shared" si="11"/>
        <v>ETH COIN LONG</v>
      </c>
      <c r="X44" s="88" t="s">
        <v>264</v>
      </c>
      <c r="Y44" s="3" t="s">
        <v>136</v>
      </c>
      <c r="Z44" s="31">
        <v>5337.6979873099999</v>
      </c>
      <c r="AA44" s="31">
        <v>1.0398940855485499</v>
      </c>
      <c r="AD44" s="71">
        <f t="shared" si="12"/>
        <v>44939.000003356479</v>
      </c>
      <c r="AE44" s="14" t="str">
        <f t="shared" si="13"/>
        <v>-</v>
      </c>
      <c r="AF44" s="14" t="str">
        <f t="shared" si="14"/>
        <v>WALLET</v>
      </c>
      <c r="AG44" s="14" t="s">
        <v>136</v>
      </c>
      <c r="AH44" s="14">
        <v>5337.6979873099999</v>
      </c>
      <c r="AI44" s="14">
        <v>1.0398940855485499</v>
      </c>
      <c r="AJ44" s="14">
        <f t="shared" si="15"/>
        <v>1.9482070510936075E-4</v>
      </c>
      <c r="AK44" s="14">
        <f t="shared" si="16"/>
        <v>0</v>
      </c>
      <c r="AL44" s="14" t="str">
        <f t="shared" si="17"/>
        <v>COIN</v>
      </c>
      <c r="AM44" s="24"/>
      <c r="AN44" s="14">
        <f t="shared" si="18"/>
        <v>1</v>
      </c>
      <c r="AO44" s="14" t="str">
        <f t="shared" si="19"/>
        <v>HPT</v>
      </c>
      <c r="AP44" s="45"/>
      <c r="AQ44" s="46"/>
      <c r="AR44" s="47"/>
      <c r="AS44" s="25">
        <f t="shared" si="2"/>
        <v>0</v>
      </c>
      <c r="AT44" s="26" t="str">
        <f t="shared" si="22"/>
        <v>COIN</v>
      </c>
      <c r="AU44" s="26" t="str">
        <f t="shared" si="20"/>
        <v>LONG</v>
      </c>
      <c r="AV44" s="26" t="str">
        <f t="shared" si="23"/>
        <v>COIN LONG</v>
      </c>
      <c r="AW44" s="26">
        <f t="shared" si="24"/>
        <v>1.0398940855485499</v>
      </c>
      <c r="AX44" s="26">
        <f t="shared" si="25"/>
        <v>1.9482070510936075E-4</v>
      </c>
      <c r="AY44" s="26">
        <f t="shared" si="7"/>
        <v>0</v>
      </c>
      <c r="AZ44" s="26">
        <f t="shared" si="26"/>
        <v>0</v>
      </c>
      <c r="BA44" s="23" t="s">
        <v>268</v>
      </c>
      <c r="BB44" t="str">
        <f t="shared" si="21"/>
        <v>HPT</v>
      </c>
    </row>
    <row r="45" spans="1:54" x14ac:dyDescent="0.25">
      <c r="A45">
        <v>86</v>
      </c>
      <c r="B45" s="71">
        <v>44939.000001192129</v>
      </c>
      <c r="C45" s="14" t="s">
        <v>11</v>
      </c>
      <c r="D45" s="23" t="s">
        <v>12</v>
      </c>
      <c r="E45" s="23" t="s">
        <v>15</v>
      </c>
      <c r="F45" s="23">
        <v>-114.70020413</v>
      </c>
      <c r="G45" s="23">
        <v>-162637.83804464701</v>
      </c>
      <c r="H45" s="23">
        <v>1417.9385231112101</v>
      </c>
      <c r="I45" s="23">
        <v>0</v>
      </c>
      <c r="J45" s="23" t="s">
        <v>253</v>
      </c>
      <c r="K45" s="24">
        <v>44939.000001192129</v>
      </c>
      <c r="L45" s="23">
        <v>1</v>
      </c>
      <c r="M45" s="23" t="s">
        <v>15</v>
      </c>
      <c r="N45" s="25">
        <v>0</v>
      </c>
      <c r="O45" s="26" t="str">
        <f t="shared" si="0"/>
        <v>COIN</v>
      </c>
      <c r="P45" s="26" t="str">
        <f t="shared" si="9"/>
        <v>SHORT</v>
      </c>
      <c r="Q45" s="26" t="str">
        <f t="shared" si="10"/>
        <v>COIN SHORT</v>
      </c>
      <c r="R45" s="26">
        <v>0</v>
      </c>
      <c r="S45" s="26">
        <v>0</v>
      </c>
      <c r="T45" s="26">
        <v>0</v>
      </c>
      <c r="U45" s="26">
        <v>0</v>
      </c>
      <c r="V45" s="23" t="str">
        <f t="shared" si="1"/>
        <v>BINE</v>
      </c>
      <c r="W45" t="str">
        <f t="shared" si="11"/>
        <v>ETH COIN SHORT</v>
      </c>
      <c r="X45" s="88" t="s">
        <v>264</v>
      </c>
      <c r="Y45" s="3" t="s">
        <v>137</v>
      </c>
      <c r="Z45" s="31">
        <v>1594.9850023900001</v>
      </c>
      <c r="AA45" s="31">
        <v>8106.9204874240804</v>
      </c>
      <c r="AD45" s="71">
        <f t="shared" si="12"/>
        <v>44939.000003356479</v>
      </c>
      <c r="AE45" s="14" t="str">
        <f t="shared" si="13"/>
        <v>-</v>
      </c>
      <c r="AF45" s="14" t="str">
        <f t="shared" si="14"/>
        <v>WALLET</v>
      </c>
      <c r="AG45" s="14" t="s">
        <v>137</v>
      </c>
      <c r="AH45" s="14">
        <v>1594.9850023900001</v>
      </c>
      <c r="AI45" s="14">
        <v>8106.9204874240804</v>
      </c>
      <c r="AJ45" s="14">
        <f t="shared" si="15"/>
        <v>5.0827565621471624</v>
      </c>
      <c r="AK45" s="14">
        <f t="shared" si="16"/>
        <v>0</v>
      </c>
      <c r="AL45" s="14" t="str">
        <f t="shared" si="17"/>
        <v>COIN</v>
      </c>
      <c r="AM45" s="24"/>
      <c r="AN45" s="14">
        <f t="shared" si="18"/>
        <v>1</v>
      </c>
      <c r="AO45" s="14" t="str">
        <f t="shared" si="19"/>
        <v>HT</v>
      </c>
      <c r="AP45" s="45"/>
      <c r="AQ45" s="46"/>
      <c r="AR45" s="47"/>
      <c r="AS45" s="25">
        <f t="shared" si="2"/>
        <v>0</v>
      </c>
      <c r="AT45" s="26" t="str">
        <f t="shared" si="22"/>
        <v>COIN</v>
      </c>
      <c r="AU45" s="26" t="str">
        <f t="shared" si="20"/>
        <v>LONG</v>
      </c>
      <c r="AV45" s="26" t="str">
        <f t="shared" si="23"/>
        <v>COIN LONG</v>
      </c>
      <c r="AW45" s="26">
        <f t="shared" si="24"/>
        <v>8106.9204874240804</v>
      </c>
      <c r="AX45" s="26">
        <f t="shared" si="25"/>
        <v>5.0827565621471624</v>
      </c>
      <c r="AY45" s="26">
        <f t="shared" si="7"/>
        <v>0</v>
      </c>
      <c r="AZ45" s="26">
        <f t="shared" si="26"/>
        <v>0</v>
      </c>
      <c r="BA45" s="23" t="s">
        <v>268</v>
      </c>
      <c r="BB45" t="str">
        <f t="shared" si="21"/>
        <v>HT</v>
      </c>
    </row>
    <row r="46" spans="1:54" x14ac:dyDescent="0.25">
      <c r="A46">
        <v>87</v>
      </c>
      <c r="B46" s="71">
        <v>44939.000002199071</v>
      </c>
      <c r="C46" s="14" t="s">
        <v>11</v>
      </c>
      <c r="D46" s="23" t="s">
        <v>91</v>
      </c>
      <c r="E46" s="23" t="s">
        <v>87</v>
      </c>
      <c r="F46" s="23">
        <v>2496.2188523499999</v>
      </c>
      <c r="G46" s="23">
        <v>718442.57987214997</v>
      </c>
      <c r="H46" s="23">
        <v>287.81233632451398</v>
      </c>
      <c r="I46" s="23">
        <v>0</v>
      </c>
      <c r="J46" s="23" t="s">
        <v>85</v>
      </c>
      <c r="K46" s="24">
        <v>44939.000002199071</v>
      </c>
      <c r="L46" s="23">
        <v>1</v>
      </c>
      <c r="M46" s="23" t="s">
        <v>87</v>
      </c>
      <c r="N46" s="25">
        <v>0</v>
      </c>
      <c r="O46" s="26" t="str">
        <f t="shared" si="0"/>
        <v>COIN</v>
      </c>
      <c r="P46" s="26" t="str">
        <f t="shared" si="9"/>
        <v>LONG</v>
      </c>
      <c r="Q46" s="26" t="str">
        <f t="shared" si="10"/>
        <v>COIN LONG</v>
      </c>
      <c r="R46" s="26">
        <v>0</v>
      </c>
      <c r="S46" s="26">
        <v>0</v>
      </c>
      <c r="T46" s="26">
        <v>0</v>
      </c>
      <c r="U46" s="26">
        <v>0</v>
      </c>
      <c r="V46" s="23" t="str">
        <f t="shared" si="1"/>
        <v>BINE</v>
      </c>
      <c r="W46" t="str">
        <f t="shared" si="11"/>
        <v>BNB COIN LONG</v>
      </c>
      <c r="X46" s="88" t="s">
        <v>264</v>
      </c>
      <c r="Y46" s="3" t="s">
        <v>139</v>
      </c>
      <c r="Z46" s="31">
        <v>14.785856219999999</v>
      </c>
      <c r="AA46" s="31">
        <v>0.121917236886426</v>
      </c>
      <c r="AD46" s="71">
        <f t="shared" si="12"/>
        <v>44939.000003356479</v>
      </c>
      <c r="AE46" s="14" t="str">
        <f t="shared" si="13"/>
        <v>-</v>
      </c>
      <c r="AF46" s="14" t="str">
        <f t="shared" si="14"/>
        <v>WALLET</v>
      </c>
      <c r="AG46" s="14" t="s">
        <v>139</v>
      </c>
      <c r="AH46" s="14">
        <v>14.785856219999999</v>
      </c>
      <c r="AI46" s="14">
        <v>0.121917236886426</v>
      </c>
      <c r="AJ46" s="14">
        <f t="shared" si="15"/>
        <v>8.2455310718844536E-3</v>
      </c>
      <c r="AK46" s="14">
        <f t="shared" si="16"/>
        <v>0</v>
      </c>
      <c r="AL46" s="14" t="str">
        <f t="shared" si="17"/>
        <v>COIN</v>
      </c>
      <c r="AM46" s="24"/>
      <c r="AN46" s="14">
        <f t="shared" si="18"/>
        <v>1</v>
      </c>
      <c r="AO46" s="14" t="str">
        <f t="shared" si="19"/>
        <v>IOST</v>
      </c>
      <c r="AP46" s="45"/>
      <c r="AQ46" s="46"/>
      <c r="AR46" s="47"/>
      <c r="AS46" s="25">
        <f t="shared" si="2"/>
        <v>0</v>
      </c>
      <c r="AT46" s="26" t="str">
        <f t="shared" si="22"/>
        <v>COIN</v>
      </c>
      <c r="AU46" s="26" t="str">
        <f t="shared" si="20"/>
        <v>LONG</v>
      </c>
      <c r="AV46" s="26" t="str">
        <f t="shared" si="23"/>
        <v>COIN LONG</v>
      </c>
      <c r="AW46" s="26">
        <f t="shared" si="24"/>
        <v>0.121917236886426</v>
      </c>
      <c r="AX46" s="26">
        <f t="shared" si="25"/>
        <v>8.2455310718844536E-3</v>
      </c>
      <c r="AY46" s="26">
        <f t="shared" si="7"/>
        <v>0</v>
      </c>
      <c r="AZ46" s="26">
        <f t="shared" si="26"/>
        <v>0</v>
      </c>
      <c r="BA46" s="23" t="s">
        <v>268</v>
      </c>
      <c r="BB46" t="str">
        <f t="shared" si="21"/>
        <v>IOST</v>
      </c>
    </row>
    <row r="47" spans="1:54" x14ac:dyDescent="0.25">
      <c r="A47">
        <v>88</v>
      </c>
      <c r="B47" s="71">
        <v>44939.000002199071</v>
      </c>
      <c r="C47" s="14" t="s">
        <v>11</v>
      </c>
      <c r="D47" s="23" t="s">
        <v>91</v>
      </c>
      <c r="E47" s="23" t="s">
        <v>14</v>
      </c>
      <c r="F47" s="23">
        <v>820.94862506000004</v>
      </c>
      <c r="G47" s="23">
        <v>15490962.3694188</v>
      </c>
      <c r="H47" s="23">
        <v>18869.5880552655</v>
      </c>
      <c r="I47" s="23">
        <v>0</v>
      </c>
      <c r="J47" s="23" t="s">
        <v>85</v>
      </c>
      <c r="K47" s="24">
        <v>44939.000002199071</v>
      </c>
      <c r="L47" s="23">
        <v>1</v>
      </c>
      <c r="M47" s="23" t="s">
        <v>14</v>
      </c>
      <c r="N47" s="25">
        <v>0</v>
      </c>
      <c r="O47" s="26" t="str">
        <f t="shared" si="0"/>
        <v>COIN</v>
      </c>
      <c r="P47" s="26" t="str">
        <f t="shared" si="9"/>
        <v>LONG</v>
      </c>
      <c r="Q47" s="26" t="str">
        <f t="shared" si="10"/>
        <v>COIN LONG</v>
      </c>
      <c r="R47" s="26">
        <v>0</v>
      </c>
      <c r="S47" s="26">
        <v>0</v>
      </c>
      <c r="T47" s="26">
        <v>0</v>
      </c>
      <c r="U47" s="26">
        <v>0</v>
      </c>
      <c r="V47" s="23" t="str">
        <f t="shared" si="1"/>
        <v>BINE</v>
      </c>
      <c r="W47" t="str">
        <f t="shared" si="11"/>
        <v>BTC COIN LONG</v>
      </c>
      <c r="X47" s="88" t="s">
        <v>264</v>
      </c>
      <c r="Y47" s="3" t="s">
        <v>140</v>
      </c>
      <c r="Z47" s="31">
        <v>0.81765067999999996</v>
      </c>
      <c r="AA47" s="31">
        <v>1.1689388986948599E-2</v>
      </c>
      <c r="AD47" s="71">
        <f t="shared" si="12"/>
        <v>44939.000003356479</v>
      </c>
      <c r="AE47" s="14" t="str">
        <f t="shared" si="13"/>
        <v>-</v>
      </c>
      <c r="AF47" s="14" t="str">
        <f t="shared" si="14"/>
        <v>WALLET</v>
      </c>
      <c r="AG47" s="14" t="s">
        <v>140</v>
      </c>
      <c r="AH47" s="14">
        <v>0.81765067999999996</v>
      </c>
      <c r="AI47" s="14">
        <v>1.1689388986948599E-2</v>
      </c>
      <c r="AJ47" s="14">
        <f t="shared" si="15"/>
        <v>1.4296311704832924E-2</v>
      </c>
      <c r="AK47" s="14">
        <f t="shared" si="16"/>
        <v>0</v>
      </c>
      <c r="AL47" s="14" t="str">
        <f t="shared" si="17"/>
        <v>COIN</v>
      </c>
      <c r="AM47" s="24"/>
      <c r="AN47" s="14">
        <f t="shared" si="18"/>
        <v>1</v>
      </c>
      <c r="AO47" s="14" t="str">
        <f t="shared" si="19"/>
        <v>IRIS</v>
      </c>
      <c r="AP47" s="45"/>
      <c r="AQ47" s="46"/>
      <c r="AR47" s="47"/>
      <c r="AS47" s="25">
        <f t="shared" si="2"/>
        <v>0</v>
      </c>
      <c r="AT47" s="26" t="str">
        <f t="shared" si="22"/>
        <v>COIN</v>
      </c>
      <c r="AU47" s="26" t="str">
        <f t="shared" si="20"/>
        <v>LONG</v>
      </c>
      <c r="AV47" s="26" t="str">
        <f t="shared" si="23"/>
        <v>COIN LONG</v>
      </c>
      <c r="AW47" s="26">
        <f t="shared" si="24"/>
        <v>1.1689388986948599E-2</v>
      </c>
      <c r="AX47" s="26">
        <f t="shared" si="25"/>
        <v>1.4296311704832924E-2</v>
      </c>
      <c r="AY47" s="26">
        <f t="shared" si="7"/>
        <v>0</v>
      </c>
      <c r="AZ47" s="26">
        <f t="shared" si="26"/>
        <v>0</v>
      </c>
      <c r="BA47" s="23" t="s">
        <v>268</v>
      </c>
      <c r="BB47" t="str">
        <f t="shared" si="21"/>
        <v>IRIS</v>
      </c>
    </row>
    <row r="48" spans="1:54" x14ac:dyDescent="0.25">
      <c r="A48">
        <v>89</v>
      </c>
      <c r="B48" s="71">
        <v>44939.000002199071</v>
      </c>
      <c r="C48" s="14" t="s">
        <v>11</v>
      </c>
      <c r="D48" s="23" t="s">
        <v>91</v>
      </c>
      <c r="E48" s="23" t="s">
        <v>88</v>
      </c>
      <c r="F48" s="23">
        <v>1957317.4125478</v>
      </c>
      <c r="G48" s="23">
        <v>1957941.92399934</v>
      </c>
      <c r="H48" s="23">
        <v>1.00031906498534</v>
      </c>
      <c r="I48" s="23">
        <v>0</v>
      </c>
      <c r="J48" s="23" t="s">
        <v>85</v>
      </c>
      <c r="K48" s="24">
        <v>44939.000002199071</v>
      </c>
      <c r="L48" s="23">
        <v>1</v>
      </c>
      <c r="M48" s="23" t="s">
        <v>88</v>
      </c>
      <c r="N48" s="25">
        <v>0</v>
      </c>
      <c r="O48" s="26" t="str">
        <f t="shared" si="0"/>
        <v>COIN</v>
      </c>
      <c r="P48" s="26" t="str">
        <f t="shared" si="9"/>
        <v>LONG</v>
      </c>
      <c r="Q48" s="26" t="str">
        <f t="shared" si="10"/>
        <v>COIN LONG</v>
      </c>
      <c r="R48" s="26">
        <v>0</v>
      </c>
      <c r="S48" s="26">
        <v>0</v>
      </c>
      <c r="T48" s="26">
        <v>0</v>
      </c>
      <c r="U48" s="26">
        <v>0</v>
      </c>
      <c r="V48" s="23" t="str">
        <f t="shared" si="1"/>
        <v>BINE</v>
      </c>
      <c r="W48" t="str">
        <f t="shared" si="11"/>
        <v>BUSD COIN LONG</v>
      </c>
      <c r="X48" s="88" t="s">
        <v>264</v>
      </c>
      <c r="Y48" s="3" t="s">
        <v>141</v>
      </c>
      <c r="Z48" s="31">
        <v>9.1121815000000002</v>
      </c>
      <c r="AA48" s="31">
        <v>0.20061593833102701</v>
      </c>
      <c r="AD48" s="71">
        <f t="shared" si="12"/>
        <v>44939.000003356479</v>
      </c>
      <c r="AE48" s="14" t="str">
        <f t="shared" si="13"/>
        <v>-</v>
      </c>
      <c r="AF48" s="14" t="str">
        <f t="shared" si="14"/>
        <v>WALLET</v>
      </c>
      <c r="AG48" s="14" t="s">
        <v>141</v>
      </c>
      <c r="AH48" s="14">
        <v>9.1121815000000002</v>
      </c>
      <c r="AI48" s="14">
        <v>0.20061593833102701</v>
      </c>
      <c r="AJ48" s="14">
        <f t="shared" si="15"/>
        <v>2.2016235994753507E-2</v>
      </c>
      <c r="AK48" s="14">
        <f t="shared" si="16"/>
        <v>0</v>
      </c>
      <c r="AL48" s="14" t="str">
        <f t="shared" si="17"/>
        <v>COIN</v>
      </c>
      <c r="AM48" s="24"/>
      <c r="AN48" s="14">
        <f t="shared" si="18"/>
        <v>1</v>
      </c>
      <c r="AO48" s="14" t="str">
        <f t="shared" si="19"/>
        <v>JST</v>
      </c>
      <c r="AP48" s="45"/>
      <c r="AQ48" s="46"/>
      <c r="AR48" s="47"/>
      <c r="AS48" s="25">
        <f t="shared" si="2"/>
        <v>0</v>
      </c>
      <c r="AT48" s="26" t="str">
        <f t="shared" si="22"/>
        <v>COIN</v>
      </c>
      <c r="AU48" s="26" t="str">
        <f t="shared" si="20"/>
        <v>LONG</v>
      </c>
      <c r="AV48" s="26" t="str">
        <f t="shared" si="23"/>
        <v>COIN LONG</v>
      </c>
      <c r="AW48" s="26">
        <f t="shared" si="24"/>
        <v>0.20061593833102701</v>
      </c>
      <c r="AX48" s="26">
        <f t="shared" si="25"/>
        <v>2.2016235994753507E-2</v>
      </c>
      <c r="AY48" s="26">
        <f t="shared" si="7"/>
        <v>0</v>
      </c>
      <c r="AZ48" s="26">
        <f t="shared" si="26"/>
        <v>0</v>
      </c>
      <c r="BA48" s="23" t="s">
        <v>268</v>
      </c>
      <c r="BB48" t="str">
        <f t="shared" si="21"/>
        <v>JST</v>
      </c>
    </row>
    <row r="49" spans="1:54" x14ac:dyDescent="0.25">
      <c r="A49">
        <v>90</v>
      </c>
      <c r="B49" s="71">
        <v>44939.000002199071</v>
      </c>
      <c r="C49" s="14" t="s">
        <v>11</v>
      </c>
      <c r="D49" s="23" t="s">
        <v>91</v>
      </c>
      <c r="E49" s="23" t="s">
        <v>29</v>
      </c>
      <c r="F49" s="23">
        <v>0.15721859999999999</v>
      </c>
      <c r="G49" s="23">
        <v>3.2886606621322101</v>
      </c>
      <c r="H49" s="23">
        <v>20.917758217744002</v>
      </c>
      <c r="I49" s="23">
        <v>0</v>
      </c>
      <c r="J49" s="23" t="s">
        <v>85</v>
      </c>
      <c r="K49" s="24">
        <v>44939.000002199071</v>
      </c>
      <c r="L49" s="23">
        <v>1</v>
      </c>
      <c r="M49" s="23" t="s">
        <v>29</v>
      </c>
      <c r="N49" s="25">
        <v>0</v>
      </c>
      <c r="O49" s="26" t="str">
        <f t="shared" si="0"/>
        <v>COIN</v>
      </c>
      <c r="P49" s="26" t="str">
        <f t="shared" si="9"/>
        <v>LONG</v>
      </c>
      <c r="Q49" s="26" t="str">
        <f t="shared" si="10"/>
        <v>COIN LONG</v>
      </c>
      <c r="R49" s="26">
        <v>0</v>
      </c>
      <c r="S49" s="26">
        <v>0</v>
      </c>
      <c r="T49" s="26">
        <v>0</v>
      </c>
      <c r="U49" s="26">
        <v>0</v>
      </c>
      <c r="V49" s="23" t="str">
        <f t="shared" si="1"/>
        <v>BINE</v>
      </c>
      <c r="W49" t="str">
        <f t="shared" si="11"/>
        <v>ETC COIN LONG</v>
      </c>
      <c r="X49" s="88" t="s">
        <v>264</v>
      </c>
      <c r="Y49" s="3" t="s">
        <v>43</v>
      </c>
      <c r="Z49" s="31">
        <v>9.3766399999999986E-3</v>
      </c>
      <c r="AA49" s="31">
        <v>0.26561840673321507</v>
      </c>
      <c r="AD49" s="71">
        <f t="shared" si="12"/>
        <v>44939.000003356479</v>
      </c>
      <c r="AE49" s="14" t="str">
        <f t="shared" si="13"/>
        <v>-</v>
      </c>
      <c r="AF49" s="14" t="str">
        <f t="shared" si="14"/>
        <v>WALLET</v>
      </c>
      <c r="AG49" s="14" t="s">
        <v>43</v>
      </c>
      <c r="AH49" s="14">
        <v>9.3766399999999986E-3</v>
      </c>
      <c r="AI49" s="14">
        <v>0.26561840673321507</v>
      </c>
      <c r="AJ49" s="14">
        <f t="shared" si="15"/>
        <v>28.327674597000112</v>
      </c>
      <c r="AK49" s="14">
        <f t="shared" si="16"/>
        <v>0</v>
      </c>
      <c r="AL49" s="14" t="str">
        <f t="shared" si="17"/>
        <v>COIN</v>
      </c>
      <c r="AM49" s="24"/>
      <c r="AN49" s="14">
        <f t="shared" si="18"/>
        <v>1</v>
      </c>
      <c r="AO49" s="14" t="str">
        <f t="shared" si="19"/>
        <v>KSM</v>
      </c>
      <c r="AP49" s="45"/>
      <c r="AQ49" s="46"/>
      <c r="AR49" s="47"/>
      <c r="AS49" s="25">
        <f t="shared" si="2"/>
        <v>0</v>
      </c>
      <c r="AT49" s="26" t="str">
        <f t="shared" si="22"/>
        <v>COIN</v>
      </c>
      <c r="AU49" s="26" t="str">
        <f t="shared" si="20"/>
        <v>LONG</v>
      </c>
      <c r="AV49" s="26" t="str">
        <f t="shared" si="23"/>
        <v>COIN LONG</v>
      </c>
      <c r="AW49" s="26">
        <f t="shared" si="24"/>
        <v>0.26561840673321507</v>
      </c>
      <c r="AX49" s="26">
        <f t="shared" si="25"/>
        <v>28.327674597000112</v>
      </c>
      <c r="AY49" s="26">
        <f t="shared" si="7"/>
        <v>0</v>
      </c>
      <c r="AZ49" s="26">
        <f t="shared" si="26"/>
        <v>0</v>
      </c>
      <c r="BA49" s="23" t="s">
        <v>268</v>
      </c>
      <c r="BB49" t="str">
        <f t="shared" si="21"/>
        <v>KSM</v>
      </c>
    </row>
    <row r="50" spans="1:54" x14ac:dyDescent="0.25">
      <c r="A50">
        <v>91</v>
      </c>
      <c r="B50" s="71">
        <v>44939.000002199071</v>
      </c>
      <c r="C50" s="14" t="s">
        <v>11</v>
      </c>
      <c r="D50" s="23" t="s">
        <v>91</v>
      </c>
      <c r="E50" s="23" t="s">
        <v>15</v>
      </c>
      <c r="F50" s="23">
        <v>6859.0860000000002</v>
      </c>
      <c r="G50" s="23">
        <v>9725762.2727328409</v>
      </c>
      <c r="H50" s="23">
        <v>1417.9385231112101</v>
      </c>
      <c r="I50" s="23">
        <v>0</v>
      </c>
      <c r="J50" s="23" t="s">
        <v>85</v>
      </c>
      <c r="K50" s="24">
        <v>44939.000002199071</v>
      </c>
      <c r="L50" s="23">
        <v>1</v>
      </c>
      <c r="M50" s="23" t="s">
        <v>15</v>
      </c>
      <c r="N50" s="25">
        <v>0</v>
      </c>
      <c r="O50" s="26" t="str">
        <f t="shared" si="0"/>
        <v>COIN</v>
      </c>
      <c r="P50" s="26" t="str">
        <f t="shared" si="9"/>
        <v>LONG</v>
      </c>
      <c r="Q50" s="26" t="str">
        <f t="shared" si="10"/>
        <v>COIN LONG</v>
      </c>
      <c r="R50" s="26">
        <v>0</v>
      </c>
      <c r="S50" s="26">
        <v>0</v>
      </c>
      <c r="T50" s="26">
        <v>0</v>
      </c>
      <c r="U50" s="26">
        <v>0</v>
      </c>
      <c r="V50" s="23" t="str">
        <f t="shared" si="1"/>
        <v>BINE</v>
      </c>
      <c r="W50" t="str">
        <f t="shared" si="11"/>
        <v>ETH COIN LONG</v>
      </c>
      <c r="X50" s="88" t="s">
        <v>264</v>
      </c>
      <c r="Y50" s="3" t="s">
        <v>142</v>
      </c>
      <c r="Z50" s="31">
        <v>0.24234807999999999</v>
      </c>
      <c r="AA50" s="31">
        <v>3.0956421739687298E-4</v>
      </c>
      <c r="AD50" s="71">
        <f t="shared" si="12"/>
        <v>44939.000003356479</v>
      </c>
      <c r="AE50" s="14" t="str">
        <f t="shared" si="13"/>
        <v>-</v>
      </c>
      <c r="AF50" s="14" t="str">
        <f t="shared" si="14"/>
        <v>WALLET</v>
      </c>
      <c r="AG50" s="14" t="s">
        <v>142</v>
      </c>
      <c r="AH50" s="14">
        <v>0.24234807999999999</v>
      </c>
      <c r="AI50" s="14">
        <v>3.0956421739687298E-4</v>
      </c>
      <c r="AJ50" s="14">
        <f t="shared" si="15"/>
        <v>1.2773537029749646E-3</v>
      </c>
      <c r="AK50" s="14">
        <f t="shared" si="16"/>
        <v>0</v>
      </c>
      <c r="AL50" s="14" t="str">
        <f t="shared" si="17"/>
        <v>COIN</v>
      </c>
      <c r="AM50" s="24"/>
      <c r="AN50" s="14">
        <f t="shared" si="18"/>
        <v>1</v>
      </c>
      <c r="AO50" s="14" t="str">
        <f t="shared" si="19"/>
        <v>LAMB</v>
      </c>
      <c r="AP50" s="45"/>
      <c r="AQ50" s="46"/>
      <c r="AR50" s="47"/>
      <c r="AS50" s="25">
        <f t="shared" si="2"/>
        <v>0</v>
      </c>
      <c r="AT50" s="26" t="str">
        <f t="shared" si="22"/>
        <v>COIN</v>
      </c>
      <c r="AU50" s="26" t="str">
        <f t="shared" si="20"/>
        <v>LONG</v>
      </c>
      <c r="AV50" s="26" t="str">
        <f t="shared" si="23"/>
        <v>COIN LONG</v>
      </c>
      <c r="AW50" s="26">
        <f t="shared" si="24"/>
        <v>3.0956421739687298E-4</v>
      </c>
      <c r="AX50" s="26">
        <f t="shared" si="25"/>
        <v>1.2773537029749646E-3</v>
      </c>
      <c r="AY50" s="26">
        <f t="shared" si="7"/>
        <v>0</v>
      </c>
      <c r="AZ50" s="26">
        <f t="shared" si="26"/>
        <v>0</v>
      </c>
      <c r="BA50" s="23" t="s">
        <v>268</v>
      </c>
      <c r="BB50" t="str">
        <f t="shared" si="21"/>
        <v>LAMB</v>
      </c>
    </row>
    <row r="51" spans="1:54" x14ac:dyDescent="0.25">
      <c r="A51">
        <v>92</v>
      </c>
      <c r="B51" s="71">
        <v>44939.000002199071</v>
      </c>
      <c r="C51" s="14" t="s">
        <v>11</v>
      </c>
      <c r="D51" s="23" t="s">
        <v>91</v>
      </c>
      <c r="E51" s="23" t="s">
        <v>38</v>
      </c>
      <c r="F51" s="23">
        <v>1328887.8945897899</v>
      </c>
      <c r="G51" s="23">
        <v>1329010.2176367899</v>
      </c>
      <c r="H51" s="23">
        <v>1.00009204918451</v>
      </c>
      <c r="I51" s="23">
        <v>0</v>
      </c>
      <c r="J51" s="23" t="s">
        <v>85</v>
      </c>
      <c r="K51" s="24">
        <v>44939.000002199071</v>
      </c>
      <c r="L51" s="23">
        <v>1</v>
      </c>
      <c r="M51" s="23" t="s">
        <v>38</v>
      </c>
      <c r="N51" s="25">
        <v>0</v>
      </c>
      <c r="O51" s="26" t="str">
        <f t="shared" si="0"/>
        <v>COIN</v>
      </c>
      <c r="P51" s="26" t="str">
        <f t="shared" si="9"/>
        <v>LONG</v>
      </c>
      <c r="Q51" s="26" t="str">
        <f t="shared" si="10"/>
        <v>COIN LONG</v>
      </c>
      <c r="R51" s="26">
        <v>0</v>
      </c>
      <c r="S51" s="26">
        <v>0</v>
      </c>
      <c r="T51" s="26">
        <v>0</v>
      </c>
      <c r="U51" s="26">
        <v>0</v>
      </c>
      <c r="V51" s="23" t="str">
        <f t="shared" si="1"/>
        <v>BINE</v>
      </c>
      <c r="W51" t="str">
        <f t="shared" si="11"/>
        <v>USDT COIN LONG</v>
      </c>
      <c r="X51" s="88" t="s">
        <v>264</v>
      </c>
      <c r="Y51" s="3" t="s">
        <v>143</v>
      </c>
      <c r="Z51" s="31">
        <v>1E-8</v>
      </c>
      <c r="AA51" s="31">
        <v>0</v>
      </c>
      <c r="AD51" s="71">
        <f t="shared" si="12"/>
        <v>44939.000003356479</v>
      </c>
      <c r="AE51" s="14" t="str">
        <f t="shared" si="13"/>
        <v>-</v>
      </c>
      <c r="AF51" s="14" t="str">
        <f t="shared" si="14"/>
        <v>WALLET</v>
      </c>
      <c r="AG51" s="14" t="s">
        <v>143</v>
      </c>
      <c r="AH51" s="14">
        <v>1E-8</v>
      </c>
      <c r="AI51" s="14">
        <v>0</v>
      </c>
      <c r="AJ51" s="14">
        <f t="shared" si="15"/>
        <v>0</v>
      </c>
      <c r="AK51" s="14">
        <f t="shared" si="16"/>
        <v>0</v>
      </c>
      <c r="AL51" s="14" t="str">
        <f t="shared" si="17"/>
        <v>COIN</v>
      </c>
      <c r="AM51" s="24"/>
      <c r="AN51" s="14">
        <f t="shared" si="18"/>
        <v>1</v>
      </c>
      <c r="AO51" s="14" t="str">
        <f t="shared" si="19"/>
        <v>LEND</v>
      </c>
      <c r="AP51" s="45"/>
      <c r="AQ51" s="46"/>
      <c r="AR51" s="47"/>
      <c r="AS51" s="25">
        <f t="shared" si="2"/>
        <v>0</v>
      </c>
      <c r="AT51" s="26" t="str">
        <f t="shared" si="22"/>
        <v>COIN</v>
      </c>
      <c r="AU51" s="26" t="str">
        <f t="shared" si="20"/>
        <v>LONG</v>
      </c>
      <c r="AV51" s="26" t="str">
        <f t="shared" si="23"/>
        <v>COIN LONG</v>
      </c>
      <c r="AW51" s="26">
        <f t="shared" si="24"/>
        <v>0</v>
      </c>
      <c r="AX51" s="26">
        <f t="shared" si="25"/>
        <v>0</v>
      </c>
      <c r="AY51" s="26">
        <f t="shared" si="7"/>
        <v>0</v>
      </c>
      <c r="AZ51" s="26">
        <f t="shared" si="26"/>
        <v>0</v>
      </c>
      <c r="BA51" s="23" t="s">
        <v>268</v>
      </c>
      <c r="BB51" t="str">
        <f t="shared" si="21"/>
        <v>LEND</v>
      </c>
    </row>
    <row r="52" spans="1:54" x14ac:dyDescent="0.25">
      <c r="A52">
        <v>93</v>
      </c>
      <c r="B52" s="71">
        <v>44939.000003900466</v>
      </c>
      <c r="C52" s="14" t="s">
        <v>11</v>
      </c>
      <c r="D52" s="23" t="s">
        <v>18</v>
      </c>
      <c r="E52" s="23" t="s">
        <v>87</v>
      </c>
      <c r="F52" s="23">
        <v>47.01499536</v>
      </c>
      <c r="G52" s="23">
        <v>13531.495656847699</v>
      </c>
      <c r="H52" s="23">
        <v>287.81233632451398</v>
      </c>
      <c r="I52" s="23">
        <v>0</v>
      </c>
      <c r="J52" s="23" t="s">
        <v>85</v>
      </c>
      <c r="K52" s="24">
        <v>44939.000003900466</v>
      </c>
      <c r="L52" s="23">
        <v>1</v>
      </c>
      <c r="M52" s="23" t="s">
        <v>87</v>
      </c>
      <c r="N52" s="25">
        <v>0</v>
      </c>
      <c r="O52" s="26" t="str">
        <f t="shared" si="0"/>
        <v>COIN</v>
      </c>
      <c r="P52" s="26" t="str">
        <f t="shared" si="9"/>
        <v>LONG</v>
      </c>
      <c r="Q52" s="26" t="str">
        <f t="shared" si="10"/>
        <v>COIN LONG</v>
      </c>
      <c r="R52" s="26">
        <v>0</v>
      </c>
      <c r="S52" s="26">
        <v>0</v>
      </c>
      <c r="T52" s="26">
        <v>0</v>
      </c>
      <c r="U52" s="26">
        <v>0</v>
      </c>
      <c r="V52" s="23" t="str">
        <f t="shared" si="1"/>
        <v>BINE</v>
      </c>
      <c r="W52" t="str">
        <f t="shared" si="11"/>
        <v>BNB COIN LONG</v>
      </c>
      <c r="X52" s="88" t="s">
        <v>264</v>
      </c>
      <c r="Y52" s="3" t="s">
        <v>27</v>
      </c>
      <c r="Z52" s="31">
        <v>76776.503835109994</v>
      </c>
      <c r="AA52" s="31">
        <v>489936.32640885597</v>
      </c>
      <c r="AD52" s="71">
        <f t="shared" si="12"/>
        <v>44939.000003356479</v>
      </c>
      <c r="AE52" s="14" t="str">
        <f t="shared" si="13"/>
        <v>-</v>
      </c>
      <c r="AF52" s="14" t="str">
        <f t="shared" si="14"/>
        <v>WALLET</v>
      </c>
      <c r="AG52" s="14" t="s">
        <v>27</v>
      </c>
      <c r="AH52" s="14">
        <v>76776.503835109994</v>
      </c>
      <c r="AI52" s="14">
        <v>489936.32640885597</v>
      </c>
      <c r="AJ52" s="14">
        <f t="shared" si="15"/>
        <v>6.3813315524378886</v>
      </c>
      <c r="AK52" s="14">
        <f t="shared" si="16"/>
        <v>0</v>
      </c>
      <c r="AL52" s="14" t="str">
        <f t="shared" si="17"/>
        <v>COIN</v>
      </c>
      <c r="AM52" s="24"/>
      <c r="AN52" s="14">
        <f t="shared" si="18"/>
        <v>1</v>
      </c>
      <c r="AO52" s="14" t="str">
        <f t="shared" si="19"/>
        <v>LINK</v>
      </c>
      <c r="AP52" s="45"/>
      <c r="AQ52" s="46"/>
      <c r="AR52" s="47"/>
      <c r="AS52" s="25">
        <f t="shared" si="2"/>
        <v>0</v>
      </c>
      <c r="AT52" s="26" t="str">
        <f t="shared" si="22"/>
        <v>COIN</v>
      </c>
      <c r="AU52" s="26" t="str">
        <f t="shared" si="20"/>
        <v>LONG</v>
      </c>
      <c r="AV52" s="26" t="str">
        <f t="shared" si="23"/>
        <v>COIN LONG</v>
      </c>
      <c r="AW52" s="26">
        <f t="shared" si="24"/>
        <v>489936.32640885597</v>
      </c>
      <c r="AX52" s="26">
        <f t="shared" si="25"/>
        <v>6.3813315524378886</v>
      </c>
      <c r="AY52" s="26">
        <f t="shared" si="7"/>
        <v>0</v>
      </c>
      <c r="AZ52" s="26">
        <f t="shared" si="26"/>
        <v>0</v>
      </c>
      <c r="BA52" s="23" t="s">
        <v>268</v>
      </c>
      <c r="BB52" t="str">
        <f t="shared" si="21"/>
        <v>LINK</v>
      </c>
    </row>
    <row r="53" spans="1:54" x14ac:dyDescent="0.25">
      <c r="A53">
        <v>94</v>
      </c>
      <c r="B53" s="71">
        <v>44939.000003900466</v>
      </c>
      <c r="C53" s="14" t="s">
        <v>11</v>
      </c>
      <c r="D53" s="23" t="s">
        <v>18</v>
      </c>
      <c r="E53" s="23" t="s">
        <v>88</v>
      </c>
      <c r="F53" s="23">
        <v>16000004.791549399</v>
      </c>
      <c r="G53" s="23">
        <v>16005109.8328437</v>
      </c>
      <c r="H53" s="23">
        <v>1.00031906498534</v>
      </c>
      <c r="I53" s="23">
        <v>0</v>
      </c>
      <c r="J53" s="23" t="s">
        <v>85</v>
      </c>
      <c r="K53" s="24">
        <v>44939.000003900466</v>
      </c>
      <c r="L53" s="23">
        <v>1</v>
      </c>
      <c r="M53" s="23" t="s">
        <v>88</v>
      </c>
      <c r="N53" s="25">
        <v>0</v>
      </c>
      <c r="O53" s="26" t="str">
        <f t="shared" si="0"/>
        <v>COIN</v>
      </c>
      <c r="P53" s="26" t="str">
        <f t="shared" si="9"/>
        <v>LONG</v>
      </c>
      <c r="Q53" s="26" t="str">
        <f t="shared" si="10"/>
        <v>COIN LONG</v>
      </c>
      <c r="R53" s="26">
        <v>0</v>
      </c>
      <c r="S53" s="26">
        <v>0</v>
      </c>
      <c r="T53" s="26">
        <v>0</v>
      </c>
      <c r="U53" s="26">
        <v>0</v>
      </c>
      <c r="V53" s="23" t="str">
        <f t="shared" si="1"/>
        <v>BINE</v>
      </c>
      <c r="W53" t="str">
        <f t="shared" si="11"/>
        <v>BUSD COIN LONG</v>
      </c>
      <c r="X53" s="88" t="s">
        <v>264</v>
      </c>
      <c r="Y53" s="3" t="s">
        <v>144</v>
      </c>
      <c r="Z53" s="31">
        <v>4.3289484800000002</v>
      </c>
      <c r="AA53" s="31">
        <v>1.2336208176422599E-6</v>
      </c>
      <c r="AD53" s="71">
        <f t="shared" si="12"/>
        <v>44939.000003356479</v>
      </c>
      <c r="AE53" s="14" t="str">
        <f t="shared" si="13"/>
        <v>-</v>
      </c>
      <c r="AF53" s="14" t="str">
        <f t="shared" si="14"/>
        <v>WALLET</v>
      </c>
      <c r="AG53" s="14" t="s">
        <v>144</v>
      </c>
      <c r="AH53" s="14">
        <v>4.3289484800000002</v>
      </c>
      <c r="AI53" s="14">
        <v>1.2336208176422599E-6</v>
      </c>
      <c r="AJ53" s="14">
        <f t="shared" si="15"/>
        <v>2.8497008530862898E-7</v>
      </c>
      <c r="AK53" s="14">
        <f t="shared" si="16"/>
        <v>0</v>
      </c>
      <c r="AL53" s="14" t="str">
        <f t="shared" si="17"/>
        <v>COIN</v>
      </c>
      <c r="AM53" s="24"/>
      <c r="AN53" s="14">
        <f t="shared" si="18"/>
        <v>1</v>
      </c>
      <c r="AO53" s="14" t="str">
        <f t="shared" si="19"/>
        <v>LOL</v>
      </c>
      <c r="AP53" s="45"/>
      <c r="AQ53" s="46"/>
      <c r="AR53" s="47"/>
      <c r="AS53" s="25">
        <f t="shared" si="2"/>
        <v>0</v>
      </c>
      <c r="AT53" s="26" t="str">
        <f t="shared" si="22"/>
        <v>COIN</v>
      </c>
      <c r="AU53" s="26" t="str">
        <f t="shared" si="20"/>
        <v>LONG</v>
      </c>
      <c r="AV53" s="26" t="str">
        <f t="shared" si="23"/>
        <v>COIN LONG</v>
      </c>
      <c r="AW53" s="26">
        <f t="shared" si="24"/>
        <v>1.2336208176422599E-6</v>
      </c>
      <c r="AX53" s="26">
        <f t="shared" si="25"/>
        <v>2.8497008530862898E-7</v>
      </c>
      <c r="AY53" s="26">
        <f t="shared" si="7"/>
        <v>0</v>
      </c>
      <c r="AZ53" s="26">
        <f t="shared" si="26"/>
        <v>0</v>
      </c>
      <c r="BA53" s="23" t="s">
        <v>268</v>
      </c>
      <c r="BB53" t="str">
        <f t="shared" si="21"/>
        <v>LOL</v>
      </c>
    </row>
    <row r="54" spans="1:54" x14ac:dyDescent="0.25">
      <c r="A54">
        <v>95</v>
      </c>
      <c r="B54" s="71">
        <v>44939.000003900466</v>
      </c>
      <c r="C54" s="14" t="s">
        <v>11</v>
      </c>
      <c r="D54" s="23" t="s">
        <v>18</v>
      </c>
      <c r="E54" s="23" t="s">
        <v>38</v>
      </c>
      <c r="F54" s="23">
        <v>13400136.677891999</v>
      </c>
      <c r="G54" s="23">
        <v>13401370.1495455</v>
      </c>
      <c r="H54" s="23">
        <v>1.00009204918451</v>
      </c>
      <c r="I54" s="23">
        <v>0</v>
      </c>
      <c r="J54" s="23" t="s">
        <v>85</v>
      </c>
      <c r="K54" s="24">
        <v>44939.000003900466</v>
      </c>
      <c r="L54" s="23">
        <v>1</v>
      </c>
      <c r="M54" s="23" t="s">
        <v>38</v>
      </c>
      <c r="N54" s="25">
        <v>0</v>
      </c>
      <c r="O54" s="26" t="str">
        <f t="shared" si="0"/>
        <v>COIN</v>
      </c>
      <c r="P54" s="26" t="str">
        <f t="shared" si="9"/>
        <v>LONG</v>
      </c>
      <c r="Q54" s="26" t="str">
        <f t="shared" si="10"/>
        <v>COIN LONG</v>
      </c>
      <c r="R54" s="26">
        <v>0</v>
      </c>
      <c r="S54" s="26">
        <v>0</v>
      </c>
      <c r="T54" s="26">
        <v>0</v>
      </c>
      <c r="U54" s="26">
        <v>0</v>
      </c>
      <c r="V54" s="23" t="str">
        <f t="shared" si="1"/>
        <v>BINE</v>
      </c>
      <c r="W54" t="str">
        <f t="shared" si="11"/>
        <v>USDT COIN LONG</v>
      </c>
      <c r="X54" s="88" t="s">
        <v>264</v>
      </c>
      <c r="Y54" s="3" t="s">
        <v>24</v>
      </c>
      <c r="Z54" s="31">
        <v>2805.3495127399983</v>
      </c>
      <c r="AA54" s="31">
        <v>241159.70920275006</v>
      </c>
      <c r="AD54" s="71">
        <f t="shared" si="12"/>
        <v>44939.000003356479</v>
      </c>
      <c r="AE54" s="14" t="str">
        <f t="shared" si="13"/>
        <v>-</v>
      </c>
      <c r="AF54" s="14" t="str">
        <f t="shared" si="14"/>
        <v>WALLET</v>
      </c>
      <c r="AG54" s="14" t="s">
        <v>24</v>
      </c>
      <c r="AH54" s="14">
        <v>2805.3495127399983</v>
      </c>
      <c r="AI54" s="14">
        <v>241159.70920275006</v>
      </c>
      <c r="AJ54" s="14">
        <f t="shared" si="15"/>
        <v>85.964229450756818</v>
      </c>
      <c r="AK54" s="14">
        <f t="shared" si="16"/>
        <v>0</v>
      </c>
      <c r="AL54" s="14" t="str">
        <f t="shared" si="17"/>
        <v>COIN</v>
      </c>
      <c r="AM54" s="24"/>
      <c r="AN54" s="14">
        <f t="shared" si="18"/>
        <v>1</v>
      </c>
      <c r="AO54" s="14" t="str">
        <f t="shared" si="19"/>
        <v>LTC</v>
      </c>
      <c r="AP54" s="45"/>
      <c r="AQ54" s="46"/>
      <c r="AR54" s="47"/>
      <c r="AS54" s="25">
        <f t="shared" si="2"/>
        <v>0</v>
      </c>
      <c r="AT54" s="26" t="str">
        <f t="shared" si="22"/>
        <v>COIN</v>
      </c>
      <c r="AU54" s="26" t="str">
        <f t="shared" si="20"/>
        <v>LONG</v>
      </c>
      <c r="AV54" s="26" t="str">
        <f t="shared" si="23"/>
        <v>COIN LONG</v>
      </c>
      <c r="AW54" s="26">
        <f t="shared" si="24"/>
        <v>241159.70920275006</v>
      </c>
      <c r="AX54" s="26">
        <f t="shared" si="25"/>
        <v>85.964229450756818</v>
      </c>
      <c r="AY54" s="26">
        <f t="shared" si="7"/>
        <v>0</v>
      </c>
      <c r="AZ54" s="26">
        <f t="shared" si="26"/>
        <v>0</v>
      </c>
      <c r="BA54" s="23" t="s">
        <v>268</v>
      </c>
      <c r="BB54" t="str">
        <f t="shared" si="21"/>
        <v>LTC</v>
      </c>
    </row>
    <row r="55" spans="1:54" x14ac:dyDescent="0.25">
      <c r="A55">
        <v>96</v>
      </c>
      <c r="B55" s="71">
        <v>44939.000003900466</v>
      </c>
      <c r="C55" s="14" t="s">
        <v>11</v>
      </c>
      <c r="D55" s="23" t="s">
        <v>18</v>
      </c>
      <c r="E55" s="23" t="s">
        <v>38</v>
      </c>
      <c r="F55" s="23">
        <v>878081.47598261002</v>
      </c>
      <c r="G55" s="23">
        <v>878162.30266641104</v>
      </c>
      <c r="H55" s="23">
        <v>1.00009204918451</v>
      </c>
      <c r="I55" s="23">
        <v>0</v>
      </c>
      <c r="J55" s="23" t="s">
        <v>253</v>
      </c>
      <c r="K55" s="24">
        <v>44939.000003900466</v>
      </c>
      <c r="L55" s="23">
        <v>1</v>
      </c>
      <c r="M55" s="23" t="s">
        <v>38</v>
      </c>
      <c r="N55" s="25">
        <v>0</v>
      </c>
      <c r="O55" s="26" t="str">
        <f t="shared" si="0"/>
        <v>COIN</v>
      </c>
      <c r="P55" s="26" t="str">
        <f t="shared" si="9"/>
        <v>LONG</v>
      </c>
      <c r="Q55" s="26" t="str">
        <f t="shared" si="10"/>
        <v>COIN LONG</v>
      </c>
      <c r="R55" s="26">
        <v>0</v>
      </c>
      <c r="S55" s="26">
        <v>0</v>
      </c>
      <c r="T55" s="26">
        <v>0</v>
      </c>
      <c r="U55" s="26">
        <v>0</v>
      </c>
      <c r="V55" s="23" t="str">
        <f t="shared" si="1"/>
        <v>BINE</v>
      </c>
      <c r="W55" t="str">
        <f t="shared" si="11"/>
        <v>USDT COIN LONG</v>
      </c>
      <c r="X55" s="88" t="s">
        <v>264</v>
      </c>
      <c r="Y55" s="3" t="s">
        <v>145</v>
      </c>
      <c r="Z55" s="31">
        <v>0.66495972999999997</v>
      </c>
      <c r="AA55" s="31">
        <v>1.7157540226222701E-4</v>
      </c>
      <c r="AD55" s="71">
        <f t="shared" si="12"/>
        <v>44939.000003356479</v>
      </c>
      <c r="AE55" s="14" t="str">
        <f t="shared" si="13"/>
        <v>-</v>
      </c>
      <c r="AF55" s="14" t="str">
        <f t="shared" si="14"/>
        <v>WALLET</v>
      </c>
      <c r="AG55" s="14" t="s">
        <v>145</v>
      </c>
      <c r="AH55" s="14">
        <v>0.66495972999999997</v>
      </c>
      <c r="AI55" s="14">
        <v>1.7157540226222701E-4</v>
      </c>
      <c r="AJ55" s="14">
        <f t="shared" si="15"/>
        <v>2.5802374868960415E-4</v>
      </c>
      <c r="AK55" s="14">
        <f t="shared" si="16"/>
        <v>0</v>
      </c>
      <c r="AL55" s="14" t="str">
        <f t="shared" si="17"/>
        <v>COIN</v>
      </c>
      <c r="AM55" s="24"/>
      <c r="AN55" s="14">
        <f t="shared" si="18"/>
        <v>1</v>
      </c>
      <c r="AO55" s="14" t="str">
        <f t="shared" si="19"/>
        <v>LXT</v>
      </c>
      <c r="AP55" s="45"/>
      <c r="AQ55" s="46"/>
      <c r="AR55" s="47"/>
      <c r="AS55" s="25">
        <f t="shared" si="2"/>
        <v>0</v>
      </c>
      <c r="AT55" s="26" t="str">
        <f t="shared" si="22"/>
        <v>COIN</v>
      </c>
      <c r="AU55" s="26" t="str">
        <f t="shared" si="20"/>
        <v>LONG</v>
      </c>
      <c r="AV55" s="26" t="str">
        <f t="shared" si="23"/>
        <v>COIN LONG</v>
      </c>
      <c r="AW55" s="26">
        <f t="shared" si="24"/>
        <v>1.7157540226222701E-4</v>
      </c>
      <c r="AX55" s="26">
        <f t="shared" si="25"/>
        <v>2.5802374868960415E-4</v>
      </c>
      <c r="AY55" s="26">
        <f t="shared" si="7"/>
        <v>0</v>
      </c>
      <c r="AZ55" s="26">
        <f t="shared" si="26"/>
        <v>0</v>
      </c>
      <c r="BA55" s="23" t="s">
        <v>268</v>
      </c>
      <c r="BB55" t="str">
        <f t="shared" si="21"/>
        <v>LXT</v>
      </c>
    </row>
    <row r="56" spans="1:54" x14ac:dyDescent="0.25">
      <c r="A56">
        <v>97</v>
      </c>
      <c r="B56" s="71">
        <v>44939.000003935187</v>
      </c>
      <c r="C56" s="14" t="s">
        <v>11</v>
      </c>
      <c r="D56" s="23" t="s">
        <v>299</v>
      </c>
      <c r="E56" s="23" t="s">
        <v>38</v>
      </c>
      <c r="F56" s="23">
        <v>829745.80743815005</v>
      </c>
      <c r="G56" s="23">
        <v>829822.18486307794</v>
      </c>
      <c r="H56" s="23">
        <v>1.00009204918451</v>
      </c>
      <c r="I56" s="23">
        <v>0</v>
      </c>
      <c r="J56" s="23" t="s">
        <v>85</v>
      </c>
      <c r="K56" s="24">
        <v>44939.000003935187</v>
      </c>
      <c r="L56" s="23">
        <v>1</v>
      </c>
      <c r="M56" s="23" t="s">
        <v>38</v>
      </c>
      <c r="N56" s="25">
        <v>0</v>
      </c>
      <c r="O56" s="26" t="str">
        <f t="shared" si="0"/>
        <v>COIN</v>
      </c>
      <c r="P56" s="26" t="str">
        <f t="shared" si="9"/>
        <v>LONG</v>
      </c>
      <c r="Q56" s="26" t="str">
        <f t="shared" si="10"/>
        <v>COIN LONG</v>
      </c>
      <c r="R56" s="26">
        <v>0</v>
      </c>
      <c r="S56" s="26">
        <v>0</v>
      </c>
      <c r="T56" s="26">
        <v>0</v>
      </c>
      <c r="U56" s="26">
        <v>0</v>
      </c>
      <c r="V56" s="23" t="str">
        <f t="shared" si="1"/>
        <v>BINE</v>
      </c>
      <c r="W56" t="str">
        <f t="shared" si="11"/>
        <v>USDT COIN LONG</v>
      </c>
      <c r="X56" s="88" t="s">
        <v>264</v>
      </c>
      <c r="Y56" s="3" t="s">
        <v>192</v>
      </c>
      <c r="Z56" s="31">
        <v>10136.16614335998</v>
      </c>
      <c r="AA56" s="31">
        <v>4180.6857343839001</v>
      </c>
      <c r="AD56" s="71">
        <f t="shared" si="12"/>
        <v>44939.000003356479</v>
      </c>
      <c r="AE56" s="14" t="str">
        <f t="shared" si="13"/>
        <v>-</v>
      </c>
      <c r="AF56" s="14" t="str">
        <f t="shared" si="14"/>
        <v>WALLET</v>
      </c>
      <c r="AG56" s="14" t="s">
        <v>192</v>
      </c>
      <c r="AH56" s="14">
        <v>10136.16614335998</v>
      </c>
      <c r="AI56" s="14">
        <v>4180.6857343839001</v>
      </c>
      <c r="AJ56" s="14">
        <f t="shared" si="15"/>
        <v>0.41245236860315199</v>
      </c>
      <c r="AK56" s="14">
        <f t="shared" si="16"/>
        <v>0</v>
      </c>
      <c r="AL56" s="14" t="str">
        <f t="shared" si="17"/>
        <v>COIN</v>
      </c>
      <c r="AM56" s="24"/>
      <c r="AN56" s="14">
        <f t="shared" si="18"/>
        <v>1</v>
      </c>
      <c r="AO56" s="14" t="str">
        <f t="shared" si="19"/>
        <v>MANA</v>
      </c>
      <c r="AP56" s="45"/>
      <c r="AQ56" s="46"/>
      <c r="AR56" s="47"/>
      <c r="AS56" s="25">
        <f t="shared" si="2"/>
        <v>0</v>
      </c>
      <c r="AT56" s="26" t="str">
        <f t="shared" si="22"/>
        <v>COIN</v>
      </c>
      <c r="AU56" s="26" t="str">
        <f t="shared" si="20"/>
        <v>LONG</v>
      </c>
      <c r="AV56" s="26" t="str">
        <f t="shared" si="23"/>
        <v>COIN LONG</v>
      </c>
      <c r="AW56" s="26">
        <f t="shared" si="24"/>
        <v>4180.6857343839001</v>
      </c>
      <c r="AX56" s="26">
        <f t="shared" si="25"/>
        <v>0.41245236860315199</v>
      </c>
      <c r="AY56" s="26">
        <f t="shared" si="7"/>
        <v>0</v>
      </c>
      <c r="AZ56" s="26">
        <f t="shared" si="26"/>
        <v>0</v>
      </c>
      <c r="BA56" s="23" t="s">
        <v>268</v>
      </c>
      <c r="BB56" t="str">
        <f t="shared" si="21"/>
        <v>MANA</v>
      </c>
    </row>
    <row r="57" spans="1:54" x14ac:dyDescent="0.25">
      <c r="A57">
        <v>98</v>
      </c>
      <c r="B57" s="71">
        <v>44939.000003935187</v>
      </c>
      <c r="C57" s="14" t="s">
        <v>11</v>
      </c>
      <c r="D57" s="23" t="s">
        <v>299</v>
      </c>
      <c r="E57" s="23" t="s">
        <v>38</v>
      </c>
      <c r="F57" s="23">
        <v>-507.05590913999998</v>
      </c>
      <c r="G57" s="23">
        <v>-507.10258322293902</v>
      </c>
      <c r="H57" s="23">
        <v>1.00009204918451</v>
      </c>
      <c r="I57" s="23">
        <v>0</v>
      </c>
      <c r="J57" s="23" t="s">
        <v>253</v>
      </c>
      <c r="K57" s="24">
        <v>44939.000003935187</v>
      </c>
      <c r="L57" s="23">
        <v>1</v>
      </c>
      <c r="M57" s="23" t="s">
        <v>38</v>
      </c>
      <c r="N57" s="25">
        <v>0</v>
      </c>
      <c r="O57" s="26" t="str">
        <f t="shared" si="0"/>
        <v>COIN</v>
      </c>
      <c r="P57" s="26" t="str">
        <f t="shared" si="9"/>
        <v>SHORT</v>
      </c>
      <c r="Q57" s="26" t="str">
        <f t="shared" si="10"/>
        <v>COIN SHORT</v>
      </c>
      <c r="R57" s="26">
        <v>0</v>
      </c>
      <c r="S57" s="26">
        <v>0</v>
      </c>
      <c r="T57" s="26">
        <v>0</v>
      </c>
      <c r="U57" s="26">
        <v>0</v>
      </c>
      <c r="V57" s="23" t="str">
        <f t="shared" si="1"/>
        <v>BINE</v>
      </c>
      <c r="W57" t="str">
        <f t="shared" si="11"/>
        <v>USDT COIN SHORT</v>
      </c>
      <c r="X57" s="88" t="s">
        <v>264</v>
      </c>
      <c r="Y57" s="3" t="s">
        <v>193</v>
      </c>
      <c r="Z57" s="31">
        <v>-282.95929605999845</v>
      </c>
      <c r="AA57" s="31">
        <v>-259.27252278836386</v>
      </c>
      <c r="AD57" s="71">
        <f t="shared" si="12"/>
        <v>44939.000003356479</v>
      </c>
      <c r="AE57" s="14" t="str">
        <f t="shared" si="13"/>
        <v>-</v>
      </c>
      <c r="AF57" s="14" t="str">
        <f t="shared" si="14"/>
        <v>WALLET</v>
      </c>
      <c r="AG57" s="14" t="s">
        <v>193</v>
      </c>
      <c r="AH57" s="14">
        <v>-282.95929605999845</v>
      </c>
      <c r="AI57" s="14">
        <v>-259.27252278836386</v>
      </c>
      <c r="AJ57" s="14">
        <f t="shared" si="15"/>
        <v>0.91628911436572114</v>
      </c>
      <c r="AK57" s="14">
        <f t="shared" si="16"/>
        <v>0</v>
      </c>
      <c r="AL57" s="14" t="str">
        <f t="shared" si="17"/>
        <v>COIN</v>
      </c>
      <c r="AM57" s="24"/>
      <c r="AN57" s="14">
        <f t="shared" si="18"/>
        <v>1</v>
      </c>
      <c r="AO57" s="14" t="str">
        <f t="shared" si="19"/>
        <v>MATIC</v>
      </c>
      <c r="AP57" s="45"/>
      <c r="AQ57" s="46"/>
      <c r="AR57" s="47"/>
      <c r="AS57" s="25">
        <f t="shared" si="2"/>
        <v>0</v>
      </c>
      <c r="AT57" s="26" t="str">
        <f t="shared" si="22"/>
        <v>COIN</v>
      </c>
      <c r="AU57" s="26" t="str">
        <f t="shared" si="20"/>
        <v>SHORT</v>
      </c>
      <c r="AV57" s="26" t="str">
        <f t="shared" si="23"/>
        <v>COIN SHORT</v>
      </c>
      <c r="AW57" s="26">
        <f t="shared" si="24"/>
        <v>-259.27252278836386</v>
      </c>
      <c r="AX57" s="26">
        <f t="shared" si="25"/>
        <v>0.91628911436572114</v>
      </c>
      <c r="AY57" s="26">
        <f t="shared" si="7"/>
        <v>0</v>
      </c>
      <c r="AZ57" s="26">
        <f t="shared" si="26"/>
        <v>0</v>
      </c>
      <c r="BA57" s="23" t="s">
        <v>268</v>
      </c>
      <c r="BB57" t="str">
        <f t="shared" si="21"/>
        <v>MATIC</v>
      </c>
    </row>
    <row r="58" spans="1:54" x14ac:dyDescent="0.25">
      <c r="A58">
        <v>99</v>
      </c>
      <c r="B58" s="71">
        <v>44939.000000578701</v>
      </c>
      <c r="C58" s="14" t="s">
        <v>217</v>
      </c>
      <c r="D58" s="23" t="s">
        <v>93</v>
      </c>
      <c r="E58" s="23" t="s">
        <v>14</v>
      </c>
      <c r="F58" s="23">
        <v>7.9996000000000008E-3</v>
      </c>
      <c r="G58" s="23">
        <v>150.94915660690199</v>
      </c>
      <c r="H58" s="23">
        <v>18869.5880552655</v>
      </c>
      <c r="I58" s="23">
        <v>0</v>
      </c>
      <c r="J58" s="23" t="s">
        <v>85</v>
      </c>
      <c r="K58" s="24">
        <v>44939.000000578701</v>
      </c>
      <c r="L58" s="23">
        <v>1</v>
      </c>
      <c r="M58" s="23" t="s">
        <v>14</v>
      </c>
      <c r="N58" s="25">
        <v>0</v>
      </c>
      <c r="O58" s="26" t="str">
        <f t="shared" si="0"/>
        <v>COIN</v>
      </c>
      <c r="P58" s="26" t="str">
        <f t="shared" si="9"/>
        <v>LONG</v>
      </c>
      <c r="Q58" s="26" t="str">
        <f t="shared" si="10"/>
        <v>COIN LONG</v>
      </c>
      <c r="R58" s="26">
        <v>0</v>
      </c>
      <c r="S58" s="26">
        <v>0</v>
      </c>
      <c r="T58" s="26">
        <v>0</v>
      </c>
      <c r="U58" s="26">
        <v>0</v>
      </c>
      <c r="V58" s="23" t="str">
        <f t="shared" si="1"/>
        <v>BTFX</v>
      </c>
      <c r="W58" t="str">
        <f t="shared" si="11"/>
        <v>BTC COIN LONG</v>
      </c>
      <c r="X58" s="88" t="s">
        <v>264</v>
      </c>
      <c r="Y58" s="3" t="s">
        <v>797</v>
      </c>
      <c r="Z58" s="31">
        <v>516393.62323616998</v>
      </c>
      <c r="AA58" s="31">
        <v>515301.05266681401</v>
      </c>
      <c r="AD58" s="71">
        <f t="shared" si="12"/>
        <v>44939.000003356479</v>
      </c>
      <c r="AE58" s="14" t="str">
        <f t="shared" si="13"/>
        <v>-</v>
      </c>
      <c r="AF58" s="14" t="str">
        <f t="shared" si="14"/>
        <v>WALLET</v>
      </c>
      <c r="AG58" s="14" t="s">
        <v>797</v>
      </c>
      <c r="AH58" s="14">
        <v>516393.62323616998</v>
      </c>
      <c r="AI58" s="14">
        <v>515301.05266681401</v>
      </c>
      <c r="AJ58" s="14">
        <f t="shared" si="15"/>
        <v>0.99788422916125696</v>
      </c>
      <c r="AK58" s="14">
        <f t="shared" si="16"/>
        <v>0</v>
      </c>
      <c r="AL58" s="14" t="str">
        <f t="shared" si="17"/>
        <v>COIN</v>
      </c>
      <c r="AM58" s="24"/>
      <c r="AN58" s="14">
        <f t="shared" si="18"/>
        <v>1</v>
      </c>
      <c r="AO58" s="14" t="str">
        <f t="shared" si="19"/>
        <v>MIM</v>
      </c>
      <c r="AP58" s="45"/>
      <c r="AQ58" s="46"/>
      <c r="AR58" s="47"/>
      <c r="AS58" s="25">
        <f t="shared" si="2"/>
        <v>0</v>
      </c>
      <c r="AT58" s="26" t="str">
        <f t="shared" si="22"/>
        <v>COIN</v>
      </c>
      <c r="AU58" s="26" t="str">
        <f t="shared" si="20"/>
        <v>LONG</v>
      </c>
      <c r="AV58" s="26" t="str">
        <f t="shared" si="23"/>
        <v>COIN LONG</v>
      </c>
      <c r="AW58" s="26">
        <f t="shared" si="24"/>
        <v>515301.05266681401</v>
      </c>
      <c r="AX58" s="26">
        <f t="shared" si="25"/>
        <v>0.99788422916125696</v>
      </c>
      <c r="AY58" s="26">
        <f t="shared" si="7"/>
        <v>0</v>
      </c>
      <c r="AZ58" s="26">
        <f t="shared" si="26"/>
        <v>0</v>
      </c>
      <c r="BA58" s="23" t="s">
        <v>268</v>
      </c>
      <c r="BB58" t="str">
        <f t="shared" si="21"/>
        <v>MIM</v>
      </c>
    </row>
    <row r="59" spans="1:54" x14ac:dyDescent="0.25">
      <c r="A59">
        <v>100</v>
      </c>
      <c r="B59" s="71">
        <v>44939.000000578701</v>
      </c>
      <c r="C59" s="14" t="s">
        <v>217</v>
      </c>
      <c r="D59" s="23" t="s">
        <v>93</v>
      </c>
      <c r="E59" s="23" t="s">
        <v>15</v>
      </c>
      <c r="F59" s="23">
        <v>0.02</v>
      </c>
      <c r="G59" s="23">
        <v>28.3587704622243</v>
      </c>
      <c r="H59" s="23">
        <v>1417.9385231112101</v>
      </c>
      <c r="I59" s="23">
        <v>0</v>
      </c>
      <c r="J59" s="23" t="s">
        <v>85</v>
      </c>
      <c r="K59" s="24">
        <v>44939.000000578701</v>
      </c>
      <c r="L59" s="23">
        <v>1</v>
      </c>
      <c r="M59" s="23" t="s">
        <v>15</v>
      </c>
      <c r="N59" s="25">
        <v>0</v>
      </c>
      <c r="O59" s="26" t="str">
        <f t="shared" si="0"/>
        <v>COIN</v>
      </c>
      <c r="P59" s="26" t="str">
        <f t="shared" si="9"/>
        <v>LONG</v>
      </c>
      <c r="Q59" s="26" t="str">
        <f t="shared" si="10"/>
        <v>COIN LONG</v>
      </c>
      <c r="R59" s="26">
        <v>0</v>
      </c>
      <c r="S59" s="26">
        <v>0</v>
      </c>
      <c r="T59" s="26">
        <v>0</v>
      </c>
      <c r="U59" s="26">
        <v>0</v>
      </c>
      <c r="V59" s="23" t="str">
        <f t="shared" si="1"/>
        <v>BTFX</v>
      </c>
      <c r="W59" t="str">
        <f t="shared" si="11"/>
        <v>ETH COIN LONG</v>
      </c>
      <c r="X59" s="88" t="s">
        <v>264</v>
      </c>
      <c r="Y59" s="3" t="s">
        <v>413</v>
      </c>
      <c r="Z59" s="31">
        <v>0.40433681999999926</v>
      </c>
      <c r="AA59" s="31">
        <v>263.86036920973993</v>
      </c>
      <c r="AD59" s="71">
        <f t="shared" si="12"/>
        <v>44939.000003356479</v>
      </c>
      <c r="AE59" s="14" t="str">
        <f t="shared" si="13"/>
        <v>-</v>
      </c>
      <c r="AF59" s="14" t="str">
        <f t="shared" si="14"/>
        <v>WALLET</v>
      </c>
      <c r="AG59" s="14" t="s">
        <v>413</v>
      </c>
      <c r="AH59" s="14">
        <v>0.40433681999999926</v>
      </c>
      <c r="AI59" s="14">
        <v>263.86036920973993</v>
      </c>
      <c r="AJ59" s="14">
        <f t="shared" si="15"/>
        <v>652.5756650352555</v>
      </c>
      <c r="AK59" s="14">
        <f t="shared" si="16"/>
        <v>0</v>
      </c>
      <c r="AL59" s="14" t="str">
        <f t="shared" si="17"/>
        <v>COIN</v>
      </c>
      <c r="AM59" s="24"/>
      <c r="AN59" s="14">
        <f t="shared" si="18"/>
        <v>1</v>
      </c>
      <c r="AO59" s="14" t="str">
        <f t="shared" si="19"/>
        <v>MKR</v>
      </c>
      <c r="AP59" s="45"/>
      <c r="AQ59" s="46"/>
      <c r="AR59" s="47"/>
      <c r="AS59" s="25">
        <f t="shared" si="2"/>
        <v>0</v>
      </c>
      <c r="AT59" s="26" t="str">
        <f t="shared" si="22"/>
        <v>COIN</v>
      </c>
      <c r="AU59" s="26" t="str">
        <f t="shared" si="20"/>
        <v>LONG</v>
      </c>
      <c r="AV59" s="26" t="str">
        <f t="shared" si="23"/>
        <v>COIN LONG</v>
      </c>
      <c r="AW59" s="26">
        <f t="shared" si="24"/>
        <v>263.86036920973993</v>
      </c>
      <c r="AX59" s="26">
        <f t="shared" si="25"/>
        <v>652.5756650352555</v>
      </c>
      <c r="AY59" s="26">
        <f t="shared" si="7"/>
        <v>0</v>
      </c>
      <c r="AZ59" s="26">
        <f t="shared" si="26"/>
        <v>0</v>
      </c>
      <c r="BA59" s="23" t="s">
        <v>268</v>
      </c>
      <c r="BB59" t="str">
        <f t="shared" si="21"/>
        <v>MKR</v>
      </c>
    </row>
    <row r="60" spans="1:54" x14ac:dyDescent="0.25">
      <c r="A60">
        <v>101</v>
      </c>
      <c r="B60" s="71">
        <v>44939.000000578701</v>
      </c>
      <c r="C60" s="14" t="s">
        <v>217</v>
      </c>
      <c r="D60" s="23" t="s">
        <v>93</v>
      </c>
      <c r="E60" s="23" t="s">
        <v>272</v>
      </c>
      <c r="F60" s="23">
        <v>0.02</v>
      </c>
      <c r="G60" s="23">
        <v>6.8681868233453097E-2</v>
      </c>
      <c r="H60" s="23">
        <v>3.43409341167265</v>
      </c>
      <c r="I60" s="23">
        <v>0</v>
      </c>
      <c r="J60" s="23" t="s">
        <v>85</v>
      </c>
      <c r="K60" s="24">
        <v>44939.000000578701</v>
      </c>
      <c r="L60" s="23">
        <v>1</v>
      </c>
      <c r="M60" s="23" t="s">
        <v>272</v>
      </c>
      <c r="N60" s="25">
        <v>0</v>
      </c>
      <c r="O60" s="26" t="str">
        <f t="shared" si="0"/>
        <v>COIN</v>
      </c>
      <c r="P60" s="26" t="str">
        <f t="shared" si="9"/>
        <v>LONG</v>
      </c>
      <c r="Q60" s="26" t="str">
        <f t="shared" si="10"/>
        <v>COIN LONG</v>
      </c>
      <c r="R60" s="26">
        <v>0</v>
      </c>
      <c r="S60" s="26">
        <v>0</v>
      </c>
      <c r="T60" s="26">
        <v>0</v>
      </c>
      <c r="U60" s="26">
        <v>0</v>
      </c>
      <c r="V60" s="23" t="str">
        <f t="shared" si="1"/>
        <v>BTFX</v>
      </c>
      <c r="W60" t="str">
        <f t="shared" si="11"/>
        <v>ETHW COIN LONG</v>
      </c>
      <c r="X60" s="88" t="s">
        <v>264</v>
      </c>
      <c r="Y60" s="3" t="s">
        <v>146</v>
      </c>
      <c r="Z60" s="31">
        <v>0.89105878000000005</v>
      </c>
      <c r="AA60" s="31">
        <v>6.3991039922190902</v>
      </c>
      <c r="AD60" s="71">
        <f t="shared" si="12"/>
        <v>44939.000003356479</v>
      </c>
      <c r="AE60" s="14" t="str">
        <f t="shared" si="13"/>
        <v>-</v>
      </c>
      <c r="AF60" s="14" t="str">
        <f t="shared" si="14"/>
        <v>WALLET</v>
      </c>
      <c r="AG60" s="14" t="s">
        <v>146</v>
      </c>
      <c r="AH60" s="14">
        <v>0.89105878000000005</v>
      </c>
      <c r="AI60" s="14">
        <v>6.3991039922190902</v>
      </c>
      <c r="AJ60" s="14">
        <f t="shared" si="15"/>
        <v>7.1814611289943073</v>
      </c>
      <c r="AK60" s="14">
        <f t="shared" si="16"/>
        <v>0</v>
      </c>
      <c r="AL60" s="14" t="str">
        <f t="shared" si="17"/>
        <v>COIN</v>
      </c>
      <c r="AM60" s="24"/>
      <c r="AN60" s="14">
        <f t="shared" si="18"/>
        <v>1</v>
      </c>
      <c r="AO60" s="14" t="str">
        <f t="shared" si="19"/>
        <v>NEO</v>
      </c>
      <c r="AP60" s="45"/>
      <c r="AQ60" s="46"/>
      <c r="AR60" s="47"/>
      <c r="AS60" s="25">
        <f t="shared" si="2"/>
        <v>0</v>
      </c>
      <c r="AT60" s="26" t="str">
        <f t="shared" si="22"/>
        <v>COIN</v>
      </c>
      <c r="AU60" s="26" t="str">
        <f t="shared" si="20"/>
        <v>LONG</v>
      </c>
      <c r="AV60" s="26" t="str">
        <f t="shared" si="23"/>
        <v>COIN LONG</v>
      </c>
      <c r="AW60" s="26">
        <f t="shared" si="24"/>
        <v>6.3991039922190902</v>
      </c>
      <c r="AX60" s="26">
        <f t="shared" si="25"/>
        <v>7.1814611289943073</v>
      </c>
      <c r="AY60" s="26">
        <f t="shared" si="7"/>
        <v>0</v>
      </c>
      <c r="AZ60" s="26">
        <f t="shared" si="26"/>
        <v>0</v>
      </c>
      <c r="BA60" s="23" t="s">
        <v>268</v>
      </c>
      <c r="BB60" t="str">
        <f t="shared" si="21"/>
        <v>NEO</v>
      </c>
    </row>
    <row r="61" spans="1:54" x14ac:dyDescent="0.25">
      <c r="A61">
        <v>102</v>
      </c>
      <c r="B61" s="71">
        <v>44939.000000578701</v>
      </c>
      <c r="C61" s="14" t="s">
        <v>217</v>
      </c>
      <c r="D61" s="23" t="s">
        <v>93</v>
      </c>
      <c r="E61" s="23" t="s">
        <v>95</v>
      </c>
      <c r="F61" s="23">
        <v>2.755467E-2</v>
      </c>
      <c r="G61" s="23">
        <v>2.755467E-2</v>
      </c>
      <c r="H61" s="23">
        <v>1</v>
      </c>
      <c r="I61" s="23">
        <v>0</v>
      </c>
      <c r="J61" s="23" t="s">
        <v>85</v>
      </c>
      <c r="K61" s="24">
        <v>44939.000000578701</v>
      </c>
      <c r="L61" s="23">
        <v>1</v>
      </c>
      <c r="M61" s="23" t="s">
        <v>95</v>
      </c>
      <c r="N61" s="25">
        <v>0</v>
      </c>
      <c r="O61" s="26" t="str">
        <f t="shared" si="0"/>
        <v>CASH</v>
      </c>
      <c r="P61" s="26" t="str">
        <f t="shared" si="9"/>
        <v>LONG</v>
      </c>
      <c r="Q61" s="26" t="str">
        <f t="shared" si="10"/>
        <v>CASH LONG</v>
      </c>
      <c r="R61" s="26">
        <v>0</v>
      </c>
      <c r="S61" s="26">
        <v>0</v>
      </c>
      <c r="T61" s="26">
        <v>0</v>
      </c>
      <c r="U61" s="26">
        <v>0</v>
      </c>
      <c r="V61" s="23" t="str">
        <f t="shared" si="1"/>
        <v>BTFX</v>
      </c>
      <c r="W61" t="str">
        <f t="shared" si="11"/>
        <v>USD CASH LONG</v>
      </c>
      <c r="X61" s="88" t="s">
        <v>264</v>
      </c>
      <c r="Y61" s="3" t="s">
        <v>147</v>
      </c>
      <c r="Z61" s="31">
        <v>40.704174029999997</v>
      </c>
      <c r="AA61" s="31">
        <v>6.5557813758032801E-3</v>
      </c>
      <c r="AD61" s="71">
        <f t="shared" si="12"/>
        <v>44939.000003356479</v>
      </c>
      <c r="AE61" s="14" t="str">
        <f t="shared" si="13"/>
        <v>-</v>
      </c>
      <c r="AF61" s="14" t="str">
        <f t="shared" si="14"/>
        <v>WALLET</v>
      </c>
      <c r="AG61" s="14" t="s">
        <v>147</v>
      </c>
      <c r="AH61" s="14">
        <v>40.704174029999997</v>
      </c>
      <c r="AI61" s="14">
        <v>6.5557813758032801E-3</v>
      </c>
      <c r="AJ61" s="14">
        <f t="shared" si="15"/>
        <v>1.6105919188954689E-4</v>
      </c>
      <c r="AK61" s="14">
        <f t="shared" si="16"/>
        <v>0</v>
      </c>
      <c r="AL61" s="14" t="str">
        <f t="shared" si="17"/>
        <v>COIN</v>
      </c>
      <c r="AM61" s="24"/>
      <c r="AN61" s="14">
        <f t="shared" si="18"/>
        <v>1</v>
      </c>
      <c r="AO61" s="14" t="str">
        <f t="shared" si="19"/>
        <v>NEW</v>
      </c>
      <c r="AP61" s="45"/>
      <c r="AQ61" s="46"/>
      <c r="AR61" s="47"/>
      <c r="AS61" s="25">
        <f t="shared" si="2"/>
        <v>0</v>
      </c>
      <c r="AT61" s="26" t="str">
        <f t="shared" si="22"/>
        <v>COIN</v>
      </c>
      <c r="AU61" s="26" t="str">
        <f t="shared" si="20"/>
        <v>LONG</v>
      </c>
      <c r="AV61" s="26" t="str">
        <f t="shared" si="23"/>
        <v>COIN LONG</v>
      </c>
      <c r="AW61" s="26">
        <f t="shared" si="24"/>
        <v>6.5557813758032801E-3</v>
      </c>
      <c r="AX61" s="26">
        <f t="shared" si="25"/>
        <v>1.6105919188954689E-4</v>
      </c>
      <c r="AY61" s="26">
        <f t="shared" si="7"/>
        <v>0</v>
      </c>
      <c r="AZ61" s="26">
        <f t="shared" si="26"/>
        <v>0</v>
      </c>
      <c r="BA61" s="23" t="s">
        <v>268</v>
      </c>
      <c r="BB61" t="str">
        <f t="shared" si="21"/>
        <v>NEW</v>
      </c>
    </row>
    <row r="62" spans="1:54" x14ac:dyDescent="0.25">
      <c r="A62">
        <v>103</v>
      </c>
      <c r="B62" s="71">
        <v>44939.000000578701</v>
      </c>
      <c r="C62" s="14" t="s">
        <v>217</v>
      </c>
      <c r="D62" s="23" t="s">
        <v>93</v>
      </c>
      <c r="E62" s="23" t="s">
        <v>96</v>
      </c>
      <c r="F62" s="23">
        <v>29.9885932</v>
      </c>
      <c r="G62" s="23">
        <v>0</v>
      </c>
      <c r="H62" s="23">
        <v>0</v>
      </c>
      <c r="I62" s="23">
        <v>0</v>
      </c>
      <c r="J62" s="23" t="s">
        <v>85</v>
      </c>
      <c r="K62" s="24">
        <v>44939.000000578701</v>
      </c>
      <c r="L62" s="23">
        <v>1</v>
      </c>
      <c r="M62" s="23" t="s">
        <v>96</v>
      </c>
      <c r="N62" s="25">
        <v>0</v>
      </c>
      <c r="O62" s="26" t="str">
        <f t="shared" si="0"/>
        <v>COIN</v>
      </c>
      <c r="P62" s="26" t="str">
        <f t="shared" si="9"/>
        <v>SHORT</v>
      </c>
      <c r="Q62" s="26" t="str">
        <f t="shared" si="10"/>
        <v>COIN SHORT</v>
      </c>
      <c r="R62" s="26">
        <v>0</v>
      </c>
      <c r="S62" s="26">
        <v>0</v>
      </c>
      <c r="T62" s="26">
        <v>0</v>
      </c>
      <c r="U62" s="26">
        <v>0</v>
      </c>
      <c r="V62" s="23" t="str">
        <f t="shared" si="1"/>
        <v>BTFX</v>
      </c>
      <c r="W62" t="str">
        <f t="shared" si="11"/>
        <v>UST COIN SHORT</v>
      </c>
      <c r="X62" s="88" t="s">
        <v>264</v>
      </c>
      <c r="Y62" s="3" t="s">
        <v>148</v>
      </c>
      <c r="Z62" s="31">
        <v>3049025070.2014399</v>
      </c>
      <c r="AA62" s="31">
        <v>1303.0554985349399</v>
      </c>
      <c r="AD62" s="71">
        <f t="shared" si="12"/>
        <v>44939.000003356479</v>
      </c>
      <c r="AE62" s="14" t="str">
        <f t="shared" si="13"/>
        <v>-</v>
      </c>
      <c r="AF62" s="14" t="str">
        <f t="shared" si="14"/>
        <v>WALLET</v>
      </c>
      <c r="AG62" s="14" t="s">
        <v>148</v>
      </c>
      <c r="AH62" s="14">
        <v>3049025070.2014399</v>
      </c>
      <c r="AI62" s="14">
        <v>1303.0554985349399</v>
      </c>
      <c r="AJ62" s="14">
        <f t="shared" si="15"/>
        <v>4.2736791877177022E-7</v>
      </c>
      <c r="AK62" s="14">
        <f t="shared" si="16"/>
        <v>0</v>
      </c>
      <c r="AL62" s="14" t="str">
        <f t="shared" si="17"/>
        <v>COIN</v>
      </c>
      <c r="AM62" s="24"/>
      <c r="AN62" s="14">
        <f t="shared" si="18"/>
        <v>1</v>
      </c>
      <c r="AO62" s="14" t="str">
        <f t="shared" si="19"/>
        <v>NFT</v>
      </c>
      <c r="AP62" s="45"/>
      <c r="AQ62" s="46"/>
      <c r="AR62" s="47"/>
      <c r="AS62" s="25">
        <f t="shared" si="2"/>
        <v>0</v>
      </c>
      <c r="AT62" s="26" t="str">
        <f t="shared" si="22"/>
        <v>COIN</v>
      </c>
      <c r="AU62" s="26" t="str">
        <f t="shared" si="20"/>
        <v>LONG</v>
      </c>
      <c r="AV62" s="26" t="str">
        <f t="shared" si="23"/>
        <v>COIN LONG</v>
      </c>
      <c r="AW62" s="26">
        <f t="shared" si="24"/>
        <v>1303.0554985349399</v>
      </c>
      <c r="AX62" s="26">
        <f t="shared" si="25"/>
        <v>4.2736791877177022E-7</v>
      </c>
      <c r="AY62" s="26">
        <f t="shared" si="7"/>
        <v>0</v>
      </c>
      <c r="AZ62" s="26">
        <f t="shared" si="26"/>
        <v>0</v>
      </c>
      <c r="BA62" s="23" t="s">
        <v>268</v>
      </c>
      <c r="BB62" t="str">
        <f t="shared" si="21"/>
        <v>NFT</v>
      </c>
    </row>
    <row r="63" spans="1:54" x14ac:dyDescent="0.25">
      <c r="A63">
        <v>104</v>
      </c>
      <c r="B63" s="71">
        <v>44938.004609722222</v>
      </c>
      <c r="C63" s="14" t="s">
        <v>97</v>
      </c>
      <c r="D63" s="23" t="s">
        <v>97</v>
      </c>
      <c r="E63" s="23" t="s">
        <v>20</v>
      </c>
      <c r="F63" s="23">
        <v>0.21932823000000001</v>
      </c>
      <c r="G63" s="23">
        <v>26.255884650393501</v>
      </c>
      <c r="H63" s="23">
        <v>119.710466137412</v>
      </c>
      <c r="I63" s="23">
        <v>0</v>
      </c>
      <c r="J63" s="23" t="s">
        <v>85</v>
      </c>
      <c r="K63" s="24">
        <v>44938.004609722222</v>
      </c>
      <c r="L63" s="23">
        <v>1</v>
      </c>
      <c r="M63" s="23" t="s">
        <v>20</v>
      </c>
      <c r="N63" s="25">
        <v>0</v>
      </c>
      <c r="O63" s="26" t="str">
        <f t="shared" si="0"/>
        <v>COIN</v>
      </c>
      <c r="P63" s="26" t="str">
        <f t="shared" si="9"/>
        <v>LONG</v>
      </c>
      <c r="Q63" s="26" t="str">
        <f t="shared" si="10"/>
        <v>COIN LONG</v>
      </c>
      <c r="R63" s="26">
        <v>0</v>
      </c>
      <c r="S63" s="26">
        <v>0</v>
      </c>
      <c r="T63" s="26">
        <v>0</v>
      </c>
      <c r="U63" s="26">
        <v>0</v>
      </c>
      <c r="V63" s="23" t="str">
        <f t="shared" si="1"/>
        <v>BTSE</v>
      </c>
      <c r="W63" t="str">
        <f t="shared" si="11"/>
        <v>BCH COIN LONG</v>
      </c>
      <c r="X63" s="88" t="s">
        <v>264</v>
      </c>
      <c r="Y63" s="3" t="s">
        <v>149</v>
      </c>
      <c r="Z63" s="31">
        <v>4.3068300000000002E-3</v>
      </c>
      <c r="AA63" s="31">
        <v>8.8743929915522204E-4</v>
      </c>
      <c r="AD63" s="71">
        <f t="shared" si="12"/>
        <v>44939.000003356479</v>
      </c>
      <c r="AE63" s="14" t="str">
        <f t="shared" si="13"/>
        <v>-</v>
      </c>
      <c r="AF63" s="14" t="str">
        <f t="shared" si="14"/>
        <v>WALLET</v>
      </c>
      <c r="AG63" s="14" t="s">
        <v>149</v>
      </c>
      <c r="AH63" s="14">
        <v>4.3068300000000002E-3</v>
      </c>
      <c r="AI63" s="14">
        <v>8.8743929915522204E-4</v>
      </c>
      <c r="AJ63" s="14">
        <f t="shared" si="15"/>
        <v>0.20605394203050084</v>
      </c>
      <c r="AK63" s="14">
        <f t="shared" si="16"/>
        <v>0</v>
      </c>
      <c r="AL63" s="14" t="str">
        <f t="shared" si="17"/>
        <v>COIN</v>
      </c>
      <c r="AM63" s="24"/>
      <c r="AN63" s="14">
        <f t="shared" si="18"/>
        <v>1</v>
      </c>
      <c r="AO63" s="14" t="str">
        <f t="shared" si="19"/>
        <v>NULS</v>
      </c>
      <c r="AP63" s="45"/>
      <c r="AQ63" s="46"/>
      <c r="AR63" s="47"/>
      <c r="AS63" s="25">
        <f t="shared" si="2"/>
        <v>0</v>
      </c>
      <c r="AT63" s="26" t="str">
        <f t="shared" si="22"/>
        <v>COIN</v>
      </c>
      <c r="AU63" s="26" t="str">
        <f t="shared" si="20"/>
        <v>LONG</v>
      </c>
      <c r="AV63" s="26" t="str">
        <f t="shared" si="23"/>
        <v>COIN LONG</v>
      </c>
      <c r="AW63" s="26">
        <f t="shared" si="24"/>
        <v>8.8743929915522204E-4</v>
      </c>
      <c r="AX63" s="26">
        <f t="shared" si="25"/>
        <v>0.20605394203050084</v>
      </c>
      <c r="AY63" s="26">
        <f t="shared" si="7"/>
        <v>0</v>
      </c>
      <c r="AZ63" s="26">
        <f t="shared" si="26"/>
        <v>0</v>
      </c>
      <c r="BA63" s="23" t="s">
        <v>268</v>
      </c>
      <c r="BB63" t="str">
        <f t="shared" si="21"/>
        <v>NULS</v>
      </c>
    </row>
    <row r="64" spans="1:54" x14ac:dyDescent="0.25">
      <c r="A64">
        <v>105</v>
      </c>
      <c r="B64" s="71">
        <v>44938.004620636573</v>
      </c>
      <c r="C64" s="14" t="s">
        <v>97</v>
      </c>
      <c r="D64" s="23" t="s">
        <v>97</v>
      </c>
      <c r="E64" s="23" t="s">
        <v>14</v>
      </c>
      <c r="F64" s="23">
        <v>5.7861299999999997E-2</v>
      </c>
      <c r="G64" s="23">
        <v>1091.81889534213</v>
      </c>
      <c r="H64" s="23">
        <v>18869.5880552655</v>
      </c>
      <c r="I64" s="23">
        <v>0</v>
      </c>
      <c r="J64" s="23" t="s">
        <v>85</v>
      </c>
      <c r="K64" s="24">
        <v>44938.004620636573</v>
      </c>
      <c r="L64" s="23">
        <v>1</v>
      </c>
      <c r="M64" s="23" t="s">
        <v>14</v>
      </c>
      <c r="N64" s="25">
        <v>0</v>
      </c>
      <c r="O64" s="26" t="str">
        <f t="shared" si="0"/>
        <v>COIN</v>
      </c>
      <c r="P64" s="26" t="str">
        <f t="shared" si="9"/>
        <v>LONG</v>
      </c>
      <c r="Q64" s="26" t="str">
        <f t="shared" si="10"/>
        <v>COIN LONG</v>
      </c>
      <c r="R64" s="26">
        <v>0</v>
      </c>
      <c r="S64" s="26">
        <v>0</v>
      </c>
      <c r="T64" s="26">
        <v>0</v>
      </c>
      <c r="U64" s="26">
        <v>0</v>
      </c>
      <c r="V64" s="23" t="str">
        <f t="shared" si="1"/>
        <v>BTSE</v>
      </c>
      <c r="W64" t="str">
        <f t="shared" si="11"/>
        <v>BTC COIN LONG</v>
      </c>
      <c r="X64" s="88" t="s">
        <v>264</v>
      </c>
      <c r="Y64" s="3" t="s">
        <v>150</v>
      </c>
      <c r="Z64" s="31">
        <v>24404.400819300001</v>
      </c>
      <c r="AA64" s="31">
        <v>29584.771730049993</v>
      </c>
      <c r="AD64" s="71">
        <f t="shared" si="12"/>
        <v>44939.000003356479</v>
      </c>
      <c r="AE64" s="14" t="str">
        <f t="shared" si="13"/>
        <v>-</v>
      </c>
      <c r="AF64" s="14" t="str">
        <f t="shared" si="14"/>
        <v>WALLET</v>
      </c>
      <c r="AG64" s="14" t="s">
        <v>150</v>
      </c>
      <c r="AH64" s="14">
        <v>24404.400819300001</v>
      </c>
      <c r="AI64" s="14">
        <v>29584.771730049993</v>
      </c>
      <c r="AJ64" s="14">
        <f t="shared" si="15"/>
        <v>1.2122719975428835</v>
      </c>
      <c r="AK64" s="14">
        <f t="shared" si="16"/>
        <v>0</v>
      </c>
      <c r="AL64" s="14" t="str">
        <f t="shared" si="17"/>
        <v>COIN</v>
      </c>
      <c r="AM64" s="24"/>
      <c r="AN64" s="14">
        <f t="shared" si="18"/>
        <v>1</v>
      </c>
      <c r="AO64" s="14" t="str">
        <f t="shared" si="19"/>
        <v>OMG</v>
      </c>
      <c r="AP64" s="45"/>
      <c r="AQ64" s="46"/>
      <c r="AR64" s="47"/>
      <c r="AS64" s="25">
        <f t="shared" si="2"/>
        <v>0</v>
      </c>
      <c r="AT64" s="26" t="str">
        <f t="shared" si="22"/>
        <v>COIN</v>
      </c>
      <c r="AU64" s="26" t="str">
        <f t="shared" si="20"/>
        <v>LONG</v>
      </c>
      <c r="AV64" s="26" t="str">
        <f t="shared" si="23"/>
        <v>COIN LONG</v>
      </c>
      <c r="AW64" s="26">
        <f t="shared" si="24"/>
        <v>29584.771730049993</v>
      </c>
      <c r="AX64" s="26">
        <f t="shared" si="25"/>
        <v>1.2122719975428835</v>
      </c>
      <c r="AY64" s="26">
        <f t="shared" si="7"/>
        <v>0</v>
      </c>
      <c r="AZ64" s="26">
        <f t="shared" si="26"/>
        <v>0</v>
      </c>
      <c r="BA64" s="23" t="s">
        <v>268</v>
      </c>
      <c r="BB64" t="str">
        <f t="shared" si="21"/>
        <v>OMG</v>
      </c>
    </row>
    <row r="65" spans="1:54" x14ac:dyDescent="0.25">
      <c r="A65">
        <v>106</v>
      </c>
      <c r="B65" s="71">
        <v>44938.004631481483</v>
      </c>
      <c r="C65" s="14" t="s">
        <v>97</v>
      </c>
      <c r="D65" s="23" t="s">
        <v>97</v>
      </c>
      <c r="E65" s="23" t="s">
        <v>15</v>
      </c>
      <c r="F65" s="23">
        <v>0.73541904000000002</v>
      </c>
      <c r="G65" s="23">
        <v>1042.77898744547</v>
      </c>
      <c r="H65" s="23">
        <v>1417.9385231112101</v>
      </c>
      <c r="I65" s="23">
        <v>0</v>
      </c>
      <c r="J65" s="23" t="s">
        <v>85</v>
      </c>
      <c r="K65" s="24">
        <v>44938.004631481483</v>
      </c>
      <c r="L65" s="23">
        <v>1</v>
      </c>
      <c r="M65" s="23" t="s">
        <v>15</v>
      </c>
      <c r="N65" s="25">
        <v>0</v>
      </c>
      <c r="O65" s="26" t="str">
        <f t="shared" si="0"/>
        <v>COIN</v>
      </c>
      <c r="P65" s="26" t="str">
        <f t="shared" si="9"/>
        <v>LONG</v>
      </c>
      <c r="Q65" s="26" t="str">
        <f t="shared" si="10"/>
        <v>COIN LONG</v>
      </c>
      <c r="R65" s="26">
        <v>0</v>
      </c>
      <c r="S65" s="26">
        <v>0</v>
      </c>
      <c r="T65" s="26">
        <v>0</v>
      </c>
      <c r="U65" s="26">
        <v>0</v>
      </c>
      <c r="V65" s="23" t="str">
        <f t="shared" si="1"/>
        <v>BTSE</v>
      </c>
      <c r="W65" t="str">
        <f t="shared" si="11"/>
        <v>ETH COIN LONG</v>
      </c>
      <c r="X65" s="88" t="s">
        <v>264</v>
      </c>
      <c r="Y65" s="3" t="s">
        <v>151</v>
      </c>
      <c r="Z65" s="31">
        <v>0.34782034000000001</v>
      </c>
      <c r="AA65" s="31">
        <v>8.4954954190642806E-2</v>
      </c>
      <c r="AD65" s="71">
        <f t="shared" si="12"/>
        <v>44939.000003356479</v>
      </c>
      <c r="AE65" s="14" t="str">
        <f t="shared" si="13"/>
        <v>-</v>
      </c>
      <c r="AF65" s="14" t="str">
        <f t="shared" si="14"/>
        <v>WALLET</v>
      </c>
      <c r="AG65" s="14" t="s">
        <v>151</v>
      </c>
      <c r="AH65" s="14">
        <v>0.34782034000000001</v>
      </c>
      <c r="AI65" s="14">
        <v>8.4954954190642806E-2</v>
      </c>
      <c r="AJ65" s="14">
        <f t="shared" si="15"/>
        <v>0.24424952891093948</v>
      </c>
      <c r="AK65" s="14">
        <f t="shared" si="16"/>
        <v>0</v>
      </c>
      <c r="AL65" s="14" t="str">
        <f t="shared" si="17"/>
        <v>COIN</v>
      </c>
      <c r="AM65" s="24"/>
      <c r="AN65" s="14">
        <f t="shared" si="18"/>
        <v>1</v>
      </c>
      <c r="AO65" s="14" t="str">
        <f t="shared" si="19"/>
        <v>ONG</v>
      </c>
      <c r="AP65" s="45"/>
      <c r="AQ65" s="46"/>
      <c r="AR65" s="47"/>
      <c r="AS65" s="25">
        <f t="shared" si="2"/>
        <v>0</v>
      </c>
      <c r="AT65" s="26" t="str">
        <f t="shared" si="22"/>
        <v>COIN</v>
      </c>
      <c r="AU65" s="26" t="str">
        <f t="shared" si="20"/>
        <v>LONG</v>
      </c>
      <c r="AV65" s="26" t="str">
        <f t="shared" si="23"/>
        <v>COIN LONG</v>
      </c>
      <c r="AW65" s="26">
        <f t="shared" si="24"/>
        <v>8.4954954190642806E-2</v>
      </c>
      <c r="AX65" s="26">
        <f t="shared" si="25"/>
        <v>0.24424952891093948</v>
      </c>
      <c r="AY65" s="26">
        <f t="shared" si="7"/>
        <v>0</v>
      </c>
      <c r="AZ65" s="26">
        <f t="shared" si="26"/>
        <v>0</v>
      </c>
      <c r="BA65" s="23" t="s">
        <v>268</v>
      </c>
      <c r="BB65" t="str">
        <f t="shared" si="21"/>
        <v>ONG</v>
      </c>
    </row>
    <row r="66" spans="1:54" x14ac:dyDescent="0.25">
      <c r="A66">
        <v>107</v>
      </c>
      <c r="B66" s="71">
        <v>44938.004642326392</v>
      </c>
      <c r="C66" s="14" t="s">
        <v>97</v>
      </c>
      <c r="D66" s="23" t="s">
        <v>97</v>
      </c>
      <c r="E66" s="23" t="s">
        <v>973</v>
      </c>
      <c r="F66" s="23">
        <v>22277.5319929</v>
      </c>
      <c r="G66" s="23">
        <v>980.45458503844304</v>
      </c>
      <c r="H66" s="23">
        <v>4.4010915811990299E-2</v>
      </c>
      <c r="I66" s="23">
        <v>0</v>
      </c>
      <c r="J66" s="23" t="s">
        <v>85</v>
      </c>
      <c r="K66" s="24">
        <v>44938.004642326392</v>
      </c>
      <c r="L66" s="23">
        <v>1</v>
      </c>
      <c r="M66" s="23" t="s">
        <v>973</v>
      </c>
      <c r="N66" s="25">
        <v>0</v>
      </c>
      <c r="O66" s="26" t="str">
        <f t="shared" ref="O66:O129" si="27">IF($C66="","",IF(OR($E66="USD",$E66="EUR"),"CASH","COIN"))</f>
        <v>COIN</v>
      </c>
      <c r="P66" s="26" t="str">
        <f t="shared" si="9"/>
        <v>LONG</v>
      </c>
      <c r="Q66" s="26" t="str">
        <f t="shared" si="10"/>
        <v>COIN LONG</v>
      </c>
      <c r="R66" s="26">
        <v>0</v>
      </c>
      <c r="S66" s="26">
        <v>0</v>
      </c>
      <c r="T66" s="26">
        <v>0</v>
      </c>
      <c r="U66" s="26">
        <v>0</v>
      </c>
      <c r="V66" s="23" t="str">
        <f t="shared" ref="V66:V129" si="28">IF($C66="","",IF(ISERROR(SEARCH("-",$D66)),$D66,LEFT($D66,SEARCH("-",$D66)-1)))</f>
        <v>BTSE</v>
      </c>
      <c r="W66" t="str">
        <f t="shared" si="11"/>
        <v>FLR COIN LONG</v>
      </c>
      <c r="X66" s="88" t="s">
        <v>264</v>
      </c>
      <c r="Y66" s="3" t="s">
        <v>89</v>
      </c>
      <c r="Z66" s="31">
        <v>14647.551935540163</v>
      </c>
      <c r="AA66" s="31">
        <v>1073.948722064757</v>
      </c>
      <c r="AD66" s="71">
        <f t="shared" si="12"/>
        <v>44939.000003356479</v>
      </c>
      <c r="AE66" s="14" t="str">
        <f t="shared" si="13"/>
        <v>-</v>
      </c>
      <c r="AF66" s="14" t="str">
        <f t="shared" si="14"/>
        <v>WALLET</v>
      </c>
      <c r="AG66" s="14" t="s">
        <v>89</v>
      </c>
      <c r="AH66" s="14">
        <v>14647.551935540163</v>
      </c>
      <c r="AI66" s="14">
        <v>1073.948722064757</v>
      </c>
      <c r="AJ66" s="14">
        <f t="shared" si="15"/>
        <v>7.3319331912316085E-2</v>
      </c>
      <c r="AK66" s="14">
        <f t="shared" si="16"/>
        <v>0</v>
      </c>
      <c r="AL66" s="14" t="str">
        <f t="shared" si="17"/>
        <v>COIN</v>
      </c>
      <c r="AM66" s="24"/>
      <c r="AN66" s="14">
        <f t="shared" si="18"/>
        <v>1</v>
      </c>
      <c r="AO66" s="14" t="str">
        <f t="shared" si="19"/>
        <v>OXT</v>
      </c>
      <c r="AP66" s="45"/>
      <c r="AQ66" s="46"/>
      <c r="AR66" s="47"/>
      <c r="AS66" s="25">
        <f t="shared" ref="AS66:AS90" si="29">IF($AE66="","",0)</f>
        <v>0</v>
      </c>
      <c r="AT66" s="26" t="str">
        <f t="shared" ref="AT66:AT78" si="30">IF(OR($AG66="USD",AG66="EUR"),"CASH","COIN")</f>
        <v>COIN</v>
      </c>
      <c r="AU66" s="26" t="str">
        <f t="shared" si="20"/>
        <v>LONG</v>
      </c>
      <c r="AV66" s="26" t="str">
        <f t="shared" ref="AV66:AV100" si="31">IF($AE66="","",$AT66&amp;" "&amp;$AU66)</f>
        <v>COIN LONG</v>
      </c>
      <c r="AW66" s="26">
        <f t="shared" ref="AW66:AW100" si="32">IF($AE66="","",$AI66*(1+$AY66))</f>
        <v>1073.948722064757</v>
      </c>
      <c r="AX66" s="26">
        <f t="shared" ref="AX66:AX99" si="33">IF($AE66="","",$AJ66*(1+$AY66))</f>
        <v>7.3319331912316085E-2</v>
      </c>
      <c r="AY66" s="26">
        <f t="shared" ref="AY66:AY94" si="34">IF($AE66="","",0)</f>
        <v>0</v>
      </c>
      <c r="AZ66" s="26">
        <f t="shared" ref="AZ66:AZ99" si="35">IF($AE66="","",$AI66-$AW66)</f>
        <v>0</v>
      </c>
      <c r="BA66" s="23" t="s">
        <v>268</v>
      </c>
      <c r="BB66" t="str">
        <f t="shared" si="21"/>
        <v>OXT</v>
      </c>
    </row>
    <row r="67" spans="1:54" x14ac:dyDescent="0.25">
      <c r="A67">
        <v>108</v>
      </c>
      <c r="B67" s="71">
        <v>44938.004653159725</v>
      </c>
      <c r="C67" s="14" t="s">
        <v>97</v>
      </c>
      <c r="D67" s="23" t="s">
        <v>97</v>
      </c>
      <c r="E67" s="23" t="s">
        <v>98</v>
      </c>
      <c r="F67" s="23">
        <v>22277.5319929</v>
      </c>
      <c r="G67" s="23">
        <v>260.80815193398598</v>
      </c>
      <c r="H67" s="23">
        <v>1.17072282520841E-2</v>
      </c>
      <c r="I67" s="23">
        <v>0</v>
      </c>
      <c r="J67" s="23" t="s">
        <v>85</v>
      </c>
      <c r="K67" s="24">
        <v>44938.004653159725</v>
      </c>
      <c r="L67" s="23">
        <v>1</v>
      </c>
      <c r="M67" s="23" t="s">
        <v>98</v>
      </c>
      <c r="N67" s="25">
        <v>0</v>
      </c>
      <c r="O67" s="26" t="str">
        <f t="shared" si="27"/>
        <v>COIN</v>
      </c>
      <c r="P67" s="26" t="str">
        <f t="shared" ref="P67:P130" si="36">IF($C67="","",IF($J67="CME FUTURE","HEDGE",IF($G67&gt;0,"LONG","SHORT")))</f>
        <v>LONG</v>
      </c>
      <c r="Q67" s="26" t="str">
        <f t="shared" ref="Q67:Q130" si="37">O67&amp;" "&amp;P67</f>
        <v>COIN LONG</v>
      </c>
      <c r="R67" s="26">
        <v>0</v>
      </c>
      <c r="S67" s="26">
        <v>0</v>
      </c>
      <c r="T67" s="26">
        <v>0</v>
      </c>
      <c r="U67" s="26">
        <v>0</v>
      </c>
      <c r="V67" s="23" t="str">
        <f t="shared" si="28"/>
        <v>BTSE</v>
      </c>
      <c r="W67" t="str">
        <f t="shared" ref="W67:W133" si="38">IF($C67="","",$M67&amp;" "&amp;$Q67)</f>
        <v>SGB COIN LONG</v>
      </c>
      <c r="X67" s="88" t="s">
        <v>264</v>
      </c>
      <c r="Y67" s="3" t="s">
        <v>152</v>
      </c>
      <c r="Z67" s="31">
        <v>3.0962099999999998E-3</v>
      </c>
      <c r="AA67" s="31">
        <v>6.8010097540225998E-3</v>
      </c>
      <c r="AD67" s="71">
        <f t="shared" ref="AD67:AD107" si="39">IF($AG67="","",$B$2)</f>
        <v>44939.000003356479</v>
      </c>
      <c r="AE67" s="14" t="str">
        <f t="shared" ref="AE67:AE107" si="40">IF($AG67="","","-")</f>
        <v>-</v>
      </c>
      <c r="AF67" s="14" t="str">
        <f t="shared" ref="AF67:AF107" si="41">IF($AG67="","","WALLET")</f>
        <v>WALLET</v>
      </c>
      <c r="AG67" s="14" t="s">
        <v>152</v>
      </c>
      <c r="AH67" s="14">
        <v>3.0962099999999998E-3</v>
      </c>
      <c r="AI67" s="14">
        <v>6.8010097540225998E-3</v>
      </c>
      <c r="AJ67" s="14">
        <f t="shared" ref="AJ67:AJ107" si="42">IF(AH67&lt;&gt;0,AI67/AH67,"")</f>
        <v>2.1965595854359363</v>
      </c>
      <c r="AK67" s="14">
        <f t="shared" ref="AK67:AK107" si="43">IF($AG67="","",0)</f>
        <v>0</v>
      </c>
      <c r="AL67" s="14" t="str">
        <f t="shared" ref="AL67:AL107" si="44">IF(AE67="","",IF(OR($AG67="USD",$AG67="EUR"),"CASH","COIN"))</f>
        <v>COIN</v>
      </c>
      <c r="AM67" s="24"/>
      <c r="AN67" s="14">
        <f t="shared" ref="AN67:AN107" si="45">IF($AG67="","",1)</f>
        <v>1</v>
      </c>
      <c r="AO67" s="14" t="str">
        <f t="shared" ref="AO67:AO107" si="46">IF($AG67="","",$AG67)</f>
        <v>QTUM</v>
      </c>
      <c r="AP67" s="45"/>
      <c r="AQ67" s="46"/>
      <c r="AR67" s="47"/>
      <c r="AS67" s="25">
        <f t="shared" si="29"/>
        <v>0</v>
      </c>
      <c r="AT67" s="26" t="str">
        <f t="shared" si="30"/>
        <v>COIN</v>
      </c>
      <c r="AU67" s="26" t="str">
        <f t="shared" ref="AU67:AU100" si="47">IF($AE67="","",IF($AH67&gt;0,"LONG","SHORT"))</f>
        <v>LONG</v>
      </c>
      <c r="AV67" s="26" t="str">
        <f t="shared" si="31"/>
        <v>COIN LONG</v>
      </c>
      <c r="AW67" s="26">
        <f t="shared" si="32"/>
        <v>6.8010097540225998E-3</v>
      </c>
      <c r="AX67" s="26">
        <f t="shared" si="33"/>
        <v>2.1965595854359363</v>
      </c>
      <c r="AY67" s="26">
        <f t="shared" si="34"/>
        <v>0</v>
      </c>
      <c r="AZ67" s="26">
        <f t="shared" si="35"/>
        <v>0</v>
      </c>
      <c r="BA67" s="23" t="s">
        <v>268</v>
      </c>
      <c r="BB67" t="str">
        <f t="shared" ref="BB67:BB107" si="48">IF($AE67="","",$AO67)</f>
        <v>QTUM</v>
      </c>
    </row>
    <row r="68" spans="1:54" x14ac:dyDescent="0.25">
      <c r="A68">
        <v>109</v>
      </c>
      <c r="B68" s="71">
        <v>44938.004664201391</v>
      </c>
      <c r="C68" s="14" t="s">
        <v>97</v>
      </c>
      <c r="D68" s="23" t="s">
        <v>97</v>
      </c>
      <c r="E68" s="23" t="s">
        <v>95</v>
      </c>
      <c r="F68" s="23">
        <v>125335.8</v>
      </c>
      <c r="G68" s="23">
        <v>125335.8</v>
      </c>
      <c r="H68" s="23">
        <v>1</v>
      </c>
      <c r="I68" s="23">
        <v>0</v>
      </c>
      <c r="J68" s="23" t="s">
        <v>85</v>
      </c>
      <c r="K68" s="24">
        <v>44938.004664201391</v>
      </c>
      <c r="L68" s="23">
        <v>1</v>
      </c>
      <c r="M68" s="23" t="s">
        <v>95</v>
      </c>
      <c r="N68" s="25">
        <v>0</v>
      </c>
      <c r="O68" s="26" t="str">
        <f t="shared" si="27"/>
        <v>CASH</v>
      </c>
      <c r="P68" s="26" t="str">
        <f t="shared" si="36"/>
        <v>LONG</v>
      </c>
      <c r="Q68" s="26" t="str">
        <f t="shared" si="37"/>
        <v>CASH LONG</v>
      </c>
      <c r="R68" s="26">
        <v>0</v>
      </c>
      <c r="S68" s="26">
        <v>0</v>
      </c>
      <c r="T68" s="26">
        <v>0</v>
      </c>
      <c r="U68" s="26">
        <v>0</v>
      </c>
      <c r="V68" s="23" t="str">
        <f t="shared" si="28"/>
        <v>BTSE</v>
      </c>
      <c r="W68" t="str">
        <f t="shared" si="38"/>
        <v>USD CASH LONG</v>
      </c>
      <c r="X68" s="88" t="s">
        <v>264</v>
      </c>
      <c r="Y68" s="3" t="s">
        <v>153</v>
      </c>
      <c r="Z68" s="31">
        <v>2.6598900000000002E-2</v>
      </c>
      <c r="AA68" s="31">
        <v>6.4412294033312095E-4</v>
      </c>
      <c r="AD68" s="71">
        <f t="shared" si="39"/>
        <v>44939.000003356479</v>
      </c>
      <c r="AE68" s="14" t="str">
        <f t="shared" si="40"/>
        <v>-</v>
      </c>
      <c r="AF68" s="14" t="str">
        <f t="shared" si="41"/>
        <v>WALLET</v>
      </c>
      <c r="AG68" s="14" t="s">
        <v>153</v>
      </c>
      <c r="AH68" s="14">
        <v>2.6598900000000002E-2</v>
      </c>
      <c r="AI68" s="14">
        <v>6.4412294033312095E-4</v>
      </c>
      <c r="AJ68" s="14">
        <f t="shared" si="42"/>
        <v>2.4216149552542431E-2</v>
      </c>
      <c r="AK68" s="14">
        <f t="shared" si="43"/>
        <v>0</v>
      </c>
      <c r="AL68" s="14" t="str">
        <f t="shared" si="44"/>
        <v>COIN</v>
      </c>
      <c r="AM68" s="24"/>
      <c r="AN68" s="14">
        <f t="shared" si="45"/>
        <v>1</v>
      </c>
      <c r="AO68" s="14" t="str">
        <f t="shared" si="46"/>
        <v>REI</v>
      </c>
      <c r="AP68" s="45"/>
      <c r="AQ68" s="46"/>
      <c r="AR68" s="47"/>
      <c r="AS68" s="25">
        <f t="shared" si="29"/>
        <v>0</v>
      </c>
      <c r="AT68" s="26" t="str">
        <f t="shared" si="30"/>
        <v>COIN</v>
      </c>
      <c r="AU68" s="26" t="str">
        <f t="shared" si="47"/>
        <v>LONG</v>
      </c>
      <c r="AV68" s="26" t="str">
        <f t="shared" si="31"/>
        <v>COIN LONG</v>
      </c>
      <c r="AW68" s="26">
        <f t="shared" si="32"/>
        <v>6.4412294033312095E-4</v>
      </c>
      <c r="AX68" s="26">
        <f t="shared" si="33"/>
        <v>2.4216149552542431E-2</v>
      </c>
      <c r="AY68" s="26">
        <f t="shared" si="34"/>
        <v>0</v>
      </c>
      <c r="AZ68" s="26">
        <f t="shared" si="35"/>
        <v>0</v>
      </c>
      <c r="BA68" s="23" t="s">
        <v>268</v>
      </c>
      <c r="BB68" t="str">
        <f t="shared" si="48"/>
        <v>REI</v>
      </c>
    </row>
    <row r="69" spans="1:54" x14ac:dyDescent="0.25">
      <c r="A69">
        <v>110</v>
      </c>
      <c r="B69" s="71">
        <v>44938.004674884258</v>
      </c>
      <c r="C69" s="14" t="s">
        <v>97</v>
      </c>
      <c r="D69" s="23" t="s">
        <v>97</v>
      </c>
      <c r="E69" s="23" t="s">
        <v>99</v>
      </c>
      <c r="F69" s="23">
        <v>86647.684072849996</v>
      </c>
      <c r="G69" s="23">
        <v>32509.9634460124</v>
      </c>
      <c r="H69" s="23">
        <v>0.37519714224190098</v>
      </c>
      <c r="I69" s="23">
        <v>0</v>
      </c>
      <c r="J69" s="23" t="s">
        <v>85</v>
      </c>
      <c r="K69" s="24">
        <v>44938.004674884258</v>
      </c>
      <c r="L69" s="23">
        <v>1</v>
      </c>
      <c r="M69" s="23" t="s">
        <v>99</v>
      </c>
      <c r="N69" s="25">
        <v>0</v>
      </c>
      <c r="O69" s="26" t="str">
        <f t="shared" si="27"/>
        <v>COIN</v>
      </c>
      <c r="P69" s="26" t="str">
        <f t="shared" si="36"/>
        <v>LONG</v>
      </c>
      <c r="Q69" s="26" t="str">
        <f t="shared" si="37"/>
        <v>COIN LONG</v>
      </c>
      <c r="R69" s="26">
        <v>0</v>
      </c>
      <c r="S69" s="26">
        <v>0</v>
      </c>
      <c r="T69" s="26">
        <v>0</v>
      </c>
      <c r="U69" s="26">
        <v>0</v>
      </c>
      <c r="V69" s="23" t="str">
        <f t="shared" si="28"/>
        <v>BTSE</v>
      </c>
      <c r="W69" t="str">
        <f t="shared" si="38"/>
        <v>XRP COIN LONG</v>
      </c>
      <c r="X69" s="88" t="s">
        <v>264</v>
      </c>
      <c r="Y69" s="3" t="s">
        <v>291</v>
      </c>
      <c r="Z69" s="31">
        <v>9.5929999999999998E-5</v>
      </c>
      <c r="AA69" s="31">
        <v>4.0479294959959199E-6</v>
      </c>
      <c r="AD69" s="71">
        <f t="shared" si="39"/>
        <v>44939.000003356479</v>
      </c>
      <c r="AE69" s="14" t="str">
        <f t="shared" si="40"/>
        <v>-</v>
      </c>
      <c r="AF69" s="14" t="str">
        <f t="shared" si="41"/>
        <v>WALLET</v>
      </c>
      <c r="AG69" s="14" t="s">
        <v>291</v>
      </c>
      <c r="AH69" s="14">
        <v>9.5929999999999998E-5</v>
      </c>
      <c r="AI69" s="14">
        <v>4.0479294959959199E-6</v>
      </c>
      <c r="AJ69" s="14">
        <f t="shared" si="42"/>
        <v>4.2196700677534872E-2</v>
      </c>
      <c r="AK69" s="14">
        <f t="shared" si="43"/>
        <v>0</v>
      </c>
      <c r="AL69" s="14" t="str">
        <f t="shared" si="44"/>
        <v>COIN</v>
      </c>
      <c r="AM69" s="24"/>
      <c r="AN69" s="14">
        <f t="shared" si="45"/>
        <v>1</v>
      </c>
      <c r="AO69" s="14" t="str">
        <f t="shared" si="46"/>
        <v>ROSE</v>
      </c>
      <c r="AP69" s="45"/>
      <c r="AQ69" s="46"/>
      <c r="AR69" s="47"/>
      <c r="AS69" s="25">
        <f t="shared" si="29"/>
        <v>0</v>
      </c>
      <c r="AT69" s="26" t="str">
        <f t="shared" si="30"/>
        <v>COIN</v>
      </c>
      <c r="AU69" s="26" t="str">
        <f t="shared" si="47"/>
        <v>LONG</v>
      </c>
      <c r="AV69" s="26" t="str">
        <f t="shared" si="31"/>
        <v>COIN LONG</v>
      </c>
      <c r="AW69" s="26">
        <f t="shared" si="32"/>
        <v>4.0479294959959199E-6</v>
      </c>
      <c r="AX69" s="26">
        <f t="shared" si="33"/>
        <v>4.2196700677534872E-2</v>
      </c>
      <c r="AY69" s="26">
        <f t="shared" si="34"/>
        <v>0</v>
      </c>
      <c r="AZ69" s="26">
        <f t="shared" si="35"/>
        <v>0</v>
      </c>
      <c r="BA69" s="23" t="s">
        <v>268</v>
      </c>
      <c r="BB69" t="str">
        <f t="shared" si="48"/>
        <v>ROSE</v>
      </c>
    </row>
    <row r="70" spans="1:54" x14ac:dyDescent="0.25">
      <c r="A70">
        <v>111</v>
      </c>
      <c r="B70" s="71">
        <v>44939.000004085647</v>
      </c>
      <c r="C70" s="14" t="s">
        <v>101</v>
      </c>
      <c r="D70" s="23" t="s">
        <v>100</v>
      </c>
      <c r="E70" s="23" t="s">
        <v>14</v>
      </c>
      <c r="F70" s="23">
        <v>1799.26444287</v>
      </c>
      <c r="G70" s="23">
        <v>33951378.839443803</v>
      </c>
      <c r="H70" s="23">
        <v>18869.5880552655</v>
      </c>
      <c r="I70" s="23">
        <v>0</v>
      </c>
      <c r="J70" s="23" t="s">
        <v>85</v>
      </c>
      <c r="K70" s="24">
        <v>44939.000004085647</v>
      </c>
      <c r="L70" s="23">
        <v>1</v>
      </c>
      <c r="M70" s="23" t="s">
        <v>14</v>
      </c>
      <c r="N70" s="25">
        <v>0</v>
      </c>
      <c r="O70" s="26" t="str">
        <f t="shared" si="27"/>
        <v>COIN</v>
      </c>
      <c r="P70" s="26" t="str">
        <f t="shared" si="36"/>
        <v>LONG</v>
      </c>
      <c r="Q70" s="26" t="str">
        <f t="shared" si="37"/>
        <v>COIN LONG</v>
      </c>
      <c r="R70" s="26">
        <v>0</v>
      </c>
      <c r="S70" s="26">
        <v>0</v>
      </c>
      <c r="T70" s="26">
        <v>0</v>
      </c>
      <c r="U70" s="26">
        <v>0</v>
      </c>
      <c r="V70" s="23" t="str">
        <f t="shared" si="28"/>
        <v>BULL</v>
      </c>
      <c r="W70" t="str">
        <f t="shared" si="38"/>
        <v>BTC COIN LONG</v>
      </c>
      <c r="X70" s="88" t="s">
        <v>264</v>
      </c>
      <c r="Y70" s="3" t="s">
        <v>98</v>
      </c>
      <c r="Z70" s="31">
        <v>1236499.8774543798</v>
      </c>
      <c r="AA70" s="31">
        <v>14475.986299032353</v>
      </c>
      <c r="AD70" s="71">
        <f t="shared" si="39"/>
        <v>44939.000003356479</v>
      </c>
      <c r="AE70" s="14" t="str">
        <f t="shared" si="40"/>
        <v>-</v>
      </c>
      <c r="AF70" s="14" t="str">
        <f t="shared" si="41"/>
        <v>WALLET</v>
      </c>
      <c r="AG70" s="14" t="s">
        <v>98</v>
      </c>
      <c r="AH70" s="14">
        <v>1236499.8774543798</v>
      </c>
      <c r="AI70" s="14">
        <v>14475.986299032353</v>
      </c>
      <c r="AJ70" s="14">
        <f t="shared" si="42"/>
        <v>1.1707228252084027E-2</v>
      </c>
      <c r="AK70" s="14">
        <f t="shared" si="43"/>
        <v>0</v>
      </c>
      <c r="AL70" s="14" t="str">
        <f t="shared" si="44"/>
        <v>COIN</v>
      </c>
      <c r="AM70" s="24"/>
      <c r="AN70" s="14">
        <f t="shared" si="45"/>
        <v>1</v>
      </c>
      <c r="AO70" s="14" t="str">
        <f t="shared" si="46"/>
        <v>SGB</v>
      </c>
      <c r="AP70" s="45"/>
      <c r="AQ70" s="46"/>
      <c r="AR70" s="47"/>
      <c r="AS70" s="25">
        <f t="shared" si="29"/>
        <v>0</v>
      </c>
      <c r="AT70" s="26" t="str">
        <f t="shared" si="30"/>
        <v>COIN</v>
      </c>
      <c r="AU70" s="26" t="str">
        <f t="shared" si="47"/>
        <v>LONG</v>
      </c>
      <c r="AV70" s="26" t="str">
        <f t="shared" si="31"/>
        <v>COIN LONG</v>
      </c>
      <c r="AW70" s="26">
        <f t="shared" si="32"/>
        <v>14475.986299032353</v>
      </c>
      <c r="AX70" s="26">
        <f t="shared" si="33"/>
        <v>1.1707228252084027E-2</v>
      </c>
      <c r="AY70" s="26">
        <f t="shared" si="34"/>
        <v>0</v>
      </c>
      <c r="AZ70" s="26">
        <f t="shared" si="35"/>
        <v>0</v>
      </c>
      <c r="BA70" s="23" t="s">
        <v>268</v>
      </c>
      <c r="BB70" t="str">
        <f t="shared" si="48"/>
        <v>SGB</v>
      </c>
    </row>
    <row r="71" spans="1:54" x14ac:dyDescent="0.25">
      <c r="A71">
        <v>112</v>
      </c>
      <c r="B71" s="71">
        <v>44939.000004085647</v>
      </c>
      <c r="C71" s="14" t="s">
        <v>101</v>
      </c>
      <c r="D71" s="23" t="s">
        <v>100</v>
      </c>
      <c r="E71" s="23" t="s">
        <v>95</v>
      </c>
      <c r="F71" s="23">
        <v>46965458.007700004</v>
      </c>
      <c r="G71" s="23">
        <v>46965458.007700004</v>
      </c>
      <c r="H71" s="23">
        <v>1</v>
      </c>
      <c r="I71" s="23">
        <v>0</v>
      </c>
      <c r="J71" s="23" t="s">
        <v>85</v>
      </c>
      <c r="K71" s="24">
        <v>44939.000004085647</v>
      </c>
      <c r="L71" s="23">
        <v>1</v>
      </c>
      <c r="M71" s="23" t="s">
        <v>95</v>
      </c>
      <c r="N71" s="25">
        <v>0</v>
      </c>
      <c r="O71" s="26" t="str">
        <f t="shared" si="27"/>
        <v>CASH</v>
      </c>
      <c r="P71" s="26" t="str">
        <f t="shared" si="36"/>
        <v>LONG</v>
      </c>
      <c r="Q71" s="26" t="str">
        <f t="shared" si="37"/>
        <v>CASH LONG</v>
      </c>
      <c r="R71" s="26">
        <v>0</v>
      </c>
      <c r="S71" s="26">
        <v>0</v>
      </c>
      <c r="T71" s="26">
        <v>0</v>
      </c>
      <c r="U71" s="26">
        <v>0</v>
      </c>
      <c r="V71" s="23" t="str">
        <f t="shared" si="28"/>
        <v>BULL</v>
      </c>
      <c r="W71" t="str">
        <f t="shared" si="38"/>
        <v>USD CASH LONG</v>
      </c>
      <c r="X71" s="88" t="s">
        <v>264</v>
      </c>
      <c r="Y71" s="3" t="s">
        <v>181</v>
      </c>
      <c r="Z71" s="31">
        <v>3449324.2188823698</v>
      </c>
      <c r="AA71" s="31">
        <v>27668.2027522961</v>
      </c>
      <c r="AD71" s="71">
        <f t="shared" si="39"/>
        <v>44939.000003356479</v>
      </c>
      <c r="AE71" s="14" t="str">
        <f t="shared" si="40"/>
        <v>-</v>
      </c>
      <c r="AF71" s="14" t="str">
        <f t="shared" si="41"/>
        <v>WALLET</v>
      </c>
      <c r="AG71" s="14" t="s">
        <v>181</v>
      </c>
      <c r="AH71" s="14">
        <v>3449324.2188823698</v>
      </c>
      <c r="AI71" s="14">
        <v>27668.2027522961</v>
      </c>
      <c r="AJ71" s="14">
        <f t="shared" si="42"/>
        <v>8.0213401224605643E-3</v>
      </c>
      <c r="AK71" s="14">
        <f t="shared" si="43"/>
        <v>0</v>
      </c>
      <c r="AL71" s="14" t="str">
        <f t="shared" si="44"/>
        <v>COIN</v>
      </c>
      <c r="AM71" s="24"/>
      <c r="AN71" s="14">
        <f t="shared" si="45"/>
        <v>1</v>
      </c>
      <c r="AO71" s="14" t="str">
        <f t="shared" si="46"/>
        <v>SHFT</v>
      </c>
      <c r="AP71" s="45"/>
      <c r="AQ71" s="46"/>
      <c r="AR71" s="47"/>
      <c r="AS71" s="25">
        <f t="shared" si="29"/>
        <v>0</v>
      </c>
      <c r="AT71" s="26" t="str">
        <f t="shared" si="30"/>
        <v>COIN</v>
      </c>
      <c r="AU71" s="26" t="str">
        <f t="shared" si="47"/>
        <v>LONG</v>
      </c>
      <c r="AV71" s="26" t="str">
        <f t="shared" si="31"/>
        <v>COIN LONG</v>
      </c>
      <c r="AW71" s="26">
        <f t="shared" si="32"/>
        <v>27668.2027522961</v>
      </c>
      <c r="AX71" s="26">
        <f t="shared" si="33"/>
        <v>8.0213401224605643E-3</v>
      </c>
      <c r="AY71" s="26">
        <f t="shared" si="34"/>
        <v>0</v>
      </c>
      <c r="AZ71" s="26">
        <f t="shared" si="35"/>
        <v>0</v>
      </c>
      <c r="BA71" s="23" t="s">
        <v>268</v>
      </c>
      <c r="BB71" t="str">
        <f t="shared" si="48"/>
        <v>SHFT</v>
      </c>
    </row>
    <row r="72" spans="1:54" x14ac:dyDescent="0.25">
      <c r="A72">
        <v>113</v>
      </c>
      <c r="B72" s="71">
        <v>44939.00000378472</v>
      </c>
      <c r="C72" s="14" t="s">
        <v>101</v>
      </c>
      <c r="D72" s="23" t="s">
        <v>102</v>
      </c>
      <c r="E72" s="23" t="s">
        <v>23</v>
      </c>
      <c r="F72" s="23">
        <v>5111044.8589000003</v>
      </c>
      <c r="G72" s="23">
        <v>5061173.7201485196</v>
      </c>
      <c r="H72" s="23">
        <v>0.990242476806942</v>
      </c>
      <c r="I72" s="23">
        <v>0</v>
      </c>
      <c r="J72" s="23" t="s">
        <v>85</v>
      </c>
      <c r="K72" s="24">
        <v>44939.00000378472</v>
      </c>
      <c r="L72" s="23">
        <v>1</v>
      </c>
      <c r="M72" s="23" t="s">
        <v>23</v>
      </c>
      <c r="N72" s="25">
        <v>0</v>
      </c>
      <c r="O72" s="26" t="str">
        <f t="shared" si="27"/>
        <v>COIN</v>
      </c>
      <c r="P72" s="26" t="str">
        <f t="shared" si="36"/>
        <v>LONG</v>
      </c>
      <c r="Q72" s="26" t="str">
        <f t="shared" si="37"/>
        <v>COIN LONG</v>
      </c>
      <c r="R72" s="26">
        <v>0</v>
      </c>
      <c r="S72" s="26">
        <v>0</v>
      </c>
      <c r="T72" s="26">
        <v>0</v>
      </c>
      <c r="U72" s="26">
        <v>0</v>
      </c>
      <c r="V72" s="23" t="str">
        <f t="shared" si="28"/>
        <v>BULL</v>
      </c>
      <c r="W72" t="str">
        <f t="shared" si="38"/>
        <v>EOS COIN LONG</v>
      </c>
      <c r="X72" s="88" t="s">
        <v>264</v>
      </c>
      <c r="Y72" s="3" t="s">
        <v>37</v>
      </c>
      <c r="Z72" s="31">
        <v>166400452488.18237</v>
      </c>
      <c r="AA72" s="31">
        <v>1576042.4735642169</v>
      </c>
      <c r="AD72" s="71">
        <f t="shared" si="39"/>
        <v>44939.000003356479</v>
      </c>
      <c r="AE72" s="14" t="str">
        <f t="shared" si="40"/>
        <v>-</v>
      </c>
      <c r="AF72" s="14" t="str">
        <f t="shared" si="41"/>
        <v>WALLET</v>
      </c>
      <c r="AG72" s="14" t="s">
        <v>37</v>
      </c>
      <c r="AH72" s="14">
        <v>166400452488.18237</v>
      </c>
      <c r="AI72" s="14">
        <v>1576042.4735642169</v>
      </c>
      <c r="AJ72" s="14">
        <f t="shared" si="42"/>
        <v>9.4713833405960602E-6</v>
      </c>
      <c r="AK72" s="14">
        <f t="shared" si="43"/>
        <v>0</v>
      </c>
      <c r="AL72" s="14" t="str">
        <f t="shared" si="44"/>
        <v>COIN</v>
      </c>
      <c r="AM72" s="24"/>
      <c r="AN72" s="14">
        <f t="shared" si="45"/>
        <v>1</v>
      </c>
      <c r="AO72" s="14" t="str">
        <f t="shared" si="46"/>
        <v>SHIB</v>
      </c>
      <c r="AP72" s="45"/>
      <c r="AQ72" s="46"/>
      <c r="AR72" s="47"/>
      <c r="AS72" s="25">
        <f t="shared" si="29"/>
        <v>0</v>
      </c>
      <c r="AT72" s="26" t="str">
        <f t="shared" si="30"/>
        <v>COIN</v>
      </c>
      <c r="AU72" s="26" t="str">
        <f t="shared" si="47"/>
        <v>LONG</v>
      </c>
      <c r="AV72" s="26" t="str">
        <f t="shared" si="31"/>
        <v>COIN LONG</v>
      </c>
      <c r="AW72" s="26">
        <f t="shared" si="32"/>
        <v>1576042.4735642169</v>
      </c>
      <c r="AX72" s="26">
        <f t="shared" si="33"/>
        <v>9.4713833405960602E-6</v>
      </c>
      <c r="AY72" s="26">
        <f t="shared" si="34"/>
        <v>0</v>
      </c>
      <c r="AZ72" s="26">
        <f t="shared" si="35"/>
        <v>0</v>
      </c>
      <c r="BA72" s="23" t="s">
        <v>268</v>
      </c>
      <c r="BB72" t="str">
        <f t="shared" si="48"/>
        <v>SHIB</v>
      </c>
    </row>
    <row r="73" spans="1:54" x14ac:dyDescent="0.25">
      <c r="A73">
        <v>114</v>
      </c>
      <c r="B73" s="71">
        <v>44939.00000378472</v>
      </c>
      <c r="C73" s="14" t="s">
        <v>101</v>
      </c>
      <c r="D73" s="23" t="s">
        <v>102</v>
      </c>
      <c r="E73" s="23" t="s">
        <v>27</v>
      </c>
      <c r="F73" s="23">
        <v>98449.309477839997</v>
      </c>
      <c r="G73" s="23">
        <v>628237.68488666101</v>
      </c>
      <c r="H73" s="23">
        <v>6.38133155243787</v>
      </c>
      <c r="I73" s="23">
        <v>0</v>
      </c>
      <c r="J73" s="23" t="s">
        <v>85</v>
      </c>
      <c r="K73" s="24">
        <v>44939.00000378472</v>
      </c>
      <c r="L73" s="23">
        <v>1</v>
      </c>
      <c r="M73" s="23" t="s">
        <v>27</v>
      </c>
      <c r="N73" s="25">
        <v>0</v>
      </c>
      <c r="O73" s="26" t="str">
        <f t="shared" si="27"/>
        <v>COIN</v>
      </c>
      <c r="P73" s="26" t="str">
        <f t="shared" si="36"/>
        <v>LONG</v>
      </c>
      <c r="Q73" s="26" t="str">
        <f t="shared" si="37"/>
        <v>COIN LONG</v>
      </c>
      <c r="R73" s="26">
        <v>0</v>
      </c>
      <c r="S73" s="26">
        <v>0</v>
      </c>
      <c r="T73" s="26">
        <v>0</v>
      </c>
      <c r="U73" s="26">
        <v>0</v>
      </c>
      <c r="V73" s="23" t="str">
        <f t="shared" si="28"/>
        <v>BULL</v>
      </c>
      <c r="W73" t="str">
        <f t="shared" si="38"/>
        <v>LINK COIN LONG</v>
      </c>
      <c r="X73" s="88" t="s">
        <v>264</v>
      </c>
      <c r="Y73" s="3" t="s">
        <v>154</v>
      </c>
      <c r="Z73" s="31">
        <v>438.68546953000049</v>
      </c>
      <c r="AA73" s="31">
        <v>7290.5332064228614</v>
      </c>
      <c r="AD73" s="71">
        <f t="shared" si="39"/>
        <v>44939.000003356479</v>
      </c>
      <c r="AE73" s="14" t="str">
        <f t="shared" si="40"/>
        <v>-</v>
      </c>
      <c r="AF73" s="14" t="str">
        <f t="shared" si="41"/>
        <v>WALLET</v>
      </c>
      <c r="AG73" s="14" t="s">
        <v>154</v>
      </c>
      <c r="AH73" s="14">
        <v>438.68546953000049</v>
      </c>
      <c r="AI73" s="14">
        <v>7290.5332064228614</v>
      </c>
      <c r="AJ73" s="14">
        <f t="shared" si="42"/>
        <v>16.619044196366485</v>
      </c>
      <c r="AK73" s="14">
        <f t="shared" si="43"/>
        <v>0</v>
      </c>
      <c r="AL73" s="14" t="str">
        <f t="shared" si="44"/>
        <v>COIN</v>
      </c>
      <c r="AM73" s="24"/>
      <c r="AN73" s="14">
        <f t="shared" si="45"/>
        <v>1</v>
      </c>
      <c r="AO73" s="14" t="str">
        <f t="shared" si="46"/>
        <v>SOL</v>
      </c>
      <c r="AP73" s="45"/>
      <c r="AQ73" s="46"/>
      <c r="AR73" s="47"/>
      <c r="AS73" s="25">
        <f t="shared" si="29"/>
        <v>0</v>
      </c>
      <c r="AT73" s="26" t="str">
        <f t="shared" si="30"/>
        <v>COIN</v>
      </c>
      <c r="AU73" s="26" t="str">
        <f t="shared" si="47"/>
        <v>LONG</v>
      </c>
      <c r="AV73" s="26" t="str">
        <f t="shared" si="31"/>
        <v>COIN LONG</v>
      </c>
      <c r="AW73" s="26">
        <f t="shared" si="32"/>
        <v>7290.5332064228614</v>
      </c>
      <c r="AX73" s="26">
        <f t="shared" si="33"/>
        <v>16.619044196366485</v>
      </c>
      <c r="AY73" s="26">
        <f t="shared" si="34"/>
        <v>0</v>
      </c>
      <c r="AZ73" s="26">
        <f t="shared" si="35"/>
        <v>0</v>
      </c>
      <c r="BA73" s="23" t="s">
        <v>268</v>
      </c>
      <c r="BB73" t="str">
        <f t="shared" si="48"/>
        <v>SOL</v>
      </c>
    </row>
    <row r="74" spans="1:54" x14ac:dyDescent="0.25">
      <c r="A74">
        <v>115</v>
      </c>
      <c r="B74" s="71">
        <v>44939.00000378472</v>
      </c>
      <c r="C74" s="14" t="s">
        <v>101</v>
      </c>
      <c r="D74" s="23" t="s">
        <v>102</v>
      </c>
      <c r="E74" s="23" t="s">
        <v>24</v>
      </c>
      <c r="F74" s="23">
        <v>7784.5861861900003</v>
      </c>
      <c r="G74" s="23">
        <v>669195.95308882301</v>
      </c>
      <c r="H74" s="23">
        <v>85.964229450756093</v>
      </c>
      <c r="I74" s="23">
        <v>0</v>
      </c>
      <c r="J74" s="23" t="s">
        <v>85</v>
      </c>
      <c r="K74" s="24">
        <v>44939.00000378472</v>
      </c>
      <c r="L74" s="23">
        <v>1</v>
      </c>
      <c r="M74" s="23" t="s">
        <v>24</v>
      </c>
      <c r="N74" s="25">
        <v>0</v>
      </c>
      <c r="O74" s="26" t="str">
        <f t="shared" si="27"/>
        <v>COIN</v>
      </c>
      <c r="P74" s="26" t="str">
        <f t="shared" si="36"/>
        <v>LONG</v>
      </c>
      <c r="Q74" s="26" t="str">
        <f t="shared" si="37"/>
        <v>COIN LONG</v>
      </c>
      <c r="R74" s="26">
        <v>0</v>
      </c>
      <c r="S74" s="26">
        <v>0</v>
      </c>
      <c r="T74" s="26">
        <v>0</v>
      </c>
      <c r="U74" s="26">
        <v>0</v>
      </c>
      <c r="V74" s="23" t="str">
        <f t="shared" si="28"/>
        <v>BULL</v>
      </c>
      <c r="W74" t="str">
        <f t="shared" si="38"/>
        <v>LTC COIN LONG</v>
      </c>
      <c r="X74" s="88" t="s">
        <v>264</v>
      </c>
      <c r="Y74" s="3" t="s">
        <v>155</v>
      </c>
      <c r="Z74" s="31">
        <v>38753.774400000002</v>
      </c>
      <c r="AA74" s="31">
        <v>6256.6543580955404</v>
      </c>
      <c r="AD74" s="71">
        <f t="shared" si="39"/>
        <v>44939.000003356479</v>
      </c>
      <c r="AE74" s="14" t="str">
        <f t="shared" si="40"/>
        <v>-</v>
      </c>
      <c r="AF74" s="14" t="str">
        <f t="shared" si="41"/>
        <v>WALLET</v>
      </c>
      <c r="AG74" s="14" t="s">
        <v>155</v>
      </c>
      <c r="AH74" s="14">
        <v>38753.774400000002</v>
      </c>
      <c r="AI74" s="14">
        <v>6256.6543580955404</v>
      </c>
      <c r="AJ74" s="14">
        <f t="shared" si="42"/>
        <v>0.1614463224540921</v>
      </c>
      <c r="AK74" s="14">
        <f t="shared" si="43"/>
        <v>0</v>
      </c>
      <c r="AL74" s="14" t="str">
        <f t="shared" si="44"/>
        <v>COIN</v>
      </c>
      <c r="AM74" s="24"/>
      <c r="AN74" s="14">
        <f t="shared" si="45"/>
        <v>1</v>
      </c>
      <c r="AO74" s="14" t="str">
        <f t="shared" si="46"/>
        <v>SOLO</v>
      </c>
      <c r="AP74" s="45"/>
      <c r="AQ74" s="46"/>
      <c r="AR74" s="47"/>
      <c r="AS74" s="25">
        <f t="shared" si="29"/>
        <v>0</v>
      </c>
      <c r="AT74" s="26" t="str">
        <f t="shared" si="30"/>
        <v>COIN</v>
      </c>
      <c r="AU74" s="26" t="str">
        <f t="shared" si="47"/>
        <v>LONG</v>
      </c>
      <c r="AV74" s="26" t="str">
        <f t="shared" si="31"/>
        <v>COIN LONG</v>
      </c>
      <c r="AW74" s="26">
        <f t="shared" si="32"/>
        <v>6256.6543580955404</v>
      </c>
      <c r="AX74" s="26">
        <f t="shared" si="33"/>
        <v>0.1614463224540921</v>
      </c>
      <c r="AY74" s="26">
        <f t="shared" si="34"/>
        <v>0</v>
      </c>
      <c r="AZ74" s="26">
        <f t="shared" si="35"/>
        <v>0</v>
      </c>
      <c r="BA74" s="23" t="s">
        <v>268</v>
      </c>
      <c r="BB74" t="str">
        <f t="shared" si="48"/>
        <v>SOLO</v>
      </c>
    </row>
    <row r="75" spans="1:54" x14ac:dyDescent="0.25">
      <c r="A75">
        <v>116</v>
      </c>
      <c r="B75" s="71">
        <v>44939.00000378472</v>
      </c>
      <c r="C75" s="14" t="s">
        <v>101</v>
      </c>
      <c r="D75" s="23" t="s">
        <v>102</v>
      </c>
      <c r="E75" s="23" t="s">
        <v>95</v>
      </c>
      <c r="F75" s="23">
        <v>2570926.3349000001</v>
      </c>
      <c r="G75" s="23">
        <v>2570926.3349000001</v>
      </c>
      <c r="H75" s="23">
        <v>1</v>
      </c>
      <c r="I75" s="23">
        <v>0</v>
      </c>
      <c r="J75" s="23" t="s">
        <v>85</v>
      </c>
      <c r="K75" s="24">
        <v>44939.00000378472</v>
      </c>
      <c r="L75" s="23">
        <v>1</v>
      </c>
      <c r="M75" s="23" t="s">
        <v>95</v>
      </c>
      <c r="N75" s="25">
        <v>0</v>
      </c>
      <c r="O75" s="26" t="str">
        <f t="shared" si="27"/>
        <v>CASH</v>
      </c>
      <c r="P75" s="26" t="str">
        <f t="shared" si="36"/>
        <v>LONG</v>
      </c>
      <c r="Q75" s="26" t="str">
        <f t="shared" si="37"/>
        <v>CASH LONG</v>
      </c>
      <c r="R75" s="26">
        <v>0</v>
      </c>
      <c r="S75" s="26">
        <v>0</v>
      </c>
      <c r="T75" s="26">
        <v>0</v>
      </c>
      <c r="U75" s="26">
        <v>0</v>
      </c>
      <c r="V75" s="23" t="str">
        <f t="shared" si="28"/>
        <v>BULL</v>
      </c>
      <c r="W75" t="str">
        <f t="shared" si="38"/>
        <v>USD CASH LONG</v>
      </c>
      <c r="X75" s="88" t="s">
        <v>264</v>
      </c>
      <c r="Y75" s="3" t="s">
        <v>156</v>
      </c>
      <c r="Z75" s="31">
        <v>29.76350429</v>
      </c>
      <c r="AA75" s="31">
        <v>8.8686409626250899</v>
      </c>
      <c r="AD75" s="71">
        <f t="shared" si="39"/>
        <v>44939.000003356479</v>
      </c>
      <c r="AE75" s="14" t="str">
        <f t="shared" si="40"/>
        <v>-</v>
      </c>
      <c r="AF75" s="14" t="str">
        <f t="shared" si="41"/>
        <v>WALLET</v>
      </c>
      <c r="AG75" s="14" t="s">
        <v>156</v>
      </c>
      <c r="AH75" s="14">
        <v>29.76350429</v>
      </c>
      <c r="AI75" s="14">
        <v>8.8686409626250899</v>
      </c>
      <c r="AJ75" s="14">
        <f t="shared" si="42"/>
        <v>0.29797032218429981</v>
      </c>
      <c r="AK75" s="14">
        <f t="shared" si="43"/>
        <v>0</v>
      </c>
      <c r="AL75" s="14" t="str">
        <f t="shared" si="44"/>
        <v>COIN</v>
      </c>
      <c r="AM75" s="24"/>
      <c r="AN75" s="14">
        <f t="shared" si="45"/>
        <v>1</v>
      </c>
      <c r="AO75" s="14" t="str">
        <f t="shared" si="46"/>
        <v>STORJ</v>
      </c>
      <c r="AP75" s="45"/>
      <c r="AQ75" s="46"/>
      <c r="AR75" s="47"/>
      <c r="AS75" s="25">
        <f t="shared" si="29"/>
        <v>0</v>
      </c>
      <c r="AT75" s="26" t="str">
        <f t="shared" si="30"/>
        <v>COIN</v>
      </c>
      <c r="AU75" s="26" t="str">
        <f t="shared" si="47"/>
        <v>LONG</v>
      </c>
      <c r="AV75" s="26" t="str">
        <f t="shared" si="31"/>
        <v>COIN LONG</v>
      </c>
      <c r="AW75" s="26">
        <f t="shared" si="32"/>
        <v>8.8686409626250899</v>
      </c>
      <c r="AX75" s="26">
        <f t="shared" si="33"/>
        <v>0.29797032218429981</v>
      </c>
      <c r="AY75" s="26">
        <f t="shared" si="34"/>
        <v>0</v>
      </c>
      <c r="AZ75" s="26">
        <f t="shared" si="35"/>
        <v>0</v>
      </c>
      <c r="BA75" s="23" t="s">
        <v>268</v>
      </c>
      <c r="BB75" t="str">
        <f t="shared" si="48"/>
        <v>STORJ</v>
      </c>
    </row>
    <row r="76" spans="1:54" x14ac:dyDescent="0.25">
      <c r="A76">
        <v>117</v>
      </c>
      <c r="B76" s="71">
        <v>44939.000001539353</v>
      </c>
      <c r="C76" s="14" t="s">
        <v>101</v>
      </c>
      <c r="D76" s="23" t="s">
        <v>104</v>
      </c>
      <c r="E76" s="23" t="s">
        <v>15</v>
      </c>
      <c r="F76" s="23">
        <v>10506.92560604</v>
      </c>
      <c r="G76" s="23">
        <v>14898174.576267799</v>
      </c>
      <c r="H76" s="23">
        <v>1417.9385231112101</v>
      </c>
      <c r="I76" s="23">
        <v>0</v>
      </c>
      <c r="J76" s="23" t="s">
        <v>85</v>
      </c>
      <c r="K76" s="24">
        <v>44939.000001539353</v>
      </c>
      <c r="L76" s="23">
        <v>1</v>
      </c>
      <c r="M76" s="23" t="s">
        <v>15</v>
      </c>
      <c r="N76" s="25">
        <v>0</v>
      </c>
      <c r="O76" s="26" t="str">
        <f t="shared" si="27"/>
        <v>COIN</v>
      </c>
      <c r="P76" s="26" t="str">
        <f t="shared" si="36"/>
        <v>LONG</v>
      </c>
      <c r="Q76" s="26" t="str">
        <f t="shared" si="37"/>
        <v>COIN LONG</v>
      </c>
      <c r="R76" s="26">
        <v>0</v>
      </c>
      <c r="S76" s="26">
        <v>0</v>
      </c>
      <c r="T76" s="26">
        <v>0</v>
      </c>
      <c r="U76" s="26">
        <v>0</v>
      </c>
      <c r="V76" s="23" t="str">
        <f t="shared" si="28"/>
        <v>BULL</v>
      </c>
      <c r="W76" t="str">
        <f t="shared" si="38"/>
        <v>ETH COIN LONG</v>
      </c>
      <c r="X76" s="88" t="s">
        <v>264</v>
      </c>
      <c r="Y76" s="3" t="s">
        <v>414</v>
      </c>
      <c r="Z76" s="31">
        <v>3.4043949599986263</v>
      </c>
      <c r="AA76" s="31">
        <v>3.8731446776814664</v>
      </c>
      <c r="AD76" s="71">
        <f t="shared" si="39"/>
        <v>44939.000003356479</v>
      </c>
      <c r="AE76" s="14" t="str">
        <f t="shared" si="40"/>
        <v>-</v>
      </c>
      <c r="AF76" s="14" t="str">
        <f t="shared" si="41"/>
        <v>WALLET</v>
      </c>
      <c r="AG76" s="14" t="s">
        <v>414</v>
      </c>
      <c r="AH76" s="14">
        <v>3.4043949599986263</v>
      </c>
      <c r="AI76" s="14">
        <v>3.8731446776814664</v>
      </c>
      <c r="AJ76" s="14">
        <f t="shared" si="42"/>
        <v>1.1376895816115968</v>
      </c>
      <c r="AK76" s="14">
        <f t="shared" si="43"/>
        <v>0</v>
      </c>
      <c r="AL76" s="14" t="str">
        <f t="shared" si="44"/>
        <v>COIN</v>
      </c>
      <c r="AM76" s="24"/>
      <c r="AN76" s="14">
        <f t="shared" si="45"/>
        <v>1</v>
      </c>
      <c r="AO76" s="14" t="str">
        <f t="shared" si="46"/>
        <v>SUSHI</v>
      </c>
      <c r="AP76" s="45"/>
      <c r="AQ76" s="46"/>
      <c r="AR76" s="47"/>
      <c r="AS76" s="25">
        <f t="shared" si="29"/>
        <v>0</v>
      </c>
      <c r="AT76" s="26" t="str">
        <f t="shared" si="30"/>
        <v>COIN</v>
      </c>
      <c r="AU76" s="26" t="str">
        <f t="shared" si="47"/>
        <v>LONG</v>
      </c>
      <c r="AV76" s="26" t="str">
        <f t="shared" si="31"/>
        <v>COIN LONG</v>
      </c>
      <c r="AW76" s="26">
        <f t="shared" si="32"/>
        <v>3.8731446776814664</v>
      </c>
      <c r="AX76" s="26">
        <f t="shared" si="33"/>
        <v>1.1376895816115968</v>
      </c>
      <c r="AY76" s="26">
        <f t="shared" si="34"/>
        <v>0</v>
      </c>
      <c r="AZ76" s="26">
        <f t="shared" si="35"/>
        <v>0</v>
      </c>
      <c r="BA76" s="23" t="s">
        <v>268</v>
      </c>
      <c r="BB76" t="str">
        <f t="shared" si="48"/>
        <v>SUSHI</v>
      </c>
    </row>
    <row r="77" spans="1:54" x14ac:dyDescent="0.25">
      <c r="A77">
        <v>118</v>
      </c>
      <c r="B77" s="71">
        <v>44939.000001539353</v>
      </c>
      <c r="C77" s="14" t="s">
        <v>101</v>
      </c>
      <c r="D77" s="23" t="s">
        <v>104</v>
      </c>
      <c r="E77" s="23" t="s">
        <v>95</v>
      </c>
      <c r="F77" s="23">
        <v>15310469.9882</v>
      </c>
      <c r="G77" s="23">
        <v>15310469.9882</v>
      </c>
      <c r="H77" s="23">
        <v>1</v>
      </c>
      <c r="I77" s="23">
        <v>0</v>
      </c>
      <c r="J77" s="23" t="s">
        <v>85</v>
      </c>
      <c r="K77" s="24">
        <v>44939.000001539353</v>
      </c>
      <c r="L77" s="23">
        <v>1</v>
      </c>
      <c r="M77" s="23" t="s">
        <v>95</v>
      </c>
      <c r="N77" s="25">
        <v>0</v>
      </c>
      <c r="O77" s="26" t="str">
        <f t="shared" si="27"/>
        <v>CASH</v>
      </c>
      <c r="P77" s="26" t="str">
        <f t="shared" si="36"/>
        <v>LONG</v>
      </c>
      <c r="Q77" s="26" t="str">
        <f t="shared" si="37"/>
        <v>CASH LONG</v>
      </c>
      <c r="R77" s="26">
        <v>0</v>
      </c>
      <c r="S77" s="26">
        <v>0</v>
      </c>
      <c r="T77" s="26">
        <v>0</v>
      </c>
      <c r="U77" s="26">
        <v>0</v>
      </c>
      <c r="V77" s="23" t="str">
        <f t="shared" si="28"/>
        <v>BULL</v>
      </c>
      <c r="W77" t="str">
        <f t="shared" si="38"/>
        <v>USD CASH LONG</v>
      </c>
      <c r="X77" s="88" t="s">
        <v>264</v>
      </c>
      <c r="Y77" s="3" t="s">
        <v>25</v>
      </c>
      <c r="Z77" s="31">
        <v>45.224419630000007</v>
      </c>
      <c r="AA77" s="31">
        <v>2.582820857668378</v>
      </c>
      <c r="AD77" s="71">
        <f t="shared" si="39"/>
        <v>44939.000003356479</v>
      </c>
      <c r="AE77" s="14" t="str">
        <f t="shared" si="40"/>
        <v>-</v>
      </c>
      <c r="AF77" s="14" t="str">
        <f t="shared" si="41"/>
        <v>WALLET</v>
      </c>
      <c r="AG77" s="14" t="s">
        <v>25</v>
      </c>
      <c r="AH77" s="14">
        <v>45.224419630000007</v>
      </c>
      <c r="AI77" s="14">
        <v>2.582820857668378</v>
      </c>
      <c r="AJ77" s="14">
        <f t="shared" si="42"/>
        <v>5.7111199630631444E-2</v>
      </c>
      <c r="AK77" s="14">
        <f t="shared" si="43"/>
        <v>0</v>
      </c>
      <c r="AL77" s="14" t="str">
        <f t="shared" si="44"/>
        <v>COIN</v>
      </c>
      <c r="AM77" s="24"/>
      <c r="AN77" s="14">
        <f t="shared" si="45"/>
        <v>1</v>
      </c>
      <c r="AO77" s="14" t="str">
        <f t="shared" si="46"/>
        <v>TRX</v>
      </c>
      <c r="AP77" s="45"/>
      <c r="AQ77" s="46"/>
      <c r="AR77" s="47"/>
      <c r="AS77" s="25">
        <f t="shared" si="29"/>
        <v>0</v>
      </c>
      <c r="AT77" s="26" t="str">
        <f t="shared" si="30"/>
        <v>COIN</v>
      </c>
      <c r="AU77" s="26" t="str">
        <f t="shared" si="47"/>
        <v>LONG</v>
      </c>
      <c r="AV77" s="26" t="str">
        <f t="shared" si="31"/>
        <v>COIN LONG</v>
      </c>
      <c r="AW77" s="26">
        <f t="shared" si="32"/>
        <v>2.582820857668378</v>
      </c>
      <c r="AX77" s="26">
        <f t="shared" si="33"/>
        <v>5.7111199630631444E-2</v>
      </c>
      <c r="AY77" s="26">
        <f t="shared" si="34"/>
        <v>0</v>
      </c>
      <c r="AZ77" s="26">
        <f t="shared" si="35"/>
        <v>0</v>
      </c>
      <c r="BA77" s="23" t="s">
        <v>268</v>
      </c>
      <c r="BB77" t="str">
        <f t="shared" si="48"/>
        <v>TRX</v>
      </c>
    </row>
    <row r="78" spans="1:54" x14ac:dyDescent="0.25">
      <c r="A78">
        <v>119</v>
      </c>
      <c r="B78" s="71">
        <v>44939.000002858797</v>
      </c>
      <c r="C78" s="14" t="s">
        <v>101</v>
      </c>
      <c r="D78" s="23" t="s">
        <v>105</v>
      </c>
      <c r="E78" s="23" t="s">
        <v>14</v>
      </c>
      <c r="F78" s="23">
        <v>71.188435069999997</v>
      </c>
      <c r="G78" s="23">
        <v>1343296.4440699201</v>
      </c>
      <c r="H78" s="23">
        <v>18869.5880552655</v>
      </c>
      <c r="I78" s="23">
        <v>0</v>
      </c>
      <c r="J78" s="23" t="s">
        <v>85</v>
      </c>
      <c r="K78" s="24">
        <v>44939.000002858797</v>
      </c>
      <c r="L78" s="23">
        <v>1</v>
      </c>
      <c r="M78" s="23" t="s">
        <v>14</v>
      </c>
      <c r="N78" s="25">
        <v>0</v>
      </c>
      <c r="O78" s="26" t="str">
        <f t="shared" si="27"/>
        <v>COIN</v>
      </c>
      <c r="P78" s="26" t="str">
        <f t="shared" si="36"/>
        <v>LONG</v>
      </c>
      <c r="Q78" s="26" t="str">
        <f t="shared" si="37"/>
        <v>COIN LONG</v>
      </c>
      <c r="R78" s="26">
        <v>0</v>
      </c>
      <c r="S78" s="26">
        <v>0</v>
      </c>
      <c r="T78" s="26">
        <v>0</v>
      </c>
      <c r="U78" s="26">
        <v>0</v>
      </c>
      <c r="V78" s="23" t="str">
        <f t="shared" si="28"/>
        <v>BULL</v>
      </c>
      <c r="W78" t="str">
        <f t="shared" si="38"/>
        <v>BTC COIN LONG</v>
      </c>
      <c r="X78" s="88" t="s">
        <v>264</v>
      </c>
      <c r="Y78" s="3" t="s">
        <v>179</v>
      </c>
      <c r="Z78" s="31">
        <v>0.10983253</v>
      </c>
      <c r="AA78" s="31">
        <v>2.6601917850581499E-4</v>
      </c>
      <c r="AD78" s="71">
        <f t="shared" si="39"/>
        <v>44939.000003356479</v>
      </c>
      <c r="AE78" s="14" t="str">
        <f t="shared" si="40"/>
        <v>-</v>
      </c>
      <c r="AF78" s="14" t="str">
        <f t="shared" si="41"/>
        <v>WALLET</v>
      </c>
      <c r="AG78" s="14" t="s">
        <v>179</v>
      </c>
      <c r="AH78" s="14">
        <v>0.10983253</v>
      </c>
      <c r="AI78" s="14">
        <v>2.6601917850581499E-4</v>
      </c>
      <c r="AJ78" s="14">
        <f t="shared" si="42"/>
        <v>2.4220436195525586E-3</v>
      </c>
      <c r="AK78" s="14">
        <f t="shared" si="43"/>
        <v>0</v>
      </c>
      <c r="AL78" s="14" t="str">
        <f t="shared" si="44"/>
        <v>COIN</v>
      </c>
      <c r="AM78" s="24"/>
      <c r="AN78" s="14">
        <f t="shared" si="45"/>
        <v>1</v>
      </c>
      <c r="AO78" s="14" t="str">
        <f t="shared" si="46"/>
        <v>TRY</v>
      </c>
      <c r="AP78" s="45"/>
      <c r="AQ78" s="46"/>
      <c r="AR78" s="47"/>
      <c r="AS78" s="25">
        <f t="shared" si="29"/>
        <v>0</v>
      </c>
      <c r="AT78" s="26" t="str">
        <f t="shared" si="30"/>
        <v>COIN</v>
      </c>
      <c r="AU78" s="26" t="str">
        <f t="shared" si="47"/>
        <v>LONG</v>
      </c>
      <c r="AV78" s="26" t="str">
        <f t="shared" si="31"/>
        <v>COIN LONG</v>
      </c>
      <c r="AW78" s="26">
        <f t="shared" si="32"/>
        <v>2.6601917850581499E-4</v>
      </c>
      <c r="AX78" s="26">
        <f t="shared" si="33"/>
        <v>2.4220436195525586E-3</v>
      </c>
      <c r="AY78" s="26">
        <f t="shared" si="34"/>
        <v>0</v>
      </c>
      <c r="AZ78" s="26">
        <f t="shared" si="35"/>
        <v>0</v>
      </c>
      <c r="BA78" s="23" t="s">
        <v>268</v>
      </c>
      <c r="BB78" t="str">
        <f t="shared" si="48"/>
        <v>TRY</v>
      </c>
    </row>
    <row r="79" spans="1:54" x14ac:dyDescent="0.25">
      <c r="A79">
        <v>120</v>
      </c>
      <c r="B79" s="71">
        <v>44939.000002858797</v>
      </c>
      <c r="C79" s="14" t="s">
        <v>101</v>
      </c>
      <c r="D79" s="23" t="s">
        <v>105</v>
      </c>
      <c r="E79" s="23" t="s">
        <v>15</v>
      </c>
      <c r="F79" s="23">
        <v>1029.23054336</v>
      </c>
      <c r="G79" s="23">
        <v>1459385.6365928301</v>
      </c>
      <c r="H79" s="23">
        <v>1417.9385231112101</v>
      </c>
      <c r="I79" s="23">
        <v>0</v>
      </c>
      <c r="J79" s="23" t="s">
        <v>85</v>
      </c>
      <c r="K79" s="24">
        <v>44939.000002858797</v>
      </c>
      <c r="L79" s="23">
        <v>1</v>
      </c>
      <c r="M79" s="23" t="s">
        <v>15</v>
      </c>
      <c r="N79" s="25">
        <v>0</v>
      </c>
      <c r="O79" s="26" t="str">
        <f t="shared" si="27"/>
        <v>COIN</v>
      </c>
      <c r="P79" s="26" t="str">
        <f t="shared" si="36"/>
        <v>LONG</v>
      </c>
      <c r="Q79" s="26" t="str">
        <f t="shared" si="37"/>
        <v>COIN LONG</v>
      </c>
      <c r="R79" s="26">
        <v>0</v>
      </c>
      <c r="S79" s="26">
        <v>0</v>
      </c>
      <c r="T79" s="26">
        <v>0</v>
      </c>
      <c r="U79" s="26">
        <v>0</v>
      </c>
      <c r="V79" s="23" t="str">
        <f t="shared" si="28"/>
        <v>BULL</v>
      </c>
      <c r="W79" t="str">
        <f t="shared" si="38"/>
        <v>ETH COIN LONG</v>
      </c>
      <c r="X79" s="88" t="s">
        <v>264</v>
      </c>
      <c r="Y79" s="3" t="s">
        <v>157</v>
      </c>
      <c r="Z79" s="31">
        <v>6.3152970000000003E-2</v>
      </c>
      <c r="AA79" s="31">
        <v>2.2172842281770701E-4</v>
      </c>
      <c r="AD79" s="71">
        <f t="shared" si="39"/>
        <v>44939.000003356479</v>
      </c>
      <c r="AE79" s="14" t="str">
        <f t="shared" si="40"/>
        <v>-</v>
      </c>
      <c r="AF79" s="14" t="str">
        <f t="shared" si="41"/>
        <v>WALLET</v>
      </c>
      <c r="AG79" s="14" t="s">
        <v>157</v>
      </c>
      <c r="AH79" s="14">
        <v>6.3152970000000003E-2</v>
      </c>
      <c r="AI79" s="14">
        <v>2.2172842281770701E-4</v>
      </c>
      <c r="AJ79" s="14">
        <f t="shared" si="42"/>
        <v>3.5109737961287807E-3</v>
      </c>
      <c r="AK79" s="14">
        <f t="shared" si="43"/>
        <v>0</v>
      </c>
      <c r="AL79" s="14" t="str">
        <f t="shared" si="44"/>
        <v>COIN</v>
      </c>
      <c r="AM79" s="24"/>
      <c r="AN79" s="14">
        <f t="shared" si="45"/>
        <v>1</v>
      </c>
      <c r="AO79" s="14" t="str">
        <f t="shared" si="46"/>
        <v>TT</v>
      </c>
      <c r="AP79" s="45"/>
      <c r="AQ79" s="46"/>
      <c r="AR79" s="47"/>
      <c r="AS79" s="25">
        <f t="shared" si="29"/>
        <v>0</v>
      </c>
      <c r="AT79" s="26" t="str">
        <f t="shared" ref="AT79:AT92" si="49">IF($AE79="","",IF(OR($AG79="USD",AG79="EUR"),"CASH","COIN"))</f>
        <v>COIN</v>
      </c>
      <c r="AU79" s="26" t="str">
        <f t="shared" si="47"/>
        <v>LONG</v>
      </c>
      <c r="AV79" s="26" t="str">
        <f t="shared" si="31"/>
        <v>COIN LONG</v>
      </c>
      <c r="AW79" s="26">
        <f t="shared" si="32"/>
        <v>2.2172842281770701E-4</v>
      </c>
      <c r="AX79" s="26">
        <f t="shared" si="33"/>
        <v>3.5109737961287807E-3</v>
      </c>
      <c r="AY79" s="26">
        <f t="shared" si="34"/>
        <v>0</v>
      </c>
      <c r="AZ79" s="26">
        <f t="shared" si="35"/>
        <v>0</v>
      </c>
      <c r="BA79" s="23" t="s">
        <v>268</v>
      </c>
      <c r="BB79" t="str">
        <f t="shared" si="48"/>
        <v>TT</v>
      </c>
    </row>
    <row r="80" spans="1:54" x14ac:dyDescent="0.25">
      <c r="A80">
        <v>121</v>
      </c>
      <c r="B80" s="71">
        <v>44939.000002858797</v>
      </c>
      <c r="C80" s="14" t="s">
        <v>101</v>
      </c>
      <c r="D80" s="23" t="s">
        <v>105</v>
      </c>
      <c r="E80" s="23" t="s">
        <v>92</v>
      </c>
      <c r="F80" s="23">
        <v>0.5</v>
      </c>
      <c r="G80" s="23">
        <v>0.50003607481370005</v>
      </c>
      <c r="H80" s="23">
        <v>1.0000721496274001</v>
      </c>
      <c r="I80" s="23">
        <v>0</v>
      </c>
      <c r="J80" s="23" t="s">
        <v>85</v>
      </c>
      <c r="K80" s="24">
        <v>44939.000002858797</v>
      </c>
      <c r="L80" s="23">
        <v>1</v>
      </c>
      <c r="M80" s="23" t="s">
        <v>92</v>
      </c>
      <c r="N80" s="25">
        <v>0</v>
      </c>
      <c r="O80" s="26" t="str">
        <f t="shared" si="27"/>
        <v>COIN</v>
      </c>
      <c r="P80" s="26" t="str">
        <f t="shared" si="36"/>
        <v>LONG</v>
      </c>
      <c r="Q80" s="26" t="str">
        <f t="shared" si="37"/>
        <v>COIN LONG</v>
      </c>
      <c r="R80" s="26">
        <v>0</v>
      </c>
      <c r="S80" s="26">
        <v>0</v>
      </c>
      <c r="T80" s="26">
        <v>0</v>
      </c>
      <c r="U80" s="26">
        <v>0</v>
      </c>
      <c r="V80" s="23" t="str">
        <f t="shared" si="28"/>
        <v>BULL</v>
      </c>
      <c r="W80" t="str">
        <f t="shared" si="38"/>
        <v>USDC COIN LONG</v>
      </c>
      <c r="X80" s="88" t="s">
        <v>264</v>
      </c>
      <c r="Y80" s="3" t="s">
        <v>158</v>
      </c>
      <c r="Z80" s="31">
        <v>20</v>
      </c>
      <c r="AA80" s="31">
        <v>19.997862390323</v>
      </c>
      <c r="AD80" s="71">
        <f t="shared" si="39"/>
        <v>44939.000003356479</v>
      </c>
      <c r="AE80" s="14" t="str">
        <f t="shared" si="40"/>
        <v>-</v>
      </c>
      <c r="AF80" s="14" t="str">
        <f t="shared" si="41"/>
        <v>WALLET</v>
      </c>
      <c r="AG80" s="14" t="s">
        <v>158</v>
      </c>
      <c r="AH80" s="14">
        <v>20</v>
      </c>
      <c r="AI80" s="14">
        <v>19.997862390323</v>
      </c>
      <c r="AJ80" s="14">
        <f t="shared" si="42"/>
        <v>0.99989311951615001</v>
      </c>
      <c r="AK80" s="14">
        <f t="shared" si="43"/>
        <v>0</v>
      </c>
      <c r="AL80" s="14" t="str">
        <f t="shared" si="44"/>
        <v>COIN</v>
      </c>
      <c r="AM80" s="24"/>
      <c r="AN80" s="14">
        <f t="shared" si="45"/>
        <v>1</v>
      </c>
      <c r="AO80" s="14" t="str">
        <f t="shared" si="46"/>
        <v>TUSD</v>
      </c>
      <c r="AP80" s="45"/>
      <c r="AQ80" s="46"/>
      <c r="AR80" s="47"/>
      <c r="AS80" s="25">
        <f t="shared" si="29"/>
        <v>0</v>
      </c>
      <c r="AT80" s="26" t="str">
        <f t="shared" si="49"/>
        <v>COIN</v>
      </c>
      <c r="AU80" s="26" t="str">
        <f t="shared" si="47"/>
        <v>LONG</v>
      </c>
      <c r="AV80" s="26" t="str">
        <f t="shared" si="31"/>
        <v>COIN LONG</v>
      </c>
      <c r="AW80" s="26">
        <f t="shared" si="32"/>
        <v>19.997862390323</v>
      </c>
      <c r="AX80" s="26">
        <f t="shared" si="33"/>
        <v>0.99989311951615001</v>
      </c>
      <c r="AY80" s="26">
        <f t="shared" si="34"/>
        <v>0</v>
      </c>
      <c r="AZ80" s="26">
        <f t="shared" si="35"/>
        <v>0</v>
      </c>
      <c r="BA80" s="23" t="s">
        <v>268</v>
      </c>
      <c r="BB80" t="str">
        <f t="shared" si="48"/>
        <v>TUSD</v>
      </c>
    </row>
    <row r="81" spans="1:54" x14ac:dyDescent="0.25">
      <c r="A81">
        <v>122</v>
      </c>
      <c r="B81" s="71">
        <v>44939.000001585649</v>
      </c>
      <c r="C81" s="14" t="s">
        <v>294</v>
      </c>
      <c r="D81" s="23" t="s">
        <v>285</v>
      </c>
      <c r="E81" s="23" t="s">
        <v>188</v>
      </c>
      <c r="F81" s="23">
        <v>0.26739257999999999</v>
      </c>
      <c r="G81" s="23">
        <v>0.18426453966767301</v>
      </c>
      <c r="H81" s="23">
        <v>0.68911612905516495</v>
      </c>
      <c r="I81" s="23">
        <v>0</v>
      </c>
      <c r="J81" s="23" t="s">
        <v>85</v>
      </c>
      <c r="K81" s="24">
        <v>44939.000001585649</v>
      </c>
      <c r="L81" s="23">
        <v>1</v>
      </c>
      <c r="M81" s="23" t="s">
        <v>188</v>
      </c>
      <c r="N81" s="25">
        <v>0</v>
      </c>
      <c r="O81" s="26" t="str">
        <f t="shared" si="27"/>
        <v>COIN</v>
      </c>
      <c r="P81" s="26" t="str">
        <f t="shared" si="36"/>
        <v>LONG</v>
      </c>
      <c r="Q81" s="26" t="str">
        <f t="shared" si="37"/>
        <v>COIN LONG</v>
      </c>
      <c r="R81" s="26">
        <v>0</v>
      </c>
      <c r="S81" s="26">
        <v>0</v>
      </c>
      <c r="T81" s="26">
        <v>0</v>
      </c>
      <c r="U81" s="26">
        <v>0</v>
      </c>
      <c r="V81" s="23" t="str">
        <f t="shared" si="28"/>
        <v>DEFI</v>
      </c>
      <c r="W81" t="str">
        <f t="shared" si="38"/>
        <v>CRV COIN LONG</v>
      </c>
      <c r="X81" s="88" t="s">
        <v>264</v>
      </c>
      <c r="Y81" s="3" t="s">
        <v>159</v>
      </c>
      <c r="Z81" s="31">
        <v>19.016342339999596</v>
      </c>
      <c r="AA81" s="31">
        <v>117.39513185528108</v>
      </c>
      <c r="AD81" s="71">
        <f t="shared" si="39"/>
        <v>44939.000003356479</v>
      </c>
      <c r="AE81" s="14" t="str">
        <f t="shared" si="40"/>
        <v>-</v>
      </c>
      <c r="AF81" s="14" t="str">
        <f t="shared" si="41"/>
        <v>WALLET</v>
      </c>
      <c r="AG81" s="14" t="s">
        <v>159</v>
      </c>
      <c r="AH81" s="14">
        <v>19.016342339999596</v>
      </c>
      <c r="AI81" s="14">
        <v>117.39513185528108</v>
      </c>
      <c r="AJ81" s="14">
        <f t="shared" si="42"/>
        <v>6.1733812820748559</v>
      </c>
      <c r="AK81" s="14">
        <f t="shared" si="43"/>
        <v>0</v>
      </c>
      <c r="AL81" s="14" t="str">
        <f t="shared" si="44"/>
        <v>COIN</v>
      </c>
      <c r="AM81" s="24"/>
      <c r="AN81" s="14">
        <f t="shared" si="45"/>
        <v>1</v>
      </c>
      <c r="AO81" s="14" t="str">
        <f t="shared" si="46"/>
        <v>UNI</v>
      </c>
      <c r="AP81" s="45"/>
      <c r="AQ81" s="46"/>
      <c r="AR81" s="47"/>
      <c r="AS81" s="25">
        <f t="shared" si="29"/>
        <v>0</v>
      </c>
      <c r="AT81" s="26" t="str">
        <f t="shared" si="49"/>
        <v>COIN</v>
      </c>
      <c r="AU81" s="26" t="str">
        <f t="shared" si="47"/>
        <v>LONG</v>
      </c>
      <c r="AV81" s="26" t="str">
        <f t="shared" si="31"/>
        <v>COIN LONG</v>
      </c>
      <c r="AW81" s="26">
        <f t="shared" si="32"/>
        <v>117.39513185528108</v>
      </c>
      <c r="AX81" s="26">
        <f t="shared" si="33"/>
        <v>6.1733812820748559</v>
      </c>
      <c r="AY81" s="26">
        <f t="shared" si="34"/>
        <v>0</v>
      </c>
      <c r="AZ81" s="26">
        <f t="shared" si="35"/>
        <v>0</v>
      </c>
      <c r="BA81" s="23" t="s">
        <v>268</v>
      </c>
      <c r="BB81" t="str">
        <f t="shared" si="48"/>
        <v>UNI</v>
      </c>
    </row>
    <row r="82" spans="1:54" x14ac:dyDescent="0.25">
      <c r="A82">
        <v>123</v>
      </c>
      <c r="B82" s="71">
        <v>44939.000001585649</v>
      </c>
      <c r="C82" s="14" t="s">
        <v>294</v>
      </c>
      <c r="D82" s="23" t="s">
        <v>285</v>
      </c>
      <c r="E82" s="23" t="s">
        <v>188</v>
      </c>
      <c r="F82" s="23">
        <v>9.7777784299999997</v>
      </c>
      <c r="G82" s="23">
        <v>6.73802482244069</v>
      </c>
      <c r="H82" s="23">
        <v>0.68911612905516495</v>
      </c>
      <c r="I82" s="23">
        <v>0</v>
      </c>
      <c r="J82" s="23" t="s">
        <v>85</v>
      </c>
      <c r="K82" s="24">
        <v>44939.000001585649</v>
      </c>
      <c r="L82" s="23">
        <v>1</v>
      </c>
      <c r="M82" s="23" t="s">
        <v>188</v>
      </c>
      <c r="N82" s="25">
        <v>0</v>
      </c>
      <c r="O82" s="26" t="str">
        <f t="shared" si="27"/>
        <v>COIN</v>
      </c>
      <c r="P82" s="26" t="str">
        <f t="shared" si="36"/>
        <v>LONG</v>
      </c>
      <c r="Q82" s="26" t="str">
        <f t="shared" si="37"/>
        <v>COIN LONG</v>
      </c>
      <c r="R82" s="26">
        <v>0</v>
      </c>
      <c r="S82" s="26">
        <v>0</v>
      </c>
      <c r="T82" s="26">
        <v>0</v>
      </c>
      <c r="U82" s="26">
        <v>0</v>
      </c>
      <c r="V82" s="23" t="str">
        <f t="shared" si="28"/>
        <v>DEFI</v>
      </c>
      <c r="W82" t="str">
        <f t="shared" si="38"/>
        <v>CRV COIN LONG</v>
      </c>
      <c r="X82" s="88" t="s">
        <v>264</v>
      </c>
      <c r="Y82" s="3" t="s">
        <v>95</v>
      </c>
      <c r="Z82" s="31">
        <v>50544676.376692504</v>
      </c>
      <c r="AA82" s="31">
        <v>50544676.376692504</v>
      </c>
      <c r="AD82" s="71">
        <f t="shared" si="39"/>
        <v>44939.000003356479</v>
      </c>
      <c r="AE82" s="14" t="str">
        <f t="shared" si="40"/>
        <v>-</v>
      </c>
      <c r="AF82" s="14" t="str">
        <f t="shared" si="41"/>
        <v>WALLET</v>
      </c>
      <c r="AG82" s="14" t="s">
        <v>95</v>
      </c>
      <c r="AH82" s="14">
        <v>50544676.376692504</v>
      </c>
      <c r="AI82" s="14">
        <v>50544676.376692504</v>
      </c>
      <c r="AJ82" s="14">
        <f t="shared" si="42"/>
        <v>1</v>
      </c>
      <c r="AK82" s="14">
        <f t="shared" si="43"/>
        <v>0</v>
      </c>
      <c r="AL82" s="14" t="str">
        <f t="shared" si="44"/>
        <v>CASH</v>
      </c>
      <c r="AM82" s="24"/>
      <c r="AN82" s="14">
        <f t="shared" si="45"/>
        <v>1</v>
      </c>
      <c r="AO82" s="14" t="str">
        <f t="shared" si="46"/>
        <v>USD</v>
      </c>
      <c r="AP82" s="45"/>
      <c r="AQ82" s="46"/>
      <c r="AR82" s="47"/>
      <c r="AS82" s="25">
        <f t="shared" si="29"/>
        <v>0</v>
      </c>
      <c r="AT82" s="26" t="str">
        <f t="shared" si="49"/>
        <v>CASH</v>
      </c>
      <c r="AU82" s="26" t="str">
        <f t="shared" si="47"/>
        <v>LONG</v>
      </c>
      <c r="AV82" s="26" t="str">
        <f t="shared" si="31"/>
        <v>CASH LONG</v>
      </c>
      <c r="AW82" s="26">
        <f t="shared" si="32"/>
        <v>50544676.376692504</v>
      </c>
      <c r="AX82" s="26">
        <f t="shared" si="33"/>
        <v>1</v>
      </c>
      <c r="AY82" s="26">
        <f t="shared" si="34"/>
        <v>0</v>
      </c>
      <c r="AZ82" s="26">
        <f t="shared" si="35"/>
        <v>0</v>
      </c>
      <c r="BA82" s="23" t="s">
        <v>268</v>
      </c>
      <c r="BB82" t="str">
        <f t="shared" si="48"/>
        <v>USD</v>
      </c>
    </row>
    <row r="83" spans="1:54" x14ac:dyDescent="0.25">
      <c r="A83">
        <v>124</v>
      </c>
      <c r="B83" s="71">
        <v>44939.000001585649</v>
      </c>
      <c r="C83" s="14" t="s">
        <v>294</v>
      </c>
      <c r="D83" s="23" t="s">
        <v>285</v>
      </c>
      <c r="E83" s="23" t="s">
        <v>189</v>
      </c>
      <c r="F83" s="23">
        <v>2.800215E-2</v>
      </c>
      <c r="G83" s="23">
        <v>9.9342361696586501E-2</v>
      </c>
      <c r="H83" s="23">
        <v>3.54766907885953</v>
      </c>
      <c r="I83" s="23">
        <v>0</v>
      </c>
      <c r="J83" s="23" t="s">
        <v>85</v>
      </c>
      <c r="K83" s="24">
        <v>44939.000001585649</v>
      </c>
      <c r="L83" s="23">
        <v>1</v>
      </c>
      <c r="M83" s="23" t="s">
        <v>189</v>
      </c>
      <c r="N83" s="25">
        <v>0</v>
      </c>
      <c r="O83" s="26" t="str">
        <f t="shared" si="27"/>
        <v>COIN</v>
      </c>
      <c r="P83" s="26" t="str">
        <f t="shared" si="36"/>
        <v>LONG</v>
      </c>
      <c r="Q83" s="26" t="str">
        <f t="shared" si="37"/>
        <v>COIN LONG</v>
      </c>
      <c r="R83" s="26">
        <v>0</v>
      </c>
      <c r="S83" s="26">
        <v>0</v>
      </c>
      <c r="T83" s="26">
        <v>0</v>
      </c>
      <c r="U83" s="26">
        <v>0</v>
      </c>
      <c r="V83" s="23" t="str">
        <f t="shared" si="28"/>
        <v>DEFI</v>
      </c>
      <c r="W83" t="str">
        <f t="shared" si="38"/>
        <v>CVX COIN LONG</v>
      </c>
      <c r="X83" s="88" t="s">
        <v>264</v>
      </c>
      <c r="Y83" s="3" t="s">
        <v>92</v>
      </c>
      <c r="Z83" s="31">
        <v>-60012301.008624122</v>
      </c>
      <c r="AA83" s="31">
        <v>-60016630.873781361</v>
      </c>
      <c r="AD83" s="71">
        <f t="shared" si="39"/>
        <v>44939.000003356479</v>
      </c>
      <c r="AE83" s="14" t="str">
        <f t="shared" si="40"/>
        <v>-</v>
      </c>
      <c r="AF83" s="14" t="str">
        <f t="shared" si="41"/>
        <v>WALLET</v>
      </c>
      <c r="AG83" s="14" t="s">
        <v>92</v>
      </c>
      <c r="AH83" s="14">
        <v>-60012301.008624122</v>
      </c>
      <c r="AI83" s="14">
        <v>-60016630.873781361</v>
      </c>
      <c r="AJ83" s="14">
        <f t="shared" si="42"/>
        <v>1.0000721496274008</v>
      </c>
      <c r="AK83" s="14">
        <f t="shared" si="43"/>
        <v>0</v>
      </c>
      <c r="AL83" s="14" t="str">
        <f t="shared" si="44"/>
        <v>COIN</v>
      </c>
      <c r="AM83" s="24"/>
      <c r="AN83" s="14">
        <f t="shared" si="45"/>
        <v>1</v>
      </c>
      <c r="AO83" s="14" t="str">
        <f t="shared" si="46"/>
        <v>USDC</v>
      </c>
      <c r="AP83" s="45"/>
      <c r="AQ83" s="46"/>
      <c r="AR83" s="47"/>
      <c r="AS83" s="25">
        <f t="shared" si="29"/>
        <v>0</v>
      </c>
      <c r="AT83" s="26" t="str">
        <f t="shared" si="49"/>
        <v>COIN</v>
      </c>
      <c r="AU83" s="26" t="str">
        <f t="shared" si="47"/>
        <v>SHORT</v>
      </c>
      <c r="AV83" s="26" t="str">
        <f t="shared" si="31"/>
        <v>COIN SHORT</v>
      </c>
      <c r="AW83" s="26">
        <f t="shared" si="32"/>
        <v>-60016630.873781361</v>
      </c>
      <c r="AX83" s="26">
        <f t="shared" si="33"/>
        <v>1.0000721496274008</v>
      </c>
      <c r="AY83" s="26">
        <f t="shared" si="34"/>
        <v>0</v>
      </c>
      <c r="AZ83" s="26">
        <f t="shared" si="35"/>
        <v>0</v>
      </c>
      <c r="BA83" s="23" t="s">
        <v>268</v>
      </c>
      <c r="BB83" t="str">
        <f t="shared" si="48"/>
        <v>USDC</v>
      </c>
    </row>
    <row r="84" spans="1:54" x14ac:dyDescent="0.25">
      <c r="A84">
        <v>125</v>
      </c>
      <c r="B84" s="71">
        <v>44939.000001585649</v>
      </c>
      <c r="C84" s="14" t="s">
        <v>294</v>
      </c>
      <c r="D84" s="23" t="s">
        <v>285</v>
      </c>
      <c r="E84" s="23" t="s">
        <v>15</v>
      </c>
      <c r="F84" s="23">
        <v>3.67060545</v>
      </c>
      <c r="G84" s="23">
        <v>5204.6928706969902</v>
      </c>
      <c r="H84" s="23">
        <v>1417.9385231112101</v>
      </c>
      <c r="I84" s="23">
        <v>0</v>
      </c>
      <c r="J84" s="23" t="s">
        <v>85</v>
      </c>
      <c r="K84" s="24">
        <v>44939.000001585649</v>
      </c>
      <c r="L84" s="23">
        <v>1</v>
      </c>
      <c r="M84" s="23" t="s">
        <v>15</v>
      </c>
      <c r="N84" s="25">
        <v>0</v>
      </c>
      <c r="O84" s="26" t="str">
        <f t="shared" si="27"/>
        <v>COIN</v>
      </c>
      <c r="P84" s="26" t="str">
        <f t="shared" si="36"/>
        <v>LONG</v>
      </c>
      <c r="Q84" s="26" t="str">
        <f t="shared" si="37"/>
        <v>COIN LONG</v>
      </c>
      <c r="R84" s="26">
        <v>0</v>
      </c>
      <c r="S84" s="26">
        <v>0</v>
      </c>
      <c r="T84" s="26">
        <v>0</v>
      </c>
      <c r="U84" s="26">
        <v>0</v>
      </c>
      <c r="V84" s="23" t="str">
        <f t="shared" si="28"/>
        <v>DEFI</v>
      </c>
      <c r="W84" t="str">
        <f t="shared" si="38"/>
        <v>ETH COIN LONG</v>
      </c>
      <c r="X84" s="88" t="s">
        <v>264</v>
      </c>
      <c r="Y84" s="3" t="s">
        <v>160</v>
      </c>
      <c r="Z84" s="31">
        <v>0.34680431</v>
      </c>
      <c r="AA84" s="31">
        <v>0.34621618871566701</v>
      </c>
      <c r="AD84" s="71">
        <f t="shared" si="39"/>
        <v>44939.000003356479</v>
      </c>
      <c r="AE84" s="14" t="str">
        <f t="shared" si="40"/>
        <v>-</v>
      </c>
      <c r="AF84" s="14" t="str">
        <f t="shared" si="41"/>
        <v>WALLET</v>
      </c>
      <c r="AG84" s="14" t="s">
        <v>160</v>
      </c>
      <c r="AH84" s="14">
        <v>0.34680431</v>
      </c>
      <c r="AI84" s="14">
        <v>0.34621618871566701</v>
      </c>
      <c r="AJ84" s="14">
        <f t="shared" si="42"/>
        <v>0.99830416962138391</v>
      </c>
      <c r="AK84" s="14">
        <f t="shared" si="43"/>
        <v>0</v>
      </c>
      <c r="AL84" s="14" t="str">
        <f t="shared" si="44"/>
        <v>COIN</v>
      </c>
      <c r="AM84" s="24"/>
      <c r="AN84" s="14">
        <f t="shared" si="45"/>
        <v>1</v>
      </c>
      <c r="AO84" s="14" t="str">
        <f t="shared" si="46"/>
        <v>USDP</v>
      </c>
      <c r="AP84" s="45"/>
      <c r="AQ84" s="46"/>
      <c r="AR84" s="47"/>
      <c r="AS84" s="25">
        <f t="shared" si="29"/>
        <v>0</v>
      </c>
      <c r="AT84" s="26" t="str">
        <f t="shared" si="49"/>
        <v>COIN</v>
      </c>
      <c r="AU84" s="26" t="str">
        <f t="shared" si="47"/>
        <v>LONG</v>
      </c>
      <c r="AV84" s="26" t="str">
        <f t="shared" si="31"/>
        <v>COIN LONG</v>
      </c>
      <c r="AW84" s="26">
        <f t="shared" si="32"/>
        <v>0.34621618871566701</v>
      </c>
      <c r="AX84" s="26">
        <f t="shared" si="33"/>
        <v>0.99830416962138391</v>
      </c>
      <c r="AY84" s="26">
        <f t="shared" si="34"/>
        <v>0</v>
      </c>
      <c r="AZ84" s="26">
        <f t="shared" si="35"/>
        <v>0</v>
      </c>
      <c r="BA84" s="23" t="s">
        <v>268</v>
      </c>
      <c r="BB84" t="str">
        <f t="shared" si="48"/>
        <v>USDP</v>
      </c>
    </row>
    <row r="85" spans="1:54" x14ac:dyDescent="0.25">
      <c r="A85">
        <v>126</v>
      </c>
      <c r="B85" s="71">
        <v>44939.000001585649</v>
      </c>
      <c r="C85" s="14" t="s">
        <v>294</v>
      </c>
      <c r="D85" s="23" t="s">
        <v>285</v>
      </c>
      <c r="E85" s="23" t="s">
        <v>92</v>
      </c>
      <c r="F85" s="23">
        <v>13972.219738</v>
      </c>
      <c r="G85" s="23">
        <v>13973.227828448</v>
      </c>
      <c r="H85" s="23">
        <v>1.0000721496274001</v>
      </c>
      <c r="I85" s="23">
        <v>0</v>
      </c>
      <c r="J85" s="23" t="s">
        <v>85</v>
      </c>
      <c r="K85" s="24">
        <v>44939.000001585649</v>
      </c>
      <c r="L85" s="23">
        <v>1</v>
      </c>
      <c r="M85" s="23" t="s">
        <v>92</v>
      </c>
      <c r="N85" s="25">
        <v>0</v>
      </c>
      <c r="O85" s="26" t="str">
        <f t="shared" si="27"/>
        <v>COIN</v>
      </c>
      <c r="P85" s="26" t="str">
        <f t="shared" si="36"/>
        <v>LONG</v>
      </c>
      <c r="Q85" s="26" t="str">
        <f t="shared" si="37"/>
        <v>COIN LONG</v>
      </c>
      <c r="R85" s="26">
        <v>0</v>
      </c>
      <c r="S85" s="26">
        <v>0</v>
      </c>
      <c r="T85" s="26">
        <v>0</v>
      </c>
      <c r="U85" s="26">
        <v>0</v>
      </c>
      <c r="V85" s="23" t="str">
        <f t="shared" si="28"/>
        <v>DEFI</v>
      </c>
      <c r="W85" t="str">
        <f t="shared" si="38"/>
        <v>USDC COIN LONG</v>
      </c>
      <c r="X85" s="88" t="s">
        <v>264</v>
      </c>
      <c r="Y85" s="3" t="s">
        <v>38</v>
      </c>
      <c r="Z85" s="31">
        <v>22868766.327822391</v>
      </c>
      <c r="AA85" s="31">
        <v>22870871.379113585</v>
      </c>
      <c r="AD85" s="71">
        <f t="shared" si="39"/>
        <v>44939.000003356479</v>
      </c>
      <c r="AE85" s="14" t="str">
        <f t="shared" si="40"/>
        <v>-</v>
      </c>
      <c r="AF85" s="14" t="str">
        <f t="shared" si="41"/>
        <v>WALLET</v>
      </c>
      <c r="AG85" s="14" t="s">
        <v>38</v>
      </c>
      <c r="AH85" s="14">
        <v>22868766.327822391</v>
      </c>
      <c r="AI85" s="14">
        <v>22870871.379113585</v>
      </c>
      <c r="AJ85" s="14">
        <f t="shared" si="42"/>
        <v>1.0000920491845087</v>
      </c>
      <c r="AK85" s="14">
        <f t="shared" si="43"/>
        <v>0</v>
      </c>
      <c r="AL85" s="14" t="str">
        <f t="shared" si="44"/>
        <v>COIN</v>
      </c>
      <c r="AM85" s="24"/>
      <c r="AN85" s="14">
        <f t="shared" si="45"/>
        <v>1</v>
      </c>
      <c r="AO85" s="14" t="str">
        <f t="shared" si="46"/>
        <v>USDT</v>
      </c>
      <c r="AP85" s="45"/>
      <c r="AQ85" s="46"/>
      <c r="AR85" s="47"/>
      <c r="AS85" s="25">
        <f t="shared" si="29"/>
        <v>0</v>
      </c>
      <c r="AT85" s="26" t="str">
        <f t="shared" si="49"/>
        <v>COIN</v>
      </c>
      <c r="AU85" s="26" t="str">
        <f t="shared" si="47"/>
        <v>LONG</v>
      </c>
      <c r="AV85" s="26" t="str">
        <f t="shared" si="31"/>
        <v>COIN LONG</v>
      </c>
      <c r="AW85" s="26">
        <f t="shared" si="32"/>
        <v>22870871.379113585</v>
      </c>
      <c r="AX85" s="26">
        <f t="shared" si="33"/>
        <v>1.0000920491845087</v>
      </c>
      <c r="AY85" s="26">
        <f t="shared" si="34"/>
        <v>0</v>
      </c>
      <c r="AZ85" s="26">
        <f t="shared" si="35"/>
        <v>0</v>
      </c>
      <c r="BA85" s="23" t="s">
        <v>268</v>
      </c>
      <c r="BB85" t="str">
        <f t="shared" si="48"/>
        <v>USDT</v>
      </c>
    </row>
    <row r="86" spans="1:54" x14ac:dyDescent="0.25">
      <c r="A86">
        <v>127</v>
      </c>
      <c r="B86" s="71">
        <v>44939.000001585649</v>
      </c>
      <c r="C86" s="14" t="s">
        <v>294</v>
      </c>
      <c r="D86" s="23" t="s">
        <v>300</v>
      </c>
      <c r="E86" s="23" t="s">
        <v>802</v>
      </c>
      <c r="F86" s="23">
        <v>180000</v>
      </c>
      <c r="G86" s="23">
        <v>0</v>
      </c>
      <c r="H86" s="23">
        <v>0</v>
      </c>
      <c r="I86" s="23">
        <v>0</v>
      </c>
      <c r="J86" s="23" t="s">
        <v>85</v>
      </c>
      <c r="K86" s="24">
        <v>44939.000001585649</v>
      </c>
      <c r="L86" s="23">
        <v>1</v>
      </c>
      <c r="M86" s="23" t="s">
        <v>802</v>
      </c>
      <c r="N86" s="25">
        <v>0</v>
      </c>
      <c r="O86" s="26" t="str">
        <f t="shared" si="27"/>
        <v>COIN</v>
      </c>
      <c r="P86" s="26" t="str">
        <f t="shared" si="36"/>
        <v>SHORT</v>
      </c>
      <c r="Q86" s="26" t="str">
        <f t="shared" si="37"/>
        <v>COIN SHORT</v>
      </c>
      <c r="R86" s="26">
        <v>0</v>
      </c>
      <c r="S86" s="26">
        <v>0</v>
      </c>
      <c r="T86" s="26">
        <v>0</v>
      </c>
      <c r="U86" s="26">
        <v>0</v>
      </c>
      <c r="V86" s="23" t="str">
        <f t="shared" si="28"/>
        <v>DEFI</v>
      </c>
      <c r="W86" t="str">
        <f t="shared" si="38"/>
        <v>$ PLEASE VISIT ACADY.SITE TO RECEIVE REWARD. COIN SHORT</v>
      </c>
      <c r="X86" s="88" t="s">
        <v>264</v>
      </c>
      <c r="Y86" s="3" t="s">
        <v>96</v>
      </c>
      <c r="Z86" s="31">
        <v>29.9885932</v>
      </c>
      <c r="AA86" s="31">
        <v>0</v>
      </c>
      <c r="AD86" s="71">
        <f t="shared" si="39"/>
        <v>44939.000003356479</v>
      </c>
      <c r="AE86" s="14" t="str">
        <f t="shared" si="40"/>
        <v>-</v>
      </c>
      <c r="AF86" s="14" t="str">
        <f t="shared" si="41"/>
        <v>WALLET</v>
      </c>
      <c r="AG86" s="14" t="s">
        <v>96</v>
      </c>
      <c r="AH86" s="14">
        <v>29.9885932</v>
      </c>
      <c r="AI86" s="14">
        <v>0</v>
      </c>
      <c r="AJ86" s="14">
        <f t="shared" si="42"/>
        <v>0</v>
      </c>
      <c r="AK86" s="14">
        <f t="shared" si="43"/>
        <v>0</v>
      </c>
      <c r="AL86" s="14" t="str">
        <f t="shared" si="44"/>
        <v>COIN</v>
      </c>
      <c r="AM86" s="24"/>
      <c r="AN86" s="14">
        <f t="shared" si="45"/>
        <v>1</v>
      </c>
      <c r="AO86" s="14" t="str">
        <f t="shared" si="46"/>
        <v>UST</v>
      </c>
      <c r="AP86" s="45"/>
      <c r="AQ86" s="46"/>
      <c r="AR86" s="47"/>
      <c r="AS86" s="25">
        <f t="shared" si="29"/>
        <v>0</v>
      </c>
      <c r="AT86" s="26" t="str">
        <f t="shared" si="49"/>
        <v>COIN</v>
      </c>
      <c r="AU86" s="26" t="str">
        <f t="shared" si="47"/>
        <v>LONG</v>
      </c>
      <c r="AV86" s="26" t="str">
        <f t="shared" si="31"/>
        <v>COIN LONG</v>
      </c>
      <c r="AW86" s="26">
        <f t="shared" si="32"/>
        <v>0</v>
      </c>
      <c r="AX86" s="26">
        <f t="shared" si="33"/>
        <v>0</v>
      </c>
      <c r="AY86" s="26">
        <f t="shared" si="34"/>
        <v>0</v>
      </c>
      <c r="AZ86" s="26">
        <f t="shared" si="35"/>
        <v>0</v>
      </c>
      <c r="BA86" s="23" t="s">
        <v>268</v>
      </c>
      <c r="BB86" t="str">
        <f t="shared" si="48"/>
        <v>UST</v>
      </c>
    </row>
    <row r="87" spans="1:54" x14ac:dyDescent="0.25">
      <c r="A87">
        <v>128</v>
      </c>
      <c r="B87" s="71">
        <v>44939.000001585649</v>
      </c>
      <c r="C87" s="14" t="s">
        <v>294</v>
      </c>
      <c r="D87" s="23" t="s">
        <v>300</v>
      </c>
      <c r="E87" s="23" t="s">
        <v>301</v>
      </c>
      <c r="F87" s="23">
        <v>7000</v>
      </c>
      <c r="G87" s="23">
        <v>0</v>
      </c>
      <c r="H87" s="23">
        <v>0</v>
      </c>
      <c r="I87" s="23">
        <v>0</v>
      </c>
      <c r="J87" s="23" t="s">
        <v>85</v>
      </c>
      <c r="K87" s="24">
        <v>44939.000001585649</v>
      </c>
      <c r="L87" s="23">
        <v>1</v>
      </c>
      <c r="M87" s="23" t="s">
        <v>301</v>
      </c>
      <c r="N87" s="25">
        <v>0</v>
      </c>
      <c r="O87" s="26" t="str">
        <f t="shared" si="27"/>
        <v>COIN</v>
      </c>
      <c r="P87" s="26" t="str">
        <f t="shared" si="36"/>
        <v>SHORT</v>
      </c>
      <c r="Q87" s="26" t="str">
        <f t="shared" si="37"/>
        <v>COIN SHORT</v>
      </c>
      <c r="R87" s="26">
        <v>0</v>
      </c>
      <c r="S87" s="26">
        <v>0</v>
      </c>
      <c r="T87" s="26">
        <v>0</v>
      </c>
      <c r="U87" s="26">
        <v>0</v>
      </c>
      <c r="V87" s="23" t="str">
        <f t="shared" si="28"/>
        <v>DEFI</v>
      </c>
      <c r="W87" t="str">
        <f t="shared" si="38"/>
        <v>$ USDCBONUS.COM &lt;- VISIT TO CLAIM BONUS COIN SHORT</v>
      </c>
      <c r="X87" s="88" t="s">
        <v>264</v>
      </c>
      <c r="Y87" s="3" t="s">
        <v>196</v>
      </c>
      <c r="Z87" s="31">
        <v>-74.040518480000003</v>
      </c>
      <c r="AA87" s="31">
        <v>-1.395094484201119</v>
      </c>
      <c r="AD87" s="71">
        <f t="shared" si="39"/>
        <v>44939.000003356479</v>
      </c>
      <c r="AE87" s="14" t="str">
        <f t="shared" si="40"/>
        <v>-</v>
      </c>
      <c r="AF87" s="14" t="str">
        <f t="shared" si="41"/>
        <v>WALLET</v>
      </c>
      <c r="AG87" s="14" t="s">
        <v>196</v>
      </c>
      <c r="AH87" s="14">
        <v>-74.040518480000003</v>
      </c>
      <c r="AI87" s="14">
        <v>-1.395094484201119</v>
      </c>
      <c r="AJ87" s="14">
        <f t="shared" si="42"/>
        <v>1.8842311113447498E-2</v>
      </c>
      <c r="AK87" s="14">
        <f t="shared" si="43"/>
        <v>0</v>
      </c>
      <c r="AL87" s="14" t="str">
        <f t="shared" si="44"/>
        <v>COIN</v>
      </c>
      <c r="AM87" s="24"/>
      <c r="AN87" s="14">
        <f t="shared" si="45"/>
        <v>1</v>
      </c>
      <c r="AO87" s="14" t="str">
        <f t="shared" si="46"/>
        <v>VET</v>
      </c>
      <c r="AP87" s="45"/>
      <c r="AQ87" s="46"/>
      <c r="AR87" s="47"/>
      <c r="AS87" s="25">
        <f t="shared" si="29"/>
        <v>0</v>
      </c>
      <c r="AT87" s="26" t="str">
        <f t="shared" si="49"/>
        <v>COIN</v>
      </c>
      <c r="AU87" s="26" t="str">
        <f t="shared" si="47"/>
        <v>SHORT</v>
      </c>
      <c r="AV87" s="26" t="str">
        <f t="shared" si="31"/>
        <v>COIN SHORT</v>
      </c>
      <c r="AW87" s="26">
        <f t="shared" si="32"/>
        <v>-1.395094484201119</v>
      </c>
      <c r="AX87" s="26">
        <f t="shared" si="33"/>
        <v>1.8842311113447498E-2</v>
      </c>
      <c r="AY87" s="26">
        <f t="shared" si="34"/>
        <v>0</v>
      </c>
      <c r="AZ87" s="26">
        <f t="shared" si="35"/>
        <v>0</v>
      </c>
      <c r="BA87" s="23" t="s">
        <v>268</v>
      </c>
      <c r="BB87" t="str">
        <f t="shared" si="48"/>
        <v>VET</v>
      </c>
    </row>
    <row r="88" spans="1:54" x14ac:dyDescent="0.25">
      <c r="A88">
        <v>129</v>
      </c>
      <c r="B88" s="71">
        <v>44939.000001585649</v>
      </c>
      <c r="C88" s="14" t="s">
        <v>294</v>
      </c>
      <c r="D88" s="23" t="s">
        <v>300</v>
      </c>
      <c r="E88" s="23" t="s">
        <v>315</v>
      </c>
      <c r="F88" s="23">
        <v>7000</v>
      </c>
      <c r="G88" s="23">
        <v>0</v>
      </c>
      <c r="H88" s="23">
        <v>0</v>
      </c>
      <c r="I88" s="23">
        <v>0</v>
      </c>
      <c r="J88" s="23" t="s">
        <v>85</v>
      </c>
      <c r="K88" s="24">
        <v>44939.000001585649</v>
      </c>
      <c r="L88" s="23">
        <v>1</v>
      </c>
      <c r="M88" s="23" t="s">
        <v>315</v>
      </c>
      <c r="N88" s="25">
        <v>0</v>
      </c>
      <c r="O88" s="26" t="str">
        <f t="shared" si="27"/>
        <v>COIN</v>
      </c>
      <c r="P88" s="26" t="str">
        <f t="shared" si="36"/>
        <v>SHORT</v>
      </c>
      <c r="Q88" s="26" t="str">
        <f t="shared" si="37"/>
        <v>COIN SHORT</v>
      </c>
      <c r="R88" s="26">
        <v>0</v>
      </c>
      <c r="S88" s="26">
        <v>0</v>
      </c>
      <c r="T88" s="26">
        <v>0</v>
      </c>
      <c r="U88" s="26">
        <v>0</v>
      </c>
      <c r="V88" s="23" t="str">
        <f t="shared" si="28"/>
        <v>DEFI</v>
      </c>
      <c r="W88" t="str">
        <f t="shared" si="38"/>
        <v>$ USDCGIFT.COM &lt;- VISIT TO CLAIM BONUS COIN SHORT</v>
      </c>
      <c r="X88" s="88" t="s">
        <v>264</v>
      </c>
      <c r="Y88" s="3" t="s">
        <v>161</v>
      </c>
      <c r="Z88" s="31">
        <v>0.20872535</v>
      </c>
      <c r="AA88" s="31">
        <v>2.25420236368514E-4</v>
      </c>
      <c r="AD88" s="71">
        <f t="shared" si="39"/>
        <v>44939.000003356479</v>
      </c>
      <c r="AE88" s="14" t="str">
        <f t="shared" si="40"/>
        <v>-</v>
      </c>
      <c r="AF88" s="14" t="str">
        <f t="shared" si="41"/>
        <v>WALLET</v>
      </c>
      <c r="AG88" s="14" t="s">
        <v>161</v>
      </c>
      <c r="AH88" s="14">
        <v>0.20872535</v>
      </c>
      <c r="AI88" s="14">
        <v>2.25420236368514E-4</v>
      </c>
      <c r="AJ88" s="14">
        <f t="shared" si="42"/>
        <v>1.0799849484909906E-3</v>
      </c>
      <c r="AK88" s="14">
        <f t="shared" si="43"/>
        <v>0</v>
      </c>
      <c r="AL88" s="14" t="str">
        <f t="shared" si="44"/>
        <v>COIN</v>
      </c>
      <c r="AM88" s="24"/>
      <c r="AN88" s="14">
        <f t="shared" si="45"/>
        <v>1</v>
      </c>
      <c r="AO88" s="14" t="str">
        <f t="shared" si="46"/>
        <v>VSYS</v>
      </c>
      <c r="AP88" s="45"/>
      <c r="AQ88" s="46"/>
      <c r="AR88" s="47"/>
      <c r="AS88" s="25">
        <f t="shared" si="29"/>
        <v>0</v>
      </c>
      <c r="AT88" s="26" t="str">
        <f t="shared" si="49"/>
        <v>COIN</v>
      </c>
      <c r="AU88" s="26" t="str">
        <f t="shared" si="47"/>
        <v>LONG</v>
      </c>
      <c r="AV88" s="26" t="str">
        <f t="shared" si="31"/>
        <v>COIN LONG</v>
      </c>
      <c r="AW88" s="26">
        <f t="shared" si="32"/>
        <v>2.25420236368514E-4</v>
      </c>
      <c r="AX88" s="26">
        <f t="shared" si="33"/>
        <v>1.0799849484909906E-3</v>
      </c>
      <c r="AY88" s="26">
        <f t="shared" si="34"/>
        <v>0</v>
      </c>
      <c r="AZ88" s="26">
        <f t="shared" si="35"/>
        <v>0</v>
      </c>
      <c r="BA88" s="23" t="s">
        <v>268</v>
      </c>
      <c r="BB88" t="str">
        <f t="shared" si="48"/>
        <v>VSYS</v>
      </c>
    </row>
    <row r="89" spans="1:54" x14ac:dyDescent="0.25">
      <c r="A89">
        <v>130</v>
      </c>
      <c r="B89" s="71">
        <v>44939.000001585649</v>
      </c>
      <c r="C89" s="14" t="s">
        <v>294</v>
      </c>
      <c r="D89" s="23" t="s">
        <v>300</v>
      </c>
      <c r="E89" s="23" t="s">
        <v>904</v>
      </c>
      <c r="F89" s="23">
        <v>7000</v>
      </c>
      <c r="G89" s="23">
        <v>0</v>
      </c>
      <c r="H89" s="23">
        <v>0</v>
      </c>
      <c r="I89" s="23">
        <v>0</v>
      </c>
      <c r="J89" s="23" t="s">
        <v>85</v>
      </c>
      <c r="K89" s="24">
        <v>44939.000001585649</v>
      </c>
      <c r="L89" s="23">
        <v>1</v>
      </c>
      <c r="M89" s="23" t="s">
        <v>904</v>
      </c>
      <c r="N89" s="25">
        <v>0</v>
      </c>
      <c r="O89" s="26" t="str">
        <f t="shared" si="27"/>
        <v>COIN</v>
      </c>
      <c r="P89" s="26" t="str">
        <f t="shared" si="36"/>
        <v>SHORT</v>
      </c>
      <c r="Q89" s="26" t="str">
        <f t="shared" si="37"/>
        <v>COIN SHORT</v>
      </c>
      <c r="R89" s="26">
        <v>0</v>
      </c>
      <c r="S89" s="26">
        <v>0</v>
      </c>
      <c r="T89" s="26">
        <v>0</v>
      </c>
      <c r="U89" s="26">
        <v>0</v>
      </c>
      <c r="V89" s="23" t="str">
        <f t="shared" si="28"/>
        <v>DEFI</v>
      </c>
      <c r="W89" t="str">
        <f t="shared" si="38"/>
        <v>$ USDCXMAS.COM &lt;- VISIT TO CLAIM GIFT COIN SHORT</v>
      </c>
      <c r="X89" s="88" t="s">
        <v>264</v>
      </c>
      <c r="Y89" s="3" t="s">
        <v>257</v>
      </c>
      <c r="Z89" s="31">
        <v>128.58989367000001</v>
      </c>
      <c r="AA89" s="31">
        <v>182220.348791973</v>
      </c>
      <c r="AD89" s="71">
        <f t="shared" si="39"/>
        <v>44939.000003356479</v>
      </c>
      <c r="AE89" s="14" t="str">
        <f t="shared" si="40"/>
        <v>-</v>
      </c>
      <c r="AF89" s="14" t="str">
        <f t="shared" si="41"/>
        <v>WALLET</v>
      </c>
      <c r="AG89" s="14" t="s">
        <v>257</v>
      </c>
      <c r="AH89" s="14">
        <v>128.58989367000001</v>
      </c>
      <c r="AI89" s="14">
        <v>182220.348791973</v>
      </c>
      <c r="AJ89" s="14">
        <f t="shared" si="42"/>
        <v>1417.0658641308523</v>
      </c>
      <c r="AK89" s="14">
        <f t="shared" si="43"/>
        <v>0</v>
      </c>
      <c r="AL89" s="14" t="str">
        <f t="shared" si="44"/>
        <v>COIN</v>
      </c>
      <c r="AM89" s="24"/>
      <c r="AN89" s="14">
        <f t="shared" si="45"/>
        <v>1</v>
      </c>
      <c r="AO89" s="14" t="str">
        <f t="shared" si="46"/>
        <v>WETH</v>
      </c>
      <c r="AP89" s="45"/>
      <c r="AQ89" s="46"/>
      <c r="AR89" s="47"/>
      <c r="AS89" s="25">
        <f t="shared" si="29"/>
        <v>0</v>
      </c>
      <c r="AT89" s="26" t="str">
        <f t="shared" si="49"/>
        <v>COIN</v>
      </c>
      <c r="AU89" s="26" t="str">
        <f t="shared" si="47"/>
        <v>LONG</v>
      </c>
      <c r="AV89" s="26" t="str">
        <f t="shared" si="31"/>
        <v>COIN LONG</v>
      </c>
      <c r="AW89" s="26">
        <f t="shared" si="32"/>
        <v>182220.348791973</v>
      </c>
      <c r="AX89" s="26">
        <f t="shared" si="33"/>
        <v>1417.0658641308523</v>
      </c>
      <c r="AY89" s="26">
        <f t="shared" si="34"/>
        <v>0</v>
      </c>
      <c r="AZ89" s="26">
        <f t="shared" si="35"/>
        <v>0</v>
      </c>
      <c r="BA89" s="23" t="s">
        <v>268</v>
      </c>
      <c r="BB89" t="str">
        <f t="shared" si="48"/>
        <v>WETH</v>
      </c>
    </row>
    <row r="90" spans="1:54" x14ac:dyDescent="0.25">
      <c r="A90">
        <v>131</v>
      </c>
      <c r="B90" s="71">
        <v>44939.000001585649</v>
      </c>
      <c r="C90" s="14" t="s">
        <v>294</v>
      </c>
      <c r="D90" s="23" t="s">
        <v>300</v>
      </c>
      <c r="E90" s="23" t="s">
        <v>428</v>
      </c>
      <c r="F90" s="23">
        <v>8</v>
      </c>
      <c r="G90" s="23">
        <v>0</v>
      </c>
      <c r="H90" s="23">
        <v>0</v>
      </c>
      <c r="I90" s="23">
        <v>0</v>
      </c>
      <c r="J90" s="23" t="s">
        <v>85</v>
      </c>
      <c r="K90" s="24">
        <v>44939.000001585649</v>
      </c>
      <c r="L90" s="23">
        <v>1</v>
      </c>
      <c r="M90" s="23" t="s">
        <v>428</v>
      </c>
      <c r="N90" s="25">
        <v>0</v>
      </c>
      <c r="O90" s="26" t="str">
        <f t="shared" si="27"/>
        <v>COIN</v>
      </c>
      <c r="P90" s="26" t="str">
        <f t="shared" si="36"/>
        <v>SHORT</v>
      </c>
      <c r="Q90" s="26" t="str">
        <f t="shared" si="37"/>
        <v>COIN SHORT</v>
      </c>
      <c r="R90" s="26">
        <v>0</v>
      </c>
      <c r="S90" s="26">
        <v>0</v>
      </c>
      <c r="T90" s="26">
        <v>0</v>
      </c>
      <c r="U90" s="26">
        <v>0</v>
      </c>
      <c r="V90" s="23" t="str">
        <f t="shared" si="28"/>
        <v>DEFI</v>
      </c>
      <c r="W90" t="str">
        <f t="shared" si="38"/>
        <v>927$ VISIT AUSDBONUS.COM TO CLAIM COIN SHORT</v>
      </c>
      <c r="X90" s="88" t="s">
        <v>264</v>
      </c>
      <c r="Y90" s="3" t="s">
        <v>185</v>
      </c>
      <c r="Z90" s="31">
        <v>1644286.05309931</v>
      </c>
      <c r="AA90" s="31">
        <v>281459.93846142199</v>
      </c>
      <c r="AD90" s="71">
        <f t="shared" si="39"/>
        <v>44939.000003356479</v>
      </c>
      <c r="AE90" s="14" t="str">
        <f t="shared" si="40"/>
        <v>-</v>
      </c>
      <c r="AF90" s="14" t="str">
        <f t="shared" si="41"/>
        <v>WALLET</v>
      </c>
      <c r="AG90" s="14" t="s">
        <v>185</v>
      </c>
      <c r="AH90" s="14">
        <v>1644286.05309931</v>
      </c>
      <c r="AI90" s="14">
        <v>281459.93846142199</v>
      </c>
      <c r="AJ90" s="14">
        <f t="shared" si="42"/>
        <v>0.1711745580587386</v>
      </c>
      <c r="AK90" s="14">
        <f t="shared" si="43"/>
        <v>0</v>
      </c>
      <c r="AL90" s="14" t="str">
        <f t="shared" si="44"/>
        <v>COIN</v>
      </c>
      <c r="AM90" s="24"/>
      <c r="AN90" s="14">
        <f t="shared" si="45"/>
        <v>1</v>
      </c>
      <c r="AO90" s="14" t="str">
        <f t="shared" si="46"/>
        <v>WOO</v>
      </c>
      <c r="AP90" s="45"/>
      <c r="AQ90" s="46"/>
      <c r="AR90" s="47"/>
      <c r="AS90" s="25">
        <f t="shared" si="29"/>
        <v>0</v>
      </c>
      <c r="AT90" s="26" t="str">
        <f t="shared" si="49"/>
        <v>COIN</v>
      </c>
      <c r="AU90" s="26" t="str">
        <f t="shared" si="47"/>
        <v>LONG</v>
      </c>
      <c r="AV90" s="26" t="str">
        <f t="shared" si="31"/>
        <v>COIN LONG</v>
      </c>
      <c r="AW90" s="26">
        <f t="shared" si="32"/>
        <v>281459.93846142199</v>
      </c>
      <c r="AX90" s="26">
        <f t="shared" si="33"/>
        <v>0.1711745580587386</v>
      </c>
      <c r="AY90" s="26">
        <f t="shared" si="34"/>
        <v>0</v>
      </c>
      <c r="AZ90" s="26">
        <f t="shared" si="35"/>
        <v>0</v>
      </c>
      <c r="BA90" s="23" t="s">
        <v>268</v>
      </c>
      <c r="BB90" t="str">
        <f t="shared" si="48"/>
        <v>WOO</v>
      </c>
    </row>
    <row r="91" spans="1:54" x14ac:dyDescent="0.25">
      <c r="A91">
        <v>132</v>
      </c>
      <c r="B91" s="71">
        <v>44939.000001585649</v>
      </c>
      <c r="C91" s="14" t="s">
        <v>294</v>
      </c>
      <c r="D91" s="23" t="s">
        <v>300</v>
      </c>
      <c r="E91" s="23" t="s">
        <v>116</v>
      </c>
      <c r="F91" s="23">
        <v>229.80482918999999</v>
      </c>
      <c r="G91" s="23">
        <v>15594.816889215601</v>
      </c>
      <c r="H91" s="23">
        <v>67.861136531304297</v>
      </c>
      <c r="I91" s="23">
        <v>0</v>
      </c>
      <c r="J91" s="23" t="s">
        <v>85</v>
      </c>
      <c r="K91" s="24">
        <v>44939.000001585649</v>
      </c>
      <c r="L91" s="23">
        <v>1</v>
      </c>
      <c r="M91" s="23" t="s">
        <v>116</v>
      </c>
      <c r="N91" s="25">
        <v>0</v>
      </c>
      <c r="O91" s="26" t="str">
        <f t="shared" si="27"/>
        <v>COIN</v>
      </c>
      <c r="P91" s="26" t="str">
        <f t="shared" si="36"/>
        <v>LONG</v>
      </c>
      <c r="Q91" s="26" t="str">
        <f t="shared" si="37"/>
        <v>COIN LONG</v>
      </c>
      <c r="R91" s="26">
        <v>0</v>
      </c>
      <c r="S91" s="26">
        <v>0</v>
      </c>
      <c r="T91" s="26">
        <v>0</v>
      </c>
      <c r="U91" s="26">
        <v>0</v>
      </c>
      <c r="V91" s="23" t="str">
        <f t="shared" si="28"/>
        <v>DEFI</v>
      </c>
      <c r="W91" t="str">
        <f t="shared" si="38"/>
        <v>AAVE COIN LONG</v>
      </c>
      <c r="X91" s="88" t="s">
        <v>264</v>
      </c>
      <c r="Y91" s="3" t="s">
        <v>162</v>
      </c>
      <c r="Z91" s="31">
        <v>97856395.370000005</v>
      </c>
      <c r="AA91" s="31">
        <v>2672.5893784244149</v>
      </c>
      <c r="AD91" s="71">
        <f t="shared" si="39"/>
        <v>44939.000003356479</v>
      </c>
      <c r="AE91" s="14" t="str">
        <f t="shared" si="40"/>
        <v>-</v>
      </c>
      <c r="AF91" s="14" t="str">
        <f t="shared" si="41"/>
        <v>WALLET</v>
      </c>
      <c r="AG91" s="14" t="s">
        <v>162</v>
      </c>
      <c r="AH91" s="14">
        <v>97856395.370000005</v>
      </c>
      <c r="AI91" s="14">
        <v>2672.5893784244149</v>
      </c>
      <c r="AJ91" s="14">
        <f t="shared" si="42"/>
        <v>2.7311340953437111E-5</v>
      </c>
      <c r="AK91" s="14">
        <f t="shared" si="43"/>
        <v>0</v>
      </c>
      <c r="AL91" s="14" t="str">
        <f t="shared" si="44"/>
        <v>COIN</v>
      </c>
      <c r="AM91" s="24"/>
      <c r="AN91" s="14">
        <f t="shared" si="45"/>
        <v>1</v>
      </c>
      <c r="AO91" s="14" t="str">
        <f t="shared" si="46"/>
        <v>XEC</v>
      </c>
      <c r="AP91" s="45"/>
      <c r="AQ91" s="46"/>
      <c r="AR91" s="47"/>
      <c r="AS91" s="25">
        <f>IF($AE91="","",0)</f>
        <v>0</v>
      </c>
      <c r="AT91" s="26" t="str">
        <f t="shared" si="49"/>
        <v>COIN</v>
      </c>
      <c r="AU91" s="26" t="str">
        <f t="shared" si="47"/>
        <v>LONG</v>
      </c>
      <c r="AV91" s="26" t="str">
        <f t="shared" si="31"/>
        <v>COIN LONG</v>
      </c>
      <c r="AW91" s="26">
        <f t="shared" si="32"/>
        <v>2672.5893784244149</v>
      </c>
      <c r="AX91" s="26">
        <f t="shared" si="33"/>
        <v>2.7311340953437111E-5</v>
      </c>
      <c r="AY91" s="26">
        <f t="shared" si="34"/>
        <v>0</v>
      </c>
      <c r="AZ91" s="26">
        <f t="shared" si="35"/>
        <v>0</v>
      </c>
      <c r="BA91" s="23" t="s">
        <v>268</v>
      </c>
      <c r="BB91" t="str">
        <f t="shared" si="48"/>
        <v>XEC</v>
      </c>
    </row>
    <row r="92" spans="1:54" x14ac:dyDescent="0.25">
      <c r="A92">
        <v>133</v>
      </c>
      <c r="B92" s="71">
        <v>44939.000001585649</v>
      </c>
      <c r="C92" s="14" t="s">
        <v>294</v>
      </c>
      <c r="D92" s="23" t="s">
        <v>300</v>
      </c>
      <c r="E92" s="23" t="s">
        <v>187</v>
      </c>
      <c r="F92" s="23">
        <v>59.005456510000002</v>
      </c>
      <c r="G92" s="23">
        <v>912.06800851335095</v>
      </c>
      <c r="H92" s="23">
        <v>15.4573502597811</v>
      </c>
      <c r="I92" s="23">
        <v>0</v>
      </c>
      <c r="J92" s="23" t="s">
        <v>85</v>
      </c>
      <c r="K92" s="24">
        <v>44939.000001585649</v>
      </c>
      <c r="L92" s="23">
        <v>1</v>
      </c>
      <c r="M92" s="23" t="s">
        <v>187</v>
      </c>
      <c r="N92" s="25">
        <v>0</v>
      </c>
      <c r="O92" s="26" t="str">
        <f t="shared" si="27"/>
        <v>COIN</v>
      </c>
      <c r="P92" s="26" t="str">
        <f t="shared" si="36"/>
        <v>LONG</v>
      </c>
      <c r="Q92" s="26" t="str">
        <f t="shared" si="37"/>
        <v>COIN LONG</v>
      </c>
      <c r="R92" s="26">
        <v>0</v>
      </c>
      <c r="S92" s="26">
        <v>0</v>
      </c>
      <c r="T92" s="26">
        <v>0</v>
      </c>
      <c r="U92" s="26">
        <v>0</v>
      </c>
      <c r="V92" s="23" t="str">
        <f t="shared" si="28"/>
        <v>DEFI</v>
      </c>
      <c r="W92" t="str">
        <f t="shared" si="38"/>
        <v>AVAX COIN LONG</v>
      </c>
      <c r="X92" s="88" t="s">
        <v>264</v>
      </c>
      <c r="Y92" s="3" t="s">
        <v>163</v>
      </c>
      <c r="Z92" s="31">
        <v>2869.9265463700249</v>
      </c>
      <c r="AA92" s="31">
        <v>234.31166277531338</v>
      </c>
      <c r="AD92" s="71">
        <f t="shared" si="39"/>
        <v>44939.000003356479</v>
      </c>
      <c r="AE92" s="14" t="str">
        <f t="shared" si="40"/>
        <v>-</v>
      </c>
      <c r="AF92" s="14" t="str">
        <f t="shared" si="41"/>
        <v>WALLET</v>
      </c>
      <c r="AG92" s="14" t="s">
        <v>163</v>
      </c>
      <c r="AH92" s="14">
        <v>2869.9265463700249</v>
      </c>
      <c r="AI92" s="14">
        <v>234.31166277531338</v>
      </c>
      <c r="AJ92" s="14">
        <f t="shared" si="42"/>
        <v>8.1643783905089237E-2</v>
      </c>
      <c r="AK92" s="14">
        <f t="shared" si="43"/>
        <v>0</v>
      </c>
      <c r="AL92" s="14" t="str">
        <f t="shared" si="44"/>
        <v>COIN</v>
      </c>
      <c r="AM92" s="24"/>
      <c r="AN92" s="14">
        <f t="shared" si="45"/>
        <v>1</v>
      </c>
      <c r="AO92" s="14" t="str">
        <f t="shared" si="46"/>
        <v>XLM</v>
      </c>
      <c r="AP92" s="45"/>
      <c r="AQ92" s="46"/>
      <c r="AR92" s="47"/>
      <c r="AS92" s="25">
        <f t="shared" ref="AS92:AS107" si="50">IF($AE92="","",0)</f>
        <v>0</v>
      </c>
      <c r="AT92" s="26" t="str">
        <f t="shared" si="49"/>
        <v>COIN</v>
      </c>
      <c r="AU92" s="26" t="str">
        <f t="shared" si="47"/>
        <v>LONG</v>
      </c>
      <c r="AV92" s="26" t="str">
        <f t="shared" si="31"/>
        <v>COIN LONG</v>
      </c>
      <c r="AW92" s="26">
        <f t="shared" si="32"/>
        <v>234.31166277531338</v>
      </c>
      <c r="AX92" s="26">
        <f t="shared" si="33"/>
        <v>8.1643783905089237E-2</v>
      </c>
      <c r="AY92" s="26">
        <f t="shared" si="34"/>
        <v>0</v>
      </c>
      <c r="AZ92" s="26">
        <f t="shared" si="35"/>
        <v>0</v>
      </c>
      <c r="BA92" s="23" t="s">
        <v>268</v>
      </c>
      <c r="BB92" t="str">
        <f t="shared" si="48"/>
        <v>XLM</v>
      </c>
    </row>
    <row r="93" spans="1:54" x14ac:dyDescent="0.25">
      <c r="A93">
        <v>134</v>
      </c>
      <c r="B93" s="71">
        <v>44939.000001585649</v>
      </c>
      <c r="C93" s="14" t="s">
        <v>294</v>
      </c>
      <c r="D93" s="23" t="s">
        <v>300</v>
      </c>
      <c r="E93" s="23" t="s">
        <v>457</v>
      </c>
      <c r="F93" s="23">
        <v>25</v>
      </c>
      <c r="G93" s="23">
        <v>0</v>
      </c>
      <c r="H93" s="23">
        <v>0</v>
      </c>
      <c r="I93" s="23">
        <v>0</v>
      </c>
      <c r="J93" s="23" t="s">
        <v>85</v>
      </c>
      <c r="K93" s="24">
        <v>44939.000001585649</v>
      </c>
      <c r="L93" s="23">
        <v>1</v>
      </c>
      <c r="M93" s="23" t="s">
        <v>457</v>
      </c>
      <c r="N93" s="25">
        <v>0</v>
      </c>
      <c r="O93" s="26" t="str">
        <f t="shared" si="27"/>
        <v>COIN</v>
      </c>
      <c r="P93" s="26" t="str">
        <f t="shared" si="36"/>
        <v>SHORT</v>
      </c>
      <c r="Q93" s="26" t="str">
        <f t="shared" si="37"/>
        <v>COIN SHORT</v>
      </c>
      <c r="R93" s="26">
        <v>0</v>
      </c>
      <c r="S93" s="26">
        <v>0</v>
      </c>
      <c r="T93" s="26">
        <v>0</v>
      </c>
      <c r="U93" s="26">
        <v>0</v>
      </c>
      <c r="V93" s="23" t="str">
        <f t="shared" si="28"/>
        <v>DEFI</v>
      </c>
      <c r="W93" t="str">
        <f t="shared" si="38"/>
        <v>BONUS. VISIT HTTPS://BITBONUS.TECH TO CLAIM REWARD. COIN SHORT</v>
      </c>
      <c r="X93" s="88" t="s">
        <v>264</v>
      </c>
      <c r="Y93" s="3" t="s">
        <v>99</v>
      </c>
      <c r="Z93" s="31">
        <v>115730.79447086998</v>
      </c>
      <c r="AA93" s="31">
        <v>43421.863354855188</v>
      </c>
      <c r="AD93" s="71">
        <f t="shared" si="39"/>
        <v>44939.000003356479</v>
      </c>
      <c r="AE93" s="14" t="str">
        <f t="shared" si="40"/>
        <v>-</v>
      </c>
      <c r="AF93" s="14" t="str">
        <f t="shared" si="41"/>
        <v>WALLET</v>
      </c>
      <c r="AG93" s="14" t="s">
        <v>99</v>
      </c>
      <c r="AH93" s="14">
        <v>115730.79447086998</v>
      </c>
      <c r="AI93" s="14">
        <v>43421.863354855188</v>
      </c>
      <c r="AJ93" s="14">
        <f t="shared" si="42"/>
        <v>0.37519714224190076</v>
      </c>
      <c r="AK93" s="14">
        <f t="shared" si="43"/>
        <v>0</v>
      </c>
      <c r="AL93" s="14" t="str">
        <f t="shared" si="44"/>
        <v>COIN</v>
      </c>
      <c r="AM93" s="24"/>
      <c r="AN93" s="14">
        <f t="shared" si="45"/>
        <v>1</v>
      </c>
      <c r="AO93" s="14" t="str">
        <f t="shared" si="46"/>
        <v>XRP</v>
      </c>
      <c r="AP93" s="45"/>
      <c r="AQ93" s="46"/>
      <c r="AR93" s="47"/>
      <c r="AS93" s="25">
        <f t="shared" si="50"/>
        <v>0</v>
      </c>
      <c r="AT93" s="26" t="str">
        <f t="shared" ref="AT93:AT100" si="51">IF($AE93="","",IF(OR($AG93="USD",AG93="EUR"),"CASH","COIN"))</f>
        <v>COIN</v>
      </c>
      <c r="AU93" s="26" t="str">
        <f t="shared" si="47"/>
        <v>LONG</v>
      </c>
      <c r="AV93" s="26" t="str">
        <f t="shared" si="31"/>
        <v>COIN LONG</v>
      </c>
      <c r="AW93" s="26">
        <f t="shared" si="32"/>
        <v>43421.863354855188</v>
      </c>
      <c r="AX93" s="26">
        <f t="shared" si="33"/>
        <v>0.37519714224190076</v>
      </c>
      <c r="AY93" s="26">
        <f t="shared" si="34"/>
        <v>0</v>
      </c>
      <c r="AZ93" s="26">
        <f t="shared" si="35"/>
        <v>0</v>
      </c>
      <c r="BA93" s="23" t="s">
        <v>268</v>
      </c>
      <c r="BB93" t="str">
        <f t="shared" si="48"/>
        <v>XRP</v>
      </c>
    </row>
    <row r="94" spans="1:54" x14ac:dyDescent="0.25">
      <c r="A94">
        <v>135</v>
      </c>
      <c r="B94" s="71">
        <v>44939.000001585649</v>
      </c>
      <c r="C94" s="14" t="s">
        <v>294</v>
      </c>
      <c r="D94" s="23" t="s">
        <v>300</v>
      </c>
      <c r="E94" s="23" t="s">
        <v>15</v>
      </c>
      <c r="F94" s="23">
        <v>16.8835707</v>
      </c>
      <c r="G94" s="23">
        <v>23939.865303201801</v>
      </c>
      <c r="H94" s="23">
        <v>1417.9385231112101</v>
      </c>
      <c r="I94" s="23">
        <v>0</v>
      </c>
      <c r="J94" s="23" t="s">
        <v>85</v>
      </c>
      <c r="K94" s="24">
        <v>44939.000001585649</v>
      </c>
      <c r="L94" s="23">
        <v>1</v>
      </c>
      <c r="M94" s="23" t="s">
        <v>15</v>
      </c>
      <c r="N94" s="25">
        <v>0</v>
      </c>
      <c r="O94" s="26" t="str">
        <f t="shared" si="27"/>
        <v>COIN</v>
      </c>
      <c r="P94" s="26" t="str">
        <f t="shared" si="36"/>
        <v>LONG</v>
      </c>
      <c r="Q94" s="26" t="str">
        <f t="shared" si="37"/>
        <v>COIN LONG</v>
      </c>
      <c r="R94" s="26">
        <v>0</v>
      </c>
      <c r="S94" s="26">
        <v>0</v>
      </c>
      <c r="T94" s="26">
        <v>0</v>
      </c>
      <c r="U94" s="26">
        <v>0</v>
      </c>
      <c r="V94" s="23" t="str">
        <f t="shared" si="28"/>
        <v>DEFI</v>
      </c>
      <c r="W94" t="str">
        <f t="shared" si="38"/>
        <v>ETH COIN LONG</v>
      </c>
      <c r="X94" s="88" t="s">
        <v>264</v>
      </c>
      <c r="Y94" s="3" t="s">
        <v>164</v>
      </c>
      <c r="Z94" s="31">
        <v>195.97342208999771</v>
      </c>
      <c r="AA94" s="31">
        <v>174.26541521408524</v>
      </c>
      <c r="AD94" s="71">
        <f t="shared" si="39"/>
        <v>44939.000003356479</v>
      </c>
      <c r="AE94" s="14" t="str">
        <f t="shared" si="40"/>
        <v>-</v>
      </c>
      <c r="AF94" s="14" t="str">
        <f t="shared" si="41"/>
        <v>WALLET</v>
      </c>
      <c r="AG94" s="14" t="s">
        <v>164</v>
      </c>
      <c r="AH94" s="14">
        <v>195.97342208999771</v>
      </c>
      <c r="AI94" s="14">
        <v>174.26541521408524</v>
      </c>
      <c r="AJ94" s="14">
        <f t="shared" si="42"/>
        <v>0.88922984226941038</v>
      </c>
      <c r="AK94" s="14">
        <f t="shared" si="43"/>
        <v>0</v>
      </c>
      <c r="AL94" s="14" t="str">
        <f t="shared" si="44"/>
        <v>COIN</v>
      </c>
      <c r="AM94" s="24"/>
      <c r="AN94" s="14">
        <f t="shared" si="45"/>
        <v>1</v>
      </c>
      <c r="AO94" s="14" t="str">
        <f t="shared" si="46"/>
        <v>XTZ</v>
      </c>
      <c r="AP94" s="45"/>
      <c r="AQ94" s="46"/>
      <c r="AR94" s="47"/>
      <c r="AS94" s="25">
        <f t="shared" si="50"/>
        <v>0</v>
      </c>
      <c r="AT94" s="26" t="str">
        <f t="shared" si="51"/>
        <v>COIN</v>
      </c>
      <c r="AU94" s="26" t="str">
        <f t="shared" si="47"/>
        <v>LONG</v>
      </c>
      <c r="AV94" s="26" t="str">
        <f t="shared" si="31"/>
        <v>COIN LONG</v>
      </c>
      <c r="AW94" s="26">
        <f t="shared" si="32"/>
        <v>174.26541521408524</v>
      </c>
      <c r="AX94" s="26">
        <f t="shared" si="33"/>
        <v>0.88922984226941038</v>
      </c>
      <c r="AY94" s="26">
        <f t="shared" si="34"/>
        <v>0</v>
      </c>
      <c r="AZ94" s="26">
        <f t="shared" si="35"/>
        <v>0</v>
      </c>
      <c r="BA94" s="23" t="s">
        <v>268</v>
      </c>
      <c r="BB94" t="str">
        <f t="shared" si="48"/>
        <v>XTZ</v>
      </c>
    </row>
    <row r="95" spans="1:54" x14ac:dyDescent="0.25">
      <c r="A95">
        <v>136</v>
      </c>
      <c r="B95" s="71">
        <v>44939.000001585649</v>
      </c>
      <c r="C95" s="14" t="s">
        <v>294</v>
      </c>
      <c r="D95" s="23" t="s">
        <v>300</v>
      </c>
      <c r="E95" s="23" t="s">
        <v>429</v>
      </c>
      <c r="F95" s="23">
        <v>480000</v>
      </c>
      <c r="G95" s="23">
        <v>0</v>
      </c>
      <c r="H95" s="23">
        <v>0</v>
      </c>
      <c r="I95" s="23">
        <v>0</v>
      </c>
      <c r="J95" s="23" t="s">
        <v>85</v>
      </c>
      <c r="K95" s="24">
        <v>44939.000001585649</v>
      </c>
      <c r="L95" s="23">
        <v>1</v>
      </c>
      <c r="M95" s="23" t="s">
        <v>429</v>
      </c>
      <c r="N95" s="25">
        <v>0</v>
      </c>
      <c r="O95" s="26" t="str">
        <f t="shared" si="27"/>
        <v>COIN</v>
      </c>
      <c r="P95" s="26" t="str">
        <f t="shared" si="36"/>
        <v>SHORT</v>
      </c>
      <c r="Q95" s="26" t="str">
        <f t="shared" si="37"/>
        <v>COIN SHORT</v>
      </c>
      <c r="R95" s="26">
        <v>0</v>
      </c>
      <c r="S95" s="26">
        <v>0</v>
      </c>
      <c r="T95" s="26">
        <v>0</v>
      </c>
      <c r="U95" s="26">
        <v>0</v>
      </c>
      <c r="V95" s="23" t="str">
        <f t="shared" si="28"/>
        <v>DEFI</v>
      </c>
      <c r="W95" t="str">
        <f t="shared" si="38"/>
        <v>INVITATION TOKEN. PLEASE VISIT HTTPS://AAKER.SITE AND CLAIM REWARDS. COIN SHORT</v>
      </c>
      <c r="X95" s="88" t="s">
        <v>264</v>
      </c>
      <c r="Y95" s="3" t="s">
        <v>171</v>
      </c>
      <c r="Z95" s="31">
        <v>0.11047114</v>
      </c>
      <c r="AA95" s="31">
        <v>688.71214889128601</v>
      </c>
      <c r="AD95" s="71">
        <f t="shared" si="39"/>
        <v>44939.000003356479</v>
      </c>
      <c r="AE95" s="14" t="str">
        <f t="shared" si="40"/>
        <v>-</v>
      </c>
      <c r="AF95" s="14" t="str">
        <f t="shared" si="41"/>
        <v>WALLET</v>
      </c>
      <c r="AG95" s="14" t="s">
        <v>171</v>
      </c>
      <c r="AH95" s="14">
        <v>0.11047114</v>
      </c>
      <c r="AI95" s="14">
        <v>688.71214889128601</v>
      </c>
      <c r="AJ95" s="14">
        <f t="shared" si="42"/>
        <v>6234.3173872496118</v>
      </c>
      <c r="AK95" s="14">
        <f t="shared" si="43"/>
        <v>0</v>
      </c>
      <c r="AL95" s="14" t="str">
        <f t="shared" si="44"/>
        <v>COIN</v>
      </c>
      <c r="AM95" s="24"/>
      <c r="AN95" s="14">
        <f t="shared" si="45"/>
        <v>1</v>
      </c>
      <c r="AO95" s="14" t="str">
        <f t="shared" si="46"/>
        <v>YFI</v>
      </c>
      <c r="AP95" s="45"/>
      <c r="AQ95" s="46"/>
      <c r="AR95" s="47"/>
      <c r="AS95" s="25">
        <f t="shared" si="50"/>
        <v>0</v>
      </c>
      <c r="AT95" s="26" t="str">
        <f t="shared" si="51"/>
        <v>COIN</v>
      </c>
      <c r="AU95" s="26" t="str">
        <f t="shared" si="47"/>
        <v>LONG</v>
      </c>
      <c r="AV95" s="26" t="str">
        <f t="shared" si="31"/>
        <v>COIN LONG</v>
      </c>
      <c r="AW95" s="26">
        <f t="shared" si="32"/>
        <v>688.71214889128601</v>
      </c>
      <c r="AX95" s="26">
        <f t="shared" si="33"/>
        <v>6234.3173872496118</v>
      </c>
      <c r="AY95" s="26">
        <f>IF($AE95="","",0)</f>
        <v>0</v>
      </c>
      <c r="AZ95" s="26">
        <f t="shared" si="35"/>
        <v>0</v>
      </c>
      <c r="BA95" s="23" t="s">
        <v>268</v>
      </c>
      <c r="BB95" t="str">
        <f t="shared" si="48"/>
        <v>YFI</v>
      </c>
    </row>
    <row r="96" spans="1:54" x14ac:dyDescent="0.25">
      <c r="A96">
        <v>137</v>
      </c>
      <c r="B96" s="71">
        <v>44939.000001585649</v>
      </c>
      <c r="C96" s="14" t="s">
        <v>294</v>
      </c>
      <c r="D96" s="23" t="s">
        <v>300</v>
      </c>
      <c r="E96" s="23" t="s">
        <v>430</v>
      </c>
      <c r="F96" s="23">
        <v>34311.93215886</v>
      </c>
      <c r="G96" s="23">
        <v>0</v>
      </c>
      <c r="H96" s="23">
        <v>0</v>
      </c>
      <c r="I96" s="23">
        <v>0</v>
      </c>
      <c r="J96" s="23" t="s">
        <v>85</v>
      </c>
      <c r="K96" s="24">
        <v>44939.000001585649</v>
      </c>
      <c r="L96" s="23">
        <v>1</v>
      </c>
      <c r="M96" s="23" t="s">
        <v>430</v>
      </c>
      <c r="N96" s="25">
        <v>0</v>
      </c>
      <c r="O96" s="26" t="str">
        <f t="shared" si="27"/>
        <v>COIN</v>
      </c>
      <c r="P96" s="26" t="str">
        <f t="shared" si="36"/>
        <v>SHORT</v>
      </c>
      <c r="Q96" s="26" t="str">
        <f t="shared" si="37"/>
        <v>COIN SHORT</v>
      </c>
      <c r="R96" s="26">
        <v>0</v>
      </c>
      <c r="S96" s="26">
        <v>0</v>
      </c>
      <c r="T96" s="26">
        <v>0</v>
      </c>
      <c r="U96" s="26">
        <v>0</v>
      </c>
      <c r="V96" s="23" t="str">
        <f t="shared" si="28"/>
        <v>DEFI</v>
      </c>
      <c r="W96" t="str">
        <f t="shared" si="38"/>
        <v>OAAVEUSDC/AAVE-02DEC22-67.5C COIN SHORT</v>
      </c>
      <c r="X96" s="88" t="s">
        <v>264</v>
      </c>
      <c r="Y96" s="3" t="s">
        <v>117</v>
      </c>
      <c r="Z96" s="31">
        <v>1.572583E-2</v>
      </c>
      <c r="AA96" s="31">
        <v>19.32006318989286</v>
      </c>
      <c r="AD96" s="71">
        <f t="shared" si="39"/>
        <v>44939.000003356479</v>
      </c>
      <c r="AE96" s="14" t="str">
        <f t="shared" si="40"/>
        <v>-</v>
      </c>
      <c r="AF96" s="14" t="str">
        <f t="shared" si="41"/>
        <v>WALLET</v>
      </c>
      <c r="AG96" s="14" t="s">
        <v>117</v>
      </c>
      <c r="AH96" s="14">
        <v>1.572583E-2</v>
      </c>
      <c r="AI96" s="14">
        <v>19.32006318989286</v>
      </c>
      <c r="AJ96" s="14">
        <f t="shared" si="42"/>
        <v>1228.5560246990372</v>
      </c>
      <c r="AK96" s="14">
        <f t="shared" si="43"/>
        <v>0</v>
      </c>
      <c r="AL96" s="14" t="str">
        <f t="shared" si="44"/>
        <v>COIN</v>
      </c>
      <c r="AM96" s="24"/>
      <c r="AN96" s="14">
        <f t="shared" si="45"/>
        <v>1</v>
      </c>
      <c r="AO96" s="14" t="str">
        <f t="shared" si="46"/>
        <v>YFII</v>
      </c>
      <c r="AP96" s="45"/>
      <c r="AQ96" s="46"/>
      <c r="AR96" s="47"/>
      <c r="AS96" s="25">
        <f t="shared" si="50"/>
        <v>0</v>
      </c>
      <c r="AT96" s="26" t="str">
        <f t="shared" si="51"/>
        <v>COIN</v>
      </c>
      <c r="AU96" s="26" t="str">
        <f t="shared" si="47"/>
        <v>LONG</v>
      </c>
      <c r="AV96" s="26" t="str">
        <f t="shared" si="31"/>
        <v>COIN LONG</v>
      </c>
      <c r="AW96" s="26">
        <f t="shared" si="32"/>
        <v>19.32006318989286</v>
      </c>
      <c r="AX96" s="26">
        <f t="shared" si="33"/>
        <v>1228.5560246990372</v>
      </c>
      <c r="AY96" s="26">
        <f t="shared" ref="AY96:AY107" si="52">IF($AE96="","",0)</f>
        <v>0</v>
      </c>
      <c r="AZ96" s="26">
        <f t="shared" si="35"/>
        <v>0</v>
      </c>
      <c r="BA96" s="23" t="s">
        <v>268</v>
      </c>
      <c r="BB96" t="str">
        <f t="shared" si="48"/>
        <v>YFII</v>
      </c>
    </row>
    <row r="97" spans="1:54" x14ac:dyDescent="0.25">
      <c r="A97">
        <v>138</v>
      </c>
      <c r="B97" s="71">
        <v>44939.000001585649</v>
      </c>
      <c r="C97" s="14" t="s">
        <v>294</v>
      </c>
      <c r="D97" s="23" t="s">
        <v>300</v>
      </c>
      <c r="E97" s="23" t="s">
        <v>930</v>
      </c>
      <c r="F97" s="23">
        <v>32302.942249520001</v>
      </c>
      <c r="G97" s="23">
        <v>0</v>
      </c>
      <c r="H97" s="23">
        <v>0</v>
      </c>
      <c r="I97" s="23">
        <v>0</v>
      </c>
      <c r="J97" s="23" t="s">
        <v>85</v>
      </c>
      <c r="K97" s="24">
        <v>44939.000001585649</v>
      </c>
      <c r="L97" s="23">
        <v>1</v>
      </c>
      <c r="M97" s="23" t="s">
        <v>930</v>
      </c>
      <c r="N97" s="25">
        <v>0</v>
      </c>
      <c r="O97" s="26" t="str">
        <f t="shared" si="27"/>
        <v>COIN</v>
      </c>
      <c r="P97" s="26" t="str">
        <f t="shared" si="36"/>
        <v>SHORT</v>
      </c>
      <c r="Q97" s="26" t="str">
        <f t="shared" si="37"/>
        <v>COIN SHORT</v>
      </c>
      <c r="R97" s="26">
        <v>0</v>
      </c>
      <c r="S97" s="26">
        <v>0</v>
      </c>
      <c r="T97" s="26">
        <v>0</v>
      </c>
      <c r="U97" s="26">
        <v>0</v>
      </c>
      <c r="V97" s="23" t="str">
        <f t="shared" si="28"/>
        <v>DEFI</v>
      </c>
      <c r="W97" t="str">
        <f t="shared" si="38"/>
        <v>OAAVEUSDC/AAVE-06JAN23-62.5C COIN SHORT</v>
      </c>
      <c r="X97" s="88" t="s">
        <v>264</v>
      </c>
      <c r="Y97" s="3" t="s">
        <v>165</v>
      </c>
      <c r="Z97" s="31">
        <v>2.173E-4</v>
      </c>
      <c r="AA97" s="31">
        <v>9.8461120696399299E-3</v>
      </c>
      <c r="AD97" s="71">
        <f t="shared" si="39"/>
        <v>44939.000003356479</v>
      </c>
      <c r="AE97" s="14" t="str">
        <f t="shared" si="40"/>
        <v>-</v>
      </c>
      <c r="AF97" s="14" t="str">
        <f t="shared" si="41"/>
        <v>WALLET</v>
      </c>
      <c r="AG97" s="14" t="s">
        <v>165</v>
      </c>
      <c r="AH97" s="14">
        <v>2.173E-4</v>
      </c>
      <c r="AI97" s="14">
        <v>9.8461120696399299E-3</v>
      </c>
      <c r="AJ97" s="14">
        <f t="shared" si="42"/>
        <v>45.311146201748414</v>
      </c>
      <c r="AK97" s="14">
        <f t="shared" si="43"/>
        <v>0</v>
      </c>
      <c r="AL97" s="14" t="str">
        <f t="shared" si="44"/>
        <v>COIN</v>
      </c>
      <c r="AM97" s="24"/>
      <c r="AN97" s="14">
        <f t="shared" si="45"/>
        <v>1</v>
      </c>
      <c r="AO97" s="14" t="str">
        <f t="shared" si="46"/>
        <v>ZEC</v>
      </c>
      <c r="AP97" s="45"/>
      <c r="AQ97" s="46"/>
      <c r="AR97" s="47"/>
      <c r="AS97" s="25">
        <f t="shared" si="50"/>
        <v>0</v>
      </c>
      <c r="AT97" s="26" t="str">
        <f t="shared" si="51"/>
        <v>COIN</v>
      </c>
      <c r="AU97" s="26" t="str">
        <f t="shared" si="47"/>
        <v>LONG</v>
      </c>
      <c r="AV97" s="26" t="str">
        <f t="shared" si="31"/>
        <v>COIN LONG</v>
      </c>
      <c r="AW97" s="26">
        <f t="shared" si="32"/>
        <v>9.8461120696399299E-3</v>
      </c>
      <c r="AX97" s="26">
        <f t="shared" si="33"/>
        <v>45.311146201748414</v>
      </c>
      <c r="AY97" s="26">
        <f t="shared" si="52"/>
        <v>0</v>
      </c>
      <c r="AZ97" s="26">
        <f t="shared" si="35"/>
        <v>0</v>
      </c>
      <c r="BA97" s="23" t="s">
        <v>268</v>
      </c>
      <c r="BB97" t="str">
        <f t="shared" si="48"/>
        <v>ZEC</v>
      </c>
    </row>
    <row r="98" spans="1:54" x14ac:dyDescent="0.25">
      <c r="A98">
        <v>139</v>
      </c>
      <c r="B98" s="71">
        <v>44939.000001585649</v>
      </c>
      <c r="C98" s="14" t="s">
        <v>294</v>
      </c>
      <c r="D98" s="23" t="s">
        <v>300</v>
      </c>
      <c r="E98" s="23" t="s">
        <v>964</v>
      </c>
      <c r="F98" s="23">
        <v>32626.54331546</v>
      </c>
      <c r="G98" s="23">
        <v>0</v>
      </c>
      <c r="H98" s="23">
        <v>0</v>
      </c>
      <c r="I98" s="23">
        <v>0</v>
      </c>
      <c r="J98" s="23" t="s">
        <v>85</v>
      </c>
      <c r="K98" s="24">
        <v>44939.000001585649</v>
      </c>
      <c r="L98" s="23">
        <v>1</v>
      </c>
      <c r="M98" s="23" t="s">
        <v>964</v>
      </c>
      <c r="N98" s="25">
        <v>0</v>
      </c>
      <c r="O98" s="26" t="str">
        <f t="shared" si="27"/>
        <v>COIN</v>
      </c>
      <c r="P98" s="26" t="str">
        <f t="shared" si="36"/>
        <v>SHORT</v>
      </c>
      <c r="Q98" s="26" t="str">
        <f t="shared" si="37"/>
        <v>COIN SHORT</v>
      </c>
      <c r="R98" s="26">
        <v>0</v>
      </c>
      <c r="S98" s="26">
        <v>0</v>
      </c>
      <c r="T98" s="26">
        <v>0</v>
      </c>
      <c r="U98" s="26">
        <v>0</v>
      </c>
      <c r="V98" s="23" t="str">
        <f t="shared" si="28"/>
        <v>DEFI</v>
      </c>
      <c r="W98" t="str">
        <f t="shared" si="38"/>
        <v>OAAVEUSDC/AAVE-13JAN23-62.5C COIN SHORT</v>
      </c>
      <c r="X98" s="88" t="s">
        <v>264</v>
      </c>
      <c r="Y98" s="3" t="s">
        <v>26</v>
      </c>
      <c r="Z98" s="31">
        <v>3907091.4422444296</v>
      </c>
      <c r="AA98" s="31">
        <v>93670.485278223263</v>
      </c>
      <c r="AD98" s="71">
        <f t="shared" si="39"/>
        <v>44939.000003356479</v>
      </c>
      <c r="AE98" s="14" t="str">
        <f t="shared" si="40"/>
        <v>-</v>
      </c>
      <c r="AF98" s="14" t="str">
        <f t="shared" si="41"/>
        <v>WALLET</v>
      </c>
      <c r="AG98" s="14" t="s">
        <v>26</v>
      </c>
      <c r="AH98" s="14">
        <v>3907091.4422444296</v>
      </c>
      <c r="AI98" s="14">
        <v>93670.485278223263</v>
      </c>
      <c r="AJ98" s="14">
        <f t="shared" si="42"/>
        <v>2.3974479907338496E-2</v>
      </c>
      <c r="AK98" s="14">
        <f t="shared" si="43"/>
        <v>0</v>
      </c>
      <c r="AL98" s="14" t="str">
        <f t="shared" si="44"/>
        <v>COIN</v>
      </c>
      <c r="AM98" s="24"/>
      <c r="AN98" s="14">
        <f t="shared" si="45"/>
        <v>1</v>
      </c>
      <c r="AO98" s="14" t="str">
        <f t="shared" si="46"/>
        <v>ZIL</v>
      </c>
      <c r="AP98" s="45"/>
      <c r="AQ98" s="46"/>
      <c r="AR98" s="47"/>
      <c r="AS98" s="25">
        <f t="shared" si="50"/>
        <v>0</v>
      </c>
      <c r="AT98" s="26" t="str">
        <f t="shared" si="51"/>
        <v>COIN</v>
      </c>
      <c r="AU98" s="26" t="str">
        <f t="shared" si="47"/>
        <v>LONG</v>
      </c>
      <c r="AV98" s="26" t="str">
        <f t="shared" si="31"/>
        <v>COIN LONG</v>
      </c>
      <c r="AW98" s="26">
        <f t="shared" si="32"/>
        <v>93670.485278223263</v>
      </c>
      <c r="AX98" s="26">
        <f t="shared" si="33"/>
        <v>2.3974479907338496E-2</v>
      </c>
      <c r="AY98" s="26">
        <f t="shared" si="52"/>
        <v>0</v>
      </c>
      <c r="AZ98" s="26">
        <f t="shared" si="35"/>
        <v>0</v>
      </c>
      <c r="BA98" s="23" t="s">
        <v>268</v>
      </c>
      <c r="BB98" t="str">
        <f t="shared" si="48"/>
        <v>ZIL</v>
      </c>
    </row>
    <row r="99" spans="1:54" x14ac:dyDescent="0.25">
      <c r="A99">
        <v>140</v>
      </c>
      <c r="B99" s="71">
        <v>44939.000001585649</v>
      </c>
      <c r="C99" s="14" t="s">
        <v>294</v>
      </c>
      <c r="D99" s="23" t="s">
        <v>300</v>
      </c>
      <c r="E99" s="23" t="s">
        <v>458</v>
      </c>
      <c r="F99" s="23">
        <v>33793.379334129997</v>
      </c>
      <c r="G99" s="23">
        <v>0</v>
      </c>
      <c r="H99" s="23">
        <v>0</v>
      </c>
      <c r="I99" s="23">
        <v>0</v>
      </c>
      <c r="J99" s="23" t="s">
        <v>85</v>
      </c>
      <c r="K99" s="24">
        <v>44939.000001585649</v>
      </c>
      <c r="L99" s="23">
        <v>1</v>
      </c>
      <c r="M99" s="23" t="s">
        <v>458</v>
      </c>
      <c r="N99" s="25">
        <v>0</v>
      </c>
      <c r="O99" s="26" t="str">
        <f t="shared" si="27"/>
        <v>COIN</v>
      </c>
      <c r="P99" s="26" t="str">
        <f t="shared" si="36"/>
        <v>SHORT</v>
      </c>
      <c r="Q99" s="26" t="str">
        <f t="shared" si="37"/>
        <v>COIN SHORT</v>
      </c>
      <c r="R99" s="26">
        <v>0</v>
      </c>
      <c r="S99" s="26">
        <v>0</v>
      </c>
      <c r="T99" s="26">
        <v>0</v>
      </c>
      <c r="U99" s="26">
        <v>0</v>
      </c>
      <c r="V99" s="23" t="str">
        <f t="shared" si="28"/>
        <v>DEFI</v>
      </c>
      <c r="W99" t="str">
        <f t="shared" si="38"/>
        <v>OAAVEUSDC/AAVE-16DEC22-72.5C COIN SHORT</v>
      </c>
      <c r="X99" s="88" t="s">
        <v>264</v>
      </c>
      <c r="Y99" s="3" t="s">
        <v>56</v>
      </c>
      <c r="Z99" s="31">
        <v>170944536626.60098</v>
      </c>
      <c r="AA99" s="31">
        <v>34372292.177876942</v>
      </c>
      <c r="AD99" s="71">
        <f t="shared" si="39"/>
        <v>44939.000003356479</v>
      </c>
      <c r="AE99" s="14" t="str">
        <f t="shared" si="40"/>
        <v>-</v>
      </c>
      <c r="AF99" s="14" t="str">
        <f t="shared" si="41"/>
        <v>WALLET</v>
      </c>
      <c r="AG99" s="14" t="s">
        <v>26</v>
      </c>
      <c r="AH99" s="14">
        <v>826569.89491454931</v>
      </c>
      <c r="AI99" s="14">
        <v>14209.413391282491</v>
      </c>
      <c r="AJ99" s="14">
        <f t="shared" si="42"/>
        <v>1.7190818923729926E-2</v>
      </c>
      <c r="AK99" s="14">
        <f t="shared" si="43"/>
        <v>0</v>
      </c>
      <c r="AL99" s="14" t="str">
        <f t="shared" si="44"/>
        <v>COIN</v>
      </c>
      <c r="AM99" s="24"/>
      <c r="AN99" s="14">
        <f t="shared" si="45"/>
        <v>1</v>
      </c>
      <c r="AO99" s="14" t="str">
        <f t="shared" si="46"/>
        <v>ZIL</v>
      </c>
      <c r="AP99" s="45"/>
      <c r="AQ99" s="46"/>
      <c r="AR99" s="47"/>
      <c r="AS99" s="25">
        <f t="shared" si="50"/>
        <v>0</v>
      </c>
      <c r="AT99" s="26" t="str">
        <f t="shared" si="51"/>
        <v>COIN</v>
      </c>
      <c r="AU99" s="26" t="str">
        <f t="shared" si="47"/>
        <v>LONG</v>
      </c>
      <c r="AV99" s="26" t="str">
        <f t="shared" si="31"/>
        <v>COIN LONG</v>
      </c>
      <c r="AW99" s="26">
        <f t="shared" si="32"/>
        <v>14209.413391282491</v>
      </c>
      <c r="AX99" s="26">
        <f t="shared" si="33"/>
        <v>1.7190818923729926E-2</v>
      </c>
      <c r="AY99" s="26">
        <f t="shared" si="52"/>
        <v>0</v>
      </c>
      <c r="AZ99" s="26">
        <f t="shared" si="35"/>
        <v>0</v>
      </c>
      <c r="BA99" s="23" t="s">
        <v>268</v>
      </c>
      <c r="BB99" t="str">
        <f t="shared" si="48"/>
        <v>ZIL</v>
      </c>
    </row>
    <row r="100" spans="1:54" x14ac:dyDescent="0.25">
      <c r="A100">
        <v>141</v>
      </c>
      <c r="B100" s="71">
        <v>44939.000001585649</v>
      </c>
      <c r="C100" s="14" t="s">
        <v>294</v>
      </c>
      <c r="D100" s="23" t="s">
        <v>300</v>
      </c>
      <c r="E100" s="23" t="s">
        <v>418</v>
      </c>
      <c r="F100" s="23">
        <v>33991.374100820001</v>
      </c>
      <c r="G100" s="23">
        <v>0</v>
      </c>
      <c r="H100" s="23">
        <v>0</v>
      </c>
      <c r="I100" s="23">
        <v>0</v>
      </c>
      <c r="J100" s="23" t="s">
        <v>85</v>
      </c>
      <c r="K100" s="24">
        <v>44939.000001585649</v>
      </c>
      <c r="L100" s="23">
        <v>1</v>
      </c>
      <c r="M100" s="23" t="s">
        <v>418</v>
      </c>
      <c r="N100" s="25">
        <v>0</v>
      </c>
      <c r="O100" s="26" t="str">
        <f t="shared" si="27"/>
        <v>COIN</v>
      </c>
      <c r="P100" s="26" t="str">
        <f t="shared" si="36"/>
        <v>SHORT</v>
      </c>
      <c r="Q100" s="26" t="str">
        <f t="shared" si="37"/>
        <v>COIN SHORT</v>
      </c>
      <c r="R100" s="26">
        <v>0</v>
      </c>
      <c r="S100" s="26">
        <v>0</v>
      </c>
      <c r="T100" s="26">
        <v>0</v>
      </c>
      <c r="U100" s="26">
        <v>0</v>
      </c>
      <c r="V100" s="23" t="str">
        <f t="shared" si="28"/>
        <v>DEFI</v>
      </c>
      <c r="W100" t="str">
        <f t="shared" si="38"/>
        <v>OAAVEUSDC/AAVE-25NOV22-72.5C COIN SHORT</v>
      </c>
      <c r="X100" s="88" t="s">
        <v>264</v>
      </c>
      <c r="AD100" s="71">
        <f t="shared" si="39"/>
        <v>44939.000003356479</v>
      </c>
      <c r="AE100" s="14" t="str">
        <f t="shared" si="40"/>
        <v>-</v>
      </c>
      <c r="AF100" s="14" t="str">
        <f t="shared" si="41"/>
        <v>WALLET</v>
      </c>
      <c r="AG100" s="14" t="s">
        <v>165</v>
      </c>
      <c r="AH100" s="14">
        <v>2.173E-4</v>
      </c>
      <c r="AI100" s="14">
        <v>8.5609589583808508E-3</v>
      </c>
      <c r="AJ100" s="14">
        <f t="shared" si="42"/>
        <v>39.396957930882884</v>
      </c>
      <c r="AK100" s="14">
        <f t="shared" si="43"/>
        <v>0</v>
      </c>
      <c r="AL100" s="14" t="str">
        <f t="shared" si="44"/>
        <v>COIN</v>
      </c>
      <c r="AM100" s="24"/>
      <c r="AN100" s="14">
        <f t="shared" si="45"/>
        <v>1</v>
      </c>
      <c r="AO100" s="14" t="str">
        <f t="shared" si="46"/>
        <v>ZEC</v>
      </c>
      <c r="AP100" s="45"/>
      <c r="AQ100" s="46"/>
      <c r="AR100" s="47"/>
      <c r="AS100" s="25">
        <f t="shared" si="50"/>
        <v>0</v>
      </c>
      <c r="AT100" s="26" t="str">
        <f t="shared" si="51"/>
        <v>COIN</v>
      </c>
      <c r="AU100" s="26" t="str">
        <f t="shared" si="47"/>
        <v>LONG</v>
      </c>
      <c r="AV100" s="26" t="str">
        <f t="shared" si="31"/>
        <v>COIN LONG</v>
      </c>
      <c r="AW100" s="26">
        <f t="shared" si="32"/>
        <v>8.5609589583808508E-3</v>
      </c>
      <c r="AX100" s="26"/>
      <c r="AY100" s="26">
        <f t="shared" si="52"/>
        <v>0</v>
      </c>
      <c r="AZ100" s="26"/>
      <c r="BA100" s="23"/>
    </row>
    <row r="101" spans="1:54" x14ac:dyDescent="0.25">
      <c r="A101">
        <v>142</v>
      </c>
      <c r="B101" s="71">
        <v>44939.000001585649</v>
      </c>
      <c r="C101" s="14" t="s">
        <v>294</v>
      </c>
      <c r="D101" s="23" t="s">
        <v>300</v>
      </c>
      <c r="E101" s="23" t="s">
        <v>931</v>
      </c>
      <c r="F101" s="23">
        <v>19597.425537219999</v>
      </c>
      <c r="G101" s="23">
        <v>0</v>
      </c>
      <c r="H101" s="23">
        <v>0</v>
      </c>
      <c r="I101" s="23">
        <v>0</v>
      </c>
      <c r="J101" s="23" t="s">
        <v>85</v>
      </c>
      <c r="K101" s="24">
        <v>44939.000001585649</v>
      </c>
      <c r="L101" s="23">
        <v>1</v>
      </c>
      <c r="M101" s="23" t="s">
        <v>931</v>
      </c>
      <c r="N101" s="25">
        <v>0</v>
      </c>
      <c r="O101" s="26" t="str">
        <f t="shared" si="27"/>
        <v>COIN</v>
      </c>
      <c r="P101" s="26" t="str">
        <f t="shared" si="36"/>
        <v>SHORT</v>
      </c>
      <c r="Q101" s="26" t="str">
        <f t="shared" si="37"/>
        <v>COIN SHORT</v>
      </c>
      <c r="R101" s="26">
        <v>0</v>
      </c>
      <c r="S101" s="26">
        <v>0</v>
      </c>
      <c r="T101" s="26">
        <v>0</v>
      </c>
      <c r="U101" s="26">
        <v>0</v>
      </c>
      <c r="V101" s="23" t="str">
        <f t="shared" si="28"/>
        <v>DEFI</v>
      </c>
      <c r="W101" t="str">
        <f t="shared" si="38"/>
        <v>OWAVAXUSDC.E/WAVAX-06JAN23-12.25C COIN SHORT</v>
      </c>
      <c r="X101" s="88" t="s">
        <v>264</v>
      </c>
      <c r="AD101" s="71">
        <f t="shared" si="39"/>
        <v>44939.000003356479</v>
      </c>
      <c r="AE101" s="14" t="str">
        <f t="shared" si="40"/>
        <v>-</v>
      </c>
      <c r="AF101" s="14" t="str">
        <f t="shared" si="41"/>
        <v>WALLET</v>
      </c>
      <c r="AG101" s="14" t="s">
        <v>26</v>
      </c>
      <c r="AH101" s="14">
        <v>740121.5202145502</v>
      </c>
      <c r="AI101" s="14">
        <v>13415.716886114918</v>
      </c>
      <c r="AJ101" s="14">
        <f t="shared" si="42"/>
        <v>1.8126370494166825E-2</v>
      </c>
      <c r="AK101" s="14">
        <f t="shared" si="43"/>
        <v>0</v>
      </c>
      <c r="AL101" s="14" t="str">
        <f t="shared" si="44"/>
        <v>COIN</v>
      </c>
      <c r="AM101" s="24"/>
      <c r="AN101" s="14">
        <f t="shared" si="45"/>
        <v>1</v>
      </c>
      <c r="AO101" s="14" t="str">
        <f t="shared" si="46"/>
        <v>ZIL</v>
      </c>
      <c r="AP101" s="45"/>
      <c r="AQ101" s="46"/>
      <c r="AR101" s="47"/>
      <c r="AS101" s="25">
        <f t="shared" si="50"/>
        <v>0</v>
      </c>
      <c r="AT101" s="26"/>
      <c r="AU101" s="26"/>
      <c r="AV101" s="26"/>
      <c r="AW101" s="26"/>
      <c r="AX101" s="26"/>
      <c r="AY101" s="26">
        <f t="shared" si="52"/>
        <v>0</v>
      </c>
      <c r="AZ101" s="26"/>
      <c r="BA101" s="23"/>
      <c r="BB101" t="str">
        <f t="shared" si="48"/>
        <v>ZIL</v>
      </c>
    </row>
    <row r="102" spans="1:54" x14ac:dyDescent="0.25">
      <c r="A102">
        <v>143</v>
      </c>
      <c r="B102" s="71">
        <v>44939.000001585649</v>
      </c>
      <c r="C102" s="14" t="s">
        <v>294</v>
      </c>
      <c r="D102" s="23" t="s">
        <v>300</v>
      </c>
      <c r="E102" s="23" t="s">
        <v>442</v>
      </c>
      <c r="F102" s="23">
        <v>29214.150499390002</v>
      </c>
      <c r="G102" s="23">
        <v>0</v>
      </c>
      <c r="H102" s="23">
        <v>0</v>
      </c>
      <c r="I102" s="23">
        <v>0</v>
      </c>
      <c r="J102" s="23" t="s">
        <v>85</v>
      </c>
      <c r="K102" s="24">
        <v>44939.000001585649</v>
      </c>
      <c r="L102" s="23">
        <v>1</v>
      </c>
      <c r="M102" s="23" t="s">
        <v>442</v>
      </c>
      <c r="N102" s="25">
        <v>0</v>
      </c>
      <c r="O102" s="26" t="str">
        <f t="shared" si="27"/>
        <v>COIN</v>
      </c>
      <c r="P102" s="26" t="str">
        <f t="shared" si="36"/>
        <v>SHORT</v>
      </c>
      <c r="Q102" s="26" t="str">
        <f t="shared" si="37"/>
        <v>COIN SHORT</v>
      </c>
      <c r="R102" s="26">
        <v>0</v>
      </c>
      <c r="S102" s="26">
        <v>0</v>
      </c>
      <c r="T102" s="26">
        <v>0</v>
      </c>
      <c r="U102" s="26">
        <v>0</v>
      </c>
      <c r="V102" s="23" t="str">
        <f t="shared" si="28"/>
        <v>DEFI</v>
      </c>
      <c r="W102" t="str">
        <f t="shared" si="38"/>
        <v>OWAVAXUSDC.E/WAVAX-09DEC22-15.5C COIN SHORT</v>
      </c>
      <c r="X102" s="88" t="s">
        <v>264</v>
      </c>
      <c r="AD102" s="71" t="str">
        <f t="shared" si="39"/>
        <v/>
      </c>
      <c r="AE102" s="14" t="str">
        <f t="shared" si="40"/>
        <v/>
      </c>
      <c r="AF102" s="14" t="str">
        <f t="shared" si="41"/>
        <v/>
      </c>
      <c r="AG102" s="14"/>
      <c r="AH102" s="14"/>
      <c r="AI102" s="14"/>
      <c r="AJ102" s="14" t="str">
        <f t="shared" si="42"/>
        <v/>
      </c>
      <c r="AK102" s="14" t="str">
        <f t="shared" si="43"/>
        <v/>
      </c>
      <c r="AL102" s="14" t="str">
        <f t="shared" si="44"/>
        <v/>
      </c>
      <c r="AM102" s="24"/>
      <c r="AN102" s="14" t="str">
        <f t="shared" si="45"/>
        <v/>
      </c>
      <c r="AO102" s="14" t="str">
        <f t="shared" si="46"/>
        <v/>
      </c>
      <c r="AP102" s="45"/>
      <c r="AQ102" s="46"/>
      <c r="AR102" s="47"/>
      <c r="AS102" s="25" t="str">
        <f t="shared" si="50"/>
        <v/>
      </c>
      <c r="AT102" s="26"/>
      <c r="AU102" s="26"/>
      <c r="AV102" s="26"/>
      <c r="AW102" s="26"/>
      <c r="AX102" s="26"/>
      <c r="AY102" s="26" t="str">
        <f t="shared" si="52"/>
        <v/>
      </c>
      <c r="AZ102" s="26"/>
      <c r="BA102" s="23"/>
      <c r="BB102" t="str">
        <f t="shared" si="48"/>
        <v/>
      </c>
    </row>
    <row r="103" spans="1:54" x14ac:dyDescent="0.25">
      <c r="A103">
        <v>144</v>
      </c>
      <c r="B103" s="71">
        <v>44939.000001585649</v>
      </c>
      <c r="C103" s="14" t="s">
        <v>294</v>
      </c>
      <c r="D103" s="23" t="s">
        <v>300</v>
      </c>
      <c r="E103" s="23" t="s">
        <v>459</v>
      </c>
      <c r="F103" s="23">
        <v>20213.414599259999</v>
      </c>
      <c r="G103" s="23">
        <v>0</v>
      </c>
      <c r="H103" s="23">
        <v>0</v>
      </c>
      <c r="I103" s="23">
        <v>0</v>
      </c>
      <c r="J103" s="23" t="s">
        <v>85</v>
      </c>
      <c r="K103" s="24">
        <v>44939.000001585649</v>
      </c>
      <c r="L103" s="23">
        <v>1</v>
      </c>
      <c r="M103" s="23" t="s">
        <v>459</v>
      </c>
      <c r="N103" s="25">
        <v>0</v>
      </c>
      <c r="O103" s="26" t="str">
        <f t="shared" si="27"/>
        <v>COIN</v>
      </c>
      <c r="P103" s="26" t="str">
        <f t="shared" si="36"/>
        <v>SHORT</v>
      </c>
      <c r="Q103" s="26" t="str">
        <f t="shared" si="37"/>
        <v>COIN SHORT</v>
      </c>
      <c r="R103" s="26">
        <v>0</v>
      </c>
      <c r="S103" s="26">
        <v>0</v>
      </c>
      <c r="T103" s="26">
        <v>0</v>
      </c>
      <c r="U103" s="26">
        <v>0</v>
      </c>
      <c r="V103" s="23" t="str">
        <f t="shared" si="28"/>
        <v>DEFI</v>
      </c>
      <c r="W103" t="str">
        <f t="shared" si="38"/>
        <v>OWAVAXUSDC.E/WAVAX-16DEC22-15.25C COIN SHORT</v>
      </c>
      <c r="X103" s="88" t="s">
        <v>264</v>
      </c>
      <c r="AD103" s="71" t="str">
        <f t="shared" si="39"/>
        <v/>
      </c>
      <c r="AE103" s="14" t="str">
        <f t="shared" si="40"/>
        <v/>
      </c>
      <c r="AF103" s="14" t="str">
        <f t="shared" si="41"/>
        <v/>
      </c>
      <c r="AG103" s="14"/>
      <c r="AH103" s="14"/>
      <c r="AI103" s="14"/>
      <c r="AJ103" s="14" t="str">
        <f t="shared" si="42"/>
        <v/>
      </c>
      <c r="AK103" s="14" t="str">
        <f t="shared" si="43"/>
        <v/>
      </c>
      <c r="AL103" s="14" t="str">
        <f t="shared" si="44"/>
        <v/>
      </c>
      <c r="AM103" s="24"/>
      <c r="AN103" s="14" t="str">
        <f t="shared" si="45"/>
        <v/>
      </c>
      <c r="AO103" s="14" t="str">
        <f t="shared" si="46"/>
        <v/>
      </c>
      <c r="AP103" s="45"/>
      <c r="AQ103" s="46"/>
      <c r="AR103" s="47"/>
      <c r="AS103" s="25" t="str">
        <f t="shared" si="50"/>
        <v/>
      </c>
      <c r="AT103" s="26"/>
      <c r="AU103" s="26"/>
      <c r="AV103" s="26"/>
      <c r="AW103" s="26"/>
      <c r="AX103" s="26"/>
      <c r="AY103" s="26" t="str">
        <f t="shared" si="52"/>
        <v/>
      </c>
      <c r="AZ103" s="26"/>
      <c r="BA103" s="23"/>
      <c r="BB103" t="str">
        <f t="shared" si="48"/>
        <v/>
      </c>
    </row>
    <row r="104" spans="1:54" x14ac:dyDescent="0.25">
      <c r="A104">
        <v>145</v>
      </c>
      <c r="B104" s="71">
        <v>44939.000001585649</v>
      </c>
      <c r="C104" s="14" t="s">
        <v>294</v>
      </c>
      <c r="D104" s="23" t="s">
        <v>300</v>
      </c>
      <c r="E104" s="23" t="s">
        <v>443</v>
      </c>
      <c r="F104" s="23">
        <v>31925.004081070001</v>
      </c>
      <c r="G104" s="23">
        <v>0</v>
      </c>
      <c r="H104" s="23">
        <v>0</v>
      </c>
      <c r="I104" s="23">
        <v>0</v>
      </c>
      <c r="J104" s="23" t="s">
        <v>85</v>
      </c>
      <c r="K104" s="24">
        <v>44939.000001585649</v>
      </c>
      <c r="L104" s="23">
        <v>1</v>
      </c>
      <c r="M104" s="23" t="s">
        <v>443</v>
      </c>
      <c r="N104" s="25">
        <v>0</v>
      </c>
      <c r="O104" s="26" t="str">
        <f t="shared" si="27"/>
        <v>COIN</v>
      </c>
      <c r="P104" s="26" t="str">
        <f t="shared" si="36"/>
        <v>SHORT</v>
      </c>
      <c r="Q104" s="26" t="str">
        <f t="shared" si="37"/>
        <v>COIN SHORT</v>
      </c>
      <c r="R104" s="26">
        <v>0</v>
      </c>
      <c r="S104" s="26">
        <v>0</v>
      </c>
      <c r="T104" s="26">
        <v>0</v>
      </c>
      <c r="U104" s="26">
        <v>0</v>
      </c>
      <c r="V104" s="23" t="str">
        <f t="shared" si="28"/>
        <v>DEFI</v>
      </c>
      <c r="W104" t="str">
        <f t="shared" si="38"/>
        <v>OWAVAXUSDC.E/WAVAX-25NOV22-15.5C COIN SHORT</v>
      </c>
      <c r="X104" s="88" t="s">
        <v>264</v>
      </c>
      <c r="AD104" s="71" t="str">
        <f t="shared" si="39"/>
        <v/>
      </c>
      <c r="AE104" s="14" t="str">
        <f t="shared" si="40"/>
        <v/>
      </c>
      <c r="AF104" s="14" t="str">
        <f t="shared" si="41"/>
        <v/>
      </c>
      <c r="AG104" s="14"/>
      <c r="AH104" s="14"/>
      <c r="AI104" s="14"/>
      <c r="AJ104" s="14" t="str">
        <f t="shared" si="42"/>
        <v/>
      </c>
      <c r="AK104" s="14" t="str">
        <f t="shared" si="43"/>
        <v/>
      </c>
      <c r="AL104" s="14" t="str">
        <f t="shared" si="44"/>
        <v/>
      </c>
      <c r="AM104" s="24"/>
      <c r="AN104" s="14" t="str">
        <f t="shared" si="45"/>
        <v/>
      </c>
      <c r="AO104" s="14" t="str">
        <f t="shared" si="46"/>
        <v/>
      </c>
      <c r="AP104" s="45"/>
      <c r="AQ104" s="46"/>
      <c r="AR104" s="47"/>
      <c r="AS104" s="25" t="str">
        <f t="shared" si="50"/>
        <v/>
      </c>
      <c r="AT104" s="26"/>
      <c r="AU104" s="26"/>
      <c r="AV104" s="26"/>
      <c r="AW104" s="26"/>
      <c r="AX104" s="26"/>
      <c r="AY104" s="26" t="str">
        <f t="shared" si="52"/>
        <v/>
      </c>
      <c r="AZ104" s="26"/>
      <c r="BA104" s="23"/>
      <c r="BB104" t="str">
        <f t="shared" si="48"/>
        <v/>
      </c>
    </row>
    <row r="105" spans="1:54" x14ac:dyDescent="0.25">
      <c r="A105">
        <v>146</v>
      </c>
      <c r="B105" s="71">
        <v>44939.000001585649</v>
      </c>
      <c r="C105" s="14" t="s">
        <v>294</v>
      </c>
      <c r="D105" s="23" t="s">
        <v>300</v>
      </c>
      <c r="E105" s="23" t="s">
        <v>892</v>
      </c>
      <c r="F105" s="23">
        <v>17599.94336709</v>
      </c>
      <c r="G105" s="23">
        <v>0</v>
      </c>
      <c r="H105" s="23">
        <v>0</v>
      </c>
      <c r="I105" s="23">
        <v>0</v>
      </c>
      <c r="J105" s="23" t="s">
        <v>85</v>
      </c>
      <c r="K105" s="24">
        <v>44939.000001585649</v>
      </c>
      <c r="L105" s="23">
        <v>1</v>
      </c>
      <c r="M105" s="23" t="s">
        <v>892</v>
      </c>
      <c r="N105" s="25">
        <v>0</v>
      </c>
      <c r="O105" s="26" t="str">
        <f t="shared" si="27"/>
        <v>COIN</v>
      </c>
      <c r="P105" s="26" t="str">
        <f t="shared" si="36"/>
        <v>SHORT</v>
      </c>
      <c r="Q105" s="26" t="str">
        <f t="shared" si="37"/>
        <v>COIN SHORT</v>
      </c>
      <c r="R105" s="26">
        <v>0</v>
      </c>
      <c r="S105" s="26">
        <v>0</v>
      </c>
      <c r="T105" s="26">
        <v>0</v>
      </c>
      <c r="U105" s="26">
        <v>0</v>
      </c>
      <c r="V105" s="23" t="str">
        <f t="shared" si="28"/>
        <v>DEFI</v>
      </c>
      <c r="W105" t="str">
        <f t="shared" si="38"/>
        <v>OWAVAXUSDC.E/WAVAX-30DEC22-13.25C COIN SHORT</v>
      </c>
      <c r="X105" s="88" t="s">
        <v>264</v>
      </c>
      <c r="AD105" s="71" t="str">
        <f t="shared" si="39"/>
        <v/>
      </c>
      <c r="AE105" s="14" t="str">
        <f t="shared" si="40"/>
        <v/>
      </c>
      <c r="AF105" s="14" t="str">
        <f t="shared" si="41"/>
        <v/>
      </c>
      <c r="AG105" s="14"/>
      <c r="AH105" s="14"/>
      <c r="AI105" s="14"/>
      <c r="AJ105" s="14" t="str">
        <f t="shared" si="42"/>
        <v/>
      </c>
      <c r="AK105" s="14" t="str">
        <f t="shared" si="43"/>
        <v/>
      </c>
      <c r="AL105" s="14" t="str">
        <f t="shared" si="44"/>
        <v/>
      </c>
      <c r="AM105" s="24"/>
      <c r="AN105" s="14" t="str">
        <f t="shared" si="45"/>
        <v/>
      </c>
      <c r="AO105" s="14" t="str">
        <f t="shared" si="46"/>
        <v/>
      </c>
      <c r="AP105" s="45"/>
      <c r="AQ105" s="46"/>
      <c r="AR105" s="47"/>
      <c r="AS105" s="25" t="str">
        <f t="shared" si="50"/>
        <v/>
      </c>
      <c r="AT105" s="26"/>
      <c r="AU105" s="26"/>
      <c r="AV105" s="26"/>
      <c r="AW105" s="26"/>
      <c r="AX105" s="26"/>
      <c r="AY105" s="26" t="str">
        <f t="shared" si="52"/>
        <v/>
      </c>
      <c r="AZ105" s="26"/>
      <c r="BA105" s="23"/>
      <c r="BB105" t="str">
        <f t="shared" si="48"/>
        <v/>
      </c>
    </row>
    <row r="106" spans="1:54" x14ac:dyDescent="0.25">
      <c r="A106">
        <v>147</v>
      </c>
      <c r="B106" s="71">
        <v>44939.000001585649</v>
      </c>
      <c r="C106" s="14" t="s">
        <v>294</v>
      </c>
      <c r="D106" s="23" t="s">
        <v>300</v>
      </c>
      <c r="E106" s="23" t="s">
        <v>932</v>
      </c>
      <c r="F106" s="23">
        <v>3032</v>
      </c>
      <c r="G106" s="23">
        <v>0</v>
      </c>
      <c r="H106" s="23">
        <v>0</v>
      </c>
      <c r="I106" s="23">
        <v>0</v>
      </c>
      <c r="J106" s="23" t="s">
        <v>85</v>
      </c>
      <c r="K106" s="24">
        <v>44939.000001585649</v>
      </c>
      <c r="L106" s="23">
        <v>1</v>
      </c>
      <c r="M106" s="23" t="s">
        <v>932</v>
      </c>
      <c r="N106" s="25">
        <v>0</v>
      </c>
      <c r="O106" s="26" t="str">
        <f t="shared" si="27"/>
        <v>COIN</v>
      </c>
      <c r="P106" s="26" t="str">
        <f t="shared" si="36"/>
        <v>SHORT</v>
      </c>
      <c r="Q106" s="26" t="str">
        <f t="shared" si="37"/>
        <v>COIN SHORT</v>
      </c>
      <c r="R106" s="26">
        <v>0</v>
      </c>
      <c r="S106" s="26">
        <v>0</v>
      </c>
      <c r="T106" s="26">
        <v>0</v>
      </c>
      <c r="U106" s="26">
        <v>0</v>
      </c>
      <c r="V106" s="23" t="str">
        <f t="shared" si="28"/>
        <v>DEFI</v>
      </c>
      <c r="W106" t="str">
        <f t="shared" si="38"/>
        <v>OWETHUSDC/WETH-06JAN23-1300C COIN SHORT</v>
      </c>
      <c r="X106" s="88" t="s">
        <v>264</v>
      </c>
      <c r="AD106" s="71" t="str">
        <f t="shared" si="39"/>
        <v/>
      </c>
      <c r="AE106" s="14" t="str">
        <f t="shared" si="40"/>
        <v/>
      </c>
      <c r="AF106" s="14" t="str">
        <f t="shared" si="41"/>
        <v/>
      </c>
      <c r="AG106" s="14"/>
      <c r="AH106" s="14"/>
      <c r="AI106" s="14"/>
      <c r="AJ106" s="14" t="str">
        <f t="shared" si="42"/>
        <v/>
      </c>
      <c r="AK106" s="14" t="str">
        <f t="shared" si="43"/>
        <v/>
      </c>
      <c r="AL106" s="14" t="str">
        <f t="shared" si="44"/>
        <v/>
      </c>
      <c r="AM106" s="24"/>
      <c r="AN106" s="14" t="str">
        <f t="shared" si="45"/>
        <v/>
      </c>
      <c r="AO106" s="14" t="str">
        <f t="shared" si="46"/>
        <v/>
      </c>
      <c r="AP106" s="45"/>
      <c r="AQ106" s="46"/>
      <c r="AR106" s="47"/>
      <c r="AS106" s="25" t="str">
        <f t="shared" si="50"/>
        <v/>
      </c>
      <c r="AT106" s="26"/>
      <c r="AU106" s="26"/>
      <c r="AV106" s="26"/>
      <c r="AW106" s="26"/>
      <c r="AX106" s="26"/>
      <c r="AY106" s="26" t="str">
        <f t="shared" si="52"/>
        <v/>
      </c>
      <c r="AZ106" s="26"/>
      <c r="BA106" s="23"/>
      <c r="BB106" t="str">
        <f t="shared" si="48"/>
        <v/>
      </c>
    </row>
    <row r="107" spans="1:54" x14ac:dyDescent="0.25">
      <c r="A107">
        <v>148</v>
      </c>
      <c r="B107" s="71">
        <v>44939.000001585649</v>
      </c>
      <c r="C107" s="14" t="s">
        <v>294</v>
      </c>
      <c r="D107" s="23" t="s">
        <v>300</v>
      </c>
      <c r="E107" s="23" t="s">
        <v>432</v>
      </c>
      <c r="F107" s="23">
        <v>2698</v>
      </c>
      <c r="G107" s="23">
        <v>0</v>
      </c>
      <c r="H107" s="23">
        <v>0</v>
      </c>
      <c r="I107" s="23">
        <v>0</v>
      </c>
      <c r="J107" s="23" t="s">
        <v>85</v>
      </c>
      <c r="K107" s="24">
        <v>44939.000001585649</v>
      </c>
      <c r="L107" s="23">
        <v>1</v>
      </c>
      <c r="M107" s="23" t="s">
        <v>432</v>
      </c>
      <c r="N107" s="25">
        <v>0</v>
      </c>
      <c r="O107" s="26" t="str">
        <f t="shared" si="27"/>
        <v>COIN</v>
      </c>
      <c r="P107" s="26" t="str">
        <f t="shared" si="36"/>
        <v>SHORT</v>
      </c>
      <c r="Q107" s="26" t="str">
        <f t="shared" si="37"/>
        <v>COIN SHORT</v>
      </c>
      <c r="R107" s="26">
        <v>0</v>
      </c>
      <c r="S107" s="26">
        <v>0</v>
      </c>
      <c r="T107" s="26">
        <v>0</v>
      </c>
      <c r="U107" s="26">
        <v>0</v>
      </c>
      <c r="V107" s="23" t="str">
        <f t="shared" si="28"/>
        <v>DEFI</v>
      </c>
      <c r="W107" t="str">
        <f t="shared" si="38"/>
        <v>OWETHUSDC/WETH-09DEC22-1450C COIN SHORT</v>
      </c>
      <c r="X107" s="88" t="s">
        <v>264</v>
      </c>
      <c r="AD107" s="71" t="str">
        <f t="shared" si="39"/>
        <v/>
      </c>
      <c r="AE107" s="14" t="str">
        <f t="shared" si="40"/>
        <v/>
      </c>
      <c r="AF107" s="14" t="str">
        <f t="shared" si="41"/>
        <v/>
      </c>
      <c r="AG107" s="14"/>
      <c r="AH107" s="14"/>
      <c r="AI107" s="14"/>
      <c r="AJ107" s="14" t="str">
        <f t="shared" si="42"/>
        <v/>
      </c>
      <c r="AK107" s="14" t="str">
        <f t="shared" si="43"/>
        <v/>
      </c>
      <c r="AL107" s="14" t="str">
        <f t="shared" si="44"/>
        <v/>
      </c>
      <c r="AM107" s="24"/>
      <c r="AN107" s="14" t="str">
        <f t="shared" si="45"/>
        <v/>
      </c>
      <c r="AO107" s="14" t="str">
        <f t="shared" si="46"/>
        <v/>
      </c>
      <c r="AP107" s="45"/>
      <c r="AQ107" s="46"/>
      <c r="AR107" s="47"/>
      <c r="AS107" s="25" t="str">
        <f t="shared" si="50"/>
        <v/>
      </c>
      <c r="AT107" s="26"/>
      <c r="AU107" s="26"/>
      <c r="AV107" s="26"/>
      <c r="AW107" s="26"/>
      <c r="AX107" s="26"/>
      <c r="AY107" s="26" t="str">
        <f t="shared" si="52"/>
        <v/>
      </c>
      <c r="AZ107" s="26"/>
      <c r="BA107" s="23"/>
      <c r="BB107" t="str">
        <f t="shared" si="48"/>
        <v/>
      </c>
    </row>
    <row r="108" spans="1:54" x14ac:dyDescent="0.25">
      <c r="A108">
        <v>149</v>
      </c>
      <c r="B108" s="71">
        <v>44939.000001585649</v>
      </c>
      <c r="C108" s="14" t="s">
        <v>294</v>
      </c>
      <c r="D108" s="23" t="s">
        <v>300</v>
      </c>
      <c r="E108" s="23" t="s">
        <v>460</v>
      </c>
      <c r="F108" s="23">
        <v>2891</v>
      </c>
      <c r="G108" s="23">
        <v>0</v>
      </c>
      <c r="H108" s="23">
        <v>0</v>
      </c>
      <c r="I108" s="23">
        <v>0</v>
      </c>
      <c r="J108" s="23" t="s">
        <v>85</v>
      </c>
      <c r="K108" s="24">
        <v>44939.000001585649</v>
      </c>
      <c r="L108" s="23">
        <v>1</v>
      </c>
      <c r="M108" s="23" t="s">
        <v>460</v>
      </c>
      <c r="N108" s="25">
        <v>0</v>
      </c>
      <c r="O108" s="26" t="str">
        <f t="shared" si="27"/>
        <v>COIN</v>
      </c>
      <c r="P108" s="26" t="str">
        <f t="shared" si="36"/>
        <v>SHORT</v>
      </c>
      <c r="Q108" s="26" t="str">
        <f t="shared" si="37"/>
        <v>COIN SHORT</v>
      </c>
      <c r="R108" s="26">
        <v>0</v>
      </c>
      <c r="S108" s="26">
        <v>0</v>
      </c>
      <c r="T108" s="26">
        <v>0</v>
      </c>
      <c r="U108" s="26">
        <v>0</v>
      </c>
      <c r="V108" s="23" t="str">
        <f t="shared" si="28"/>
        <v>DEFI</v>
      </c>
      <c r="W108" t="str">
        <f t="shared" si="38"/>
        <v>OWETHUSDC/WETH-16DEC22-1450C COIN SHORT</v>
      </c>
      <c r="X108" s="88" t="s">
        <v>264</v>
      </c>
    </row>
    <row r="109" spans="1:54" x14ac:dyDescent="0.25">
      <c r="A109">
        <v>150</v>
      </c>
      <c r="B109" s="71">
        <v>44939.000001585649</v>
      </c>
      <c r="C109" s="14" t="s">
        <v>294</v>
      </c>
      <c r="D109" s="23" t="s">
        <v>300</v>
      </c>
      <c r="E109" s="23" t="s">
        <v>419</v>
      </c>
      <c r="F109" s="23">
        <v>2904</v>
      </c>
      <c r="G109" s="23">
        <v>0</v>
      </c>
      <c r="H109" s="23">
        <v>0</v>
      </c>
      <c r="I109" s="23">
        <v>0</v>
      </c>
      <c r="J109" s="23" t="s">
        <v>85</v>
      </c>
      <c r="K109" s="24">
        <v>44939.000001585649</v>
      </c>
      <c r="L109" s="23">
        <v>1</v>
      </c>
      <c r="M109" s="23" t="s">
        <v>419</v>
      </c>
      <c r="N109" s="25">
        <v>0</v>
      </c>
      <c r="O109" s="26" t="str">
        <f t="shared" si="27"/>
        <v>COIN</v>
      </c>
      <c r="P109" s="26" t="str">
        <f t="shared" si="36"/>
        <v>SHORT</v>
      </c>
      <c r="Q109" s="26" t="str">
        <f t="shared" si="37"/>
        <v>COIN SHORT</v>
      </c>
      <c r="R109" s="26">
        <v>0</v>
      </c>
      <c r="S109" s="26">
        <v>0</v>
      </c>
      <c r="T109" s="26">
        <v>0</v>
      </c>
      <c r="U109" s="26">
        <v>0</v>
      </c>
      <c r="V109" s="23" t="str">
        <f t="shared" si="28"/>
        <v>DEFI</v>
      </c>
      <c r="W109" t="str">
        <f t="shared" si="38"/>
        <v>OWETHUSDC/WETH-25NOV22-1400C COIN SHORT</v>
      </c>
      <c r="X109" s="88" t="s">
        <v>264</v>
      </c>
    </row>
    <row r="110" spans="1:54" x14ac:dyDescent="0.25">
      <c r="A110">
        <v>151</v>
      </c>
      <c r="B110" s="71">
        <v>44939.000001585649</v>
      </c>
      <c r="C110" s="14" t="s">
        <v>294</v>
      </c>
      <c r="D110" s="23" t="s">
        <v>300</v>
      </c>
      <c r="E110" s="23" t="s">
        <v>893</v>
      </c>
      <c r="F110" s="23">
        <v>3047</v>
      </c>
      <c r="G110" s="23">
        <v>0</v>
      </c>
      <c r="H110" s="23">
        <v>0</v>
      </c>
      <c r="I110" s="23">
        <v>0</v>
      </c>
      <c r="J110" s="23" t="s">
        <v>85</v>
      </c>
      <c r="K110" s="24">
        <v>44939.000001585649</v>
      </c>
      <c r="L110" s="23">
        <v>1</v>
      </c>
      <c r="M110" s="23" t="s">
        <v>893</v>
      </c>
      <c r="N110" s="25">
        <v>0</v>
      </c>
      <c r="O110" s="26" t="str">
        <f t="shared" si="27"/>
        <v>COIN</v>
      </c>
      <c r="P110" s="26" t="str">
        <f t="shared" si="36"/>
        <v>SHORT</v>
      </c>
      <c r="Q110" s="26" t="str">
        <f t="shared" si="37"/>
        <v>COIN SHORT</v>
      </c>
      <c r="R110" s="26">
        <v>0</v>
      </c>
      <c r="S110" s="26">
        <v>0</v>
      </c>
      <c r="T110" s="26">
        <v>0</v>
      </c>
      <c r="U110" s="26">
        <v>0</v>
      </c>
      <c r="V110" s="23" t="str">
        <f t="shared" si="28"/>
        <v>DEFI</v>
      </c>
      <c r="W110" t="str">
        <f t="shared" si="38"/>
        <v>OWETHUSDC/WETH-30DEC22-1350C COIN SHORT</v>
      </c>
      <c r="X110" s="88" t="s">
        <v>264</v>
      </c>
    </row>
    <row r="111" spans="1:54" x14ac:dyDescent="0.25">
      <c r="A111">
        <v>152</v>
      </c>
      <c r="B111" s="71">
        <v>44939.000001585649</v>
      </c>
      <c r="C111" s="14" t="s">
        <v>294</v>
      </c>
      <c r="D111" s="23" t="s">
        <v>300</v>
      </c>
      <c r="E111" s="23" t="s">
        <v>431</v>
      </c>
      <c r="F111" s="23">
        <v>9472.1338239899997</v>
      </c>
      <c r="G111" s="23">
        <v>0</v>
      </c>
      <c r="H111" s="23">
        <v>0</v>
      </c>
      <c r="I111" s="23">
        <v>0</v>
      </c>
      <c r="J111" s="23" t="s">
        <v>85</v>
      </c>
      <c r="K111" s="24">
        <v>44939.000001585649</v>
      </c>
      <c r="L111" s="23">
        <v>1</v>
      </c>
      <c r="M111" s="23" t="s">
        <v>431</v>
      </c>
      <c r="N111" s="25">
        <v>0</v>
      </c>
      <c r="O111" s="26" t="str">
        <f t="shared" si="27"/>
        <v>COIN</v>
      </c>
      <c r="P111" s="26" t="str">
        <f t="shared" si="36"/>
        <v>SHORT</v>
      </c>
      <c r="Q111" s="26" t="str">
        <f t="shared" si="37"/>
        <v>COIN SHORT</v>
      </c>
      <c r="R111" s="26">
        <v>0</v>
      </c>
      <c r="S111" s="26">
        <v>0</v>
      </c>
      <c r="T111" s="26">
        <v>0</v>
      </c>
      <c r="U111" s="26">
        <v>0</v>
      </c>
      <c r="V111" s="23" t="str">
        <f t="shared" si="28"/>
        <v>DEFI</v>
      </c>
      <c r="W111" t="str">
        <f t="shared" si="38"/>
        <v>OWETHUSDC/WSTETH-02DEC22-1350C COIN SHORT</v>
      </c>
      <c r="X111" s="88" t="s">
        <v>264</v>
      </c>
    </row>
    <row r="112" spans="1:54" x14ac:dyDescent="0.25">
      <c r="A112">
        <v>153</v>
      </c>
      <c r="B112" s="71">
        <v>44939.000001585649</v>
      </c>
      <c r="C112" s="14" t="s">
        <v>294</v>
      </c>
      <c r="D112" s="23" t="s">
        <v>300</v>
      </c>
      <c r="E112" s="23" t="s">
        <v>302</v>
      </c>
      <c r="F112" s="23">
        <v>5625.02729593</v>
      </c>
      <c r="G112" s="23">
        <v>0</v>
      </c>
      <c r="H112" s="23">
        <v>0</v>
      </c>
      <c r="I112" s="23">
        <v>0</v>
      </c>
      <c r="J112" s="23" t="s">
        <v>85</v>
      </c>
      <c r="K112" s="24">
        <v>44939.000001585649</v>
      </c>
      <c r="L112" s="23">
        <v>1</v>
      </c>
      <c r="M112" s="23" t="s">
        <v>302</v>
      </c>
      <c r="N112" s="25">
        <v>0</v>
      </c>
      <c r="O112" s="26" t="str">
        <f t="shared" si="27"/>
        <v>COIN</v>
      </c>
      <c r="P112" s="26" t="str">
        <f t="shared" si="36"/>
        <v>SHORT</v>
      </c>
      <c r="Q112" s="26" t="str">
        <f t="shared" si="37"/>
        <v>COIN SHORT</v>
      </c>
      <c r="R112" s="26">
        <v>0</v>
      </c>
      <c r="S112" s="26">
        <v>0</v>
      </c>
      <c r="T112" s="26">
        <v>0</v>
      </c>
      <c r="U112" s="26">
        <v>0</v>
      </c>
      <c r="V112" s="23" t="str">
        <f t="shared" si="28"/>
        <v>DEFI</v>
      </c>
      <c r="W112" t="str">
        <f t="shared" si="38"/>
        <v>OWETHUSDC/WSTETH-04NOV22-1700C COIN SHORT</v>
      </c>
      <c r="X112" s="88" t="s">
        <v>264</v>
      </c>
    </row>
    <row r="113" spans="1:27" x14ac:dyDescent="0.25">
      <c r="A113">
        <v>154</v>
      </c>
      <c r="B113" s="71">
        <v>44939.000001585649</v>
      </c>
      <c r="C113" s="14" t="s">
        <v>294</v>
      </c>
      <c r="D113" s="23" t="s">
        <v>300</v>
      </c>
      <c r="E113" s="23" t="s">
        <v>303</v>
      </c>
      <c r="F113" s="23">
        <v>5968</v>
      </c>
      <c r="G113" s="23">
        <v>0</v>
      </c>
      <c r="H113" s="23">
        <v>0</v>
      </c>
      <c r="I113" s="23">
        <v>0</v>
      </c>
      <c r="J113" s="23" t="s">
        <v>85</v>
      </c>
      <c r="K113" s="24">
        <v>44939.000001585649</v>
      </c>
      <c r="L113" s="23">
        <v>1</v>
      </c>
      <c r="M113" s="23" t="s">
        <v>303</v>
      </c>
      <c r="N113" s="25">
        <v>0</v>
      </c>
      <c r="O113" s="26" t="str">
        <f t="shared" si="27"/>
        <v>COIN</v>
      </c>
      <c r="P113" s="26" t="str">
        <f t="shared" si="36"/>
        <v>SHORT</v>
      </c>
      <c r="Q113" s="26" t="str">
        <f t="shared" si="37"/>
        <v>COIN SHORT</v>
      </c>
      <c r="R113" s="26">
        <v>0</v>
      </c>
      <c r="S113" s="26">
        <v>0</v>
      </c>
      <c r="T113" s="26">
        <v>0</v>
      </c>
      <c r="U113" s="26">
        <v>0</v>
      </c>
      <c r="V113" s="23" t="str">
        <f t="shared" si="28"/>
        <v>DEFI</v>
      </c>
      <c r="W113" t="str">
        <f t="shared" si="38"/>
        <v>OWETHUSDC/WSTETH-09SEP22-1900C COIN SHORT</v>
      </c>
      <c r="X113" s="88" t="s">
        <v>264</v>
      </c>
    </row>
    <row r="114" spans="1:27" x14ac:dyDescent="0.25">
      <c r="A114">
        <v>155</v>
      </c>
      <c r="B114" s="71">
        <v>44939.000001585649</v>
      </c>
      <c r="C114" s="14" t="s">
        <v>294</v>
      </c>
      <c r="D114" s="23" t="s">
        <v>300</v>
      </c>
      <c r="E114" s="23" t="s">
        <v>894</v>
      </c>
      <c r="F114" s="23">
        <v>4006</v>
      </c>
      <c r="G114" s="23">
        <v>0</v>
      </c>
      <c r="H114" s="23">
        <v>0</v>
      </c>
      <c r="I114" s="23">
        <v>0</v>
      </c>
      <c r="J114" s="23" t="s">
        <v>85</v>
      </c>
      <c r="K114" s="24">
        <v>44939.000001585649</v>
      </c>
      <c r="L114" s="23">
        <v>1</v>
      </c>
      <c r="M114" s="23" t="s">
        <v>894</v>
      </c>
      <c r="N114" s="25">
        <v>0</v>
      </c>
      <c r="O114" s="26" t="str">
        <f t="shared" si="27"/>
        <v>COIN</v>
      </c>
      <c r="P114" s="26" t="str">
        <f t="shared" si="36"/>
        <v>SHORT</v>
      </c>
      <c r="Q114" s="26" t="str">
        <f t="shared" si="37"/>
        <v>COIN SHORT</v>
      </c>
      <c r="R114" s="26">
        <v>0</v>
      </c>
      <c r="S114" s="26">
        <v>0</v>
      </c>
      <c r="T114" s="26">
        <v>0</v>
      </c>
      <c r="U114" s="26">
        <v>0</v>
      </c>
      <c r="V114" s="23" t="str">
        <f t="shared" si="28"/>
        <v>DEFI</v>
      </c>
      <c r="W114" t="str">
        <f t="shared" si="38"/>
        <v>OWETHUSDC/WSTETH-30DEC22-1350C COIN SHORT</v>
      </c>
      <c r="X114" s="88" t="s">
        <v>264</v>
      </c>
      <c r="Y114" t="s">
        <v>125</v>
      </c>
      <c r="Z114">
        <v>2.5033500000000001E-3</v>
      </c>
      <c r="AA114">
        <v>2.9340654067522509E-4</v>
      </c>
    </row>
    <row r="115" spans="1:27" x14ac:dyDescent="0.25">
      <c r="A115">
        <v>156</v>
      </c>
      <c r="B115" s="71">
        <v>44939.000001585649</v>
      </c>
      <c r="C115" s="14" t="s">
        <v>294</v>
      </c>
      <c r="D115" s="23" t="s">
        <v>300</v>
      </c>
      <c r="E115" s="23" t="s">
        <v>92</v>
      </c>
      <c r="F115" s="23">
        <v>60000</v>
      </c>
      <c r="G115" s="23">
        <v>60004.328977644</v>
      </c>
      <c r="H115" s="23">
        <v>1.0000721496274001</v>
      </c>
      <c r="I115" s="23">
        <v>0</v>
      </c>
      <c r="J115" s="23" t="s">
        <v>85</v>
      </c>
      <c r="K115" s="24">
        <v>44939.000001585649</v>
      </c>
      <c r="L115" s="23">
        <v>1</v>
      </c>
      <c r="M115" s="23" t="s">
        <v>92</v>
      </c>
      <c r="N115" s="25">
        <v>0</v>
      </c>
      <c r="O115" s="26" t="str">
        <f t="shared" si="27"/>
        <v>COIN</v>
      </c>
      <c r="P115" s="26" t="str">
        <f t="shared" si="36"/>
        <v>LONG</v>
      </c>
      <c r="Q115" s="26" t="str">
        <f t="shared" si="37"/>
        <v>COIN LONG</v>
      </c>
      <c r="R115" s="26">
        <v>0</v>
      </c>
      <c r="S115" s="26">
        <v>0</v>
      </c>
      <c r="T115" s="26">
        <v>0</v>
      </c>
      <c r="U115" s="26">
        <v>0</v>
      </c>
      <c r="V115" s="23" t="str">
        <f t="shared" si="28"/>
        <v>DEFI</v>
      </c>
      <c r="W115" t="str">
        <f t="shared" si="38"/>
        <v>USDC COIN LONG</v>
      </c>
      <c r="X115" s="88" t="s">
        <v>264</v>
      </c>
      <c r="Y115" t="s">
        <v>126</v>
      </c>
      <c r="Z115">
        <v>115.29838952</v>
      </c>
      <c r="AA115">
        <v>9.6300509408332307</v>
      </c>
    </row>
    <row r="116" spans="1:27" x14ac:dyDescent="0.25">
      <c r="A116">
        <v>157</v>
      </c>
      <c r="B116" s="71">
        <v>44939.000001585649</v>
      </c>
      <c r="C116" s="14" t="s">
        <v>294</v>
      </c>
      <c r="D116" s="23" t="s">
        <v>300</v>
      </c>
      <c r="E116" s="23" t="s">
        <v>444</v>
      </c>
      <c r="F116" s="23">
        <v>186.88790811999999</v>
      </c>
      <c r="G116" s="23">
        <v>2877.3571273807302</v>
      </c>
      <c r="H116" s="23">
        <v>15.396165307459</v>
      </c>
      <c r="I116" s="23">
        <v>0</v>
      </c>
      <c r="J116" s="23" t="s">
        <v>85</v>
      </c>
      <c r="K116" s="24">
        <v>44939.000001585649</v>
      </c>
      <c r="L116" s="23">
        <v>1</v>
      </c>
      <c r="M116" s="23" t="s">
        <v>444</v>
      </c>
      <c r="N116" s="25">
        <v>0</v>
      </c>
      <c r="O116" s="26" t="str">
        <f t="shared" si="27"/>
        <v>COIN</v>
      </c>
      <c r="P116" s="26" t="str">
        <f t="shared" si="36"/>
        <v>LONG</v>
      </c>
      <c r="Q116" s="26" t="str">
        <f t="shared" si="37"/>
        <v>COIN LONG</v>
      </c>
      <c r="R116" s="26">
        <v>0</v>
      </c>
      <c r="S116" s="26">
        <v>0</v>
      </c>
      <c r="T116" s="26">
        <v>0</v>
      </c>
      <c r="U116" s="26">
        <v>0</v>
      </c>
      <c r="V116" s="23" t="str">
        <f t="shared" si="28"/>
        <v>DEFI</v>
      </c>
      <c r="W116" t="str">
        <f t="shared" si="38"/>
        <v>WAVAX COIN LONG</v>
      </c>
      <c r="X116" s="88" t="s">
        <v>264</v>
      </c>
      <c r="Y116" t="s">
        <v>87</v>
      </c>
      <c r="Z116">
        <v>3098.2724268799998</v>
      </c>
      <c r="AA116">
        <v>857063.45407052641</v>
      </c>
    </row>
    <row r="117" spans="1:27" x14ac:dyDescent="0.25">
      <c r="A117">
        <v>158</v>
      </c>
      <c r="B117" s="71">
        <v>44939.000001585649</v>
      </c>
      <c r="C117" s="14" t="s">
        <v>294</v>
      </c>
      <c r="D117" s="23" t="s">
        <v>300</v>
      </c>
      <c r="E117" s="23" t="s">
        <v>257</v>
      </c>
      <c r="F117" s="23">
        <v>128.58989367000001</v>
      </c>
      <c r="G117" s="23">
        <v>182220.348791973</v>
      </c>
      <c r="H117" s="23">
        <v>1417.0658641308501</v>
      </c>
      <c r="I117" s="23">
        <v>0</v>
      </c>
      <c r="J117" s="23" t="s">
        <v>85</v>
      </c>
      <c r="K117" s="24">
        <v>44939.000001585649</v>
      </c>
      <c r="L117" s="23">
        <v>1</v>
      </c>
      <c r="M117" s="23" t="s">
        <v>257</v>
      </c>
      <c r="N117" s="25">
        <v>0</v>
      </c>
      <c r="O117" s="26" t="str">
        <f t="shared" si="27"/>
        <v>COIN</v>
      </c>
      <c r="P117" s="26" t="str">
        <f t="shared" si="36"/>
        <v>LONG</v>
      </c>
      <c r="Q117" s="26" t="str">
        <f t="shared" si="37"/>
        <v>COIN LONG</v>
      </c>
      <c r="R117" s="26">
        <v>0</v>
      </c>
      <c r="S117" s="26">
        <v>0</v>
      </c>
      <c r="T117" s="26">
        <v>0</v>
      </c>
      <c r="U117" s="26">
        <v>0</v>
      </c>
      <c r="V117" s="23" t="str">
        <f t="shared" si="28"/>
        <v>DEFI</v>
      </c>
      <c r="W117" t="str">
        <f t="shared" si="38"/>
        <v>WETH COIN LONG</v>
      </c>
      <c r="X117" s="88" t="s">
        <v>264</v>
      </c>
      <c r="Y117" t="s">
        <v>127</v>
      </c>
      <c r="Z117">
        <v>14.7502</v>
      </c>
      <c r="AA117">
        <v>4.4758884165507196</v>
      </c>
    </row>
    <row r="118" spans="1:27" x14ac:dyDescent="0.25">
      <c r="A118">
        <v>159</v>
      </c>
      <c r="B118" s="71">
        <v>44939.000001585649</v>
      </c>
      <c r="C118" s="14" t="s">
        <v>294</v>
      </c>
      <c r="D118" s="23" t="s">
        <v>304</v>
      </c>
      <c r="E118" s="23" t="s">
        <v>188</v>
      </c>
      <c r="F118" s="23">
        <v>78.748072449999995</v>
      </c>
      <c r="G118" s="23">
        <v>54.266566857299701</v>
      </c>
      <c r="H118" s="23">
        <v>0.68911612905516495</v>
      </c>
      <c r="I118" s="23">
        <v>0</v>
      </c>
      <c r="J118" s="23" t="s">
        <v>85</v>
      </c>
      <c r="K118" s="24">
        <v>44939.000001585649</v>
      </c>
      <c r="L118" s="23">
        <v>1</v>
      </c>
      <c r="M118" s="23" t="s">
        <v>188</v>
      </c>
      <c r="N118" s="25">
        <v>0</v>
      </c>
      <c r="O118" s="26" t="str">
        <f t="shared" si="27"/>
        <v>COIN</v>
      </c>
      <c r="P118" s="26" t="str">
        <f t="shared" si="36"/>
        <v>LONG</v>
      </c>
      <c r="Q118" s="26" t="str">
        <f t="shared" si="37"/>
        <v>COIN LONG</v>
      </c>
      <c r="R118" s="26">
        <v>0</v>
      </c>
      <c r="S118" s="26">
        <v>0</v>
      </c>
      <c r="T118" s="26">
        <v>0</v>
      </c>
      <c r="U118" s="26">
        <v>0</v>
      </c>
      <c r="V118" s="23" t="str">
        <f t="shared" si="28"/>
        <v>DEFI</v>
      </c>
      <c r="W118" t="str">
        <f t="shared" si="38"/>
        <v>CRV COIN LONG</v>
      </c>
      <c r="X118" s="88" t="s">
        <v>264</v>
      </c>
      <c r="Y118" t="s">
        <v>113</v>
      </c>
      <c r="Z118">
        <v>89.597535949999838</v>
      </c>
      <c r="AA118">
        <v>4463.27700580479</v>
      </c>
    </row>
    <row r="119" spans="1:27" x14ac:dyDescent="0.25">
      <c r="A119">
        <v>160</v>
      </c>
      <c r="B119" s="71">
        <v>44939.000001585649</v>
      </c>
      <c r="C119" s="14" t="s">
        <v>294</v>
      </c>
      <c r="D119" s="23" t="s">
        <v>304</v>
      </c>
      <c r="E119" s="23" t="s">
        <v>189</v>
      </c>
      <c r="F119" s="23">
        <v>2.51455188</v>
      </c>
      <c r="G119" s="23">
        <v>8.9207979518641096</v>
      </c>
      <c r="H119" s="23">
        <v>3.54766907885953</v>
      </c>
      <c r="I119" s="23">
        <v>0</v>
      </c>
      <c r="J119" s="23" t="s">
        <v>85</v>
      </c>
      <c r="K119" s="24">
        <v>44939.000001585649</v>
      </c>
      <c r="L119" s="23">
        <v>1</v>
      </c>
      <c r="M119" s="23" t="s">
        <v>189</v>
      </c>
      <c r="N119" s="25">
        <v>0</v>
      </c>
      <c r="O119" s="26" t="str">
        <f t="shared" si="27"/>
        <v>COIN</v>
      </c>
      <c r="P119" s="26" t="str">
        <f t="shared" si="36"/>
        <v>LONG</v>
      </c>
      <c r="Q119" s="26" t="str">
        <f t="shared" si="37"/>
        <v>COIN LONG</v>
      </c>
      <c r="R119" s="26">
        <v>0</v>
      </c>
      <c r="S119" s="26">
        <v>0</v>
      </c>
      <c r="T119" s="26">
        <v>0</v>
      </c>
      <c r="U119" s="26">
        <v>0</v>
      </c>
      <c r="V119" s="23" t="str">
        <f t="shared" si="28"/>
        <v>DEFI</v>
      </c>
      <c r="W119" t="str">
        <f t="shared" si="38"/>
        <v>CVX COIN LONG</v>
      </c>
      <c r="X119" s="88" t="s">
        <v>264</v>
      </c>
      <c r="Y119" t="s">
        <v>14</v>
      </c>
      <c r="Z119">
        <v>450.52982272000008</v>
      </c>
      <c r="AA119">
        <v>8694161.3549739085</v>
      </c>
    </row>
    <row r="120" spans="1:27" x14ac:dyDescent="0.25">
      <c r="A120">
        <v>161</v>
      </c>
      <c r="B120" s="71">
        <v>44939.000001585649</v>
      </c>
      <c r="C120" s="14" t="s">
        <v>294</v>
      </c>
      <c r="D120" s="23" t="s">
        <v>304</v>
      </c>
      <c r="E120" s="23" t="s">
        <v>416</v>
      </c>
      <c r="F120" s="23">
        <v>172554.34841886</v>
      </c>
      <c r="G120" s="23">
        <v>172564.61571339701</v>
      </c>
      <c r="H120" s="23">
        <v>1.0000595018012099</v>
      </c>
      <c r="I120" s="23">
        <v>0</v>
      </c>
      <c r="J120" s="23" t="s">
        <v>85</v>
      </c>
      <c r="K120" s="24">
        <v>44939.000001585649</v>
      </c>
      <c r="L120" s="23">
        <v>1</v>
      </c>
      <c r="M120" s="23" t="s">
        <v>416</v>
      </c>
      <c r="N120" s="25">
        <v>0</v>
      </c>
      <c r="O120" s="26" t="str">
        <f t="shared" si="27"/>
        <v>COIN</v>
      </c>
      <c r="P120" s="26" t="str">
        <f t="shared" si="36"/>
        <v>LONG</v>
      </c>
      <c r="Q120" s="26" t="str">
        <f t="shared" si="37"/>
        <v>COIN LONG</v>
      </c>
      <c r="R120" s="26">
        <v>0</v>
      </c>
      <c r="S120" s="26">
        <v>0</v>
      </c>
      <c r="T120" s="26">
        <v>0</v>
      </c>
      <c r="U120" s="26">
        <v>0</v>
      </c>
      <c r="V120" s="23" t="str">
        <f t="shared" si="28"/>
        <v>DEFI</v>
      </c>
      <c r="W120" t="str">
        <f t="shared" si="38"/>
        <v>DAI COIN LONG</v>
      </c>
      <c r="X120" s="88" t="s">
        <v>264</v>
      </c>
      <c r="Y120" t="s">
        <v>128</v>
      </c>
      <c r="Z120">
        <v>0.33565571999999999</v>
      </c>
      <c r="AA120">
        <v>3.1708334929089581E-3</v>
      </c>
    </row>
    <row r="121" spans="1:27" x14ac:dyDescent="0.25">
      <c r="A121">
        <v>162</v>
      </c>
      <c r="B121" s="71">
        <v>44939.000001585649</v>
      </c>
      <c r="C121" s="14" t="s">
        <v>294</v>
      </c>
      <c r="D121" s="23" t="s">
        <v>304</v>
      </c>
      <c r="E121" s="23" t="s">
        <v>15</v>
      </c>
      <c r="F121" s="23">
        <v>0.49557208000000003</v>
      </c>
      <c r="G121" s="23">
        <v>702.69074321035498</v>
      </c>
      <c r="H121" s="23">
        <v>1417.9385231112101</v>
      </c>
      <c r="I121" s="23">
        <v>0</v>
      </c>
      <c r="J121" s="23" t="s">
        <v>85</v>
      </c>
      <c r="K121" s="24">
        <v>44939.000001585649</v>
      </c>
      <c r="L121" s="23">
        <v>1</v>
      </c>
      <c r="M121" s="23" t="s">
        <v>15</v>
      </c>
      <c r="N121" s="25">
        <v>0</v>
      </c>
      <c r="O121" s="26" t="str">
        <f t="shared" si="27"/>
        <v>COIN</v>
      </c>
      <c r="P121" s="26" t="str">
        <f t="shared" si="36"/>
        <v>LONG</v>
      </c>
      <c r="Q121" s="26" t="str">
        <f t="shared" si="37"/>
        <v>COIN LONG</v>
      </c>
      <c r="R121" s="26">
        <v>0</v>
      </c>
      <c r="S121" s="26">
        <v>0</v>
      </c>
      <c r="T121" s="26">
        <v>0</v>
      </c>
      <c r="U121" s="26">
        <v>0</v>
      </c>
      <c r="V121" s="23" t="str">
        <f t="shared" si="28"/>
        <v>DEFI</v>
      </c>
      <c r="W121" t="str">
        <f t="shared" si="38"/>
        <v>ETH COIN LONG</v>
      </c>
      <c r="X121" s="88" t="s">
        <v>264</v>
      </c>
      <c r="Y121" t="s">
        <v>129</v>
      </c>
      <c r="Z121">
        <v>1367501156.8785999</v>
      </c>
      <c r="AA121">
        <v>1085.2429465905029</v>
      </c>
    </row>
    <row r="122" spans="1:27" x14ac:dyDescent="0.25">
      <c r="A122">
        <v>163</v>
      </c>
      <c r="B122" s="71">
        <v>44939.000001585649</v>
      </c>
      <c r="C122" s="14" t="s">
        <v>294</v>
      </c>
      <c r="D122" s="23" t="s">
        <v>304</v>
      </c>
      <c r="E122" s="23" t="s">
        <v>797</v>
      </c>
      <c r="F122" s="23">
        <v>516393.62323616998</v>
      </c>
      <c r="G122" s="23">
        <v>515301.05266681401</v>
      </c>
      <c r="H122" s="23">
        <v>0.99788422916125696</v>
      </c>
      <c r="I122" s="23">
        <v>0</v>
      </c>
      <c r="J122" s="23" t="s">
        <v>85</v>
      </c>
      <c r="K122" s="24">
        <v>44939.000001585649</v>
      </c>
      <c r="L122" s="23">
        <v>1</v>
      </c>
      <c r="M122" s="23" t="s">
        <v>797</v>
      </c>
      <c r="N122" s="25">
        <v>0</v>
      </c>
      <c r="O122" s="26" t="str">
        <f t="shared" si="27"/>
        <v>COIN</v>
      </c>
      <c r="P122" s="26" t="str">
        <f t="shared" si="36"/>
        <v>LONG</v>
      </c>
      <c r="Q122" s="26" t="str">
        <f t="shared" si="37"/>
        <v>COIN LONG</v>
      </c>
      <c r="R122" s="26">
        <v>0</v>
      </c>
      <c r="S122" s="26">
        <v>0</v>
      </c>
      <c r="T122" s="26">
        <v>0</v>
      </c>
      <c r="U122" s="26">
        <v>0</v>
      </c>
      <c r="V122" s="23" t="str">
        <f t="shared" si="28"/>
        <v>DEFI</v>
      </c>
      <c r="W122" t="str">
        <f t="shared" si="38"/>
        <v>MIM COIN LONG</v>
      </c>
      <c r="X122" s="88" t="s">
        <v>264</v>
      </c>
      <c r="Y122" t="s">
        <v>88</v>
      </c>
      <c r="Z122">
        <v>4921549.8762803096</v>
      </c>
      <c r="AA122">
        <v>4922450.1093141474</v>
      </c>
    </row>
    <row r="123" spans="1:27" x14ac:dyDescent="0.25">
      <c r="A123">
        <v>164</v>
      </c>
      <c r="B123" s="71">
        <v>44939.000001585649</v>
      </c>
      <c r="C123" s="14" t="s">
        <v>294</v>
      </c>
      <c r="D123" s="23" t="s">
        <v>304</v>
      </c>
      <c r="E123" s="23" t="s">
        <v>92</v>
      </c>
      <c r="F123" s="23">
        <v>192885.46117379001</v>
      </c>
      <c r="G123" s="23">
        <v>192899.37778794399</v>
      </c>
      <c r="H123" s="23">
        <v>1.0000721496274001</v>
      </c>
      <c r="I123" s="23">
        <v>0</v>
      </c>
      <c r="J123" s="23" t="s">
        <v>85</v>
      </c>
      <c r="K123" s="24">
        <v>44939.000001585649</v>
      </c>
      <c r="L123" s="23">
        <v>1</v>
      </c>
      <c r="M123" s="23" t="s">
        <v>92</v>
      </c>
      <c r="N123" s="25">
        <v>0</v>
      </c>
      <c r="O123" s="26" t="str">
        <f t="shared" si="27"/>
        <v>COIN</v>
      </c>
      <c r="P123" s="26" t="str">
        <f t="shared" si="36"/>
        <v>LONG</v>
      </c>
      <c r="Q123" s="26" t="str">
        <f t="shared" si="37"/>
        <v>COIN LONG</v>
      </c>
      <c r="R123" s="26">
        <v>0</v>
      </c>
      <c r="S123" s="26">
        <v>0</v>
      </c>
      <c r="T123" s="26">
        <v>0</v>
      </c>
      <c r="U123" s="26">
        <v>0</v>
      </c>
      <c r="V123" s="23" t="str">
        <f t="shared" si="28"/>
        <v>DEFI</v>
      </c>
      <c r="W123" t="str">
        <f t="shared" si="38"/>
        <v>USDC COIN LONG</v>
      </c>
      <c r="X123" s="88" t="s">
        <v>264</v>
      </c>
      <c r="Y123" t="s">
        <v>130</v>
      </c>
      <c r="Z123">
        <v>1.7855998900000001</v>
      </c>
      <c r="AA123">
        <v>5.513257600700699E-3</v>
      </c>
    </row>
    <row r="124" spans="1:27" x14ac:dyDescent="0.25">
      <c r="A124">
        <v>165</v>
      </c>
      <c r="B124" s="71">
        <v>44939.000001585649</v>
      </c>
      <c r="C124" s="14" t="s">
        <v>294</v>
      </c>
      <c r="D124" s="23" t="s">
        <v>304</v>
      </c>
      <c r="E124" s="23" t="s">
        <v>38</v>
      </c>
      <c r="F124" s="23">
        <v>132056.27534242999</v>
      </c>
      <c r="G124" s="23">
        <v>132068.43101488499</v>
      </c>
      <c r="H124" s="23">
        <v>1.00009204918451</v>
      </c>
      <c r="I124" s="23">
        <v>0</v>
      </c>
      <c r="J124" s="23" t="s">
        <v>85</v>
      </c>
      <c r="K124" s="24">
        <v>44939.000001585649</v>
      </c>
      <c r="L124" s="23">
        <v>1</v>
      </c>
      <c r="M124" s="23" t="s">
        <v>38</v>
      </c>
      <c r="N124" s="25">
        <v>0</v>
      </c>
      <c r="O124" s="26" t="str">
        <f t="shared" si="27"/>
        <v>COIN</v>
      </c>
      <c r="P124" s="26" t="str">
        <f t="shared" si="36"/>
        <v>LONG</v>
      </c>
      <c r="Q124" s="26" t="str">
        <f t="shared" si="37"/>
        <v>COIN LONG</v>
      </c>
      <c r="R124" s="26">
        <v>0</v>
      </c>
      <c r="S124" s="26">
        <v>0</v>
      </c>
      <c r="T124" s="26">
        <v>0</v>
      </c>
      <c r="U124" s="26">
        <v>0</v>
      </c>
      <c r="V124" s="23" t="str">
        <f t="shared" si="28"/>
        <v>DEFI</v>
      </c>
      <c r="W124" t="str">
        <f t="shared" si="38"/>
        <v>USDT COIN LONG</v>
      </c>
      <c r="X124" s="88" t="s">
        <v>264</v>
      </c>
      <c r="Y124" t="s">
        <v>31</v>
      </c>
      <c r="Z124">
        <v>243.20237294000071</v>
      </c>
      <c r="AA124">
        <v>15464.845072301803</v>
      </c>
    </row>
    <row r="125" spans="1:27" x14ac:dyDescent="0.25">
      <c r="A125">
        <v>166</v>
      </c>
      <c r="B125" s="71">
        <v>44939.000001585649</v>
      </c>
      <c r="C125" s="14" t="s">
        <v>294</v>
      </c>
      <c r="D125" s="23" t="s">
        <v>305</v>
      </c>
      <c r="E125" s="23" t="s">
        <v>15</v>
      </c>
      <c r="F125" s="23">
        <v>2.34866376</v>
      </c>
      <c r="G125" s="23">
        <v>3330.2608231392401</v>
      </c>
      <c r="H125" s="23">
        <v>1417.9385231112101</v>
      </c>
      <c r="I125" s="23">
        <v>0</v>
      </c>
      <c r="J125" s="23" t="s">
        <v>85</v>
      </c>
      <c r="K125" s="24">
        <v>44939.000001585649</v>
      </c>
      <c r="L125" s="23">
        <v>1</v>
      </c>
      <c r="M125" s="23" t="s">
        <v>15</v>
      </c>
      <c r="N125" s="25">
        <v>0</v>
      </c>
      <c r="O125" s="26" t="str">
        <f t="shared" si="27"/>
        <v>COIN</v>
      </c>
      <c r="P125" s="26" t="str">
        <f t="shared" si="36"/>
        <v>LONG</v>
      </c>
      <c r="Q125" s="26" t="str">
        <f t="shared" si="37"/>
        <v>COIN LONG</v>
      </c>
      <c r="R125" s="26">
        <v>0</v>
      </c>
      <c r="S125" s="26">
        <v>0</v>
      </c>
      <c r="T125" s="26">
        <v>0</v>
      </c>
      <c r="U125" s="26">
        <v>0</v>
      </c>
      <c r="V125" s="23" t="str">
        <f t="shared" si="28"/>
        <v>DEFI</v>
      </c>
      <c r="W125" t="str">
        <f t="shared" si="38"/>
        <v>ETH COIN LONG</v>
      </c>
      <c r="X125" s="88" t="s">
        <v>264</v>
      </c>
      <c r="Y125" t="s">
        <v>131</v>
      </c>
      <c r="Z125">
        <v>0.30791584</v>
      </c>
      <c r="AA125">
        <v>3.7565817271794387E-2</v>
      </c>
    </row>
    <row r="126" spans="1:27" x14ac:dyDescent="0.25">
      <c r="A126">
        <v>167</v>
      </c>
      <c r="B126" s="71">
        <v>44939.000001585649</v>
      </c>
      <c r="C126" s="14" t="s">
        <v>294</v>
      </c>
      <c r="D126" s="23" t="s">
        <v>438</v>
      </c>
      <c r="E126" s="23" t="s">
        <v>15</v>
      </c>
      <c r="F126" s="23">
        <v>9.8779060000000002E-2</v>
      </c>
      <c r="G126" s="23">
        <v>140.062634450714</v>
      </c>
      <c r="H126" s="23">
        <v>1417.9385231112101</v>
      </c>
      <c r="I126" s="23">
        <v>0</v>
      </c>
      <c r="J126" s="23" t="s">
        <v>85</v>
      </c>
      <c r="K126" s="24">
        <v>44939.000001585649</v>
      </c>
      <c r="L126" s="23">
        <v>1</v>
      </c>
      <c r="M126" s="23" t="s">
        <v>15</v>
      </c>
      <c r="N126" s="25">
        <v>0</v>
      </c>
      <c r="O126" s="26" t="str">
        <f t="shared" si="27"/>
        <v>COIN</v>
      </c>
      <c r="P126" s="26" t="str">
        <f t="shared" si="36"/>
        <v>LONG</v>
      </c>
      <c r="Q126" s="26" t="str">
        <f t="shared" si="37"/>
        <v>COIN LONG</v>
      </c>
      <c r="R126" s="26">
        <v>0</v>
      </c>
      <c r="S126" s="26">
        <v>0</v>
      </c>
      <c r="T126" s="26">
        <v>0</v>
      </c>
      <c r="U126" s="26">
        <v>0</v>
      </c>
      <c r="V126" s="23" t="str">
        <f t="shared" si="28"/>
        <v>DEFI</v>
      </c>
      <c r="W126" t="str">
        <f t="shared" si="38"/>
        <v>ETH COIN LONG</v>
      </c>
      <c r="X126" s="88" t="s">
        <v>264</v>
      </c>
      <c r="Y126" t="s">
        <v>188</v>
      </c>
      <c r="Z126">
        <v>547142.23605442001</v>
      </c>
      <c r="AA126">
        <v>516281.09435298911</v>
      </c>
    </row>
    <row r="127" spans="1:27" x14ac:dyDescent="0.25">
      <c r="A127">
        <v>168</v>
      </c>
      <c r="B127" s="71">
        <v>44939.000001585649</v>
      </c>
      <c r="C127" s="14" t="s">
        <v>294</v>
      </c>
      <c r="D127" s="23" t="s">
        <v>438</v>
      </c>
      <c r="E127" s="23" t="s">
        <v>445</v>
      </c>
      <c r="F127" s="23">
        <v>196525.25441796001</v>
      </c>
      <c r="G127" s="23">
        <v>0</v>
      </c>
      <c r="H127" s="23">
        <v>0</v>
      </c>
      <c r="I127" s="23">
        <v>0</v>
      </c>
      <c r="J127" s="23" t="s">
        <v>85</v>
      </c>
      <c r="K127" s="24">
        <v>44939.000001585649</v>
      </c>
      <c r="L127" s="23">
        <v>1</v>
      </c>
      <c r="M127" s="23" t="s">
        <v>445</v>
      </c>
      <c r="N127" s="25">
        <v>0</v>
      </c>
      <c r="O127" s="26" t="str">
        <f t="shared" si="27"/>
        <v>COIN</v>
      </c>
      <c r="P127" s="26" t="str">
        <f t="shared" si="36"/>
        <v>SHORT</v>
      </c>
      <c r="Q127" s="26" t="str">
        <f t="shared" si="37"/>
        <v>COIN SHORT</v>
      </c>
      <c r="R127" s="26">
        <v>0</v>
      </c>
      <c r="S127" s="26">
        <v>0</v>
      </c>
      <c r="T127" s="26">
        <v>0</v>
      </c>
      <c r="U127" s="26">
        <v>0</v>
      </c>
      <c r="V127" s="23" t="str">
        <f t="shared" si="28"/>
        <v>DEFI</v>
      </c>
      <c r="W127" t="str">
        <f t="shared" si="38"/>
        <v>OBALUSDC/BAL-30DEC22-7.6C COIN SHORT</v>
      </c>
      <c r="X127" s="88" t="s">
        <v>264</v>
      </c>
      <c r="Y127" t="s">
        <v>189</v>
      </c>
      <c r="Z127">
        <v>1.182E-5</v>
      </c>
      <c r="AA127">
        <v>5.6867768645624312E-5</v>
      </c>
    </row>
    <row r="128" spans="1:27" x14ac:dyDescent="0.25">
      <c r="A128">
        <v>169</v>
      </c>
      <c r="B128" s="71">
        <v>44939.000001585649</v>
      </c>
      <c r="C128" s="14" t="s">
        <v>294</v>
      </c>
      <c r="D128" s="23" t="s">
        <v>438</v>
      </c>
      <c r="E128" s="23" t="s">
        <v>446</v>
      </c>
      <c r="F128" s="23">
        <v>201000.92417708001</v>
      </c>
      <c r="G128" s="23">
        <v>0</v>
      </c>
      <c r="H128" s="23">
        <v>0</v>
      </c>
      <c r="I128" s="23">
        <v>0</v>
      </c>
      <c r="J128" s="23" t="s">
        <v>85</v>
      </c>
      <c r="K128" s="24">
        <v>44939.000001585649</v>
      </c>
      <c r="L128" s="23">
        <v>1</v>
      </c>
      <c r="M128" s="23" t="s">
        <v>446</v>
      </c>
      <c r="N128" s="25">
        <v>0</v>
      </c>
      <c r="O128" s="26" t="str">
        <f t="shared" si="27"/>
        <v>COIN</v>
      </c>
      <c r="P128" s="26" t="str">
        <f t="shared" si="36"/>
        <v>SHORT</v>
      </c>
      <c r="Q128" s="26" t="str">
        <f t="shared" si="37"/>
        <v>COIN SHORT</v>
      </c>
      <c r="R128" s="26">
        <v>0</v>
      </c>
      <c r="S128" s="26">
        <v>0</v>
      </c>
      <c r="T128" s="26">
        <v>0</v>
      </c>
      <c r="U128" s="26">
        <v>0</v>
      </c>
      <c r="V128" s="23" t="str">
        <f t="shared" si="28"/>
        <v>DEFI</v>
      </c>
      <c r="W128" t="str">
        <f t="shared" si="38"/>
        <v>OPERPUSDC/PERP-30DEC22-0.54C COIN SHORT</v>
      </c>
      <c r="X128" s="88" t="s">
        <v>264</v>
      </c>
      <c r="Y128" t="s">
        <v>132</v>
      </c>
      <c r="Z128">
        <v>5.6119999999999998E-5</v>
      </c>
      <c r="AA128">
        <v>2.3636258706667928E-3</v>
      </c>
    </row>
    <row r="129" spans="1:27" x14ac:dyDescent="0.25">
      <c r="A129">
        <v>170</v>
      </c>
      <c r="B129" s="71">
        <v>44939.000001585649</v>
      </c>
      <c r="C129" s="14" t="s">
        <v>294</v>
      </c>
      <c r="D129" s="23" t="s">
        <v>438</v>
      </c>
      <c r="E129" s="23" t="s">
        <v>447</v>
      </c>
      <c r="F129" s="23">
        <v>100050250.667</v>
      </c>
      <c r="G129" s="23">
        <v>0</v>
      </c>
      <c r="H129" s="23">
        <v>0</v>
      </c>
      <c r="I129" s="23">
        <v>0</v>
      </c>
      <c r="J129" s="23" t="s">
        <v>85</v>
      </c>
      <c r="K129" s="24">
        <v>44939.000001585649</v>
      </c>
      <c r="L129" s="23">
        <v>1</v>
      </c>
      <c r="M129" s="23" t="s">
        <v>447</v>
      </c>
      <c r="N129" s="25">
        <v>0</v>
      </c>
      <c r="O129" s="26" t="str">
        <f t="shared" si="27"/>
        <v>COIN</v>
      </c>
      <c r="P129" s="26" t="str">
        <f t="shared" si="36"/>
        <v>SHORT</v>
      </c>
      <c r="Q129" s="26" t="str">
        <f t="shared" si="37"/>
        <v>COIN SHORT</v>
      </c>
      <c r="R129" s="26">
        <v>0</v>
      </c>
      <c r="S129" s="26">
        <v>0</v>
      </c>
      <c r="T129" s="26">
        <v>0</v>
      </c>
      <c r="U129" s="26">
        <v>0</v>
      </c>
      <c r="V129" s="23" t="str">
        <f t="shared" si="28"/>
        <v>DEFI</v>
      </c>
      <c r="W129" t="str">
        <f t="shared" si="38"/>
        <v>OSPELLUSDC/SPELL-30DEC22-0.00079C COIN SHORT</v>
      </c>
      <c r="X129" s="88" t="s">
        <v>264</v>
      </c>
      <c r="Y129" t="s">
        <v>190</v>
      </c>
      <c r="Z129">
        <v>69071.428798409994</v>
      </c>
      <c r="AA129">
        <v>4374.7010747606064</v>
      </c>
    </row>
    <row r="130" spans="1:27" x14ac:dyDescent="0.25">
      <c r="A130">
        <v>171</v>
      </c>
      <c r="B130" s="71">
        <v>44939.000001585649</v>
      </c>
      <c r="C130" s="14" t="s">
        <v>294</v>
      </c>
      <c r="D130" s="23" t="s">
        <v>439</v>
      </c>
      <c r="E130" s="23" t="s">
        <v>188</v>
      </c>
      <c r="F130" s="23">
        <v>82.967645259999998</v>
      </c>
      <c r="G130" s="23">
        <v>57.174342538393297</v>
      </c>
      <c r="H130" s="23">
        <v>0.68911612905516495</v>
      </c>
      <c r="I130" s="23">
        <v>0</v>
      </c>
      <c r="J130" s="23" t="s">
        <v>85</v>
      </c>
      <c r="K130" s="24">
        <v>44939.000001585649</v>
      </c>
      <c r="L130" s="23">
        <v>1</v>
      </c>
      <c r="M130" s="23" t="s">
        <v>188</v>
      </c>
      <c r="N130" s="25">
        <v>0</v>
      </c>
      <c r="O130" s="26" t="str">
        <f t="shared" ref="O130:O193" si="53">IF($C130="","",IF(OR($E130="USD",$E130="EUR"),"CASH","COIN"))</f>
        <v>COIN</v>
      </c>
      <c r="P130" s="26" t="str">
        <f t="shared" si="36"/>
        <v>LONG</v>
      </c>
      <c r="Q130" s="26" t="str">
        <f t="shared" si="37"/>
        <v>COIN LONG</v>
      </c>
      <c r="R130" s="26">
        <v>0</v>
      </c>
      <c r="S130" s="26">
        <v>0</v>
      </c>
      <c r="T130" s="26">
        <v>0</v>
      </c>
      <c r="U130" s="26">
        <v>0</v>
      </c>
      <c r="V130" s="23" t="str">
        <f t="shared" ref="V130:V193" si="54">IF($C130="","",IF(ISERROR(SEARCH("-",$D130)),$D130,LEFT($D130,SEARCH("-",$D130)-1)))</f>
        <v>DEFI</v>
      </c>
      <c r="W130" t="str">
        <f t="shared" si="38"/>
        <v>CRV COIN LONG</v>
      </c>
      <c r="X130" s="88" t="s">
        <v>264</v>
      </c>
      <c r="Y130" t="s">
        <v>133</v>
      </c>
      <c r="Z130">
        <v>5.9800000000000001E-4</v>
      </c>
      <c r="AA130">
        <v>1.1092694563510389E-5</v>
      </c>
    </row>
    <row r="131" spans="1:27" x14ac:dyDescent="0.25">
      <c r="A131">
        <v>172</v>
      </c>
      <c r="B131" s="71">
        <v>44939.000001585649</v>
      </c>
      <c r="C131" s="14" t="s">
        <v>294</v>
      </c>
      <c r="D131" s="23" t="s">
        <v>439</v>
      </c>
      <c r="E131" s="23" t="s">
        <v>189</v>
      </c>
      <c r="F131" s="23">
        <v>3.47592108</v>
      </c>
      <c r="G131" s="23">
        <v>12.331417736072</v>
      </c>
      <c r="H131" s="23">
        <v>3.54766907885953</v>
      </c>
      <c r="I131" s="23">
        <v>0</v>
      </c>
      <c r="J131" s="23" t="s">
        <v>85</v>
      </c>
      <c r="K131" s="24">
        <v>44939.000001585649</v>
      </c>
      <c r="L131" s="23">
        <v>1</v>
      </c>
      <c r="M131" s="23" t="s">
        <v>189</v>
      </c>
      <c r="N131" s="25">
        <v>0</v>
      </c>
      <c r="O131" s="26" t="str">
        <f t="shared" si="53"/>
        <v>COIN</v>
      </c>
      <c r="P131" s="26" t="str">
        <f t="shared" ref="P131:P194" si="55">IF($C131="","",IF($J131="CME FUTURE","HEDGE",IF($G131&gt;0,"LONG","SHORT")))</f>
        <v>LONG</v>
      </c>
      <c r="Q131" s="26" t="str">
        <f t="shared" ref="Q131:Q194" si="56">O131&amp;" "&amp;P131</f>
        <v>COIN LONG</v>
      </c>
      <c r="R131" s="26">
        <v>0</v>
      </c>
      <c r="S131" s="26">
        <v>0</v>
      </c>
      <c r="T131" s="26">
        <v>0</v>
      </c>
      <c r="U131" s="26">
        <v>0</v>
      </c>
      <c r="V131" s="23" t="str">
        <f t="shared" si="54"/>
        <v>DEFI</v>
      </c>
      <c r="W131" t="str">
        <f t="shared" si="38"/>
        <v>CVX COIN LONG</v>
      </c>
      <c r="X131" s="88" t="s">
        <v>264</v>
      </c>
      <c r="Y131" t="s">
        <v>22</v>
      </c>
      <c r="Z131">
        <v>-4117.8752091800052</v>
      </c>
      <c r="AA131">
        <v>-26511.165216504625</v>
      </c>
    </row>
    <row r="132" spans="1:27" x14ac:dyDescent="0.25">
      <c r="A132">
        <v>173</v>
      </c>
      <c r="B132" s="71">
        <v>44939.000001585649</v>
      </c>
      <c r="C132" s="14" t="s">
        <v>294</v>
      </c>
      <c r="D132" s="23" t="s">
        <v>439</v>
      </c>
      <c r="E132" s="23" t="s">
        <v>15</v>
      </c>
      <c r="F132" s="23">
        <v>502.25244882999999</v>
      </c>
      <c r="G132" s="23">
        <v>712163.09552300302</v>
      </c>
      <c r="H132" s="23">
        <v>1417.9385231112101</v>
      </c>
      <c r="I132" s="23">
        <v>0</v>
      </c>
      <c r="J132" s="23" t="s">
        <v>85</v>
      </c>
      <c r="K132" s="24">
        <v>44939.000001585649</v>
      </c>
      <c r="L132" s="23">
        <v>1</v>
      </c>
      <c r="M132" s="23" t="s">
        <v>15</v>
      </c>
      <c r="N132" s="25">
        <v>0</v>
      </c>
      <c r="O132" s="26" t="str">
        <f t="shared" si="53"/>
        <v>COIN</v>
      </c>
      <c r="P132" s="26" t="str">
        <f t="shared" si="55"/>
        <v>LONG</v>
      </c>
      <c r="Q132" s="26" t="str">
        <f t="shared" si="56"/>
        <v>COIN LONG</v>
      </c>
      <c r="R132" s="26">
        <v>0</v>
      </c>
      <c r="S132" s="26">
        <v>0</v>
      </c>
      <c r="T132" s="26">
        <v>0</v>
      </c>
      <c r="U132" s="26">
        <v>0</v>
      </c>
      <c r="V132" s="23" t="str">
        <f t="shared" si="54"/>
        <v>DEFI</v>
      </c>
      <c r="W132" t="str">
        <f t="shared" si="38"/>
        <v>ETH COIN LONG</v>
      </c>
      <c r="X132" s="88" t="s">
        <v>264</v>
      </c>
      <c r="Y132" t="s">
        <v>28</v>
      </c>
      <c r="Z132">
        <v>242543.54453432001</v>
      </c>
      <c r="AA132">
        <v>116971.24580081156</v>
      </c>
    </row>
    <row r="133" spans="1:27" x14ac:dyDescent="0.25">
      <c r="A133">
        <v>174</v>
      </c>
      <c r="B133" s="71">
        <v>44939.000001585649</v>
      </c>
      <c r="C133" s="14" t="s">
        <v>294</v>
      </c>
      <c r="D133" s="23" t="s">
        <v>439</v>
      </c>
      <c r="E133" s="23" t="s">
        <v>15</v>
      </c>
      <c r="F133" s="23">
        <v>8.0888086799999996</v>
      </c>
      <c r="G133" s="23">
        <v>11469.433433448399</v>
      </c>
      <c r="H133" s="23">
        <v>1417.9385231112101</v>
      </c>
      <c r="I133" s="23">
        <v>0</v>
      </c>
      <c r="J133" s="23" t="s">
        <v>85</v>
      </c>
      <c r="K133" s="24">
        <v>44939.000001585649</v>
      </c>
      <c r="L133" s="23">
        <v>1</v>
      </c>
      <c r="M133" s="23" t="s">
        <v>15</v>
      </c>
      <c r="N133" s="25">
        <v>0</v>
      </c>
      <c r="O133" s="26" t="str">
        <f t="shared" si="53"/>
        <v>COIN</v>
      </c>
      <c r="P133" s="26" t="str">
        <f t="shared" si="55"/>
        <v>LONG</v>
      </c>
      <c r="Q133" s="26" t="str">
        <f t="shared" si="56"/>
        <v>COIN LONG</v>
      </c>
      <c r="R133" s="26">
        <v>0</v>
      </c>
      <c r="S133" s="26">
        <v>0</v>
      </c>
      <c r="T133" s="26">
        <v>0</v>
      </c>
      <c r="U133" s="26">
        <v>0</v>
      </c>
      <c r="V133" s="23" t="str">
        <f t="shared" si="54"/>
        <v>DEFI</v>
      </c>
      <c r="W133" t="str">
        <f t="shared" si="38"/>
        <v>ETH COIN LONG</v>
      </c>
      <c r="X133" s="88" t="s">
        <v>264</v>
      </c>
      <c r="Y133" t="s">
        <v>23</v>
      </c>
      <c r="Z133">
        <v>-776332.23758414993</v>
      </c>
      <c r="AA133">
        <v>-952727.15930886916</v>
      </c>
    </row>
    <row r="134" spans="1:27" x14ac:dyDescent="0.25">
      <c r="A134">
        <v>175</v>
      </c>
      <c r="B134" s="71">
        <v>44939.000001585649</v>
      </c>
      <c r="C134" s="14" t="s">
        <v>294</v>
      </c>
      <c r="D134" s="23" t="s">
        <v>439</v>
      </c>
      <c r="E134" s="23" t="s">
        <v>15</v>
      </c>
      <c r="F134" s="23">
        <v>494.97593741999998</v>
      </c>
      <c r="G134" s="23">
        <v>701845.44968090602</v>
      </c>
      <c r="H134" s="23">
        <v>1417.9385231112101</v>
      </c>
      <c r="I134" s="23">
        <v>0</v>
      </c>
      <c r="J134" s="23" t="s">
        <v>85</v>
      </c>
      <c r="K134" s="24">
        <v>44939.000001585649</v>
      </c>
      <c r="L134" s="23">
        <v>1</v>
      </c>
      <c r="M134" s="23" t="s">
        <v>15</v>
      </c>
      <c r="N134" s="25">
        <v>0</v>
      </c>
      <c r="O134" s="26" t="str">
        <f t="shared" si="53"/>
        <v>COIN</v>
      </c>
      <c r="P134" s="26" t="str">
        <f t="shared" si="55"/>
        <v>LONG</v>
      </c>
      <c r="Q134" s="26" t="str">
        <f t="shared" si="56"/>
        <v>COIN LONG</v>
      </c>
      <c r="R134" s="26">
        <v>0</v>
      </c>
      <c r="S134" s="26">
        <v>0</v>
      </c>
      <c r="T134" s="26">
        <v>0</v>
      </c>
      <c r="U134" s="26">
        <v>0</v>
      </c>
      <c r="V134" s="23" t="str">
        <f t="shared" si="54"/>
        <v>DEFI</v>
      </c>
      <c r="W134" t="str">
        <f t="shared" ref="W134:W197" si="57">IF($C134="","",$M134&amp;" "&amp;$Q134)</f>
        <v>ETH COIN LONG</v>
      </c>
      <c r="X134" s="88" t="s">
        <v>264</v>
      </c>
      <c r="Y134" t="s">
        <v>29</v>
      </c>
      <c r="Z134">
        <v>-655.34454438000034</v>
      </c>
      <c r="AA134">
        <v>-18953.215070860155</v>
      </c>
    </row>
    <row r="135" spans="1:27" x14ac:dyDescent="0.25">
      <c r="A135">
        <v>176</v>
      </c>
      <c r="B135" s="71">
        <v>44939.000001585649</v>
      </c>
      <c r="C135" s="14" t="s">
        <v>294</v>
      </c>
      <c r="D135" s="23" t="s">
        <v>439</v>
      </c>
      <c r="E135" s="23" t="s">
        <v>798</v>
      </c>
      <c r="F135" s="23">
        <v>4.9449780900000002</v>
      </c>
      <c r="G135" s="23">
        <v>31.966226316242999</v>
      </c>
      <c r="H135" s="23">
        <v>6.4643817898580496</v>
      </c>
      <c r="I135" s="23">
        <v>0</v>
      </c>
      <c r="J135" s="23" t="s">
        <v>85</v>
      </c>
      <c r="K135" s="24">
        <v>44939.000001585649</v>
      </c>
      <c r="L135" s="23">
        <v>1</v>
      </c>
      <c r="M135" s="23" t="s">
        <v>798</v>
      </c>
      <c r="N135" s="25">
        <v>0</v>
      </c>
      <c r="O135" s="26" t="str">
        <f t="shared" si="53"/>
        <v>COIN</v>
      </c>
      <c r="P135" s="26" t="str">
        <f t="shared" si="55"/>
        <v>LONG</v>
      </c>
      <c r="Q135" s="26" t="str">
        <f t="shared" si="56"/>
        <v>COIN LONG</v>
      </c>
      <c r="R135" s="26">
        <v>0</v>
      </c>
      <c r="S135" s="26">
        <v>0</v>
      </c>
      <c r="T135" s="26">
        <v>0</v>
      </c>
      <c r="U135" s="26">
        <v>0</v>
      </c>
      <c r="V135" s="23" t="str">
        <f t="shared" si="54"/>
        <v>DEFI</v>
      </c>
      <c r="W135" t="str">
        <f t="shared" si="57"/>
        <v>FXS COIN LONG</v>
      </c>
      <c r="X135" s="88" t="s">
        <v>264</v>
      </c>
      <c r="Y135" t="s">
        <v>15</v>
      </c>
      <c r="Z135">
        <v>-20026.043820309995</v>
      </c>
      <c r="AA135">
        <v>-26599784.047923643</v>
      </c>
    </row>
    <row r="136" spans="1:27" x14ac:dyDescent="0.25">
      <c r="A136">
        <v>177</v>
      </c>
      <c r="B136" s="71">
        <v>44939.000001585649</v>
      </c>
      <c r="C136" s="14" t="s">
        <v>294</v>
      </c>
      <c r="D136" s="23" t="s">
        <v>439</v>
      </c>
      <c r="E136" s="23" t="s">
        <v>798</v>
      </c>
      <c r="F136" s="23">
        <v>603.23998956000003</v>
      </c>
      <c r="G136" s="23">
        <v>3899.5736034258198</v>
      </c>
      <c r="H136" s="23">
        <v>6.4643817898580496</v>
      </c>
      <c r="I136" s="23">
        <v>0</v>
      </c>
      <c r="J136" s="23" t="s">
        <v>85</v>
      </c>
      <c r="K136" s="24">
        <v>44939.000001585649</v>
      </c>
      <c r="L136" s="23">
        <v>1</v>
      </c>
      <c r="M136" s="23" t="s">
        <v>798</v>
      </c>
      <c r="N136" s="25">
        <v>0</v>
      </c>
      <c r="O136" s="26" t="str">
        <f t="shared" si="53"/>
        <v>COIN</v>
      </c>
      <c r="P136" s="26" t="str">
        <f t="shared" si="55"/>
        <v>LONG</v>
      </c>
      <c r="Q136" s="26" t="str">
        <f t="shared" si="56"/>
        <v>COIN LONG</v>
      </c>
      <c r="R136" s="26">
        <v>0</v>
      </c>
      <c r="S136" s="26">
        <v>0</v>
      </c>
      <c r="T136" s="26">
        <v>0</v>
      </c>
      <c r="U136" s="26">
        <v>0</v>
      </c>
      <c r="V136" s="23" t="str">
        <f t="shared" si="54"/>
        <v>DEFI</v>
      </c>
      <c r="W136" t="str">
        <f t="shared" si="57"/>
        <v>FXS COIN LONG</v>
      </c>
      <c r="X136" s="88" t="s">
        <v>264</v>
      </c>
      <c r="Y136" t="s">
        <v>107</v>
      </c>
      <c r="Z136">
        <v>15106844.744691186</v>
      </c>
      <c r="AA136">
        <v>14641402.858107254</v>
      </c>
    </row>
    <row r="137" spans="1:27" x14ac:dyDescent="0.25">
      <c r="A137">
        <v>178</v>
      </c>
      <c r="B137" s="71">
        <v>44939.000001585649</v>
      </c>
      <c r="C137" s="14" t="s">
        <v>294</v>
      </c>
      <c r="D137" s="23" t="s">
        <v>800</v>
      </c>
      <c r="E137" s="23" t="s">
        <v>92</v>
      </c>
      <c r="F137" s="23">
        <v>12009760.042401001</v>
      </c>
      <c r="G137" s="23">
        <v>12010626.5421132</v>
      </c>
      <c r="H137" s="23">
        <v>1.0000721496274001</v>
      </c>
      <c r="I137" s="23">
        <v>0</v>
      </c>
      <c r="J137" s="23" t="s">
        <v>85</v>
      </c>
      <c r="K137" s="24">
        <v>44939.000001585649</v>
      </c>
      <c r="L137" s="23">
        <v>1</v>
      </c>
      <c r="M137" s="23" t="s">
        <v>92</v>
      </c>
      <c r="N137" s="25">
        <v>0</v>
      </c>
      <c r="O137" s="26" t="str">
        <f t="shared" si="53"/>
        <v>COIN</v>
      </c>
      <c r="P137" s="26" t="str">
        <f t="shared" si="55"/>
        <v>LONG</v>
      </c>
      <c r="Q137" s="26" t="str">
        <f t="shared" si="56"/>
        <v>COIN LONG</v>
      </c>
      <c r="R137" s="26">
        <v>0</v>
      </c>
      <c r="S137" s="26">
        <v>0</v>
      </c>
      <c r="T137" s="26">
        <v>0</v>
      </c>
      <c r="U137" s="26">
        <v>0</v>
      </c>
      <c r="V137" s="23" t="str">
        <f t="shared" si="54"/>
        <v>DEFI</v>
      </c>
      <c r="W137" t="str">
        <f t="shared" si="57"/>
        <v>USDC COIN LONG</v>
      </c>
      <c r="X137" s="88" t="s">
        <v>264</v>
      </c>
      <c r="Y137" t="s">
        <v>258</v>
      </c>
      <c r="Z137">
        <v>-13995003.5</v>
      </c>
      <c r="AA137">
        <v>-13573279.070823357</v>
      </c>
    </row>
    <row r="138" spans="1:27" x14ac:dyDescent="0.25">
      <c r="A138">
        <v>179</v>
      </c>
      <c r="B138" s="71">
        <v>44939.000000196756</v>
      </c>
      <c r="C138" s="14" t="s">
        <v>32</v>
      </c>
      <c r="D138" s="23" t="s">
        <v>33</v>
      </c>
      <c r="E138" s="23" t="s">
        <v>92</v>
      </c>
      <c r="F138" s="23">
        <v>15672.084394</v>
      </c>
      <c r="G138" s="23">
        <v>15673.2151290496</v>
      </c>
      <c r="H138" s="23">
        <v>1.0000721496274001</v>
      </c>
      <c r="I138" s="23">
        <v>0</v>
      </c>
      <c r="J138" s="23" t="s">
        <v>85</v>
      </c>
      <c r="K138" s="24">
        <v>44939.000000196756</v>
      </c>
      <c r="L138" s="23">
        <v>1</v>
      </c>
      <c r="M138" s="23" t="s">
        <v>92</v>
      </c>
      <c r="N138" s="25">
        <v>0</v>
      </c>
      <c r="O138" s="26" t="str">
        <f t="shared" si="53"/>
        <v>COIN</v>
      </c>
      <c r="P138" s="26" t="str">
        <f t="shared" si="55"/>
        <v>LONG</v>
      </c>
      <c r="Q138" s="26" t="str">
        <f t="shared" si="56"/>
        <v>COIN LONG</v>
      </c>
      <c r="R138" s="26">
        <v>0</v>
      </c>
      <c r="S138" s="26">
        <v>0</v>
      </c>
      <c r="T138" s="26">
        <v>0</v>
      </c>
      <c r="U138" s="26">
        <v>0</v>
      </c>
      <c r="V138" s="23" t="str">
        <f t="shared" si="54"/>
        <v>DYDX</v>
      </c>
      <c r="W138" t="str">
        <f t="shared" si="57"/>
        <v>USDC COIN LONG</v>
      </c>
      <c r="X138" s="88" t="s">
        <v>264</v>
      </c>
      <c r="Y138" t="s">
        <v>30</v>
      </c>
      <c r="Z138">
        <v>2256.9611515299998</v>
      </c>
      <c r="AA138">
        <v>12870.472391916019</v>
      </c>
    </row>
    <row r="139" spans="1:27" x14ac:dyDescent="0.25">
      <c r="A139">
        <v>180</v>
      </c>
      <c r="B139" s="71">
        <v>44939.000003900466</v>
      </c>
      <c r="C139" s="14" t="s">
        <v>39</v>
      </c>
      <c r="D139" s="23" t="s">
        <v>111</v>
      </c>
      <c r="E139" s="23" t="s">
        <v>84</v>
      </c>
      <c r="F139" s="23">
        <v>1E-8</v>
      </c>
      <c r="G139" s="23">
        <v>3.2975847474337499E-9</v>
      </c>
      <c r="H139" s="23">
        <v>0.329758474743375</v>
      </c>
      <c r="I139" s="23">
        <v>0</v>
      </c>
      <c r="J139" s="23" t="s">
        <v>85</v>
      </c>
      <c r="K139" s="24">
        <v>44939.000003900466</v>
      </c>
      <c r="L139" s="23">
        <v>1</v>
      </c>
      <c r="M139" s="23" t="s">
        <v>84</v>
      </c>
      <c r="N139" s="25">
        <v>0</v>
      </c>
      <c r="O139" s="26" t="str">
        <f t="shared" si="53"/>
        <v>COIN</v>
      </c>
      <c r="P139" s="26" t="str">
        <f t="shared" si="55"/>
        <v>LONG</v>
      </c>
      <c r="Q139" s="26" t="str">
        <f t="shared" si="56"/>
        <v>COIN LONG</v>
      </c>
      <c r="R139" s="26">
        <v>0</v>
      </c>
      <c r="S139" s="26">
        <v>0</v>
      </c>
      <c r="T139" s="26">
        <v>0</v>
      </c>
      <c r="U139" s="26">
        <v>0</v>
      </c>
      <c r="V139" s="23" t="str">
        <f t="shared" si="54"/>
        <v>FUB2</v>
      </c>
      <c r="W139" t="str">
        <f t="shared" si="57"/>
        <v>ADA COIN LONG</v>
      </c>
      <c r="X139" s="88" t="s">
        <v>264</v>
      </c>
      <c r="Y139" t="s">
        <v>191</v>
      </c>
      <c r="Z139">
        <v>8.9826517900000002</v>
      </c>
      <c r="AA139">
        <v>2.0980545597538529</v>
      </c>
    </row>
    <row r="140" spans="1:27" x14ac:dyDescent="0.25">
      <c r="A140">
        <v>181</v>
      </c>
      <c r="B140" s="71">
        <v>44939.000003900466</v>
      </c>
      <c r="C140" s="14" t="s">
        <v>39</v>
      </c>
      <c r="D140" s="23" t="s">
        <v>111</v>
      </c>
      <c r="E140" s="23" t="s">
        <v>20</v>
      </c>
      <c r="F140" s="23">
        <v>4.9999999999999998E-8</v>
      </c>
      <c r="G140" s="23">
        <v>5.9855233068706001E-6</v>
      </c>
      <c r="H140" s="23">
        <v>119.710466137412</v>
      </c>
      <c r="I140" s="23">
        <v>0</v>
      </c>
      <c r="J140" s="23" t="s">
        <v>85</v>
      </c>
      <c r="K140" s="24">
        <v>44939.000003900466</v>
      </c>
      <c r="L140" s="23">
        <v>1</v>
      </c>
      <c r="M140" s="23" t="s">
        <v>20</v>
      </c>
      <c r="N140" s="25">
        <v>0</v>
      </c>
      <c r="O140" s="26" t="str">
        <f t="shared" si="53"/>
        <v>COIN</v>
      </c>
      <c r="P140" s="26" t="str">
        <f t="shared" si="55"/>
        <v>LONG</v>
      </c>
      <c r="Q140" s="26" t="str">
        <f t="shared" si="56"/>
        <v>COIN LONG</v>
      </c>
      <c r="R140" s="26">
        <v>0</v>
      </c>
      <c r="S140" s="26">
        <v>0</v>
      </c>
      <c r="T140" s="26">
        <v>0</v>
      </c>
      <c r="U140" s="26">
        <v>0</v>
      </c>
      <c r="V140" s="23" t="str">
        <f t="shared" si="54"/>
        <v>FUB2</v>
      </c>
      <c r="W140" t="str">
        <f t="shared" si="57"/>
        <v>BCH COIN LONG</v>
      </c>
      <c r="X140" s="88" t="s">
        <v>264</v>
      </c>
      <c r="Y140" t="s">
        <v>109</v>
      </c>
      <c r="Z140">
        <v>373.36560302000004</v>
      </c>
      <c r="AA140">
        <v>8918.2142614570021</v>
      </c>
    </row>
    <row r="141" spans="1:27" x14ac:dyDescent="0.25">
      <c r="A141">
        <v>182</v>
      </c>
      <c r="B141" s="71">
        <v>44939.000003900466</v>
      </c>
      <c r="C141" s="14" t="s">
        <v>39</v>
      </c>
      <c r="D141" s="23" t="s">
        <v>111</v>
      </c>
      <c r="E141" s="23" t="s">
        <v>113</v>
      </c>
      <c r="F141" s="23">
        <v>0.47315189000000002</v>
      </c>
      <c r="G141" s="23">
        <v>19.942399223761299</v>
      </c>
      <c r="H141" s="23">
        <v>42.1479859749927</v>
      </c>
      <c r="I141" s="23">
        <v>0</v>
      </c>
      <c r="J141" s="23" t="s">
        <v>85</v>
      </c>
      <c r="K141" s="24">
        <v>44939.000003900466</v>
      </c>
      <c r="L141" s="23">
        <v>1</v>
      </c>
      <c r="M141" s="23" t="s">
        <v>113</v>
      </c>
      <c r="N141" s="25">
        <v>0</v>
      </c>
      <c r="O141" s="26" t="str">
        <f t="shared" si="53"/>
        <v>COIN</v>
      </c>
      <c r="P141" s="26" t="str">
        <f t="shared" si="55"/>
        <v>LONG</v>
      </c>
      <c r="Q141" s="26" t="str">
        <f t="shared" si="56"/>
        <v>COIN LONG</v>
      </c>
      <c r="R141" s="26">
        <v>0</v>
      </c>
      <c r="S141" s="26">
        <v>0</v>
      </c>
      <c r="T141" s="26">
        <v>0</v>
      </c>
      <c r="U141" s="26">
        <v>0</v>
      </c>
      <c r="V141" s="23" t="str">
        <f t="shared" si="54"/>
        <v>FUB2</v>
      </c>
      <c r="W141" t="str">
        <f t="shared" si="57"/>
        <v>BSV COIN LONG</v>
      </c>
      <c r="X141" s="88" t="s">
        <v>264</v>
      </c>
      <c r="Y141" t="s">
        <v>134</v>
      </c>
      <c r="Z141">
        <v>54.776400000000002</v>
      </c>
      <c r="AA141">
        <v>127.29426634981481</v>
      </c>
    </row>
    <row r="142" spans="1:27" x14ac:dyDescent="0.25">
      <c r="A142">
        <v>183</v>
      </c>
      <c r="B142" s="71">
        <v>44939.000003900466</v>
      </c>
      <c r="C142" s="14" t="s">
        <v>39</v>
      </c>
      <c r="D142" s="23" t="s">
        <v>111</v>
      </c>
      <c r="E142" s="23" t="s">
        <v>14</v>
      </c>
      <c r="F142" s="23">
        <v>4.0000000000000001E-8</v>
      </c>
      <c r="G142" s="23">
        <v>7.5478352221062302E-4</v>
      </c>
      <c r="H142" s="23">
        <v>18869.5880552655</v>
      </c>
      <c r="I142" s="23">
        <v>0</v>
      </c>
      <c r="J142" s="23" t="s">
        <v>85</v>
      </c>
      <c r="K142" s="24">
        <v>44939.000003900466</v>
      </c>
      <c r="L142" s="23">
        <v>1</v>
      </c>
      <c r="M142" s="23" t="s">
        <v>14</v>
      </c>
      <c r="N142" s="25">
        <v>0</v>
      </c>
      <c r="O142" s="26" t="str">
        <f t="shared" si="53"/>
        <v>COIN</v>
      </c>
      <c r="P142" s="26" t="str">
        <f t="shared" si="55"/>
        <v>LONG</v>
      </c>
      <c r="Q142" s="26" t="str">
        <f t="shared" si="56"/>
        <v>COIN LONG</v>
      </c>
      <c r="R142" s="26">
        <v>0</v>
      </c>
      <c r="S142" s="26">
        <v>0</v>
      </c>
      <c r="T142" s="26">
        <v>0</v>
      </c>
      <c r="U142" s="26">
        <v>0</v>
      </c>
      <c r="V142" s="23" t="str">
        <f t="shared" si="54"/>
        <v>FUB2</v>
      </c>
      <c r="W142" t="str">
        <f t="shared" si="57"/>
        <v>BTC COIN LONG</v>
      </c>
      <c r="X142" s="88" t="s">
        <v>264</v>
      </c>
      <c r="Y142" t="s">
        <v>177</v>
      </c>
      <c r="Z142">
        <v>0.01</v>
      </c>
      <c r="AA142">
        <v>1.08497E-2</v>
      </c>
    </row>
    <row r="143" spans="1:27" x14ac:dyDescent="0.25">
      <c r="A143">
        <v>184</v>
      </c>
      <c r="B143" s="71">
        <v>44939.000003900466</v>
      </c>
      <c r="C143" s="14" t="s">
        <v>39</v>
      </c>
      <c r="D143" s="23" t="s">
        <v>111</v>
      </c>
      <c r="E143" s="23" t="s">
        <v>23</v>
      </c>
      <c r="F143" s="23">
        <v>2.9999999999999997E-8</v>
      </c>
      <c r="G143" s="23">
        <v>2.9707274304208201E-8</v>
      </c>
      <c r="H143" s="23">
        <v>0.990242476806942</v>
      </c>
      <c r="I143" s="23">
        <v>0</v>
      </c>
      <c r="J143" s="23" t="s">
        <v>85</v>
      </c>
      <c r="K143" s="24">
        <v>44939.000003900466</v>
      </c>
      <c r="L143" s="23">
        <v>1</v>
      </c>
      <c r="M143" s="23" t="s">
        <v>23</v>
      </c>
      <c r="N143" s="25">
        <v>0</v>
      </c>
      <c r="O143" s="26" t="str">
        <f t="shared" si="53"/>
        <v>COIN</v>
      </c>
      <c r="P143" s="26" t="str">
        <f t="shared" si="55"/>
        <v>LONG</v>
      </c>
      <c r="Q143" s="26" t="str">
        <f t="shared" si="56"/>
        <v>COIN LONG</v>
      </c>
      <c r="R143" s="26">
        <v>0</v>
      </c>
      <c r="S143" s="26">
        <v>0</v>
      </c>
      <c r="T143" s="26">
        <v>0</v>
      </c>
      <c r="U143" s="26">
        <v>0</v>
      </c>
      <c r="V143" s="23" t="str">
        <f t="shared" si="54"/>
        <v>FUB2</v>
      </c>
      <c r="W143" t="str">
        <f t="shared" si="57"/>
        <v>EOS COIN LONG</v>
      </c>
      <c r="X143" s="88" t="s">
        <v>264</v>
      </c>
      <c r="Y143" t="s">
        <v>135</v>
      </c>
      <c r="Z143">
        <v>179.99391381000001</v>
      </c>
      <c r="AA143">
        <v>11.009141611496903</v>
      </c>
    </row>
    <row r="144" spans="1:27" x14ac:dyDescent="0.25">
      <c r="A144">
        <v>185</v>
      </c>
      <c r="B144" s="71">
        <v>44939.000003900466</v>
      </c>
      <c r="C144" s="14" t="s">
        <v>39</v>
      </c>
      <c r="D144" s="23" t="s">
        <v>111</v>
      </c>
      <c r="E144" s="23" t="s">
        <v>29</v>
      </c>
      <c r="F144" s="23">
        <v>1E-8</v>
      </c>
      <c r="G144" s="23">
        <v>2.0917758217744E-7</v>
      </c>
      <c r="H144" s="23">
        <v>20.917758217744002</v>
      </c>
      <c r="I144" s="23">
        <v>0</v>
      </c>
      <c r="J144" s="23" t="s">
        <v>85</v>
      </c>
      <c r="K144" s="24">
        <v>44939.000003900466</v>
      </c>
      <c r="L144" s="23">
        <v>1</v>
      </c>
      <c r="M144" s="23" t="s">
        <v>29</v>
      </c>
      <c r="N144" s="25">
        <v>0</v>
      </c>
      <c r="O144" s="26" t="str">
        <f t="shared" si="53"/>
        <v>COIN</v>
      </c>
      <c r="P144" s="26" t="str">
        <f t="shared" si="55"/>
        <v>LONG</v>
      </c>
      <c r="Q144" s="26" t="str">
        <f t="shared" si="56"/>
        <v>COIN LONG</v>
      </c>
      <c r="R144" s="26">
        <v>0</v>
      </c>
      <c r="S144" s="26">
        <v>0</v>
      </c>
      <c r="T144" s="26">
        <v>0</v>
      </c>
      <c r="U144" s="26">
        <v>0</v>
      </c>
      <c r="V144" s="23" t="str">
        <f t="shared" si="54"/>
        <v>FUB2</v>
      </c>
      <c r="W144" t="str">
        <f t="shared" si="57"/>
        <v>ETC COIN LONG</v>
      </c>
      <c r="X144" s="88" t="s">
        <v>264</v>
      </c>
      <c r="Y144" t="s">
        <v>136</v>
      </c>
      <c r="Z144">
        <v>5337.6979873099999</v>
      </c>
      <c r="AA144">
        <v>8.4531247054946803</v>
      </c>
    </row>
    <row r="145" spans="1:27" x14ac:dyDescent="0.25">
      <c r="A145">
        <v>186</v>
      </c>
      <c r="B145" s="71">
        <v>44939.000003900466</v>
      </c>
      <c r="C145" s="14" t="s">
        <v>39</v>
      </c>
      <c r="D145" s="23" t="s">
        <v>111</v>
      </c>
      <c r="E145" s="23" t="s">
        <v>15</v>
      </c>
      <c r="F145" s="23">
        <v>2.9999999999999997E-8</v>
      </c>
      <c r="G145" s="23">
        <v>4.2538155693336497E-5</v>
      </c>
      <c r="H145" s="23">
        <v>1417.9385231112101</v>
      </c>
      <c r="I145" s="23">
        <v>0</v>
      </c>
      <c r="J145" s="23" t="s">
        <v>85</v>
      </c>
      <c r="K145" s="24">
        <v>44939.000003900466</v>
      </c>
      <c r="L145" s="23">
        <v>1</v>
      </c>
      <c r="M145" s="23" t="s">
        <v>15</v>
      </c>
      <c r="N145" s="25">
        <v>0</v>
      </c>
      <c r="O145" s="26" t="str">
        <f t="shared" si="53"/>
        <v>COIN</v>
      </c>
      <c r="P145" s="26" t="str">
        <f t="shared" si="55"/>
        <v>LONG</v>
      </c>
      <c r="Q145" s="26" t="str">
        <f t="shared" si="56"/>
        <v>COIN LONG</v>
      </c>
      <c r="R145" s="26">
        <v>0</v>
      </c>
      <c r="S145" s="26">
        <v>0</v>
      </c>
      <c r="T145" s="26">
        <v>0</v>
      </c>
      <c r="U145" s="26">
        <v>0</v>
      </c>
      <c r="V145" s="23" t="str">
        <f t="shared" si="54"/>
        <v>FUB2</v>
      </c>
      <c r="W145" t="str">
        <f t="shared" si="57"/>
        <v>ETH COIN LONG</v>
      </c>
      <c r="X145" s="88" t="s">
        <v>264</v>
      </c>
      <c r="Y145" t="s">
        <v>137</v>
      </c>
      <c r="Z145">
        <v>3088.7295768600002</v>
      </c>
      <c r="AA145">
        <v>14134.37101617967</v>
      </c>
    </row>
    <row r="146" spans="1:27" x14ac:dyDescent="0.25">
      <c r="A146">
        <v>187</v>
      </c>
      <c r="B146" s="71">
        <v>44939.000003900466</v>
      </c>
      <c r="C146" s="14" t="s">
        <v>39</v>
      </c>
      <c r="D146" s="23" t="s">
        <v>111</v>
      </c>
      <c r="E146" s="23" t="s">
        <v>24</v>
      </c>
      <c r="F146" s="23">
        <v>1E-8</v>
      </c>
      <c r="G146" s="23">
        <v>8.5964229450756099E-7</v>
      </c>
      <c r="H146" s="23">
        <v>85.964229450756093</v>
      </c>
      <c r="I146" s="23">
        <v>0</v>
      </c>
      <c r="J146" s="23" t="s">
        <v>85</v>
      </c>
      <c r="K146" s="24">
        <v>44939.000003900466</v>
      </c>
      <c r="L146" s="23">
        <v>1</v>
      </c>
      <c r="M146" s="23" t="s">
        <v>24</v>
      </c>
      <c r="N146" s="25">
        <v>0</v>
      </c>
      <c r="O146" s="26" t="str">
        <f t="shared" si="53"/>
        <v>COIN</v>
      </c>
      <c r="P146" s="26" t="str">
        <f t="shared" si="55"/>
        <v>LONG</v>
      </c>
      <c r="Q146" s="26" t="str">
        <f t="shared" si="56"/>
        <v>COIN LONG</v>
      </c>
      <c r="R146" s="26">
        <v>0</v>
      </c>
      <c r="S146" s="26">
        <v>0</v>
      </c>
      <c r="T146" s="26">
        <v>0</v>
      </c>
      <c r="U146" s="26">
        <v>0</v>
      </c>
      <c r="V146" s="23" t="str">
        <f t="shared" si="54"/>
        <v>FUB2</v>
      </c>
      <c r="W146" t="str">
        <f t="shared" si="57"/>
        <v>LTC COIN LONG</v>
      </c>
      <c r="X146" s="88" t="s">
        <v>264</v>
      </c>
      <c r="Y146" t="s">
        <v>138</v>
      </c>
      <c r="Z146">
        <v>1359.5942366199999</v>
      </c>
      <c r="AA146">
        <v>1352.2148489706301</v>
      </c>
    </row>
    <row r="147" spans="1:27" x14ac:dyDescent="0.25">
      <c r="A147">
        <v>188</v>
      </c>
      <c r="B147" s="71">
        <v>44939.000003900466</v>
      </c>
      <c r="C147" s="14" t="s">
        <v>39</v>
      </c>
      <c r="D147" s="23" t="s">
        <v>111</v>
      </c>
      <c r="E147" s="23" t="s">
        <v>25</v>
      </c>
      <c r="F147" s="23">
        <v>1E-8</v>
      </c>
      <c r="G147" s="23">
        <v>5.7111199630631599E-10</v>
      </c>
      <c r="H147" s="23">
        <v>5.7111199630631597E-2</v>
      </c>
      <c r="I147" s="23">
        <v>0</v>
      </c>
      <c r="J147" s="23" t="s">
        <v>85</v>
      </c>
      <c r="K147" s="24">
        <v>44939.000003900466</v>
      </c>
      <c r="L147" s="23">
        <v>1</v>
      </c>
      <c r="M147" s="23" t="s">
        <v>25</v>
      </c>
      <c r="N147" s="25">
        <v>0</v>
      </c>
      <c r="O147" s="26" t="str">
        <f t="shared" si="53"/>
        <v>COIN</v>
      </c>
      <c r="P147" s="26" t="str">
        <f t="shared" si="55"/>
        <v>LONG</v>
      </c>
      <c r="Q147" s="26" t="str">
        <f t="shared" si="56"/>
        <v>COIN LONG</v>
      </c>
      <c r="R147" s="26">
        <v>0</v>
      </c>
      <c r="S147" s="26">
        <v>0</v>
      </c>
      <c r="T147" s="26">
        <v>0</v>
      </c>
      <c r="U147" s="26">
        <v>0</v>
      </c>
      <c r="V147" s="23" t="str">
        <f t="shared" si="54"/>
        <v>FUB2</v>
      </c>
      <c r="W147" t="str">
        <f t="shared" si="57"/>
        <v>TRX COIN LONG</v>
      </c>
      <c r="X147" s="88" t="s">
        <v>264</v>
      </c>
      <c r="Y147" t="s">
        <v>139</v>
      </c>
      <c r="Z147">
        <v>14.785856219999999</v>
      </c>
      <c r="AA147">
        <v>0.18117663602085951</v>
      </c>
    </row>
    <row r="148" spans="1:27" x14ac:dyDescent="0.25">
      <c r="A148">
        <v>189</v>
      </c>
      <c r="B148" s="71">
        <v>44939.000003900466</v>
      </c>
      <c r="C148" s="14" t="s">
        <v>39</v>
      </c>
      <c r="D148" s="23" t="s">
        <v>111</v>
      </c>
      <c r="E148" s="23" t="s">
        <v>99</v>
      </c>
      <c r="F148" s="23">
        <v>9.9999999999999995E-8</v>
      </c>
      <c r="G148" s="23">
        <v>3.7519714224190102E-8</v>
      </c>
      <c r="H148" s="23">
        <v>0.37519714224190098</v>
      </c>
      <c r="I148" s="23">
        <v>0</v>
      </c>
      <c r="J148" s="23" t="s">
        <v>85</v>
      </c>
      <c r="K148" s="24">
        <v>44939.000003900466</v>
      </c>
      <c r="L148" s="23">
        <v>1</v>
      </c>
      <c r="M148" s="23" t="s">
        <v>99</v>
      </c>
      <c r="N148" s="25">
        <v>0</v>
      </c>
      <c r="O148" s="26" t="str">
        <f t="shared" si="53"/>
        <v>COIN</v>
      </c>
      <c r="P148" s="26" t="str">
        <f t="shared" si="55"/>
        <v>LONG</v>
      </c>
      <c r="Q148" s="26" t="str">
        <f t="shared" si="56"/>
        <v>COIN LONG</v>
      </c>
      <c r="R148" s="26">
        <v>0</v>
      </c>
      <c r="S148" s="26">
        <v>0</v>
      </c>
      <c r="T148" s="26">
        <v>0</v>
      </c>
      <c r="U148" s="26">
        <v>0</v>
      </c>
      <c r="V148" s="23" t="str">
        <f t="shared" si="54"/>
        <v>FUB2</v>
      </c>
      <c r="W148" t="str">
        <f t="shared" si="57"/>
        <v>XRP COIN LONG</v>
      </c>
      <c r="X148" s="88" t="s">
        <v>264</v>
      </c>
      <c r="Y148" t="s">
        <v>140</v>
      </c>
      <c r="Z148">
        <v>0.81765067999999996</v>
      </c>
      <c r="AA148">
        <v>1.5716179580964159E-2</v>
      </c>
    </row>
    <row r="149" spans="1:27" x14ac:dyDescent="0.25">
      <c r="A149">
        <v>190</v>
      </c>
      <c r="B149" s="71">
        <v>44939.000004780093</v>
      </c>
      <c r="C149" s="14" t="s">
        <v>39</v>
      </c>
      <c r="D149" s="23" t="s">
        <v>40</v>
      </c>
      <c r="E149" s="23" t="s">
        <v>84</v>
      </c>
      <c r="F149" s="23">
        <v>5.7406599999999999E-3</v>
      </c>
      <c r="G149" s="23">
        <v>1.8930312856203001E-3</v>
      </c>
      <c r="H149" s="23">
        <v>0.329758474743375</v>
      </c>
      <c r="I149" s="23">
        <v>0</v>
      </c>
      <c r="J149" s="23" t="s">
        <v>85</v>
      </c>
      <c r="K149" s="24">
        <v>44939.000004780093</v>
      </c>
      <c r="L149" s="23">
        <v>1</v>
      </c>
      <c r="M149" s="23" t="s">
        <v>84</v>
      </c>
      <c r="N149" s="25">
        <v>0</v>
      </c>
      <c r="O149" s="26" t="str">
        <f t="shared" si="53"/>
        <v>COIN</v>
      </c>
      <c r="P149" s="26" t="str">
        <f t="shared" si="55"/>
        <v>LONG</v>
      </c>
      <c r="Q149" s="26" t="str">
        <f t="shared" si="56"/>
        <v>COIN LONG</v>
      </c>
      <c r="R149" s="26">
        <v>0</v>
      </c>
      <c r="S149" s="26">
        <v>0</v>
      </c>
      <c r="T149" s="26">
        <v>0</v>
      </c>
      <c r="U149" s="26">
        <v>0</v>
      </c>
      <c r="V149" s="23" t="str">
        <f t="shared" si="54"/>
        <v>FUBI</v>
      </c>
      <c r="W149" t="str">
        <f t="shared" si="57"/>
        <v>ADA COIN LONG</v>
      </c>
      <c r="X149" s="88" t="s">
        <v>264</v>
      </c>
      <c r="Y149" t="s">
        <v>141</v>
      </c>
      <c r="Z149">
        <v>9.1121815000000002</v>
      </c>
      <c r="AA149">
        <v>0.2292315276634474</v>
      </c>
    </row>
    <row r="150" spans="1:27" x14ac:dyDescent="0.25">
      <c r="A150">
        <v>191</v>
      </c>
      <c r="B150" s="71">
        <v>44939.000004780093</v>
      </c>
      <c r="C150" s="14" t="s">
        <v>39</v>
      </c>
      <c r="D150" s="23" t="s">
        <v>40</v>
      </c>
      <c r="E150" s="23" t="s">
        <v>20</v>
      </c>
      <c r="F150" s="23">
        <v>0.72885027999999996</v>
      </c>
      <c r="G150" s="23">
        <v>87.251006763183298</v>
      </c>
      <c r="H150" s="23">
        <v>119.710466137412</v>
      </c>
      <c r="I150" s="23">
        <v>0</v>
      </c>
      <c r="J150" s="23" t="s">
        <v>85</v>
      </c>
      <c r="K150" s="24">
        <v>44939.000004780093</v>
      </c>
      <c r="L150" s="23">
        <v>1</v>
      </c>
      <c r="M150" s="23" t="s">
        <v>20</v>
      </c>
      <c r="N150" s="25">
        <v>0</v>
      </c>
      <c r="O150" s="26" t="str">
        <f t="shared" si="53"/>
        <v>COIN</v>
      </c>
      <c r="P150" s="26" t="str">
        <f t="shared" si="55"/>
        <v>LONG</v>
      </c>
      <c r="Q150" s="26" t="str">
        <f t="shared" si="56"/>
        <v>COIN LONG</v>
      </c>
      <c r="R150" s="26">
        <v>0</v>
      </c>
      <c r="S150" s="26">
        <v>0</v>
      </c>
      <c r="T150" s="26">
        <v>0</v>
      </c>
      <c r="U150" s="26">
        <v>0</v>
      </c>
      <c r="V150" s="23" t="str">
        <f t="shared" si="54"/>
        <v>FUBI</v>
      </c>
      <c r="W150" t="str">
        <f t="shared" si="57"/>
        <v>BCH COIN LONG</v>
      </c>
      <c r="X150" s="88" t="s">
        <v>264</v>
      </c>
      <c r="Y150" t="s">
        <v>43</v>
      </c>
      <c r="Z150">
        <v>6291.1329799499999</v>
      </c>
      <c r="AA150">
        <v>265583.54355209204</v>
      </c>
    </row>
    <row r="151" spans="1:27" x14ac:dyDescent="0.25">
      <c r="A151">
        <v>192</v>
      </c>
      <c r="B151" s="71">
        <v>44939.000004780093</v>
      </c>
      <c r="C151" s="14" t="s">
        <v>39</v>
      </c>
      <c r="D151" s="23" t="s">
        <v>40</v>
      </c>
      <c r="E151" s="23" t="s">
        <v>113</v>
      </c>
      <c r="F151" s="23">
        <v>0.11285791000000001</v>
      </c>
      <c r="G151" s="23">
        <v>4.7567336078469902</v>
      </c>
      <c r="H151" s="23">
        <v>42.1479859749927</v>
      </c>
      <c r="I151" s="23">
        <v>0</v>
      </c>
      <c r="J151" s="23" t="s">
        <v>85</v>
      </c>
      <c r="K151" s="24">
        <v>44939.000004780093</v>
      </c>
      <c r="L151" s="23">
        <v>1</v>
      </c>
      <c r="M151" s="23" t="s">
        <v>113</v>
      </c>
      <c r="N151" s="25">
        <v>0</v>
      </c>
      <c r="O151" s="26" t="str">
        <f t="shared" si="53"/>
        <v>COIN</v>
      </c>
      <c r="P151" s="26" t="str">
        <f t="shared" si="55"/>
        <v>LONG</v>
      </c>
      <c r="Q151" s="26" t="str">
        <f t="shared" si="56"/>
        <v>COIN LONG</v>
      </c>
      <c r="R151" s="26">
        <v>0</v>
      </c>
      <c r="S151" s="26">
        <v>0</v>
      </c>
      <c r="T151" s="26">
        <v>0</v>
      </c>
      <c r="U151" s="26">
        <v>0</v>
      </c>
      <c r="V151" s="23" t="str">
        <f t="shared" si="54"/>
        <v>FUBI</v>
      </c>
      <c r="W151" t="str">
        <f t="shared" si="57"/>
        <v>BSV COIN LONG</v>
      </c>
      <c r="X151" s="88" t="s">
        <v>264</v>
      </c>
      <c r="Y151" t="s">
        <v>142</v>
      </c>
      <c r="Z151">
        <v>0.24234807999999999</v>
      </c>
      <c r="AA151">
        <v>3.7006964899306642E-4</v>
      </c>
    </row>
    <row r="152" spans="1:27" x14ac:dyDescent="0.25">
      <c r="A152">
        <v>193</v>
      </c>
      <c r="B152" s="71">
        <v>44939.000004780093</v>
      </c>
      <c r="C152" s="14" t="s">
        <v>39</v>
      </c>
      <c r="D152" s="23" t="s">
        <v>40</v>
      </c>
      <c r="E152" s="23" t="s">
        <v>14</v>
      </c>
      <c r="F152" s="23">
        <v>5.1900000000000003E-6</v>
      </c>
      <c r="G152" s="23">
        <v>9.7933162006828306E-2</v>
      </c>
      <c r="H152" s="23">
        <v>18869.5880552655</v>
      </c>
      <c r="I152" s="23">
        <v>0</v>
      </c>
      <c r="J152" s="23" t="s">
        <v>85</v>
      </c>
      <c r="K152" s="24">
        <v>44939.000004780093</v>
      </c>
      <c r="L152" s="23">
        <v>1</v>
      </c>
      <c r="M152" s="23" t="s">
        <v>14</v>
      </c>
      <c r="N152" s="25">
        <v>0</v>
      </c>
      <c r="O152" s="26" t="str">
        <f t="shared" si="53"/>
        <v>COIN</v>
      </c>
      <c r="P152" s="26" t="str">
        <f t="shared" si="55"/>
        <v>LONG</v>
      </c>
      <c r="Q152" s="26" t="str">
        <f t="shared" si="56"/>
        <v>COIN LONG</v>
      </c>
      <c r="R152" s="26">
        <v>0</v>
      </c>
      <c r="S152" s="26">
        <v>0</v>
      </c>
      <c r="T152" s="26">
        <v>0</v>
      </c>
      <c r="U152" s="26">
        <v>0</v>
      </c>
      <c r="V152" s="23" t="str">
        <f t="shared" si="54"/>
        <v>FUBI</v>
      </c>
      <c r="W152" t="str">
        <f t="shared" si="57"/>
        <v>BTC COIN LONG</v>
      </c>
      <c r="X152" s="88" t="s">
        <v>264</v>
      </c>
      <c r="Y152" t="s">
        <v>143</v>
      </c>
      <c r="Z152">
        <v>1E-8</v>
      </c>
      <c r="AA152">
        <v>0</v>
      </c>
    </row>
    <row r="153" spans="1:27" x14ac:dyDescent="0.25">
      <c r="A153">
        <v>194</v>
      </c>
      <c r="B153" s="71">
        <v>44939.000004780093</v>
      </c>
      <c r="C153" s="14" t="s">
        <v>39</v>
      </c>
      <c r="D153" s="23" t="s">
        <v>40</v>
      </c>
      <c r="E153" s="23" t="s">
        <v>22</v>
      </c>
      <c r="F153" s="23">
        <v>0.97764076</v>
      </c>
      <c r="G153" s="23">
        <v>5.1125507867595497</v>
      </c>
      <c r="H153" s="23">
        <v>5.2294779390740098</v>
      </c>
      <c r="I153" s="23">
        <v>0</v>
      </c>
      <c r="J153" s="23" t="s">
        <v>85</v>
      </c>
      <c r="K153" s="24">
        <v>44939.000004780093</v>
      </c>
      <c r="L153" s="23">
        <v>1</v>
      </c>
      <c r="M153" s="23" t="s">
        <v>22</v>
      </c>
      <c r="N153" s="25">
        <v>0</v>
      </c>
      <c r="O153" s="26" t="str">
        <f t="shared" si="53"/>
        <v>COIN</v>
      </c>
      <c r="P153" s="26" t="str">
        <f t="shared" si="55"/>
        <v>LONG</v>
      </c>
      <c r="Q153" s="26" t="str">
        <f t="shared" si="56"/>
        <v>COIN LONG</v>
      </c>
      <c r="R153" s="26">
        <v>0</v>
      </c>
      <c r="S153" s="26">
        <v>0</v>
      </c>
      <c r="T153" s="26">
        <v>0</v>
      </c>
      <c r="U153" s="26">
        <v>0</v>
      </c>
      <c r="V153" s="23" t="str">
        <f t="shared" si="54"/>
        <v>FUBI</v>
      </c>
      <c r="W153" t="str">
        <f t="shared" si="57"/>
        <v>DOT COIN LONG</v>
      </c>
      <c r="X153" s="88" t="s">
        <v>264</v>
      </c>
      <c r="Y153" t="s">
        <v>27</v>
      </c>
      <c r="Z153">
        <v>7692.5276523000066</v>
      </c>
      <c r="AA153">
        <v>57291.013688313673</v>
      </c>
    </row>
    <row r="154" spans="1:27" x14ac:dyDescent="0.25">
      <c r="A154">
        <v>195</v>
      </c>
      <c r="B154" s="71">
        <v>44939.000004780093</v>
      </c>
      <c r="C154" s="14" t="s">
        <v>39</v>
      </c>
      <c r="D154" s="23" t="s">
        <v>40</v>
      </c>
      <c r="E154" s="23" t="s">
        <v>23</v>
      </c>
      <c r="F154" s="23">
        <v>3.7085149999999997E-2</v>
      </c>
      <c r="G154" s="23">
        <v>3.6723290788756899E-2</v>
      </c>
      <c r="H154" s="23">
        <v>0.990242476806942</v>
      </c>
      <c r="I154" s="23">
        <v>0</v>
      </c>
      <c r="J154" s="23" t="s">
        <v>85</v>
      </c>
      <c r="K154" s="24">
        <v>44939.000004780093</v>
      </c>
      <c r="L154" s="23">
        <v>1</v>
      </c>
      <c r="M154" s="23" t="s">
        <v>23</v>
      </c>
      <c r="N154" s="25">
        <v>0</v>
      </c>
      <c r="O154" s="26" t="str">
        <f t="shared" si="53"/>
        <v>COIN</v>
      </c>
      <c r="P154" s="26" t="str">
        <f t="shared" si="55"/>
        <v>LONG</v>
      </c>
      <c r="Q154" s="26" t="str">
        <f t="shared" si="56"/>
        <v>COIN LONG</v>
      </c>
      <c r="R154" s="26">
        <v>0</v>
      </c>
      <c r="S154" s="26">
        <v>0</v>
      </c>
      <c r="T154" s="26">
        <v>0</v>
      </c>
      <c r="U154" s="26">
        <v>0</v>
      </c>
      <c r="V154" s="23" t="str">
        <f t="shared" si="54"/>
        <v>FUBI</v>
      </c>
      <c r="W154" t="str">
        <f t="shared" si="57"/>
        <v>EOS COIN LONG</v>
      </c>
      <c r="X154" s="88" t="s">
        <v>264</v>
      </c>
      <c r="Y154" t="s">
        <v>144</v>
      </c>
      <c r="Z154">
        <v>4.3289484800000002</v>
      </c>
      <c r="AA154">
        <v>8.0789332993994015E-7</v>
      </c>
    </row>
    <row r="155" spans="1:27" x14ac:dyDescent="0.25">
      <c r="A155">
        <v>196</v>
      </c>
      <c r="B155" s="71">
        <v>44939.000004780093</v>
      </c>
      <c r="C155" s="14" t="s">
        <v>39</v>
      </c>
      <c r="D155" s="23" t="s">
        <v>40</v>
      </c>
      <c r="E155" s="23" t="s">
        <v>29</v>
      </c>
      <c r="F155" s="23">
        <v>0.70701212999999996</v>
      </c>
      <c r="G155" s="23">
        <v>14.7891087923522</v>
      </c>
      <c r="H155" s="23">
        <v>20.917758217744002</v>
      </c>
      <c r="I155" s="23">
        <v>0</v>
      </c>
      <c r="J155" s="23" t="s">
        <v>85</v>
      </c>
      <c r="K155" s="24">
        <v>44939.000004780093</v>
      </c>
      <c r="L155" s="23">
        <v>1</v>
      </c>
      <c r="M155" s="23" t="s">
        <v>29</v>
      </c>
      <c r="N155" s="25">
        <v>0</v>
      </c>
      <c r="O155" s="26" t="str">
        <f t="shared" si="53"/>
        <v>COIN</v>
      </c>
      <c r="P155" s="26" t="str">
        <f t="shared" si="55"/>
        <v>LONG</v>
      </c>
      <c r="Q155" s="26" t="str">
        <f t="shared" si="56"/>
        <v>COIN LONG</v>
      </c>
      <c r="R155" s="26">
        <v>0</v>
      </c>
      <c r="S155" s="26">
        <v>0</v>
      </c>
      <c r="T155" s="26">
        <v>0</v>
      </c>
      <c r="U155" s="26">
        <v>0</v>
      </c>
      <c r="V155" s="23" t="str">
        <f t="shared" si="54"/>
        <v>FUBI</v>
      </c>
      <c r="W155" t="str">
        <f t="shared" si="57"/>
        <v>ETC COIN LONG</v>
      </c>
      <c r="X155" s="88" t="s">
        <v>264</v>
      </c>
      <c r="Y155" t="s">
        <v>24</v>
      </c>
      <c r="Z155">
        <v>-345.69371338999917</v>
      </c>
      <c r="AA155">
        <v>-19044.167512762433</v>
      </c>
    </row>
    <row r="156" spans="1:27" x14ac:dyDescent="0.25">
      <c r="A156">
        <v>197</v>
      </c>
      <c r="B156" s="71">
        <v>44939.000004780093</v>
      </c>
      <c r="C156" s="14" t="s">
        <v>39</v>
      </c>
      <c r="D156" s="23" t="s">
        <v>40</v>
      </c>
      <c r="E156" s="23" t="s">
        <v>15</v>
      </c>
      <c r="F156" s="23">
        <v>9.5337999999999998E-4</v>
      </c>
      <c r="G156" s="23">
        <v>1.3518342291637699</v>
      </c>
      <c r="H156" s="23">
        <v>1417.9385231112101</v>
      </c>
      <c r="I156" s="23">
        <v>0</v>
      </c>
      <c r="J156" s="23" t="s">
        <v>85</v>
      </c>
      <c r="K156" s="24">
        <v>44939.000004780093</v>
      </c>
      <c r="L156" s="23">
        <v>1</v>
      </c>
      <c r="M156" s="23" t="s">
        <v>15</v>
      </c>
      <c r="N156" s="25">
        <v>0</v>
      </c>
      <c r="O156" s="26" t="str">
        <f t="shared" si="53"/>
        <v>COIN</v>
      </c>
      <c r="P156" s="26" t="str">
        <f t="shared" si="55"/>
        <v>LONG</v>
      </c>
      <c r="Q156" s="26" t="str">
        <f t="shared" si="56"/>
        <v>COIN LONG</v>
      </c>
      <c r="R156" s="26">
        <v>0</v>
      </c>
      <c r="S156" s="26">
        <v>0</v>
      </c>
      <c r="T156" s="26">
        <v>0</v>
      </c>
      <c r="U156" s="26">
        <v>0</v>
      </c>
      <c r="V156" s="23" t="str">
        <f t="shared" si="54"/>
        <v>FUBI</v>
      </c>
      <c r="W156" t="str">
        <f t="shared" si="57"/>
        <v>ETH COIN LONG</v>
      </c>
      <c r="X156" s="88" t="s">
        <v>264</v>
      </c>
      <c r="Y156" t="s">
        <v>145</v>
      </c>
      <c r="Z156">
        <v>0.66495972999999997</v>
      </c>
      <c r="AA156">
        <v>1.8219559176115059E-4</v>
      </c>
    </row>
    <row r="157" spans="1:27" x14ac:dyDescent="0.25">
      <c r="A157">
        <v>198</v>
      </c>
      <c r="B157" s="71">
        <v>44939.000004780093</v>
      </c>
      <c r="C157" s="14" t="s">
        <v>39</v>
      </c>
      <c r="D157" s="23" t="s">
        <v>40</v>
      </c>
      <c r="E157" s="23" t="s">
        <v>27</v>
      </c>
      <c r="F157" s="23">
        <v>6.244243E-2</v>
      </c>
      <c r="G157" s="23">
        <v>0.39846584876989299</v>
      </c>
      <c r="H157" s="23">
        <v>6.38133155243787</v>
      </c>
      <c r="I157" s="23">
        <v>0</v>
      </c>
      <c r="J157" s="23" t="s">
        <v>85</v>
      </c>
      <c r="K157" s="24">
        <v>44939.000004780093</v>
      </c>
      <c r="L157" s="23">
        <v>1</v>
      </c>
      <c r="M157" s="23" t="s">
        <v>27</v>
      </c>
      <c r="N157" s="25">
        <v>0</v>
      </c>
      <c r="O157" s="26" t="str">
        <f t="shared" si="53"/>
        <v>COIN</v>
      </c>
      <c r="P157" s="26" t="str">
        <f t="shared" si="55"/>
        <v>LONG</v>
      </c>
      <c r="Q157" s="26" t="str">
        <f t="shared" si="56"/>
        <v>COIN LONG</v>
      </c>
      <c r="R157" s="26">
        <v>0</v>
      </c>
      <c r="S157" s="26">
        <v>0</v>
      </c>
      <c r="T157" s="26">
        <v>0</v>
      </c>
      <c r="U157" s="26">
        <v>0</v>
      </c>
      <c r="V157" s="23" t="str">
        <f t="shared" si="54"/>
        <v>FUBI</v>
      </c>
      <c r="W157" t="str">
        <f t="shared" si="57"/>
        <v>LINK COIN LONG</v>
      </c>
      <c r="X157" s="88" t="s">
        <v>264</v>
      </c>
      <c r="Y157" t="s">
        <v>192</v>
      </c>
      <c r="Z157">
        <v>18.366205790000002</v>
      </c>
      <c r="AA157">
        <v>13.251173642597225</v>
      </c>
    </row>
    <row r="158" spans="1:27" x14ac:dyDescent="0.25">
      <c r="A158">
        <v>199</v>
      </c>
      <c r="B158" s="71">
        <v>44939.000004780093</v>
      </c>
      <c r="C158" s="14" t="s">
        <v>39</v>
      </c>
      <c r="D158" s="23" t="s">
        <v>40</v>
      </c>
      <c r="E158" s="23" t="s">
        <v>24</v>
      </c>
      <c r="F158" s="23">
        <v>7.1564416099999999</v>
      </c>
      <c r="G158" s="23">
        <v>615.19798861297795</v>
      </c>
      <c r="H158" s="23">
        <v>85.964229450756093</v>
      </c>
      <c r="I158" s="23">
        <v>0</v>
      </c>
      <c r="J158" s="23" t="s">
        <v>85</v>
      </c>
      <c r="K158" s="24">
        <v>44939.000004780093</v>
      </c>
      <c r="L158" s="23">
        <v>1</v>
      </c>
      <c r="M158" s="23" t="s">
        <v>24</v>
      </c>
      <c r="N158" s="25">
        <v>0</v>
      </c>
      <c r="O158" s="26" t="str">
        <f t="shared" si="53"/>
        <v>COIN</v>
      </c>
      <c r="P158" s="26" t="str">
        <f t="shared" si="55"/>
        <v>LONG</v>
      </c>
      <c r="Q158" s="26" t="str">
        <f t="shared" si="56"/>
        <v>COIN LONG</v>
      </c>
      <c r="R158" s="26">
        <v>0</v>
      </c>
      <c r="S158" s="26">
        <v>0</v>
      </c>
      <c r="T158" s="26">
        <v>0</v>
      </c>
      <c r="U158" s="26">
        <v>0</v>
      </c>
      <c r="V158" s="23" t="str">
        <f t="shared" si="54"/>
        <v>FUBI</v>
      </c>
      <c r="W158" t="str">
        <f t="shared" si="57"/>
        <v>LTC COIN LONG</v>
      </c>
      <c r="X158" s="88" t="s">
        <v>264</v>
      </c>
      <c r="Y158" t="s">
        <v>193</v>
      </c>
      <c r="Z158">
        <v>5.6554146699999999</v>
      </c>
      <c r="AA158">
        <v>4.4039272498622477</v>
      </c>
    </row>
    <row r="159" spans="1:27" x14ac:dyDescent="0.25">
      <c r="A159">
        <v>200</v>
      </c>
      <c r="B159" s="71">
        <v>44939.000004780093</v>
      </c>
      <c r="C159" s="14" t="s">
        <v>39</v>
      </c>
      <c r="D159" s="23" t="s">
        <v>40</v>
      </c>
      <c r="E159" s="23" t="s">
        <v>25</v>
      </c>
      <c r="F159" s="23">
        <v>0.95766242000000001</v>
      </c>
      <c r="G159" s="23">
        <v>5.46932496473738E-2</v>
      </c>
      <c r="H159" s="23">
        <v>5.7111199630631597E-2</v>
      </c>
      <c r="I159" s="23">
        <v>0</v>
      </c>
      <c r="J159" s="23" t="s">
        <v>85</v>
      </c>
      <c r="K159" s="24">
        <v>44939.000004780093</v>
      </c>
      <c r="L159" s="23">
        <v>1</v>
      </c>
      <c r="M159" s="23" t="s">
        <v>25</v>
      </c>
      <c r="N159" s="25">
        <v>0</v>
      </c>
      <c r="O159" s="26" t="str">
        <f t="shared" si="53"/>
        <v>COIN</v>
      </c>
      <c r="P159" s="26" t="str">
        <f t="shared" si="55"/>
        <v>LONG</v>
      </c>
      <c r="Q159" s="26" t="str">
        <f t="shared" si="56"/>
        <v>COIN LONG</v>
      </c>
      <c r="R159" s="26">
        <v>0</v>
      </c>
      <c r="S159" s="26">
        <v>0</v>
      </c>
      <c r="T159" s="26">
        <v>0</v>
      </c>
      <c r="U159" s="26">
        <v>0</v>
      </c>
      <c r="V159" s="23" t="str">
        <f t="shared" si="54"/>
        <v>FUBI</v>
      </c>
      <c r="W159" t="str">
        <f t="shared" si="57"/>
        <v>TRX COIN LONG</v>
      </c>
      <c r="X159" s="88" t="s">
        <v>264</v>
      </c>
      <c r="Y159" t="s">
        <v>146</v>
      </c>
      <c r="Z159">
        <v>0.89105878000000005</v>
      </c>
      <c r="AA159">
        <v>7.627908252550017</v>
      </c>
    </row>
    <row r="160" spans="1:27" x14ac:dyDescent="0.25">
      <c r="A160">
        <v>201</v>
      </c>
      <c r="B160" s="71">
        <v>44939.000004780093</v>
      </c>
      <c r="C160" s="14" t="s">
        <v>39</v>
      </c>
      <c r="D160" s="23" t="s">
        <v>40</v>
      </c>
      <c r="E160" s="23" t="s">
        <v>99</v>
      </c>
      <c r="F160" s="23">
        <v>0.54364484000000002</v>
      </c>
      <c r="G160" s="23">
        <v>0.20397399036255501</v>
      </c>
      <c r="H160" s="23">
        <v>0.37519714224190098</v>
      </c>
      <c r="I160" s="23">
        <v>0</v>
      </c>
      <c r="J160" s="23" t="s">
        <v>85</v>
      </c>
      <c r="K160" s="24">
        <v>44939.000004780093</v>
      </c>
      <c r="L160" s="23">
        <v>1</v>
      </c>
      <c r="M160" s="23" t="s">
        <v>99</v>
      </c>
      <c r="N160" s="25">
        <v>0</v>
      </c>
      <c r="O160" s="26" t="str">
        <f t="shared" si="53"/>
        <v>COIN</v>
      </c>
      <c r="P160" s="26" t="str">
        <f t="shared" si="55"/>
        <v>LONG</v>
      </c>
      <c r="Q160" s="26" t="str">
        <f t="shared" si="56"/>
        <v>COIN LONG</v>
      </c>
      <c r="R160" s="26">
        <v>0</v>
      </c>
      <c r="S160" s="26">
        <v>0</v>
      </c>
      <c r="T160" s="26">
        <v>0</v>
      </c>
      <c r="U160" s="26">
        <v>0</v>
      </c>
      <c r="V160" s="23" t="str">
        <f t="shared" si="54"/>
        <v>FUBI</v>
      </c>
      <c r="W160" t="str">
        <f t="shared" si="57"/>
        <v>XRP COIN LONG</v>
      </c>
      <c r="X160" s="88" t="s">
        <v>264</v>
      </c>
      <c r="Y160" t="s">
        <v>147</v>
      </c>
      <c r="Z160">
        <v>40.704174029999997</v>
      </c>
      <c r="AA160">
        <v>9.115324720024574E-3</v>
      </c>
    </row>
    <row r="161" spans="1:27" x14ac:dyDescent="0.25">
      <c r="A161">
        <v>202</v>
      </c>
      <c r="B161" s="71">
        <v>44939.00000104167</v>
      </c>
      <c r="C161" s="14" t="s">
        <v>295</v>
      </c>
      <c r="D161" s="23" t="s">
        <v>440</v>
      </c>
      <c r="E161" s="23" t="s">
        <v>14</v>
      </c>
      <c r="F161" s="23">
        <v>9.9829999999999998E-5</v>
      </c>
      <c r="G161" s="23">
        <v>1.88375097555716</v>
      </c>
      <c r="H161" s="23">
        <v>18869.5880552655</v>
      </c>
      <c r="I161" s="23">
        <v>0</v>
      </c>
      <c r="J161" s="23" t="s">
        <v>85</v>
      </c>
      <c r="K161" s="24">
        <v>44939.00000104167</v>
      </c>
      <c r="L161" s="23">
        <v>1</v>
      </c>
      <c r="M161" s="23" t="s">
        <v>14</v>
      </c>
      <c r="N161" s="25">
        <v>0</v>
      </c>
      <c r="O161" s="26" t="str">
        <f t="shared" si="53"/>
        <v>COIN</v>
      </c>
      <c r="P161" s="26" t="str">
        <f t="shared" si="55"/>
        <v>LONG</v>
      </c>
      <c r="Q161" s="26" t="str">
        <f t="shared" si="56"/>
        <v>COIN LONG</v>
      </c>
      <c r="R161" s="26">
        <v>0</v>
      </c>
      <c r="S161" s="26">
        <v>0</v>
      </c>
      <c r="T161" s="26">
        <v>0</v>
      </c>
      <c r="U161" s="26">
        <v>0</v>
      </c>
      <c r="V161" s="23" t="str">
        <f t="shared" si="54"/>
        <v>GATE</v>
      </c>
      <c r="W161" t="str">
        <f t="shared" si="57"/>
        <v>BTC COIN LONG</v>
      </c>
      <c r="X161" s="88" t="s">
        <v>264</v>
      </c>
      <c r="Y161" t="s">
        <v>148</v>
      </c>
      <c r="Z161">
        <v>2865623466.2941451</v>
      </c>
      <c r="AA161">
        <v>1538.5266405831569</v>
      </c>
    </row>
    <row r="162" spans="1:27" x14ac:dyDescent="0.25">
      <c r="A162">
        <v>203</v>
      </c>
      <c r="B162" s="71">
        <v>44939.00000104167</v>
      </c>
      <c r="C162" s="14" t="s">
        <v>295</v>
      </c>
      <c r="D162" s="23" t="s">
        <v>440</v>
      </c>
      <c r="E162" s="23" t="s">
        <v>38</v>
      </c>
      <c r="F162" s="23">
        <v>10195.00440553</v>
      </c>
      <c r="G162" s="23">
        <v>10195.9428473716</v>
      </c>
      <c r="H162" s="23">
        <v>1.00009204918451</v>
      </c>
      <c r="I162" s="23">
        <v>0</v>
      </c>
      <c r="J162" s="23" t="s">
        <v>85</v>
      </c>
      <c r="K162" s="24">
        <v>44939.00000104167</v>
      </c>
      <c r="L162" s="23">
        <v>1</v>
      </c>
      <c r="M162" s="23" t="s">
        <v>38</v>
      </c>
      <c r="N162" s="25">
        <v>0</v>
      </c>
      <c r="O162" s="26" t="str">
        <f t="shared" si="53"/>
        <v>COIN</v>
      </c>
      <c r="P162" s="26" t="str">
        <f t="shared" si="55"/>
        <v>LONG</v>
      </c>
      <c r="Q162" s="26" t="str">
        <f t="shared" si="56"/>
        <v>COIN LONG</v>
      </c>
      <c r="R162" s="26">
        <v>0</v>
      </c>
      <c r="S162" s="26">
        <v>0</v>
      </c>
      <c r="T162" s="26">
        <v>0</v>
      </c>
      <c r="U162" s="26">
        <v>0</v>
      </c>
      <c r="V162" s="23" t="str">
        <f t="shared" si="54"/>
        <v>GATE</v>
      </c>
      <c r="W162" t="str">
        <f t="shared" si="57"/>
        <v>USDT COIN LONG</v>
      </c>
      <c r="X162" s="88" t="s">
        <v>264</v>
      </c>
      <c r="Y162" t="s">
        <v>149</v>
      </c>
      <c r="Z162">
        <v>4.3068300000000002E-3</v>
      </c>
      <c r="AA162">
        <v>8.5018229357746702E-4</v>
      </c>
    </row>
    <row r="163" spans="1:27" x14ac:dyDescent="0.25">
      <c r="A163">
        <v>204</v>
      </c>
      <c r="B163" s="71">
        <v>44939.000002858797</v>
      </c>
      <c r="C163" s="14" t="s">
        <v>295</v>
      </c>
      <c r="D163" s="23" t="s">
        <v>289</v>
      </c>
      <c r="E163" s="23" t="s">
        <v>14</v>
      </c>
      <c r="F163" s="23">
        <v>1.899957E-2</v>
      </c>
      <c r="G163" s="23">
        <v>358.51405912718201</v>
      </c>
      <c r="H163" s="23">
        <v>18869.5880552655</v>
      </c>
      <c r="I163" s="23">
        <v>0</v>
      </c>
      <c r="J163" s="23" t="s">
        <v>85</v>
      </c>
      <c r="K163" s="24">
        <v>44939.000002858797</v>
      </c>
      <c r="L163" s="23">
        <v>1</v>
      </c>
      <c r="M163" s="23" t="s">
        <v>14</v>
      </c>
      <c r="N163" s="25">
        <v>0</v>
      </c>
      <c r="O163" s="26" t="str">
        <f t="shared" si="53"/>
        <v>COIN</v>
      </c>
      <c r="P163" s="26" t="str">
        <f t="shared" si="55"/>
        <v>LONG</v>
      </c>
      <c r="Q163" s="26" t="str">
        <f t="shared" si="56"/>
        <v>COIN LONG</v>
      </c>
      <c r="R163" s="26">
        <v>0</v>
      </c>
      <c r="S163" s="26">
        <v>0</v>
      </c>
      <c r="T163" s="26">
        <v>0</v>
      </c>
      <c r="U163" s="26">
        <v>0</v>
      </c>
      <c r="V163" s="23" t="str">
        <f t="shared" si="54"/>
        <v>GATE</v>
      </c>
      <c r="W163" t="str">
        <f t="shared" si="57"/>
        <v>BTC COIN LONG</v>
      </c>
      <c r="X163" s="88" t="s">
        <v>264</v>
      </c>
      <c r="Y163" t="s">
        <v>150</v>
      </c>
      <c r="Z163">
        <v>-70.708739119989332</v>
      </c>
      <c r="AA163">
        <v>-125.10992897331016</v>
      </c>
    </row>
    <row r="164" spans="1:27" x14ac:dyDescent="0.25">
      <c r="A164">
        <v>205</v>
      </c>
      <c r="B164" s="71">
        <v>44939.000002858797</v>
      </c>
      <c r="C164" s="14" t="s">
        <v>295</v>
      </c>
      <c r="D164" s="23" t="s">
        <v>289</v>
      </c>
      <c r="E164" s="23" t="s">
        <v>290</v>
      </c>
      <c r="F164" s="23">
        <v>9.9825000000000001E-4</v>
      </c>
      <c r="G164" s="23">
        <v>3.40920543791141E-4</v>
      </c>
      <c r="H164" s="23">
        <v>0.34151820064226501</v>
      </c>
      <c r="I164" s="23">
        <v>0</v>
      </c>
      <c r="J164" s="23" t="s">
        <v>85</v>
      </c>
      <c r="K164" s="24">
        <v>44939.000002858797</v>
      </c>
      <c r="L164" s="23">
        <v>1</v>
      </c>
      <c r="M164" s="23" t="s">
        <v>290</v>
      </c>
      <c r="N164" s="25">
        <v>0</v>
      </c>
      <c r="O164" s="26" t="str">
        <f t="shared" si="53"/>
        <v>COIN</v>
      </c>
      <c r="P164" s="26" t="str">
        <f t="shared" si="55"/>
        <v>LONG</v>
      </c>
      <c r="Q164" s="26" t="str">
        <f t="shared" si="56"/>
        <v>COIN LONG</v>
      </c>
      <c r="R164" s="26">
        <v>0</v>
      </c>
      <c r="S164" s="26">
        <v>0</v>
      </c>
      <c r="T164" s="26">
        <v>0</v>
      </c>
      <c r="U164" s="26">
        <v>0</v>
      </c>
      <c r="V164" s="23" t="str">
        <f t="shared" si="54"/>
        <v>GATE</v>
      </c>
      <c r="W164" t="str">
        <f t="shared" si="57"/>
        <v>ETHF COIN LONG</v>
      </c>
      <c r="X164" s="88" t="s">
        <v>264</v>
      </c>
      <c r="Y164" t="s">
        <v>151</v>
      </c>
      <c r="Z164">
        <v>0.34782034000000001</v>
      </c>
      <c r="AA164">
        <v>0.1173813626846756</v>
      </c>
    </row>
    <row r="165" spans="1:27" x14ac:dyDescent="0.25">
      <c r="A165">
        <v>206</v>
      </c>
      <c r="B165" s="71">
        <v>44939.000002858797</v>
      </c>
      <c r="C165" s="14" t="s">
        <v>295</v>
      </c>
      <c r="D165" s="23" t="s">
        <v>289</v>
      </c>
      <c r="E165" s="23" t="s">
        <v>272</v>
      </c>
      <c r="F165" s="23">
        <v>9.9825000000000001E-4</v>
      </c>
      <c r="G165" s="23">
        <v>3.42808374820222E-3</v>
      </c>
      <c r="H165" s="23">
        <v>3.43409341167265</v>
      </c>
      <c r="I165" s="23">
        <v>0</v>
      </c>
      <c r="J165" s="23" t="s">
        <v>85</v>
      </c>
      <c r="K165" s="24">
        <v>44939.000002858797</v>
      </c>
      <c r="L165" s="23">
        <v>1</v>
      </c>
      <c r="M165" s="23" t="s">
        <v>272</v>
      </c>
      <c r="N165" s="25">
        <v>0</v>
      </c>
      <c r="O165" s="26" t="str">
        <f t="shared" si="53"/>
        <v>COIN</v>
      </c>
      <c r="P165" s="26" t="str">
        <f t="shared" si="55"/>
        <v>LONG</v>
      </c>
      <c r="Q165" s="26" t="str">
        <f t="shared" si="56"/>
        <v>COIN LONG</v>
      </c>
      <c r="R165" s="26">
        <v>0</v>
      </c>
      <c r="S165" s="26">
        <v>0</v>
      </c>
      <c r="T165" s="26">
        <v>0</v>
      </c>
      <c r="U165" s="26">
        <v>0</v>
      </c>
      <c r="V165" s="23" t="str">
        <f t="shared" si="54"/>
        <v>GATE</v>
      </c>
      <c r="W165" t="str">
        <f t="shared" si="57"/>
        <v>ETHW COIN LONG</v>
      </c>
      <c r="X165" s="88" t="s">
        <v>264</v>
      </c>
      <c r="Y165" t="s">
        <v>256</v>
      </c>
      <c r="Z165">
        <v>5968</v>
      </c>
      <c r="AA165">
        <v>0</v>
      </c>
    </row>
    <row r="166" spans="1:27" x14ac:dyDescent="0.25">
      <c r="A166">
        <v>207</v>
      </c>
      <c r="B166" s="71">
        <v>44939.000002858797</v>
      </c>
      <c r="C166" s="14" t="s">
        <v>295</v>
      </c>
      <c r="D166" s="23" t="s">
        <v>289</v>
      </c>
      <c r="E166" s="23" t="s">
        <v>291</v>
      </c>
      <c r="F166" s="23">
        <v>9.5929999999999998E-5</v>
      </c>
      <c r="G166" s="23">
        <v>4.0479294959959199E-6</v>
      </c>
      <c r="H166" s="23">
        <v>4.2196700677534803E-2</v>
      </c>
      <c r="I166" s="23">
        <v>0</v>
      </c>
      <c r="J166" s="23" t="s">
        <v>85</v>
      </c>
      <c r="K166" s="24">
        <v>44939.000002858797</v>
      </c>
      <c r="L166" s="23">
        <v>1</v>
      </c>
      <c r="M166" s="23" t="s">
        <v>291</v>
      </c>
      <c r="N166" s="25">
        <v>0</v>
      </c>
      <c r="O166" s="26" t="str">
        <f t="shared" si="53"/>
        <v>COIN</v>
      </c>
      <c r="P166" s="26" t="str">
        <f t="shared" si="55"/>
        <v>LONG</v>
      </c>
      <c r="Q166" s="26" t="str">
        <f t="shared" si="56"/>
        <v>COIN LONG</v>
      </c>
      <c r="R166" s="26">
        <v>0</v>
      </c>
      <c r="S166" s="26">
        <v>0</v>
      </c>
      <c r="T166" s="26">
        <v>0</v>
      </c>
      <c r="U166" s="26">
        <v>0</v>
      </c>
      <c r="V166" s="23" t="str">
        <f t="shared" si="54"/>
        <v>GATE</v>
      </c>
      <c r="W166" t="str">
        <f t="shared" si="57"/>
        <v>ROSE COIN LONG</v>
      </c>
      <c r="X166" s="88" t="s">
        <v>264</v>
      </c>
      <c r="Y166" t="s">
        <v>89</v>
      </c>
      <c r="Z166">
        <v>2310.6945631802082</v>
      </c>
      <c r="AA166">
        <v>232.67169383645523</v>
      </c>
    </row>
    <row r="167" spans="1:27" x14ac:dyDescent="0.25">
      <c r="A167">
        <v>208</v>
      </c>
      <c r="B167" s="71">
        <v>44939.000002858797</v>
      </c>
      <c r="C167" s="14" t="s">
        <v>295</v>
      </c>
      <c r="D167" s="23" t="s">
        <v>289</v>
      </c>
      <c r="E167" s="23" t="s">
        <v>38</v>
      </c>
      <c r="F167" s="23">
        <v>71.681742360000001</v>
      </c>
      <c r="G167" s="23">
        <v>71.688340605928701</v>
      </c>
      <c r="H167" s="23">
        <v>1.00009204918451</v>
      </c>
      <c r="I167" s="23">
        <v>0</v>
      </c>
      <c r="J167" s="23" t="s">
        <v>85</v>
      </c>
      <c r="K167" s="24">
        <v>44939.000002858797</v>
      </c>
      <c r="L167" s="23">
        <v>1</v>
      </c>
      <c r="M167" s="23" t="s">
        <v>38</v>
      </c>
      <c r="N167" s="25">
        <v>0</v>
      </c>
      <c r="O167" s="26" t="str">
        <f t="shared" si="53"/>
        <v>COIN</v>
      </c>
      <c r="P167" s="26" t="str">
        <f t="shared" si="55"/>
        <v>LONG</v>
      </c>
      <c r="Q167" s="26" t="str">
        <f t="shared" si="56"/>
        <v>COIN LONG</v>
      </c>
      <c r="R167" s="26">
        <v>0</v>
      </c>
      <c r="S167" s="26">
        <v>0</v>
      </c>
      <c r="T167" s="26">
        <v>0</v>
      </c>
      <c r="U167" s="26">
        <v>0</v>
      </c>
      <c r="V167" s="23" t="str">
        <f t="shared" si="54"/>
        <v>GATE</v>
      </c>
      <c r="W167" t="str">
        <f t="shared" si="57"/>
        <v>USDT COIN LONG</v>
      </c>
      <c r="X167" s="88" t="s">
        <v>264</v>
      </c>
      <c r="Y167" t="s">
        <v>178</v>
      </c>
      <c r="Z167">
        <v>1.0507699999999999E-3</v>
      </c>
      <c r="AA167">
        <v>1.0507699999999999E-3</v>
      </c>
    </row>
    <row r="168" spans="1:27" x14ac:dyDescent="0.25">
      <c r="A168">
        <v>209</v>
      </c>
      <c r="B168" s="71">
        <v>44939.000001817127</v>
      </c>
      <c r="C168" s="14" t="s">
        <v>295</v>
      </c>
      <c r="D168" s="23" t="s">
        <v>292</v>
      </c>
      <c r="E168" s="23" t="s">
        <v>14</v>
      </c>
      <c r="F168" s="23">
        <v>1.995E-4</v>
      </c>
      <c r="G168" s="23">
        <v>3.7644828170254798</v>
      </c>
      <c r="H168" s="23">
        <v>18869.5880552655</v>
      </c>
      <c r="I168" s="23">
        <v>0</v>
      </c>
      <c r="J168" s="23" t="s">
        <v>85</v>
      </c>
      <c r="K168" s="24">
        <v>44939.000001817127</v>
      </c>
      <c r="L168" s="23">
        <v>1</v>
      </c>
      <c r="M168" s="23" t="s">
        <v>14</v>
      </c>
      <c r="N168" s="25">
        <v>0</v>
      </c>
      <c r="O168" s="26" t="str">
        <f t="shared" si="53"/>
        <v>COIN</v>
      </c>
      <c r="P168" s="26" t="str">
        <f t="shared" si="55"/>
        <v>LONG</v>
      </c>
      <c r="Q168" s="26" t="str">
        <f t="shared" si="56"/>
        <v>COIN LONG</v>
      </c>
      <c r="R168" s="26">
        <v>0</v>
      </c>
      <c r="S168" s="26">
        <v>0</v>
      </c>
      <c r="T168" s="26">
        <v>0</v>
      </c>
      <c r="U168" s="26">
        <v>0</v>
      </c>
      <c r="V168" s="23" t="str">
        <f t="shared" si="54"/>
        <v>GATE</v>
      </c>
      <c r="W168" t="str">
        <f t="shared" si="57"/>
        <v>BTC COIN LONG</v>
      </c>
      <c r="X168" s="88" t="s">
        <v>264</v>
      </c>
      <c r="Y168" t="s">
        <v>152</v>
      </c>
      <c r="Z168">
        <v>3.0962099999999998E-3</v>
      </c>
      <c r="AA168">
        <v>9.0184342237229452E-3</v>
      </c>
    </row>
    <row r="169" spans="1:27" x14ac:dyDescent="0.25">
      <c r="A169">
        <v>210</v>
      </c>
      <c r="B169" s="71">
        <v>44939.000001817127</v>
      </c>
      <c r="C169" s="14" t="s">
        <v>295</v>
      </c>
      <c r="D169" s="23" t="s">
        <v>292</v>
      </c>
      <c r="E169" s="23" t="s">
        <v>15</v>
      </c>
      <c r="F169" s="23">
        <v>9.9825000000000001E-4</v>
      </c>
      <c r="G169" s="23">
        <v>1.4154571306957699</v>
      </c>
      <c r="H169" s="23">
        <v>1417.9385231112101</v>
      </c>
      <c r="I169" s="23">
        <v>0</v>
      </c>
      <c r="J169" s="23" t="s">
        <v>85</v>
      </c>
      <c r="K169" s="24">
        <v>44939.000001817127</v>
      </c>
      <c r="L169" s="23">
        <v>1</v>
      </c>
      <c r="M169" s="23" t="s">
        <v>15</v>
      </c>
      <c r="N169" s="25">
        <v>0</v>
      </c>
      <c r="O169" s="26" t="str">
        <f t="shared" si="53"/>
        <v>COIN</v>
      </c>
      <c r="P169" s="26" t="str">
        <f t="shared" si="55"/>
        <v>LONG</v>
      </c>
      <c r="Q169" s="26" t="str">
        <f t="shared" si="56"/>
        <v>COIN LONG</v>
      </c>
      <c r="R169" s="26">
        <v>0</v>
      </c>
      <c r="S169" s="26">
        <v>0</v>
      </c>
      <c r="T169" s="26">
        <v>0</v>
      </c>
      <c r="U169" s="26">
        <v>0</v>
      </c>
      <c r="V169" s="23" t="str">
        <f t="shared" si="54"/>
        <v>GATE</v>
      </c>
      <c r="W169" t="str">
        <f t="shared" si="57"/>
        <v>ETH COIN LONG</v>
      </c>
      <c r="X169" s="88" t="s">
        <v>264</v>
      </c>
      <c r="Y169" t="s">
        <v>153</v>
      </c>
      <c r="Z169">
        <v>2.6598900000000002E-2</v>
      </c>
      <c r="AA169">
        <v>1.577683211398723E-3</v>
      </c>
    </row>
    <row r="170" spans="1:27" x14ac:dyDescent="0.25">
      <c r="A170">
        <v>211</v>
      </c>
      <c r="B170" s="71">
        <v>44939.000001817127</v>
      </c>
      <c r="C170" s="14" t="s">
        <v>295</v>
      </c>
      <c r="D170" s="23" t="s">
        <v>292</v>
      </c>
      <c r="E170" s="23" t="s">
        <v>38</v>
      </c>
      <c r="F170" s="23">
        <v>59.393906000000001</v>
      </c>
      <c r="G170" s="23">
        <v>59.399373160612399</v>
      </c>
      <c r="H170" s="23">
        <v>1.00009204918451</v>
      </c>
      <c r="I170" s="23">
        <v>0</v>
      </c>
      <c r="J170" s="23" t="s">
        <v>85</v>
      </c>
      <c r="K170" s="24">
        <v>44939.000001817127</v>
      </c>
      <c r="L170" s="23">
        <v>1</v>
      </c>
      <c r="M170" s="23" t="s">
        <v>38</v>
      </c>
      <c r="N170" s="25">
        <v>0</v>
      </c>
      <c r="O170" s="26" t="str">
        <f t="shared" si="53"/>
        <v>COIN</v>
      </c>
      <c r="P170" s="26" t="str">
        <f t="shared" si="55"/>
        <v>LONG</v>
      </c>
      <c r="Q170" s="26" t="str">
        <f t="shared" si="56"/>
        <v>COIN LONG</v>
      </c>
      <c r="R170" s="26">
        <v>0</v>
      </c>
      <c r="S170" s="26">
        <v>0</v>
      </c>
      <c r="T170" s="26">
        <v>0</v>
      </c>
      <c r="U170" s="26">
        <v>0</v>
      </c>
      <c r="V170" s="23" t="str">
        <f t="shared" si="54"/>
        <v>GATE</v>
      </c>
      <c r="W170" t="str">
        <f t="shared" si="57"/>
        <v>USDT COIN LONG</v>
      </c>
      <c r="X170" s="88" t="s">
        <v>264</v>
      </c>
      <c r="Y170" t="s">
        <v>98</v>
      </c>
      <c r="Z170">
        <v>1236499.8774543798</v>
      </c>
      <c r="AA170">
        <v>24697.988320627206</v>
      </c>
    </row>
    <row r="171" spans="1:27" x14ac:dyDescent="0.25">
      <c r="A171">
        <v>212</v>
      </c>
      <c r="B171" s="71">
        <v>44939.000001504632</v>
      </c>
      <c r="C171" s="14" t="s">
        <v>295</v>
      </c>
      <c r="D171" s="23" t="s">
        <v>441</v>
      </c>
      <c r="E171" s="23" t="s">
        <v>38</v>
      </c>
      <c r="F171" s="23">
        <v>10045.794859</v>
      </c>
      <c r="G171" s="23">
        <v>10046.719566224499</v>
      </c>
      <c r="H171" s="23">
        <v>1.00009204918451</v>
      </c>
      <c r="I171" s="23">
        <v>0</v>
      </c>
      <c r="J171" s="23" t="s">
        <v>85</v>
      </c>
      <c r="K171" s="24">
        <v>44939.000001504632</v>
      </c>
      <c r="L171" s="23">
        <v>1</v>
      </c>
      <c r="M171" s="23" t="s">
        <v>38</v>
      </c>
      <c r="N171" s="25">
        <v>0</v>
      </c>
      <c r="O171" s="26" t="str">
        <f t="shared" si="53"/>
        <v>COIN</v>
      </c>
      <c r="P171" s="26" t="str">
        <f t="shared" si="55"/>
        <v>LONG</v>
      </c>
      <c r="Q171" s="26" t="str">
        <f t="shared" si="56"/>
        <v>COIN LONG</v>
      </c>
      <c r="R171" s="26">
        <v>0</v>
      </c>
      <c r="S171" s="26">
        <v>0</v>
      </c>
      <c r="T171" s="26">
        <v>0</v>
      </c>
      <c r="U171" s="26">
        <v>0</v>
      </c>
      <c r="V171" s="23" t="str">
        <f t="shared" si="54"/>
        <v>GATE</v>
      </c>
      <c r="W171" t="str">
        <f t="shared" si="57"/>
        <v>USDT COIN LONG</v>
      </c>
      <c r="X171" s="88" t="s">
        <v>264</v>
      </c>
      <c r="Y171" t="s">
        <v>181</v>
      </c>
      <c r="Z171">
        <v>2846064.85852235</v>
      </c>
      <c r="AA171">
        <v>44637.20722136418</v>
      </c>
    </row>
    <row r="172" spans="1:27" x14ac:dyDescent="0.25">
      <c r="A172">
        <v>213</v>
      </c>
      <c r="B172" s="71">
        <v>44938.000005324073</v>
      </c>
      <c r="C172" s="14" t="s">
        <v>39</v>
      </c>
      <c r="D172" s="23" t="s">
        <v>114</v>
      </c>
      <c r="E172" s="23" t="s">
        <v>38</v>
      </c>
      <c r="F172" s="23">
        <v>1E-8</v>
      </c>
      <c r="G172" s="23">
        <v>1.00009204918451E-8</v>
      </c>
      <c r="H172" s="23">
        <v>1.00009204918451</v>
      </c>
      <c r="I172" s="23">
        <v>0</v>
      </c>
      <c r="J172" s="23" t="s">
        <v>85</v>
      </c>
      <c r="K172" s="24">
        <v>44938.000005324073</v>
      </c>
      <c r="L172" s="23">
        <v>1</v>
      </c>
      <c r="M172" s="23" t="s">
        <v>38</v>
      </c>
      <c r="N172" s="25">
        <v>0</v>
      </c>
      <c r="O172" s="26" t="str">
        <f t="shared" si="53"/>
        <v>COIN</v>
      </c>
      <c r="P172" s="26" t="str">
        <f t="shared" si="55"/>
        <v>LONG</v>
      </c>
      <c r="Q172" s="26" t="str">
        <f t="shared" si="56"/>
        <v>COIN LONG</v>
      </c>
      <c r="R172" s="26">
        <v>0</v>
      </c>
      <c r="S172" s="26">
        <v>0</v>
      </c>
      <c r="T172" s="26">
        <v>0</v>
      </c>
      <c r="U172" s="26">
        <v>0</v>
      </c>
      <c r="V172" s="23" t="str">
        <f t="shared" si="54"/>
        <v>HUB2</v>
      </c>
      <c r="W172" t="str">
        <f t="shared" si="57"/>
        <v>USDT COIN LONG</v>
      </c>
      <c r="X172" s="88" t="s">
        <v>264</v>
      </c>
      <c r="Y172" t="s">
        <v>37</v>
      </c>
      <c r="Z172">
        <v>175052459876.67941</v>
      </c>
      <c r="AA172">
        <v>1938887.2482490069</v>
      </c>
    </row>
    <row r="173" spans="1:27" x14ac:dyDescent="0.25">
      <c r="A173">
        <v>214</v>
      </c>
      <c r="B173" s="71">
        <v>44938.000005324073</v>
      </c>
      <c r="C173" s="14" t="s">
        <v>39</v>
      </c>
      <c r="D173" s="23" t="s">
        <v>114</v>
      </c>
      <c r="E173" s="23" t="s">
        <v>99</v>
      </c>
      <c r="F173" s="23">
        <v>7.4209999999999996E-5</v>
      </c>
      <c r="G173" s="23">
        <v>2.78433799257714E-5</v>
      </c>
      <c r="H173" s="23">
        <v>0.37519714224190098</v>
      </c>
      <c r="I173" s="23">
        <v>0</v>
      </c>
      <c r="J173" s="23" t="s">
        <v>85</v>
      </c>
      <c r="K173" s="24">
        <v>44938.000005324073</v>
      </c>
      <c r="L173" s="23">
        <v>1</v>
      </c>
      <c r="M173" s="23" t="s">
        <v>99</v>
      </c>
      <c r="N173" s="25">
        <v>0</v>
      </c>
      <c r="O173" s="26" t="str">
        <f t="shared" si="53"/>
        <v>COIN</v>
      </c>
      <c r="P173" s="26" t="str">
        <f t="shared" si="55"/>
        <v>LONG</v>
      </c>
      <c r="Q173" s="26" t="str">
        <f t="shared" si="56"/>
        <v>COIN LONG</v>
      </c>
      <c r="R173" s="26">
        <v>0</v>
      </c>
      <c r="S173" s="26">
        <v>0</v>
      </c>
      <c r="T173" s="26">
        <v>0</v>
      </c>
      <c r="U173" s="26">
        <v>0</v>
      </c>
      <c r="V173" s="23" t="str">
        <f t="shared" si="54"/>
        <v>HUB2</v>
      </c>
      <c r="W173" t="str">
        <f t="shared" si="57"/>
        <v>XRP COIN LONG</v>
      </c>
      <c r="X173" s="88" t="s">
        <v>264</v>
      </c>
      <c r="Y173" t="s">
        <v>154</v>
      </c>
      <c r="Z173">
        <v>9.9667316599999989</v>
      </c>
      <c r="AA173">
        <v>335.64599027695499</v>
      </c>
    </row>
    <row r="174" spans="1:27" x14ac:dyDescent="0.25">
      <c r="A174">
        <v>215</v>
      </c>
      <c r="B174" s="71">
        <v>44939.000002083332</v>
      </c>
      <c r="C174" s="14" t="s">
        <v>39</v>
      </c>
      <c r="D174" s="23" t="s">
        <v>115</v>
      </c>
      <c r="E174" s="23" t="s">
        <v>84</v>
      </c>
      <c r="F174" s="23">
        <v>1E-8</v>
      </c>
      <c r="G174" s="23">
        <v>3.2975847474337499E-9</v>
      </c>
      <c r="H174" s="23">
        <v>0.329758474743375</v>
      </c>
      <c r="I174" s="23">
        <v>0</v>
      </c>
      <c r="J174" s="23" t="s">
        <v>85</v>
      </c>
      <c r="K174" s="24">
        <v>44939.000002083332</v>
      </c>
      <c r="L174" s="23">
        <v>1</v>
      </c>
      <c r="M174" s="23" t="s">
        <v>84</v>
      </c>
      <c r="N174" s="25">
        <v>0</v>
      </c>
      <c r="O174" s="26" t="str">
        <f t="shared" si="53"/>
        <v>COIN</v>
      </c>
      <c r="P174" s="26" t="str">
        <f t="shared" si="55"/>
        <v>LONG</v>
      </c>
      <c r="Q174" s="26" t="str">
        <f t="shared" si="56"/>
        <v>COIN LONG</v>
      </c>
      <c r="R174" s="26">
        <v>0</v>
      </c>
      <c r="S174" s="26">
        <v>0</v>
      </c>
      <c r="T174" s="26">
        <v>0</v>
      </c>
      <c r="U174" s="26">
        <v>0</v>
      </c>
      <c r="V174" s="23" t="str">
        <f t="shared" si="54"/>
        <v>HUB2</v>
      </c>
      <c r="W174" t="str">
        <f t="shared" si="57"/>
        <v>ADA COIN LONG</v>
      </c>
      <c r="X174" s="88" t="s">
        <v>264</v>
      </c>
      <c r="Y174" t="s">
        <v>155</v>
      </c>
      <c r="Z174">
        <v>38753.774400000002</v>
      </c>
      <c r="AA174">
        <v>5119.9444057232586</v>
      </c>
    </row>
    <row r="175" spans="1:27" x14ac:dyDescent="0.25">
      <c r="A175">
        <v>216</v>
      </c>
      <c r="B175" s="71">
        <v>44939.000002083332</v>
      </c>
      <c r="C175" s="14" t="s">
        <v>39</v>
      </c>
      <c r="D175" s="23" t="s">
        <v>115</v>
      </c>
      <c r="E175" s="23" t="s">
        <v>20</v>
      </c>
      <c r="F175" s="23">
        <v>1E-8</v>
      </c>
      <c r="G175" s="23">
        <v>1.1971046613741201E-6</v>
      </c>
      <c r="H175" s="23">
        <v>119.710466137412</v>
      </c>
      <c r="I175" s="23">
        <v>0</v>
      </c>
      <c r="J175" s="23" t="s">
        <v>85</v>
      </c>
      <c r="K175" s="24">
        <v>44939.000002083332</v>
      </c>
      <c r="L175" s="23">
        <v>1</v>
      </c>
      <c r="M175" s="23" t="s">
        <v>20</v>
      </c>
      <c r="N175" s="25">
        <v>0</v>
      </c>
      <c r="O175" s="26" t="str">
        <f t="shared" si="53"/>
        <v>COIN</v>
      </c>
      <c r="P175" s="26" t="str">
        <f t="shared" si="55"/>
        <v>LONG</v>
      </c>
      <c r="Q175" s="26" t="str">
        <f t="shared" si="56"/>
        <v>COIN LONG</v>
      </c>
      <c r="R175" s="26">
        <v>0</v>
      </c>
      <c r="S175" s="26">
        <v>0</v>
      </c>
      <c r="T175" s="26">
        <v>0</v>
      </c>
      <c r="U175" s="26">
        <v>0</v>
      </c>
      <c r="V175" s="23" t="str">
        <f t="shared" si="54"/>
        <v>HUB2</v>
      </c>
      <c r="W175" t="str">
        <f t="shared" si="57"/>
        <v>BCH COIN LONG</v>
      </c>
      <c r="X175" s="88" t="s">
        <v>264</v>
      </c>
      <c r="Y175" t="s">
        <v>110</v>
      </c>
      <c r="Z175">
        <v>14214.6</v>
      </c>
      <c r="AA175">
        <v>11132.752633501404</v>
      </c>
    </row>
    <row r="176" spans="1:27" x14ac:dyDescent="0.25">
      <c r="A176">
        <v>217</v>
      </c>
      <c r="B176" s="71">
        <v>44939.000002083332</v>
      </c>
      <c r="C176" s="14" t="s">
        <v>39</v>
      </c>
      <c r="D176" s="23" t="s">
        <v>115</v>
      </c>
      <c r="E176" s="23" t="s">
        <v>113</v>
      </c>
      <c r="F176" s="23">
        <v>1E-8</v>
      </c>
      <c r="G176" s="23">
        <v>4.2147985974992698E-7</v>
      </c>
      <c r="H176" s="23">
        <v>42.1479859749927</v>
      </c>
      <c r="I176" s="23">
        <v>0</v>
      </c>
      <c r="J176" s="23" t="s">
        <v>85</v>
      </c>
      <c r="K176" s="24">
        <v>44939.000002083332</v>
      </c>
      <c r="L176" s="23">
        <v>1</v>
      </c>
      <c r="M176" s="23" t="s">
        <v>113</v>
      </c>
      <c r="N176" s="25">
        <v>0</v>
      </c>
      <c r="O176" s="26" t="str">
        <f t="shared" si="53"/>
        <v>COIN</v>
      </c>
      <c r="P176" s="26" t="str">
        <f t="shared" si="55"/>
        <v>LONG</v>
      </c>
      <c r="Q176" s="26" t="str">
        <f t="shared" si="56"/>
        <v>COIN LONG</v>
      </c>
      <c r="R176" s="26">
        <v>0</v>
      </c>
      <c r="S176" s="26">
        <v>0</v>
      </c>
      <c r="T176" s="26">
        <v>0</v>
      </c>
      <c r="U176" s="26">
        <v>0</v>
      </c>
      <c r="V176" s="23" t="str">
        <f t="shared" si="54"/>
        <v>HUB2</v>
      </c>
      <c r="W176" t="str">
        <f t="shared" si="57"/>
        <v>BSV COIN LONG</v>
      </c>
      <c r="X176" s="88" t="s">
        <v>264</v>
      </c>
      <c r="Y176" t="s">
        <v>156</v>
      </c>
      <c r="Z176">
        <v>29.76350429</v>
      </c>
      <c r="AA176">
        <v>13.92434211265499</v>
      </c>
    </row>
    <row r="177" spans="1:27" x14ac:dyDescent="0.25">
      <c r="A177">
        <v>218</v>
      </c>
      <c r="B177" s="71">
        <v>44939.000002083332</v>
      </c>
      <c r="C177" s="14" t="s">
        <v>39</v>
      </c>
      <c r="D177" s="23" t="s">
        <v>115</v>
      </c>
      <c r="E177" s="23" t="s">
        <v>23</v>
      </c>
      <c r="F177" s="23">
        <v>1E-8</v>
      </c>
      <c r="G177" s="23">
        <v>9.9024247680694202E-9</v>
      </c>
      <c r="H177" s="23">
        <v>0.990242476806942</v>
      </c>
      <c r="I177" s="23">
        <v>0</v>
      </c>
      <c r="J177" s="23" t="s">
        <v>85</v>
      </c>
      <c r="K177" s="24">
        <v>44939.000002083332</v>
      </c>
      <c r="L177" s="23">
        <v>1</v>
      </c>
      <c r="M177" s="23" t="s">
        <v>23</v>
      </c>
      <c r="N177" s="25">
        <v>0</v>
      </c>
      <c r="O177" s="26" t="str">
        <f t="shared" si="53"/>
        <v>COIN</v>
      </c>
      <c r="P177" s="26" t="str">
        <f t="shared" si="55"/>
        <v>LONG</v>
      </c>
      <c r="Q177" s="26" t="str">
        <f t="shared" si="56"/>
        <v>COIN LONG</v>
      </c>
      <c r="R177" s="26">
        <v>0</v>
      </c>
      <c r="S177" s="26">
        <v>0</v>
      </c>
      <c r="T177" s="26">
        <v>0</v>
      </c>
      <c r="U177" s="26">
        <v>0</v>
      </c>
      <c r="V177" s="23" t="str">
        <f t="shared" si="54"/>
        <v>HUB2</v>
      </c>
      <c r="W177" t="str">
        <f t="shared" si="57"/>
        <v>EOS COIN LONG</v>
      </c>
      <c r="X177" s="88" t="s">
        <v>264</v>
      </c>
      <c r="Y177" t="s">
        <v>25</v>
      </c>
      <c r="Z177">
        <v>-12730827.65829186</v>
      </c>
      <c r="AA177">
        <v>-769544.69769564283</v>
      </c>
    </row>
    <row r="178" spans="1:27" x14ac:dyDescent="0.25">
      <c r="A178">
        <v>219</v>
      </c>
      <c r="B178" s="71">
        <v>44939.000002083332</v>
      </c>
      <c r="C178" s="14" t="s">
        <v>39</v>
      </c>
      <c r="D178" s="23" t="s">
        <v>115</v>
      </c>
      <c r="E178" s="23" t="s">
        <v>29</v>
      </c>
      <c r="F178" s="23">
        <v>1E-8</v>
      </c>
      <c r="G178" s="23">
        <v>2.0917758217744E-7</v>
      </c>
      <c r="H178" s="23">
        <v>20.917758217744002</v>
      </c>
      <c r="I178" s="23">
        <v>0</v>
      </c>
      <c r="J178" s="23" t="s">
        <v>85</v>
      </c>
      <c r="K178" s="24">
        <v>44939.000002083332</v>
      </c>
      <c r="L178" s="23">
        <v>1</v>
      </c>
      <c r="M178" s="23" t="s">
        <v>29</v>
      </c>
      <c r="N178" s="25">
        <v>0</v>
      </c>
      <c r="O178" s="26" t="str">
        <f t="shared" si="53"/>
        <v>COIN</v>
      </c>
      <c r="P178" s="26" t="str">
        <f t="shared" si="55"/>
        <v>LONG</v>
      </c>
      <c r="Q178" s="26" t="str">
        <f t="shared" si="56"/>
        <v>COIN LONG</v>
      </c>
      <c r="R178" s="26">
        <v>0</v>
      </c>
      <c r="S178" s="26">
        <v>0</v>
      </c>
      <c r="T178" s="26">
        <v>0</v>
      </c>
      <c r="U178" s="26">
        <v>0</v>
      </c>
      <c r="V178" s="23" t="str">
        <f t="shared" si="54"/>
        <v>HUB2</v>
      </c>
      <c r="W178" t="str">
        <f t="shared" si="57"/>
        <v>ETC COIN LONG</v>
      </c>
      <c r="X178" s="88" t="s">
        <v>264</v>
      </c>
      <c r="Y178" t="s">
        <v>179</v>
      </c>
      <c r="Z178">
        <v>0.10983253</v>
      </c>
      <c r="AA178">
        <v>5.950162330622173E-3</v>
      </c>
    </row>
    <row r="179" spans="1:27" x14ac:dyDescent="0.25">
      <c r="A179">
        <v>220</v>
      </c>
      <c r="B179" s="71">
        <v>44939.000002083332</v>
      </c>
      <c r="C179" s="14" t="s">
        <v>39</v>
      </c>
      <c r="D179" s="23" t="s">
        <v>115</v>
      </c>
      <c r="E179" s="23" t="s">
        <v>15</v>
      </c>
      <c r="F179" s="23">
        <v>1E-8</v>
      </c>
      <c r="G179" s="23">
        <v>1.41793852311121E-5</v>
      </c>
      <c r="H179" s="23">
        <v>1417.9385231112101</v>
      </c>
      <c r="I179" s="23">
        <v>0</v>
      </c>
      <c r="J179" s="23" t="s">
        <v>85</v>
      </c>
      <c r="K179" s="24">
        <v>44939.000002083332</v>
      </c>
      <c r="L179" s="23">
        <v>1</v>
      </c>
      <c r="M179" s="23" t="s">
        <v>15</v>
      </c>
      <c r="N179" s="25">
        <v>0</v>
      </c>
      <c r="O179" s="26" t="str">
        <f t="shared" si="53"/>
        <v>COIN</v>
      </c>
      <c r="P179" s="26" t="str">
        <f t="shared" si="55"/>
        <v>LONG</v>
      </c>
      <c r="Q179" s="26" t="str">
        <f t="shared" si="56"/>
        <v>COIN LONG</v>
      </c>
      <c r="R179" s="26">
        <v>0</v>
      </c>
      <c r="S179" s="26">
        <v>0</v>
      </c>
      <c r="T179" s="26">
        <v>0</v>
      </c>
      <c r="U179" s="26">
        <v>0</v>
      </c>
      <c r="V179" s="23" t="str">
        <f t="shared" si="54"/>
        <v>HUB2</v>
      </c>
      <c r="W179" t="str">
        <f t="shared" si="57"/>
        <v>ETH COIN LONG</v>
      </c>
      <c r="X179" s="88" t="s">
        <v>264</v>
      </c>
      <c r="Y179" t="s">
        <v>157</v>
      </c>
      <c r="Z179">
        <v>6.3152970000000003E-2</v>
      </c>
      <c r="AA179">
        <v>3.2415111581036071E-4</v>
      </c>
    </row>
    <row r="180" spans="1:27" x14ac:dyDescent="0.25">
      <c r="A180">
        <v>221</v>
      </c>
      <c r="B180" s="71">
        <v>44939.000002083332</v>
      </c>
      <c r="C180" s="14" t="s">
        <v>39</v>
      </c>
      <c r="D180" s="23" t="s">
        <v>115</v>
      </c>
      <c r="E180" s="23" t="s">
        <v>27</v>
      </c>
      <c r="F180" s="23">
        <v>1E-8</v>
      </c>
      <c r="G180" s="23">
        <v>6.3813315524378703E-8</v>
      </c>
      <c r="H180" s="23">
        <v>6.38133155243787</v>
      </c>
      <c r="I180" s="23">
        <v>0</v>
      </c>
      <c r="J180" s="23" t="s">
        <v>85</v>
      </c>
      <c r="K180" s="24">
        <v>44939.000002083332</v>
      </c>
      <c r="L180" s="23">
        <v>1</v>
      </c>
      <c r="M180" s="23" t="s">
        <v>27</v>
      </c>
      <c r="N180" s="25">
        <v>0</v>
      </c>
      <c r="O180" s="26" t="str">
        <f t="shared" si="53"/>
        <v>COIN</v>
      </c>
      <c r="P180" s="26" t="str">
        <f t="shared" si="55"/>
        <v>LONG</v>
      </c>
      <c r="Q180" s="26" t="str">
        <f t="shared" si="56"/>
        <v>COIN LONG</v>
      </c>
      <c r="R180" s="26">
        <v>0</v>
      </c>
      <c r="S180" s="26">
        <v>0</v>
      </c>
      <c r="T180" s="26">
        <v>0</v>
      </c>
      <c r="U180" s="26">
        <v>0</v>
      </c>
      <c r="V180" s="23" t="str">
        <f t="shared" si="54"/>
        <v>HUB2</v>
      </c>
      <c r="W180" t="str">
        <f t="shared" si="57"/>
        <v>LINK COIN LONG</v>
      </c>
      <c r="X180" s="88" t="s">
        <v>264</v>
      </c>
      <c r="Y180" t="s">
        <v>158</v>
      </c>
      <c r="Z180">
        <v>20</v>
      </c>
      <c r="AA180">
        <v>20.005950132359722</v>
      </c>
    </row>
    <row r="181" spans="1:27" x14ac:dyDescent="0.25">
      <c r="A181">
        <v>222</v>
      </c>
      <c r="B181" s="71">
        <v>44939.000002083332</v>
      </c>
      <c r="C181" s="14" t="s">
        <v>39</v>
      </c>
      <c r="D181" s="23" t="s">
        <v>115</v>
      </c>
      <c r="E181" s="23" t="s">
        <v>24</v>
      </c>
      <c r="F181" s="23">
        <v>1E-8</v>
      </c>
      <c r="G181" s="23">
        <v>8.5964229450756099E-7</v>
      </c>
      <c r="H181" s="23">
        <v>85.964229450756093</v>
      </c>
      <c r="I181" s="23">
        <v>0</v>
      </c>
      <c r="J181" s="23" t="s">
        <v>85</v>
      </c>
      <c r="K181" s="24">
        <v>44939.000002083332</v>
      </c>
      <c r="L181" s="23">
        <v>1</v>
      </c>
      <c r="M181" s="23" t="s">
        <v>24</v>
      </c>
      <c r="N181" s="25">
        <v>0</v>
      </c>
      <c r="O181" s="26" t="str">
        <f t="shared" si="53"/>
        <v>COIN</v>
      </c>
      <c r="P181" s="26" t="str">
        <f t="shared" si="55"/>
        <v>LONG</v>
      </c>
      <c r="Q181" s="26" t="str">
        <f t="shared" si="56"/>
        <v>COIN LONG</v>
      </c>
      <c r="R181" s="26">
        <v>0</v>
      </c>
      <c r="S181" s="26">
        <v>0</v>
      </c>
      <c r="T181" s="26">
        <v>0</v>
      </c>
      <c r="U181" s="26">
        <v>0</v>
      </c>
      <c r="V181" s="23" t="str">
        <f t="shared" si="54"/>
        <v>HUB2</v>
      </c>
      <c r="W181" t="str">
        <f t="shared" si="57"/>
        <v>LTC COIN LONG</v>
      </c>
      <c r="X181" s="88" t="s">
        <v>264</v>
      </c>
      <c r="Y181" t="s">
        <v>159</v>
      </c>
      <c r="Z181">
        <v>5.6169297299999998</v>
      </c>
      <c r="AA181">
        <v>33.209544575384996</v>
      </c>
    </row>
    <row r="182" spans="1:27" x14ac:dyDescent="0.25">
      <c r="A182">
        <v>223</v>
      </c>
      <c r="B182" s="71">
        <v>44939.000002083332</v>
      </c>
      <c r="C182" s="14" t="s">
        <v>39</v>
      </c>
      <c r="D182" s="23" t="s">
        <v>115</v>
      </c>
      <c r="E182" s="23" t="s">
        <v>38</v>
      </c>
      <c r="F182" s="23">
        <v>3.2621029500000001</v>
      </c>
      <c r="G182" s="23">
        <v>3.2624032239163401</v>
      </c>
      <c r="H182" s="23">
        <v>1.00009204918451</v>
      </c>
      <c r="I182" s="23">
        <v>0</v>
      </c>
      <c r="J182" s="23" t="s">
        <v>85</v>
      </c>
      <c r="K182" s="24">
        <v>44939.000002083332</v>
      </c>
      <c r="L182" s="23">
        <v>1</v>
      </c>
      <c r="M182" s="23" t="s">
        <v>38</v>
      </c>
      <c r="N182" s="25">
        <v>0</v>
      </c>
      <c r="O182" s="26" t="str">
        <f t="shared" si="53"/>
        <v>COIN</v>
      </c>
      <c r="P182" s="26" t="str">
        <f t="shared" si="55"/>
        <v>LONG</v>
      </c>
      <c r="Q182" s="26" t="str">
        <f t="shared" si="56"/>
        <v>COIN LONG</v>
      </c>
      <c r="R182" s="26">
        <v>0</v>
      </c>
      <c r="S182" s="26">
        <v>0</v>
      </c>
      <c r="T182" s="26">
        <v>0</v>
      </c>
      <c r="U182" s="26">
        <v>0</v>
      </c>
      <c r="V182" s="23" t="str">
        <f t="shared" si="54"/>
        <v>HUB2</v>
      </c>
      <c r="W182" t="str">
        <f t="shared" si="57"/>
        <v>USDT COIN LONG</v>
      </c>
      <c r="X182" s="88" t="s">
        <v>264</v>
      </c>
      <c r="Y182" t="s">
        <v>95</v>
      </c>
      <c r="Z182">
        <v>107950114.36243227</v>
      </c>
      <c r="AA182">
        <v>107950114.36243227</v>
      </c>
    </row>
    <row r="183" spans="1:27" x14ac:dyDescent="0.25">
      <c r="A183">
        <v>224</v>
      </c>
      <c r="B183" s="71">
        <v>44939.000002083332</v>
      </c>
      <c r="C183" s="14" t="s">
        <v>39</v>
      </c>
      <c r="D183" s="23" t="s">
        <v>115</v>
      </c>
      <c r="E183" s="23" t="s">
        <v>99</v>
      </c>
      <c r="F183" s="23">
        <v>6.4869999999999994E-5</v>
      </c>
      <c r="G183" s="23">
        <v>2.4339038617232101E-5</v>
      </c>
      <c r="H183" s="23">
        <v>0.37519714224190098</v>
      </c>
      <c r="I183" s="23">
        <v>0</v>
      </c>
      <c r="J183" s="23" t="s">
        <v>85</v>
      </c>
      <c r="K183" s="24">
        <v>44939.000002083332</v>
      </c>
      <c r="L183" s="23">
        <v>1</v>
      </c>
      <c r="M183" s="23" t="s">
        <v>99</v>
      </c>
      <c r="N183" s="25">
        <v>0</v>
      </c>
      <c r="O183" s="26" t="str">
        <f t="shared" si="53"/>
        <v>COIN</v>
      </c>
      <c r="P183" s="26" t="str">
        <f t="shared" si="55"/>
        <v>LONG</v>
      </c>
      <c r="Q183" s="26" t="str">
        <f t="shared" si="56"/>
        <v>COIN LONG</v>
      </c>
      <c r="R183" s="26">
        <v>0</v>
      </c>
      <c r="S183" s="26">
        <v>0</v>
      </c>
      <c r="T183" s="26">
        <v>0</v>
      </c>
      <c r="U183" s="26">
        <v>0</v>
      </c>
      <c r="V183" s="23" t="str">
        <f t="shared" si="54"/>
        <v>HUB2</v>
      </c>
      <c r="W183" t="str">
        <f t="shared" si="57"/>
        <v>XRP COIN LONG</v>
      </c>
      <c r="X183" s="88" t="s">
        <v>264</v>
      </c>
      <c r="Y183" t="s">
        <v>92</v>
      </c>
      <c r="Z183">
        <v>-104287599.83127788</v>
      </c>
      <c r="AA183">
        <v>-104286862.05540092</v>
      </c>
    </row>
    <row r="184" spans="1:27" x14ac:dyDescent="0.25">
      <c r="A184">
        <v>225</v>
      </c>
      <c r="B184" s="71">
        <v>44939.00000104167</v>
      </c>
      <c r="C184" s="14" t="s">
        <v>39</v>
      </c>
      <c r="D184" s="23" t="s">
        <v>41</v>
      </c>
      <c r="E184" s="23" t="s">
        <v>116</v>
      </c>
      <c r="F184" s="23">
        <v>0.10014646000000001</v>
      </c>
      <c r="G184" s="23">
        <v>6.7960525951868096</v>
      </c>
      <c r="H184" s="23">
        <v>67.861136531304297</v>
      </c>
      <c r="I184" s="23">
        <v>0</v>
      </c>
      <c r="J184" s="23" t="s">
        <v>85</v>
      </c>
      <c r="K184" s="24">
        <v>44939.00000104167</v>
      </c>
      <c r="L184" s="23">
        <v>1</v>
      </c>
      <c r="M184" s="23" t="s">
        <v>116</v>
      </c>
      <c r="N184" s="25">
        <v>0</v>
      </c>
      <c r="O184" s="26" t="str">
        <f t="shared" si="53"/>
        <v>COIN</v>
      </c>
      <c r="P184" s="26" t="str">
        <f t="shared" si="55"/>
        <v>LONG</v>
      </c>
      <c r="Q184" s="26" t="str">
        <f t="shared" si="56"/>
        <v>COIN LONG</v>
      </c>
      <c r="R184" s="26">
        <v>0</v>
      </c>
      <c r="S184" s="26">
        <v>0</v>
      </c>
      <c r="T184" s="26">
        <v>0</v>
      </c>
      <c r="U184" s="26">
        <v>0</v>
      </c>
      <c r="V184" s="23" t="str">
        <f t="shared" si="54"/>
        <v>HUBI</v>
      </c>
      <c r="W184" t="str">
        <f t="shared" si="57"/>
        <v>AAVE COIN LONG</v>
      </c>
      <c r="X184" s="88" t="s">
        <v>264</v>
      </c>
      <c r="Y184" t="s">
        <v>160</v>
      </c>
      <c r="Z184">
        <v>0.34680431</v>
      </c>
      <c r="AA184">
        <v>0.34687652143626468</v>
      </c>
    </row>
    <row r="185" spans="1:27" x14ac:dyDescent="0.25">
      <c r="A185">
        <v>226</v>
      </c>
      <c r="B185" s="71">
        <v>44939.00000104167</v>
      </c>
      <c r="C185" s="14" t="s">
        <v>39</v>
      </c>
      <c r="D185" s="23" t="s">
        <v>41</v>
      </c>
      <c r="E185" s="23" t="s">
        <v>84</v>
      </c>
      <c r="F185" s="23">
        <v>3.2091999999999998E-4</v>
      </c>
      <c r="G185" s="23">
        <v>1.05826089714644E-4</v>
      </c>
      <c r="H185" s="23">
        <v>0.329758474743375</v>
      </c>
      <c r="I185" s="23">
        <v>0</v>
      </c>
      <c r="J185" s="23" t="s">
        <v>85</v>
      </c>
      <c r="K185" s="24">
        <v>44939.00000104167</v>
      </c>
      <c r="L185" s="23">
        <v>1</v>
      </c>
      <c r="M185" s="23" t="s">
        <v>84</v>
      </c>
      <c r="N185" s="25">
        <v>0</v>
      </c>
      <c r="O185" s="26" t="str">
        <f t="shared" si="53"/>
        <v>COIN</v>
      </c>
      <c r="P185" s="26" t="str">
        <f t="shared" si="55"/>
        <v>LONG</v>
      </c>
      <c r="Q185" s="26" t="str">
        <f t="shared" si="56"/>
        <v>COIN LONG</v>
      </c>
      <c r="R185" s="26">
        <v>0</v>
      </c>
      <c r="S185" s="26">
        <v>0</v>
      </c>
      <c r="T185" s="26">
        <v>0</v>
      </c>
      <c r="U185" s="26">
        <v>0</v>
      </c>
      <c r="V185" s="23" t="str">
        <f t="shared" si="54"/>
        <v>HUBI</v>
      </c>
      <c r="W185" t="str">
        <f t="shared" si="57"/>
        <v>ADA COIN LONG</v>
      </c>
      <c r="X185" s="88" t="s">
        <v>264</v>
      </c>
      <c r="Y185" t="s">
        <v>38</v>
      </c>
      <c r="Z185">
        <v>69803352.304304138</v>
      </c>
      <c r="AA185">
        <v>69802059.571505591</v>
      </c>
    </row>
    <row r="186" spans="1:27" x14ac:dyDescent="0.25">
      <c r="A186">
        <v>227</v>
      </c>
      <c r="B186" s="71">
        <v>44939.00000104167</v>
      </c>
      <c r="C186" s="14" t="s">
        <v>39</v>
      </c>
      <c r="D186" s="23" t="s">
        <v>41</v>
      </c>
      <c r="E186" s="23" t="s">
        <v>20</v>
      </c>
      <c r="F186" s="23">
        <v>5.3552000000000005E-4</v>
      </c>
      <c r="G186" s="23">
        <v>6.4107348825906907E-2</v>
      </c>
      <c r="H186" s="23">
        <v>119.710466137412</v>
      </c>
      <c r="I186" s="23">
        <v>0</v>
      </c>
      <c r="J186" s="23" t="s">
        <v>85</v>
      </c>
      <c r="K186" s="24">
        <v>44939.00000104167</v>
      </c>
      <c r="L186" s="23">
        <v>1</v>
      </c>
      <c r="M186" s="23" t="s">
        <v>20</v>
      </c>
      <c r="N186" s="25">
        <v>0</v>
      </c>
      <c r="O186" s="26" t="str">
        <f t="shared" si="53"/>
        <v>COIN</v>
      </c>
      <c r="P186" s="26" t="str">
        <f t="shared" si="55"/>
        <v>LONG</v>
      </c>
      <c r="Q186" s="26" t="str">
        <f t="shared" si="56"/>
        <v>COIN LONG</v>
      </c>
      <c r="R186" s="26">
        <v>0</v>
      </c>
      <c r="S186" s="26">
        <v>0</v>
      </c>
      <c r="T186" s="26">
        <v>0</v>
      </c>
      <c r="U186" s="26">
        <v>0</v>
      </c>
      <c r="V186" s="23" t="str">
        <f t="shared" si="54"/>
        <v>HUBI</v>
      </c>
      <c r="W186" t="str">
        <f t="shared" si="57"/>
        <v>BCH COIN LONG</v>
      </c>
      <c r="X186" s="88" t="s">
        <v>264</v>
      </c>
      <c r="Y186" t="s">
        <v>96</v>
      </c>
      <c r="Z186">
        <v>29.9885932</v>
      </c>
      <c r="AA186">
        <v>0</v>
      </c>
    </row>
    <row r="187" spans="1:27" x14ac:dyDescent="0.25">
      <c r="A187">
        <v>228</v>
      </c>
      <c r="B187" s="71">
        <v>44939.00000104167</v>
      </c>
      <c r="C187" s="14" t="s">
        <v>39</v>
      </c>
      <c r="D187" s="23" t="s">
        <v>41</v>
      </c>
      <c r="E187" s="23" t="s">
        <v>113</v>
      </c>
      <c r="F187" s="23">
        <v>2.9999999999999997E-8</v>
      </c>
      <c r="G187" s="23">
        <v>1.2644395792497801E-6</v>
      </c>
      <c r="H187" s="23">
        <v>42.1479859749927</v>
      </c>
      <c r="I187" s="23">
        <v>0</v>
      </c>
      <c r="J187" s="23" t="s">
        <v>85</v>
      </c>
      <c r="K187" s="24">
        <v>44939.00000104167</v>
      </c>
      <c r="L187" s="23">
        <v>1</v>
      </c>
      <c r="M187" s="23" t="s">
        <v>113</v>
      </c>
      <c r="N187" s="25">
        <v>0</v>
      </c>
      <c r="O187" s="26" t="str">
        <f t="shared" si="53"/>
        <v>COIN</v>
      </c>
      <c r="P187" s="26" t="str">
        <f t="shared" si="55"/>
        <v>LONG</v>
      </c>
      <c r="Q187" s="26" t="str">
        <f t="shared" si="56"/>
        <v>COIN LONG</v>
      </c>
      <c r="R187" s="26">
        <v>0</v>
      </c>
      <c r="S187" s="26">
        <v>0</v>
      </c>
      <c r="T187" s="26">
        <v>0</v>
      </c>
      <c r="U187" s="26">
        <v>0</v>
      </c>
      <c r="V187" s="23" t="str">
        <f t="shared" si="54"/>
        <v>HUBI</v>
      </c>
      <c r="W187" t="str">
        <f t="shared" si="57"/>
        <v>BSV COIN LONG</v>
      </c>
      <c r="X187" s="88" t="s">
        <v>264</v>
      </c>
      <c r="Y187" t="s">
        <v>196</v>
      </c>
      <c r="Z187">
        <v>-100</v>
      </c>
      <c r="AA187">
        <v>-2.32710376273717</v>
      </c>
    </row>
    <row r="188" spans="1:27" x14ac:dyDescent="0.25">
      <c r="A188">
        <v>229</v>
      </c>
      <c r="B188" s="71">
        <v>44939.00000104167</v>
      </c>
      <c r="C188" s="14" t="s">
        <v>39</v>
      </c>
      <c r="D188" s="23" t="s">
        <v>41</v>
      </c>
      <c r="E188" s="23" t="s">
        <v>14</v>
      </c>
      <c r="F188" s="23">
        <v>18.041232239999999</v>
      </c>
      <c r="G188" s="23">
        <v>340430.62037817598</v>
      </c>
      <c r="H188" s="23">
        <v>18869.5880552655</v>
      </c>
      <c r="I188" s="23">
        <v>0</v>
      </c>
      <c r="J188" s="23" t="s">
        <v>85</v>
      </c>
      <c r="K188" s="24">
        <v>44939.00000104167</v>
      </c>
      <c r="L188" s="23">
        <v>1</v>
      </c>
      <c r="M188" s="23" t="s">
        <v>14</v>
      </c>
      <c r="N188" s="25">
        <v>0</v>
      </c>
      <c r="O188" s="26" t="str">
        <f t="shared" si="53"/>
        <v>COIN</v>
      </c>
      <c r="P188" s="26" t="str">
        <f t="shared" si="55"/>
        <v>LONG</v>
      </c>
      <c r="Q188" s="26" t="str">
        <f t="shared" si="56"/>
        <v>COIN LONG</v>
      </c>
      <c r="R188" s="26">
        <v>0</v>
      </c>
      <c r="S188" s="26">
        <v>0</v>
      </c>
      <c r="T188" s="26">
        <v>0</v>
      </c>
      <c r="U188" s="26">
        <v>0</v>
      </c>
      <c r="V188" s="23" t="str">
        <f t="shared" si="54"/>
        <v>HUBI</v>
      </c>
      <c r="W188" t="str">
        <f t="shared" si="57"/>
        <v>BTC COIN LONG</v>
      </c>
      <c r="X188" s="88" t="s">
        <v>264</v>
      </c>
      <c r="Y188" t="s">
        <v>161</v>
      </c>
      <c r="Z188">
        <v>0.20872535</v>
      </c>
      <c r="AA188">
        <v>3.1224282910865349E-4</v>
      </c>
    </row>
    <row r="189" spans="1:27" x14ac:dyDescent="0.25">
      <c r="A189">
        <v>230</v>
      </c>
      <c r="B189" s="71">
        <v>44939.00000104167</v>
      </c>
      <c r="C189" s="14" t="s">
        <v>39</v>
      </c>
      <c r="D189" s="23" t="s">
        <v>41</v>
      </c>
      <c r="E189" s="23" t="s">
        <v>14</v>
      </c>
      <c r="F189" s="23">
        <v>-0.70682544000000003</v>
      </c>
      <c r="G189" s="23">
        <v>-13337.5048797818</v>
      </c>
      <c r="H189" s="23">
        <v>18869.5880552655</v>
      </c>
      <c r="I189" s="23">
        <v>0</v>
      </c>
      <c r="J189" s="23" t="s">
        <v>253</v>
      </c>
      <c r="K189" s="24">
        <v>44939.00000104167</v>
      </c>
      <c r="L189" s="23">
        <v>1</v>
      </c>
      <c r="M189" s="23" t="s">
        <v>14</v>
      </c>
      <c r="N189" s="25">
        <v>0</v>
      </c>
      <c r="O189" s="26" t="str">
        <f t="shared" si="53"/>
        <v>COIN</v>
      </c>
      <c r="P189" s="26" t="str">
        <f t="shared" si="55"/>
        <v>SHORT</v>
      </c>
      <c r="Q189" s="26" t="str">
        <f t="shared" si="56"/>
        <v>COIN SHORT</v>
      </c>
      <c r="R189" s="26">
        <v>0</v>
      </c>
      <c r="S189" s="26">
        <v>0</v>
      </c>
      <c r="T189" s="26">
        <v>0</v>
      </c>
      <c r="U189" s="26">
        <v>0</v>
      </c>
      <c r="V189" s="23" t="str">
        <f t="shared" si="54"/>
        <v>HUBI</v>
      </c>
      <c r="W189" t="str">
        <f t="shared" si="57"/>
        <v>BTC COIN SHORT</v>
      </c>
      <c r="X189" s="88" t="s">
        <v>264</v>
      </c>
      <c r="Y189" t="s">
        <v>185</v>
      </c>
      <c r="Z189">
        <v>1596639.81071745</v>
      </c>
      <c r="AA189">
        <v>223037.2410007584</v>
      </c>
    </row>
    <row r="190" spans="1:27" x14ac:dyDescent="0.25">
      <c r="A190">
        <v>231</v>
      </c>
      <c r="B190" s="71">
        <v>44939.00000104167</v>
      </c>
      <c r="C190" s="14" t="s">
        <v>39</v>
      </c>
      <c r="D190" s="23" t="s">
        <v>41</v>
      </c>
      <c r="E190" s="23" t="s">
        <v>22</v>
      </c>
      <c r="F190" s="23">
        <v>3.8972899999999999E-3</v>
      </c>
      <c r="G190" s="23">
        <v>2.03807920771737E-2</v>
      </c>
      <c r="H190" s="23">
        <v>5.2294779390740098</v>
      </c>
      <c r="I190" s="23">
        <v>0</v>
      </c>
      <c r="J190" s="23" t="s">
        <v>85</v>
      </c>
      <c r="K190" s="24">
        <v>44939.00000104167</v>
      </c>
      <c r="L190" s="23">
        <v>1</v>
      </c>
      <c r="M190" s="23" t="s">
        <v>22</v>
      </c>
      <c r="N190" s="25">
        <v>0</v>
      </c>
      <c r="O190" s="26" t="str">
        <f t="shared" si="53"/>
        <v>COIN</v>
      </c>
      <c r="P190" s="26" t="str">
        <f t="shared" si="55"/>
        <v>LONG</v>
      </c>
      <c r="Q190" s="26" t="str">
        <f t="shared" si="56"/>
        <v>COIN LONG</v>
      </c>
      <c r="R190" s="26">
        <v>0</v>
      </c>
      <c r="S190" s="26">
        <v>0</v>
      </c>
      <c r="T190" s="26">
        <v>0</v>
      </c>
      <c r="U190" s="26">
        <v>0</v>
      </c>
      <c r="V190" s="23" t="str">
        <f t="shared" si="54"/>
        <v>HUBI</v>
      </c>
      <c r="W190" t="str">
        <f t="shared" si="57"/>
        <v>DOT COIN LONG</v>
      </c>
      <c r="X190" s="88" t="s">
        <v>264</v>
      </c>
      <c r="Y190" t="s">
        <v>162</v>
      </c>
      <c r="Z190">
        <v>97856395.370000005</v>
      </c>
      <c r="AA190">
        <v>3838.4555331170968</v>
      </c>
    </row>
    <row r="191" spans="1:27" x14ac:dyDescent="0.25">
      <c r="A191">
        <v>232</v>
      </c>
      <c r="B191" s="71">
        <v>44939.00000104167</v>
      </c>
      <c r="C191" s="14" t="s">
        <v>39</v>
      </c>
      <c r="D191" s="23" t="s">
        <v>41</v>
      </c>
      <c r="E191" s="23" t="s">
        <v>29</v>
      </c>
      <c r="F191" s="23">
        <v>0.1010306</v>
      </c>
      <c r="G191" s="23">
        <v>2.1133336633936102</v>
      </c>
      <c r="H191" s="23">
        <v>20.917758217744002</v>
      </c>
      <c r="I191" s="23">
        <v>0</v>
      </c>
      <c r="J191" s="23" t="s">
        <v>85</v>
      </c>
      <c r="K191" s="24">
        <v>44939.00000104167</v>
      </c>
      <c r="L191" s="23">
        <v>1</v>
      </c>
      <c r="M191" s="23" t="s">
        <v>29</v>
      </c>
      <c r="N191" s="25">
        <v>0</v>
      </c>
      <c r="O191" s="26" t="str">
        <f t="shared" si="53"/>
        <v>COIN</v>
      </c>
      <c r="P191" s="26" t="str">
        <f t="shared" si="55"/>
        <v>LONG</v>
      </c>
      <c r="Q191" s="26" t="str">
        <f t="shared" si="56"/>
        <v>COIN LONG</v>
      </c>
      <c r="R191" s="26">
        <v>0</v>
      </c>
      <c r="S191" s="26">
        <v>0</v>
      </c>
      <c r="T191" s="26">
        <v>0</v>
      </c>
      <c r="U191" s="26">
        <v>0</v>
      </c>
      <c r="V191" s="23" t="str">
        <f t="shared" si="54"/>
        <v>HUBI</v>
      </c>
      <c r="W191" t="str">
        <f t="shared" si="57"/>
        <v>ETC COIN LONG</v>
      </c>
      <c r="X191" s="88" t="s">
        <v>264</v>
      </c>
      <c r="Y191" t="s">
        <v>163</v>
      </c>
      <c r="Z191">
        <v>4.5994865699999998</v>
      </c>
      <c r="AA191">
        <v>0.56617275192756478</v>
      </c>
    </row>
    <row r="192" spans="1:27" x14ac:dyDescent="0.25">
      <c r="A192">
        <v>233</v>
      </c>
      <c r="B192" s="71">
        <v>44939.00000104167</v>
      </c>
      <c r="C192" s="14" t="s">
        <v>39</v>
      </c>
      <c r="D192" s="23" t="s">
        <v>41</v>
      </c>
      <c r="E192" s="23" t="s">
        <v>15</v>
      </c>
      <c r="F192" s="23">
        <v>146.63241235999999</v>
      </c>
      <c r="G192" s="23">
        <v>207915.74622197301</v>
      </c>
      <c r="H192" s="23">
        <v>1417.9385231112101</v>
      </c>
      <c r="I192" s="23">
        <v>0</v>
      </c>
      <c r="J192" s="23" t="s">
        <v>85</v>
      </c>
      <c r="K192" s="24">
        <v>44939.00000104167</v>
      </c>
      <c r="L192" s="23">
        <v>1</v>
      </c>
      <c r="M192" s="23" t="s">
        <v>15</v>
      </c>
      <c r="N192" s="25">
        <v>0</v>
      </c>
      <c r="O192" s="26" t="str">
        <f t="shared" si="53"/>
        <v>COIN</v>
      </c>
      <c r="P192" s="26" t="str">
        <f t="shared" si="55"/>
        <v>LONG</v>
      </c>
      <c r="Q192" s="26" t="str">
        <f t="shared" si="56"/>
        <v>COIN LONG</v>
      </c>
      <c r="R192" s="26">
        <v>0</v>
      </c>
      <c r="S192" s="26">
        <v>0</v>
      </c>
      <c r="T192" s="26">
        <v>0</v>
      </c>
      <c r="U192" s="26">
        <v>0</v>
      </c>
      <c r="V192" s="23" t="str">
        <f t="shared" si="54"/>
        <v>HUBI</v>
      </c>
      <c r="W192" t="str">
        <f t="shared" si="57"/>
        <v>ETH COIN LONG</v>
      </c>
      <c r="X192" s="88" t="s">
        <v>264</v>
      </c>
      <c r="Y192" t="s">
        <v>99</v>
      </c>
      <c r="Z192">
        <v>614534.47512592992</v>
      </c>
      <c r="AA192">
        <v>311674.19816986064</v>
      </c>
    </row>
    <row r="193" spans="1:27" x14ac:dyDescent="0.25">
      <c r="A193">
        <v>234</v>
      </c>
      <c r="B193" s="71">
        <v>44939.00000104167</v>
      </c>
      <c r="C193" s="14" t="s">
        <v>39</v>
      </c>
      <c r="D193" s="23" t="s">
        <v>41</v>
      </c>
      <c r="E193" s="23" t="s">
        <v>15</v>
      </c>
      <c r="F193" s="23">
        <v>-2.6088340000000002E-2</v>
      </c>
      <c r="G193" s="23">
        <v>-36.991662290023299</v>
      </c>
      <c r="H193" s="23">
        <v>1417.9385231112101</v>
      </c>
      <c r="I193" s="23">
        <v>0</v>
      </c>
      <c r="J193" s="23" t="s">
        <v>253</v>
      </c>
      <c r="K193" s="24">
        <v>44939.00000104167</v>
      </c>
      <c r="L193" s="23">
        <v>1</v>
      </c>
      <c r="M193" s="23" t="s">
        <v>15</v>
      </c>
      <c r="N193" s="25">
        <v>0</v>
      </c>
      <c r="O193" s="26" t="str">
        <f t="shared" si="53"/>
        <v>COIN</v>
      </c>
      <c r="P193" s="26" t="str">
        <f t="shared" si="55"/>
        <v>SHORT</v>
      </c>
      <c r="Q193" s="26" t="str">
        <f t="shared" si="56"/>
        <v>COIN SHORT</v>
      </c>
      <c r="R193" s="26">
        <v>0</v>
      </c>
      <c r="S193" s="26">
        <v>0</v>
      </c>
      <c r="T193" s="26">
        <v>0</v>
      </c>
      <c r="U193" s="26">
        <v>0</v>
      </c>
      <c r="V193" s="23" t="str">
        <f t="shared" si="54"/>
        <v>HUBI</v>
      </c>
      <c r="W193" t="str">
        <f t="shared" si="57"/>
        <v>ETH COIN SHORT</v>
      </c>
      <c r="X193" s="88" t="s">
        <v>264</v>
      </c>
      <c r="Y193" t="s">
        <v>164</v>
      </c>
      <c r="Z193">
        <v>3.9304560899999998</v>
      </c>
      <c r="AA193">
        <v>5.9693344766578251</v>
      </c>
    </row>
    <row r="194" spans="1:27" x14ac:dyDescent="0.25">
      <c r="A194">
        <v>235</v>
      </c>
      <c r="B194" s="71">
        <v>44939.00000104167</v>
      </c>
      <c r="C194" s="14" t="s">
        <v>39</v>
      </c>
      <c r="D194" s="23" t="s">
        <v>41</v>
      </c>
      <c r="E194" s="23" t="s">
        <v>27</v>
      </c>
      <c r="F194" s="23">
        <v>9.5620999999999998E-4</v>
      </c>
      <c r="G194" s="23">
        <v>6.1018930437566196E-3</v>
      </c>
      <c r="H194" s="23">
        <v>6.38133155243787</v>
      </c>
      <c r="I194" s="23">
        <v>0</v>
      </c>
      <c r="J194" s="23" t="s">
        <v>85</v>
      </c>
      <c r="K194" s="24">
        <v>44939.00000104167</v>
      </c>
      <c r="L194" s="23">
        <v>1</v>
      </c>
      <c r="M194" s="23" t="s">
        <v>27</v>
      </c>
      <c r="N194" s="25">
        <v>0</v>
      </c>
      <c r="O194" s="26" t="str">
        <f t="shared" ref="O194:O257" si="58">IF($C194="","",IF(OR($E194="USD",$E194="EUR"),"CASH","COIN"))</f>
        <v>COIN</v>
      </c>
      <c r="P194" s="26" t="str">
        <f t="shared" si="55"/>
        <v>LONG</v>
      </c>
      <c r="Q194" s="26" t="str">
        <f t="shared" si="56"/>
        <v>COIN LONG</v>
      </c>
      <c r="R194" s="26">
        <v>0</v>
      </c>
      <c r="S194" s="26">
        <v>0</v>
      </c>
      <c r="T194" s="26">
        <v>0</v>
      </c>
      <c r="U194" s="26">
        <v>0</v>
      </c>
      <c r="V194" s="23" t="str">
        <f t="shared" ref="V194:V257" si="59">IF($C194="","",IF(ISERROR(SEARCH("-",$D194)),$D194,LEFT($D194,SEARCH("-",$D194)-1)))</f>
        <v>HUBI</v>
      </c>
      <c r="W194" t="str">
        <f t="shared" si="57"/>
        <v>LINK COIN LONG</v>
      </c>
      <c r="X194" s="88" t="s">
        <v>264</v>
      </c>
      <c r="Y194" t="s">
        <v>171</v>
      </c>
      <c r="Z194">
        <v>3.4773900000000246E-2</v>
      </c>
      <c r="AA194">
        <v>292.4498877887745</v>
      </c>
    </row>
    <row r="195" spans="1:27" x14ac:dyDescent="0.25">
      <c r="A195">
        <v>236</v>
      </c>
      <c r="B195" s="71">
        <v>44939.00000104167</v>
      </c>
      <c r="C195" s="14" t="s">
        <v>39</v>
      </c>
      <c r="D195" s="23" t="s">
        <v>41</v>
      </c>
      <c r="E195" s="23" t="s">
        <v>24</v>
      </c>
      <c r="F195" s="23">
        <v>2.4771099999999998E-3</v>
      </c>
      <c r="G195" s="23">
        <v>0.21294285241476199</v>
      </c>
      <c r="H195" s="23">
        <v>85.964229450756093</v>
      </c>
      <c r="I195" s="23">
        <v>0</v>
      </c>
      <c r="J195" s="23" t="s">
        <v>85</v>
      </c>
      <c r="K195" s="24">
        <v>44939.00000104167</v>
      </c>
      <c r="L195" s="23">
        <v>1</v>
      </c>
      <c r="M195" s="23" t="s">
        <v>24</v>
      </c>
      <c r="N195" s="25">
        <v>0</v>
      </c>
      <c r="O195" s="26" t="str">
        <f t="shared" si="58"/>
        <v>COIN</v>
      </c>
      <c r="P195" s="26" t="str">
        <f t="shared" ref="P195:P258" si="60">IF($C195="","",IF($J195="CME FUTURE","HEDGE",IF($G195&gt;0,"LONG","SHORT")))</f>
        <v>LONG</v>
      </c>
      <c r="Q195" s="26" t="str">
        <f t="shared" ref="Q195:Q258" si="61">O195&amp;" "&amp;P195</f>
        <v>COIN LONG</v>
      </c>
      <c r="R195" s="26">
        <v>0</v>
      </c>
      <c r="S195" s="26">
        <v>0</v>
      </c>
      <c r="T195" s="26">
        <v>0</v>
      </c>
      <c r="U195" s="26">
        <v>0</v>
      </c>
      <c r="V195" s="23" t="str">
        <f t="shared" si="59"/>
        <v>HUBI</v>
      </c>
      <c r="W195" t="str">
        <f t="shared" si="57"/>
        <v>LTC COIN LONG</v>
      </c>
      <c r="X195" s="88" t="s">
        <v>264</v>
      </c>
      <c r="Y195" t="s">
        <v>117</v>
      </c>
      <c r="Z195">
        <v>1.572583E-2</v>
      </c>
      <c r="AA195">
        <v>14.084415691686086</v>
      </c>
    </row>
    <row r="196" spans="1:27" x14ac:dyDescent="0.25">
      <c r="A196">
        <v>237</v>
      </c>
      <c r="B196" s="71">
        <v>44939.00000104167</v>
      </c>
      <c r="C196" s="14" t="s">
        <v>39</v>
      </c>
      <c r="D196" s="23" t="s">
        <v>41</v>
      </c>
      <c r="E196" s="23" t="s">
        <v>37</v>
      </c>
      <c r="F196" s="23">
        <v>71073.205401560001</v>
      </c>
      <c r="G196" s="23">
        <v>0.67316157360309703</v>
      </c>
      <c r="H196" s="23">
        <v>9.4713833405960602E-6</v>
      </c>
      <c r="I196" s="23">
        <v>0</v>
      </c>
      <c r="J196" s="23" t="s">
        <v>85</v>
      </c>
      <c r="K196" s="24">
        <v>44939.00000104167</v>
      </c>
      <c r="L196" s="23">
        <v>1</v>
      </c>
      <c r="M196" s="23" t="s">
        <v>37</v>
      </c>
      <c r="N196" s="25">
        <v>0</v>
      </c>
      <c r="O196" s="26" t="str">
        <f t="shared" si="58"/>
        <v>COIN</v>
      </c>
      <c r="P196" s="26" t="str">
        <f t="shared" si="60"/>
        <v>LONG</v>
      </c>
      <c r="Q196" s="26" t="str">
        <f t="shared" si="61"/>
        <v>COIN LONG</v>
      </c>
      <c r="R196" s="26">
        <v>0</v>
      </c>
      <c r="S196" s="26">
        <v>0</v>
      </c>
      <c r="T196" s="26">
        <v>0</v>
      </c>
      <c r="U196" s="26">
        <v>0</v>
      </c>
      <c r="V196" s="23" t="str">
        <f t="shared" si="59"/>
        <v>HUBI</v>
      </c>
      <c r="W196" t="str">
        <f t="shared" si="57"/>
        <v>SHIB COIN LONG</v>
      </c>
      <c r="X196" s="88" t="s">
        <v>264</v>
      </c>
      <c r="Y196" t="s">
        <v>165</v>
      </c>
      <c r="Z196">
        <v>2.173E-4</v>
      </c>
      <c r="AA196">
        <v>1.219035559826355E-2</v>
      </c>
    </row>
    <row r="197" spans="1:27" x14ac:dyDescent="0.25">
      <c r="A197">
        <v>238</v>
      </c>
      <c r="B197" s="71">
        <v>44939.00000104167</v>
      </c>
      <c r="C197" s="14" t="s">
        <v>39</v>
      </c>
      <c r="D197" s="23" t="s">
        <v>41</v>
      </c>
      <c r="E197" s="23" t="s">
        <v>25</v>
      </c>
      <c r="F197" s="23">
        <v>4.8644999999999998E-4</v>
      </c>
      <c r="G197" s="23">
        <v>2.7781743060320699E-5</v>
      </c>
      <c r="H197" s="23">
        <v>5.7111199630631597E-2</v>
      </c>
      <c r="I197" s="23">
        <v>0</v>
      </c>
      <c r="J197" s="23" t="s">
        <v>85</v>
      </c>
      <c r="K197" s="24">
        <v>44939.00000104167</v>
      </c>
      <c r="L197" s="23">
        <v>1</v>
      </c>
      <c r="M197" s="23" t="s">
        <v>25</v>
      </c>
      <c r="N197" s="25">
        <v>0</v>
      </c>
      <c r="O197" s="26" t="str">
        <f t="shared" si="58"/>
        <v>COIN</v>
      </c>
      <c r="P197" s="26" t="str">
        <f t="shared" si="60"/>
        <v>LONG</v>
      </c>
      <c r="Q197" s="26" t="str">
        <f t="shared" si="61"/>
        <v>COIN LONG</v>
      </c>
      <c r="R197" s="26">
        <v>0</v>
      </c>
      <c r="S197" s="26">
        <v>0</v>
      </c>
      <c r="T197" s="26">
        <v>0</v>
      </c>
      <c r="U197" s="26">
        <v>0</v>
      </c>
      <c r="V197" s="23" t="str">
        <f t="shared" si="59"/>
        <v>HUBI</v>
      </c>
      <c r="W197" t="str">
        <f t="shared" si="57"/>
        <v>TRX COIN LONG</v>
      </c>
      <c r="X197" s="88" t="s">
        <v>264</v>
      </c>
      <c r="Y197" t="s">
        <v>26</v>
      </c>
      <c r="Z197">
        <v>533575.0815269798</v>
      </c>
      <c r="AA197">
        <v>17590.945836577681</v>
      </c>
    </row>
    <row r="198" spans="1:27" x14ac:dyDescent="0.25">
      <c r="A198">
        <v>239</v>
      </c>
      <c r="B198" s="71">
        <v>44939.00000104167</v>
      </c>
      <c r="C198" s="14" t="s">
        <v>39</v>
      </c>
      <c r="D198" s="23" t="s">
        <v>41</v>
      </c>
      <c r="E198" s="23" t="s">
        <v>99</v>
      </c>
      <c r="F198" s="23">
        <v>1.9184000000000001E-4</v>
      </c>
      <c r="G198" s="23">
        <v>7.1977819767686302E-5</v>
      </c>
      <c r="H198" s="23">
        <v>0.37519714224190098</v>
      </c>
      <c r="I198" s="23">
        <v>0</v>
      </c>
      <c r="J198" s="23" t="s">
        <v>85</v>
      </c>
      <c r="K198" s="24">
        <v>44939.00000104167</v>
      </c>
      <c r="L198" s="23">
        <v>1</v>
      </c>
      <c r="M198" s="23" t="s">
        <v>99</v>
      </c>
      <c r="N198" s="25">
        <v>0</v>
      </c>
      <c r="O198" s="26" t="str">
        <f t="shared" si="58"/>
        <v>COIN</v>
      </c>
      <c r="P198" s="26" t="str">
        <f t="shared" si="60"/>
        <v>LONG</v>
      </c>
      <c r="Q198" s="26" t="str">
        <f t="shared" si="61"/>
        <v>COIN LONG</v>
      </c>
      <c r="R198" s="26">
        <v>0</v>
      </c>
      <c r="S198" s="26">
        <v>0</v>
      </c>
      <c r="T198" s="26">
        <v>0</v>
      </c>
      <c r="U198" s="26">
        <v>0</v>
      </c>
      <c r="V198" s="23" t="str">
        <f t="shared" si="59"/>
        <v>HUBI</v>
      </c>
      <c r="W198" t="str">
        <f t="shared" ref="W198:W261" si="62">IF($C198="","",$M198&amp;" "&amp;$Q198)</f>
        <v>XRP COIN LONG</v>
      </c>
      <c r="X198" s="88" t="s">
        <v>264</v>
      </c>
      <c r="Y198" t="s">
        <v>272</v>
      </c>
      <c r="Z198">
        <v>34894.897757109997</v>
      </c>
      <c r="AA198">
        <v>259542.1542123761</v>
      </c>
    </row>
    <row r="199" spans="1:27" x14ac:dyDescent="0.25">
      <c r="A199">
        <v>240</v>
      </c>
      <c r="B199" s="71">
        <v>44939.00000104167</v>
      </c>
      <c r="C199" s="14" t="s">
        <v>39</v>
      </c>
      <c r="D199" s="23" t="s">
        <v>41</v>
      </c>
      <c r="E199" s="23" t="s">
        <v>117</v>
      </c>
      <c r="F199" s="23">
        <v>2.4299999999999999E-3</v>
      </c>
      <c r="G199" s="23">
        <v>2.9853911400186601</v>
      </c>
      <c r="H199" s="23">
        <v>1228.5560246990401</v>
      </c>
      <c r="I199" s="23">
        <v>0</v>
      </c>
      <c r="J199" s="23" t="s">
        <v>85</v>
      </c>
      <c r="K199" s="24">
        <v>44939.00000104167</v>
      </c>
      <c r="L199" s="23">
        <v>1</v>
      </c>
      <c r="M199" s="23" t="s">
        <v>117</v>
      </c>
      <c r="N199" s="25">
        <v>0</v>
      </c>
      <c r="O199" s="26" t="str">
        <f t="shared" si="58"/>
        <v>COIN</v>
      </c>
      <c r="P199" s="26" t="str">
        <f t="shared" si="60"/>
        <v>LONG</v>
      </c>
      <c r="Q199" s="26" t="str">
        <f t="shared" si="61"/>
        <v>COIN LONG</v>
      </c>
      <c r="R199" s="26">
        <v>0</v>
      </c>
      <c r="S199" s="26">
        <v>0</v>
      </c>
      <c r="T199" s="26">
        <v>0</v>
      </c>
      <c r="U199" s="26">
        <v>0</v>
      </c>
      <c r="V199" s="23" t="str">
        <f t="shared" si="59"/>
        <v>HUBI</v>
      </c>
      <c r="W199" t="str">
        <f t="shared" si="62"/>
        <v>YFII COIN LONG</v>
      </c>
      <c r="X199" s="88" t="s">
        <v>264</v>
      </c>
    </row>
    <row r="200" spans="1:27" x14ac:dyDescent="0.25">
      <c r="A200">
        <v>241</v>
      </c>
      <c r="B200" s="71">
        <v>44939.000001504632</v>
      </c>
      <c r="C200" s="14" t="s">
        <v>39</v>
      </c>
      <c r="D200" s="23" t="s">
        <v>42</v>
      </c>
      <c r="E200" s="23" t="s">
        <v>38</v>
      </c>
      <c r="F200" s="23">
        <v>38063.850801009998</v>
      </c>
      <c r="G200" s="23">
        <v>38067.3545474356</v>
      </c>
      <c r="H200" s="23">
        <v>1.00009204918451</v>
      </c>
      <c r="I200" s="23">
        <v>0</v>
      </c>
      <c r="J200" s="23" t="s">
        <v>85</v>
      </c>
      <c r="K200" s="24">
        <v>44939.000001504632</v>
      </c>
      <c r="L200" s="23">
        <v>1</v>
      </c>
      <c r="M200" s="23" t="s">
        <v>38</v>
      </c>
      <c r="N200" s="25">
        <v>0</v>
      </c>
      <c r="O200" s="26" t="str">
        <f t="shared" si="58"/>
        <v>COIN</v>
      </c>
      <c r="P200" s="26" t="str">
        <f t="shared" si="60"/>
        <v>LONG</v>
      </c>
      <c r="Q200" s="26" t="str">
        <f t="shared" si="61"/>
        <v>COIN LONG</v>
      </c>
      <c r="R200" s="26">
        <v>0</v>
      </c>
      <c r="S200" s="26">
        <v>0</v>
      </c>
      <c r="T200" s="26">
        <v>0</v>
      </c>
      <c r="U200" s="26">
        <v>0</v>
      </c>
      <c r="V200" s="23" t="str">
        <f t="shared" si="59"/>
        <v>HUBI</v>
      </c>
      <c r="W200" t="str">
        <f t="shared" si="62"/>
        <v>USDT COIN LONG</v>
      </c>
      <c r="X200" s="88" t="s">
        <v>264</v>
      </c>
    </row>
    <row r="201" spans="1:27" x14ac:dyDescent="0.25">
      <c r="A201">
        <v>242</v>
      </c>
      <c r="B201" s="71">
        <v>44939.000001504632</v>
      </c>
      <c r="C201" s="14" t="s">
        <v>39</v>
      </c>
      <c r="D201" s="23" t="s">
        <v>42</v>
      </c>
      <c r="E201" s="23" t="s">
        <v>38</v>
      </c>
      <c r="F201" s="23">
        <v>170.33860000000001</v>
      </c>
      <c r="G201" s="23">
        <v>170.354279529221</v>
      </c>
      <c r="H201" s="23">
        <v>1.00009204918451</v>
      </c>
      <c r="I201" s="23">
        <v>0</v>
      </c>
      <c r="J201" s="23" t="s">
        <v>253</v>
      </c>
      <c r="K201" s="24">
        <v>44939.000001504632</v>
      </c>
      <c r="L201" s="23">
        <v>1</v>
      </c>
      <c r="M201" s="23" t="s">
        <v>38</v>
      </c>
      <c r="N201" s="25">
        <v>0</v>
      </c>
      <c r="O201" s="26" t="str">
        <f t="shared" si="58"/>
        <v>COIN</v>
      </c>
      <c r="P201" s="26" t="str">
        <f t="shared" si="60"/>
        <v>LONG</v>
      </c>
      <c r="Q201" s="26" t="str">
        <f t="shared" si="61"/>
        <v>COIN LONG</v>
      </c>
      <c r="R201" s="26">
        <v>0</v>
      </c>
      <c r="S201" s="26">
        <v>0</v>
      </c>
      <c r="T201" s="26">
        <v>0</v>
      </c>
      <c r="U201" s="26">
        <v>0</v>
      </c>
      <c r="V201" s="23" t="str">
        <f t="shared" si="59"/>
        <v>HUBI</v>
      </c>
      <c r="W201" t="str">
        <f t="shared" si="62"/>
        <v>USDT COIN LONG</v>
      </c>
      <c r="X201" s="88" t="s">
        <v>264</v>
      </c>
    </row>
    <row r="202" spans="1:27" x14ac:dyDescent="0.25">
      <c r="A202">
        <v>243</v>
      </c>
      <c r="B202" s="71">
        <v>44939.000003240741</v>
      </c>
      <c r="C202" s="14" t="s">
        <v>39</v>
      </c>
      <c r="D202" s="23" t="s">
        <v>120</v>
      </c>
      <c r="E202" s="23" t="s">
        <v>121</v>
      </c>
      <c r="F202" s="23">
        <v>377.09760540000002</v>
      </c>
      <c r="G202" s="23">
        <v>9.8431534717962399E-2</v>
      </c>
      <c r="H202" s="23">
        <v>2.6102402483715799E-4</v>
      </c>
      <c r="I202" s="23">
        <v>0</v>
      </c>
      <c r="J202" s="23" t="s">
        <v>85</v>
      </c>
      <c r="K202" s="24">
        <v>44939.000003240741</v>
      </c>
      <c r="L202" s="23">
        <v>1</v>
      </c>
      <c r="M202" s="23" t="s">
        <v>121</v>
      </c>
      <c r="N202" s="25">
        <v>0</v>
      </c>
      <c r="O202" s="26" t="str">
        <f t="shared" si="58"/>
        <v>COIN</v>
      </c>
      <c r="P202" s="26" t="str">
        <f t="shared" si="60"/>
        <v>LONG</v>
      </c>
      <c r="Q202" s="26" t="str">
        <f t="shared" si="61"/>
        <v>COIN LONG</v>
      </c>
      <c r="R202" s="26">
        <v>0</v>
      </c>
      <c r="S202" s="26">
        <v>0</v>
      </c>
      <c r="T202" s="26">
        <v>0</v>
      </c>
      <c r="U202" s="26">
        <v>0</v>
      </c>
      <c r="V202" s="23" t="str">
        <f t="shared" si="59"/>
        <v>HUBI</v>
      </c>
      <c r="W202" t="str">
        <f t="shared" si="62"/>
        <v>AAC COIN LONG</v>
      </c>
      <c r="X202" s="88" t="s">
        <v>264</v>
      </c>
    </row>
    <row r="203" spans="1:27" x14ac:dyDescent="0.25">
      <c r="A203">
        <v>244</v>
      </c>
      <c r="B203" s="71">
        <v>44939.000003240741</v>
      </c>
      <c r="C203" s="14" t="s">
        <v>39</v>
      </c>
      <c r="D203" s="23" t="s">
        <v>120</v>
      </c>
      <c r="E203" s="23" t="s">
        <v>84</v>
      </c>
      <c r="F203" s="23">
        <v>1.1000000000000001E-7</v>
      </c>
      <c r="G203" s="23">
        <v>3.62734322217713E-8</v>
      </c>
      <c r="H203" s="23">
        <v>0.329758474743375</v>
      </c>
      <c r="I203" s="23">
        <v>0</v>
      </c>
      <c r="J203" s="23" t="s">
        <v>85</v>
      </c>
      <c r="K203" s="24">
        <v>44939.000003240741</v>
      </c>
      <c r="L203" s="23">
        <v>1</v>
      </c>
      <c r="M203" s="23" t="s">
        <v>84</v>
      </c>
      <c r="N203" s="25">
        <v>0</v>
      </c>
      <c r="O203" s="26" t="str">
        <f t="shared" si="58"/>
        <v>COIN</v>
      </c>
      <c r="P203" s="26" t="str">
        <f t="shared" si="60"/>
        <v>LONG</v>
      </c>
      <c r="Q203" s="26" t="str">
        <f t="shared" si="61"/>
        <v>COIN LONG</v>
      </c>
      <c r="R203" s="26">
        <v>0</v>
      </c>
      <c r="S203" s="26">
        <v>0</v>
      </c>
      <c r="T203" s="26">
        <v>0</v>
      </c>
      <c r="U203" s="26">
        <v>0</v>
      </c>
      <c r="V203" s="23" t="str">
        <f t="shared" si="59"/>
        <v>HUBI</v>
      </c>
      <c r="W203" t="str">
        <f t="shared" si="62"/>
        <v>ADA COIN LONG</v>
      </c>
      <c r="X203" s="88" t="s">
        <v>264</v>
      </c>
    </row>
    <row r="204" spans="1:27" x14ac:dyDescent="0.25">
      <c r="A204">
        <v>245</v>
      </c>
      <c r="B204" s="71">
        <v>44939.000003240741</v>
      </c>
      <c r="C204" s="14" t="s">
        <v>39</v>
      </c>
      <c r="D204" s="23" t="s">
        <v>120</v>
      </c>
      <c r="E204" s="23" t="s">
        <v>122</v>
      </c>
      <c r="F204" s="23">
        <v>2.6E-7</v>
      </c>
      <c r="G204" s="23">
        <v>5.5256887809946897E-8</v>
      </c>
      <c r="H204" s="23">
        <v>0.21252649157671899</v>
      </c>
      <c r="I204" s="23">
        <v>0</v>
      </c>
      <c r="J204" s="23" t="s">
        <v>85</v>
      </c>
      <c r="K204" s="24">
        <v>44939.000003240741</v>
      </c>
      <c r="L204" s="23">
        <v>1</v>
      </c>
      <c r="M204" s="23" t="s">
        <v>122</v>
      </c>
      <c r="N204" s="25">
        <v>0</v>
      </c>
      <c r="O204" s="26" t="str">
        <f t="shared" si="58"/>
        <v>COIN</v>
      </c>
      <c r="P204" s="26" t="str">
        <f t="shared" si="60"/>
        <v>LONG</v>
      </c>
      <c r="Q204" s="26" t="str">
        <f t="shared" si="61"/>
        <v>COIN LONG</v>
      </c>
      <c r="R204" s="26">
        <v>0</v>
      </c>
      <c r="S204" s="26">
        <v>0</v>
      </c>
      <c r="T204" s="26">
        <v>0</v>
      </c>
      <c r="U204" s="26">
        <v>0</v>
      </c>
      <c r="V204" s="23" t="str">
        <f t="shared" si="59"/>
        <v>HUBI</v>
      </c>
      <c r="W204" t="str">
        <f t="shared" si="62"/>
        <v>ALGO COIN LONG</v>
      </c>
      <c r="X204" s="88" t="s">
        <v>264</v>
      </c>
    </row>
    <row r="205" spans="1:27" x14ac:dyDescent="0.25">
      <c r="A205">
        <v>246</v>
      </c>
      <c r="B205" s="71">
        <v>44939.000003240741</v>
      </c>
      <c r="C205" s="14" t="s">
        <v>39</v>
      </c>
      <c r="D205" s="23" t="s">
        <v>120</v>
      </c>
      <c r="E205" s="23" t="s">
        <v>123</v>
      </c>
      <c r="F205" s="23">
        <v>0.53247394999999997</v>
      </c>
      <c r="G205" s="23">
        <v>1.6120070397661099E-2</v>
      </c>
      <c r="H205" s="23">
        <v>3.0273913677206402E-2</v>
      </c>
      <c r="I205" s="23">
        <v>0</v>
      </c>
      <c r="J205" s="23" t="s">
        <v>85</v>
      </c>
      <c r="K205" s="24">
        <v>44939.000003240741</v>
      </c>
      <c r="L205" s="23">
        <v>1</v>
      </c>
      <c r="M205" s="23" t="s">
        <v>123</v>
      </c>
      <c r="N205" s="25">
        <v>0</v>
      </c>
      <c r="O205" s="26" t="str">
        <f t="shared" si="58"/>
        <v>COIN</v>
      </c>
      <c r="P205" s="26" t="str">
        <f t="shared" si="60"/>
        <v>LONG</v>
      </c>
      <c r="Q205" s="26" t="str">
        <f t="shared" si="61"/>
        <v>COIN LONG</v>
      </c>
      <c r="R205" s="26">
        <v>0</v>
      </c>
      <c r="S205" s="26">
        <v>0</v>
      </c>
      <c r="T205" s="26">
        <v>0</v>
      </c>
      <c r="U205" s="26">
        <v>0</v>
      </c>
      <c r="V205" s="23" t="str">
        <f t="shared" si="59"/>
        <v>HUBI</v>
      </c>
      <c r="W205" t="str">
        <f t="shared" si="62"/>
        <v>ARPA COIN LONG</v>
      </c>
      <c r="X205" s="88" t="s">
        <v>264</v>
      </c>
    </row>
    <row r="206" spans="1:27" x14ac:dyDescent="0.25">
      <c r="A206">
        <v>247</v>
      </c>
      <c r="B206" s="71">
        <v>44939.000003240741</v>
      </c>
      <c r="C206" s="14" t="s">
        <v>39</v>
      </c>
      <c r="D206" s="23" t="s">
        <v>120</v>
      </c>
      <c r="E206" s="23" t="s">
        <v>35</v>
      </c>
      <c r="F206" s="23">
        <v>4.3657420000000002E-2</v>
      </c>
      <c r="G206" s="23">
        <v>0.53588137669726599</v>
      </c>
      <c r="H206" s="23">
        <v>12.274691832390999</v>
      </c>
      <c r="I206" s="23">
        <v>0</v>
      </c>
      <c r="J206" s="23" t="s">
        <v>85</v>
      </c>
      <c r="K206" s="24">
        <v>44939.000003240741</v>
      </c>
      <c r="L206" s="23">
        <v>1</v>
      </c>
      <c r="M206" s="23" t="s">
        <v>35</v>
      </c>
      <c r="N206" s="25">
        <v>0</v>
      </c>
      <c r="O206" s="26" t="str">
        <f t="shared" si="58"/>
        <v>COIN</v>
      </c>
      <c r="P206" s="26" t="str">
        <f t="shared" si="60"/>
        <v>LONG</v>
      </c>
      <c r="Q206" s="26" t="str">
        <f t="shared" si="61"/>
        <v>COIN LONG</v>
      </c>
      <c r="R206" s="26">
        <v>0</v>
      </c>
      <c r="S206" s="26">
        <v>0</v>
      </c>
      <c r="T206" s="26">
        <v>0</v>
      </c>
      <c r="U206" s="26">
        <v>0</v>
      </c>
      <c r="V206" s="23" t="str">
        <f t="shared" si="59"/>
        <v>HUBI</v>
      </c>
      <c r="W206" t="str">
        <f t="shared" si="62"/>
        <v>ATOM COIN LONG</v>
      </c>
      <c r="X206" s="88" t="s">
        <v>264</v>
      </c>
    </row>
    <row r="207" spans="1:27" x14ac:dyDescent="0.25">
      <c r="A207">
        <v>248</v>
      </c>
      <c r="B207" s="71">
        <v>44939.000003240741</v>
      </c>
      <c r="C207" s="14" t="s">
        <v>39</v>
      </c>
      <c r="D207" s="23" t="s">
        <v>120</v>
      </c>
      <c r="E207" s="23" t="s">
        <v>187</v>
      </c>
      <c r="F207" s="23">
        <v>1.5389969999999999E-2</v>
      </c>
      <c r="G207" s="23">
        <v>0.23788815677752301</v>
      </c>
      <c r="H207" s="23">
        <v>15.4573502597811</v>
      </c>
      <c r="I207" s="23">
        <v>0</v>
      </c>
      <c r="J207" s="23" t="s">
        <v>85</v>
      </c>
      <c r="K207" s="24">
        <v>44939.000003240741</v>
      </c>
      <c r="L207" s="23">
        <v>1</v>
      </c>
      <c r="M207" s="23" t="s">
        <v>187</v>
      </c>
      <c r="N207" s="25">
        <v>0</v>
      </c>
      <c r="O207" s="26" t="str">
        <f t="shared" si="58"/>
        <v>COIN</v>
      </c>
      <c r="P207" s="26" t="str">
        <f t="shared" si="60"/>
        <v>LONG</v>
      </c>
      <c r="Q207" s="26" t="str">
        <f t="shared" si="61"/>
        <v>COIN LONG</v>
      </c>
      <c r="R207" s="26">
        <v>0</v>
      </c>
      <c r="S207" s="26">
        <v>0</v>
      </c>
      <c r="T207" s="26">
        <v>0</v>
      </c>
      <c r="U207" s="26">
        <v>0</v>
      </c>
      <c r="V207" s="23" t="str">
        <f t="shared" si="59"/>
        <v>HUBI</v>
      </c>
      <c r="W207" t="str">
        <f t="shared" si="62"/>
        <v>AVAX COIN LONG</v>
      </c>
      <c r="X207" s="88" t="s">
        <v>264</v>
      </c>
    </row>
    <row r="208" spans="1:27" x14ac:dyDescent="0.25">
      <c r="A208">
        <v>249</v>
      </c>
      <c r="B208" s="71">
        <v>44939.000003240741</v>
      </c>
      <c r="C208" s="14" t="s">
        <v>39</v>
      </c>
      <c r="D208" s="23" t="s">
        <v>120</v>
      </c>
      <c r="E208" s="23" t="s">
        <v>124</v>
      </c>
      <c r="F208" s="23">
        <v>2.0454320000000002E-2</v>
      </c>
      <c r="G208" s="23">
        <v>4.1885132344188104E-3</v>
      </c>
      <c r="H208" s="23">
        <v>0.20477401519184199</v>
      </c>
      <c r="I208" s="23">
        <v>0</v>
      </c>
      <c r="J208" s="23" t="s">
        <v>85</v>
      </c>
      <c r="K208" s="24">
        <v>44939.000003240741</v>
      </c>
      <c r="L208" s="23">
        <v>1</v>
      </c>
      <c r="M208" s="23" t="s">
        <v>124</v>
      </c>
      <c r="N208" s="25">
        <v>0</v>
      </c>
      <c r="O208" s="26" t="str">
        <f t="shared" si="58"/>
        <v>COIN</v>
      </c>
      <c r="P208" s="26" t="str">
        <f t="shared" si="60"/>
        <v>LONG</v>
      </c>
      <c r="Q208" s="26" t="str">
        <f t="shared" si="61"/>
        <v>COIN LONG</v>
      </c>
      <c r="R208" s="26">
        <v>0</v>
      </c>
      <c r="S208" s="26">
        <v>0</v>
      </c>
      <c r="T208" s="26">
        <v>0</v>
      </c>
      <c r="U208" s="26">
        <v>0</v>
      </c>
      <c r="V208" s="23" t="str">
        <f t="shared" si="59"/>
        <v>HUBI</v>
      </c>
      <c r="W208" t="str">
        <f t="shared" si="62"/>
        <v>BAT COIN LONG</v>
      </c>
      <c r="X208" s="88" t="s">
        <v>264</v>
      </c>
    </row>
    <row r="209" spans="1:24" x14ac:dyDescent="0.25">
      <c r="A209">
        <v>250</v>
      </c>
      <c r="B209" s="71">
        <v>44939.000003240741</v>
      </c>
      <c r="C209" s="14" t="s">
        <v>39</v>
      </c>
      <c r="D209" s="23" t="s">
        <v>120</v>
      </c>
      <c r="E209" s="23" t="s">
        <v>20</v>
      </c>
      <c r="F209" s="23">
        <v>22.00176016</v>
      </c>
      <c r="G209" s="23">
        <v>2633.8409645971401</v>
      </c>
      <c r="H209" s="23">
        <v>119.710466137412</v>
      </c>
      <c r="I209" s="23">
        <v>0</v>
      </c>
      <c r="J209" s="23" t="s">
        <v>85</v>
      </c>
      <c r="K209" s="24">
        <v>44939.000003240741</v>
      </c>
      <c r="L209" s="23">
        <v>1</v>
      </c>
      <c r="M209" s="23" t="s">
        <v>20</v>
      </c>
      <c r="N209" s="25">
        <v>0</v>
      </c>
      <c r="O209" s="26" t="str">
        <f t="shared" si="58"/>
        <v>COIN</v>
      </c>
      <c r="P209" s="26" t="str">
        <f t="shared" si="60"/>
        <v>LONG</v>
      </c>
      <c r="Q209" s="26" t="str">
        <f t="shared" si="61"/>
        <v>COIN LONG</v>
      </c>
      <c r="R209" s="26">
        <v>0</v>
      </c>
      <c r="S209" s="26">
        <v>0</v>
      </c>
      <c r="T209" s="26">
        <v>0</v>
      </c>
      <c r="U209" s="26">
        <v>0</v>
      </c>
      <c r="V209" s="23" t="str">
        <f t="shared" si="59"/>
        <v>HUBI</v>
      </c>
      <c r="W209" t="str">
        <f t="shared" si="62"/>
        <v>BCH COIN LONG</v>
      </c>
      <c r="X209" s="88" t="s">
        <v>264</v>
      </c>
    </row>
    <row r="210" spans="1:24" x14ac:dyDescent="0.25">
      <c r="A210">
        <v>251</v>
      </c>
      <c r="B210" s="71">
        <v>44939.000003240741</v>
      </c>
      <c r="C210" s="14" t="s">
        <v>39</v>
      </c>
      <c r="D210" s="23" t="s">
        <v>120</v>
      </c>
      <c r="E210" s="23" t="s">
        <v>125</v>
      </c>
      <c r="F210" s="23">
        <v>2.5033500000000001E-3</v>
      </c>
      <c r="G210" s="23">
        <v>1.13535741150493E-4</v>
      </c>
      <c r="H210" s="23">
        <v>4.5353522739726197E-2</v>
      </c>
      <c r="I210" s="23">
        <v>0</v>
      </c>
      <c r="J210" s="23" t="s">
        <v>85</v>
      </c>
      <c r="K210" s="24">
        <v>44939.000003240741</v>
      </c>
      <c r="L210" s="23">
        <v>1</v>
      </c>
      <c r="M210" s="23" t="s">
        <v>125</v>
      </c>
      <c r="N210" s="25">
        <v>0</v>
      </c>
      <c r="O210" s="26" t="str">
        <f t="shared" si="58"/>
        <v>COIN</v>
      </c>
      <c r="P210" s="26" t="str">
        <f t="shared" si="60"/>
        <v>LONG</v>
      </c>
      <c r="Q210" s="26" t="str">
        <f t="shared" si="61"/>
        <v>COIN LONG</v>
      </c>
      <c r="R210" s="26">
        <v>0</v>
      </c>
      <c r="S210" s="26">
        <v>0</v>
      </c>
      <c r="T210" s="26">
        <v>0</v>
      </c>
      <c r="U210" s="26">
        <v>0</v>
      </c>
      <c r="V210" s="23" t="str">
        <f t="shared" si="59"/>
        <v>HUBI</v>
      </c>
      <c r="W210" t="str">
        <f t="shared" si="62"/>
        <v>BHD COIN LONG</v>
      </c>
      <c r="X210" s="88" t="s">
        <v>264</v>
      </c>
    </row>
    <row r="211" spans="1:24" x14ac:dyDescent="0.25">
      <c r="A211">
        <v>252</v>
      </c>
      <c r="B211" s="71">
        <v>44939.000003240741</v>
      </c>
      <c r="C211" s="14" t="s">
        <v>39</v>
      </c>
      <c r="D211" s="23" t="s">
        <v>120</v>
      </c>
      <c r="E211" s="23" t="s">
        <v>126</v>
      </c>
      <c r="F211" s="23">
        <v>115.29838952</v>
      </c>
      <c r="G211" s="23">
        <v>6.7795787076243297</v>
      </c>
      <c r="H211" s="23">
        <v>5.8800289716521299E-2</v>
      </c>
      <c r="I211" s="23">
        <v>0</v>
      </c>
      <c r="J211" s="23" t="s">
        <v>85</v>
      </c>
      <c r="K211" s="24">
        <v>44939.000003240741</v>
      </c>
      <c r="L211" s="23">
        <v>1</v>
      </c>
      <c r="M211" s="23" t="s">
        <v>126</v>
      </c>
      <c r="N211" s="25">
        <v>0</v>
      </c>
      <c r="O211" s="26" t="str">
        <f t="shared" si="58"/>
        <v>COIN</v>
      </c>
      <c r="P211" s="26" t="str">
        <f t="shared" si="60"/>
        <v>LONG</v>
      </c>
      <c r="Q211" s="26" t="str">
        <f t="shared" si="61"/>
        <v>COIN LONG</v>
      </c>
      <c r="R211" s="26">
        <v>0</v>
      </c>
      <c r="S211" s="26">
        <v>0</v>
      </c>
      <c r="T211" s="26">
        <v>0</v>
      </c>
      <c r="U211" s="26">
        <v>0</v>
      </c>
      <c r="V211" s="23" t="str">
        <f t="shared" si="59"/>
        <v>HUBI</v>
      </c>
      <c r="W211" t="str">
        <f t="shared" si="62"/>
        <v>BLZ COIN LONG</v>
      </c>
      <c r="X211" s="88" t="s">
        <v>264</v>
      </c>
    </row>
    <row r="212" spans="1:24" x14ac:dyDescent="0.25">
      <c r="A212">
        <v>253</v>
      </c>
      <c r="B212" s="71">
        <v>44939.000003240741</v>
      </c>
      <c r="C212" s="14" t="s">
        <v>39</v>
      </c>
      <c r="D212" s="23" t="s">
        <v>120</v>
      </c>
      <c r="E212" s="23" t="s">
        <v>127</v>
      </c>
      <c r="F212" s="23">
        <v>14.7502</v>
      </c>
      <c r="G212" s="23">
        <v>2.82684210675981</v>
      </c>
      <c r="H212" s="23">
        <v>0.19164771370963199</v>
      </c>
      <c r="I212" s="23">
        <v>0</v>
      </c>
      <c r="J212" s="23" t="s">
        <v>85</v>
      </c>
      <c r="K212" s="24">
        <v>44939.000003240741</v>
      </c>
      <c r="L212" s="23">
        <v>1</v>
      </c>
      <c r="M212" s="23" t="s">
        <v>127</v>
      </c>
      <c r="N212" s="25">
        <v>0</v>
      </c>
      <c r="O212" s="26" t="str">
        <f t="shared" si="58"/>
        <v>COIN</v>
      </c>
      <c r="P212" s="26" t="str">
        <f t="shared" si="60"/>
        <v>LONG</v>
      </c>
      <c r="Q212" s="26" t="str">
        <f t="shared" si="61"/>
        <v>COIN LONG</v>
      </c>
      <c r="R212" s="26">
        <v>0</v>
      </c>
      <c r="S212" s="26">
        <v>0</v>
      </c>
      <c r="T212" s="26">
        <v>0</v>
      </c>
      <c r="U212" s="26">
        <v>0</v>
      </c>
      <c r="V212" s="23" t="str">
        <f t="shared" si="59"/>
        <v>HUBI</v>
      </c>
      <c r="W212" t="str">
        <f t="shared" si="62"/>
        <v>BOBA COIN LONG</v>
      </c>
      <c r="X212" s="88" t="s">
        <v>264</v>
      </c>
    </row>
    <row r="213" spans="1:24" x14ac:dyDescent="0.25">
      <c r="A213">
        <v>254</v>
      </c>
      <c r="B213" s="71">
        <v>44939.000003240741</v>
      </c>
      <c r="C213" s="14" t="s">
        <v>39</v>
      </c>
      <c r="D213" s="23" t="s">
        <v>120</v>
      </c>
      <c r="E213" s="23" t="s">
        <v>113</v>
      </c>
      <c r="F213" s="23">
        <v>1.807E-4</v>
      </c>
      <c r="G213" s="23">
        <v>7.6161410656811904E-3</v>
      </c>
      <c r="H213" s="23">
        <v>42.1479859749927</v>
      </c>
      <c r="I213" s="23">
        <v>0</v>
      </c>
      <c r="J213" s="23" t="s">
        <v>85</v>
      </c>
      <c r="K213" s="24">
        <v>44939.000003240741</v>
      </c>
      <c r="L213" s="23">
        <v>1</v>
      </c>
      <c r="M213" s="23" t="s">
        <v>113</v>
      </c>
      <c r="N213" s="25">
        <v>0</v>
      </c>
      <c r="O213" s="26" t="str">
        <f t="shared" si="58"/>
        <v>COIN</v>
      </c>
      <c r="P213" s="26" t="str">
        <f t="shared" si="60"/>
        <v>LONG</v>
      </c>
      <c r="Q213" s="26" t="str">
        <f t="shared" si="61"/>
        <v>COIN LONG</v>
      </c>
      <c r="R213" s="26">
        <v>0</v>
      </c>
      <c r="S213" s="26">
        <v>0</v>
      </c>
      <c r="T213" s="26">
        <v>0</v>
      </c>
      <c r="U213" s="26">
        <v>0</v>
      </c>
      <c r="V213" s="23" t="str">
        <f t="shared" si="59"/>
        <v>HUBI</v>
      </c>
      <c r="W213" t="str">
        <f t="shared" si="62"/>
        <v>BSV COIN LONG</v>
      </c>
      <c r="X213" s="88" t="s">
        <v>264</v>
      </c>
    </row>
    <row r="214" spans="1:24" x14ac:dyDescent="0.25">
      <c r="A214">
        <v>255</v>
      </c>
      <c r="B214" s="71">
        <v>44939.000003240741</v>
      </c>
      <c r="C214" s="14" t="s">
        <v>39</v>
      </c>
      <c r="D214" s="23" t="s">
        <v>120</v>
      </c>
      <c r="E214" s="23" t="s">
        <v>14</v>
      </c>
      <c r="F214" s="23">
        <v>108.63868278</v>
      </c>
      <c r="G214" s="23">
        <v>2049967.1909252701</v>
      </c>
      <c r="H214" s="23">
        <v>18869.5880552655</v>
      </c>
      <c r="I214" s="23">
        <v>0</v>
      </c>
      <c r="J214" s="23" t="s">
        <v>85</v>
      </c>
      <c r="K214" s="24">
        <v>44939.000003240741</v>
      </c>
      <c r="L214" s="23">
        <v>1</v>
      </c>
      <c r="M214" s="23" t="s">
        <v>14</v>
      </c>
      <c r="N214" s="25">
        <v>0</v>
      </c>
      <c r="O214" s="26" t="str">
        <f t="shared" si="58"/>
        <v>COIN</v>
      </c>
      <c r="P214" s="26" t="str">
        <f t="shared" si="60"/>
        <v>LONG</v>
      </c>
      <c r="Q214" s="26" t="str">
        <f t="shared" si="61"/>
        <v>COIN LONG</v>
      </c>
      <c r="R214" s="26">
        <v>0</v>
      </c>
      <c r="S214" s="26">
        <v>0</v>
      </c>
      <c r="T214" s="26">
        <v>0</v>
      </c>
      <c r="U214" s="26">
        <v>0</v>
      </c>
      <c r="V214" s="23" t="str">
        <f t="shared" si="59"/>
        <v>HUBI</v>
      </c>
      <c r="W214" t="str">
        <f t="shared" si="62"/>
        <v>BTC COIN LONG</v>
      </c>
      <c r="X214" s="88" t="s">
        <v>264</v>
      </c>
    </row>
    <row r="215" spans="1:24" x14ac:dyDescent="0.25">
      <c r="A215">
        <v>256</v>
      </c>
      <c r="B215" s="71">
        <v>44939.000003240741</v>
      </c>
      <c r="C215" s="14" t="s">
        <v>39</v>
      </c>
      <c r="D215" s="23" t="s">
        <v>120</v>
      </c>
      <c r="E215" s="23" t="s">
        <v>128</v>
      </c>
      <c r="F215" s="23">
        <v>0.33565571999999999</v>
      </c>
      <c r="G215" s="23">
        <v>5.0099972829981999E-3</v>
      </c>
      <c r="H215" s="23">
        <v>1.49260000187043E-2</v>
      </c>
      <c r="I215" s="23">
        <v>0</v>
      </c>
      <c r="J215" s="23" t="s">
        <v>85</v>
      </c>
      <c r="K215" s="24">
        <v>44939.000003240741</v>
      </c>
      <c r="L215" s="23">
        <v>1</v>
      </c>
      <c r="M215" s="23" t="s">
        <v>128</v>
      </c>
      <c r="N215" s="25">
        <v>0</v>
      </c>
      <c r="O215" s="26" t="str">
        <f t="shared" si="58"/>
        <v>COIN</v>
      </c>
      <c r="P215" s="26" t="str">
        <f t="shared" si="60"/>
        <v>LONG</v>
      </c>
      <c r="Q215" s="26" t="str">
        <f t="shared" si="61"/>
        <v>COIN LONG</v>
      </c>
      <c r="R215" s="26">
        <v>0</v>
      </c>
      <c r="S215" s="26">
        <v>0</v>
      </c>
      <c r="T215" s="26">
        <v>0</v>
      </c>
      <c r="U215" s="26">
        <v>0</v>
      </c>
      <c r="V215" s="23" t="str">
        <f t="shared" si="59"/>
        <v>HUBI</v>
      </c>
      <c r="W215" t="str">
        <f t="shared" si="62"/>
        <v>BTM COIN LONG</v>
      </c>
      <c r="X215" s="88" t="s">
        <v>264</v>
      </c>
    </row>
    <row r="216" spans="1:24" x14ac:dyDescent="0.25">
      <c r="A216">
        <v>257</v>
      </c>
      <c r="B216" s="71">
        <v>44939.000003240741</v>
      </c>
      <c r="C216" s="14" t="s">
        <v>39</v>
      </c>
      <c r="D216" s="23" t="s">
        <v>120</v>
      </c>
      <c r="E216" s="23" t="s">
        <v>129</v>
      </c>
      <c r="F216" s="23">
        <v>1367501156.8785999</v>
      </c>
      <c r="G216" s="23">
        <v>935.32266578065196</v>
      </c>
      <c r="H216" s="23">
        <v>6.8396480769024001E-7</v>
      </c>
      <c r="I216" s="23">
        <v>0</v>
      </c>
      <c r="J216" s="23" t="s">
        <v>85</v>
      </c>
      <c r="K216" s="24">
        <v>44939.000003240741</v>
      </c>
      <c r="L216" s="23">
        <v>1</v>
      </c>
      <c r="M216" s="23" t="s">
        <v>129</v>
      </c>
      <c r="N216" s="25">
        <v>0</v>
      </c>
      <c r="O216" s="26" t="str">
        <f t="shared" si="58"/>
        <v>COIN</v>
      </c>
      <c r="P216" s="26" t="str">
        <f t="shared" si="60"/>
        <v>LONG</v>
      </c>
      <c r="Q216" s="26" t="str">
        <f t="shared" si="61"/>
        <v>COIN LONG</v>
      </c>
      <c r="R216" s="26">
        <v>0</v>
      </c>
      <c r="S216" s="26">
        <v>0</v>
      </c>
      <c r="T216" s="26">
        <v>0</v>
      </c>
      <c r="U216" s="26">
        <v>0</v>
      </c>
      <c r="V216" s="23" t="str">
        <f t="shared" si="59"/>
        <v>HUBI</v>
      </c>
      <c r="W216" t="str">
        <f t="shared" si="62"/>
        <v>BTT COIN LONG</v>
      </c>
      <c r="X216" s="88" t="s">
        <v>264</v>
      </c>
    </row>
    <row r="217" spans="1:24" x14ac:dyDescent="0.25">
      <c r="A217">
        <v>258</v>
      </c>
      <c r="B217" s="71">
        <v>44939.000003240741</v>
      </c>
      <c r="C217" s="14" t="s">
        <v>39</v>
      </c>
      <c r="D217" s="23" t="s">
        <v>120</v>
      </c>
      <c r="E217" s="23" t="s">
        <v>130</v>
      </c>
      <c r="F217" s="23">
        <v>1.7855998900000001</v>
      </c>
      <c r="G217" s="23">
        <v>4.3801594662575801E-3</v>
      </c>
      <c r="H217" s="23">
        <v>2.4530464471845198E-3</v>
      </c>
      <c r="I217" s="23">
        <v>0</v>
      </c>
      <c r="J217" s="23" t="s">
        <v>85</v>
      </c>
      <c r="K217" s="24">
        <v>44939.000003240741</v>
      </c>
      <c r="L217" s="23">
        <v>1</v>
      </c>
      <c r="M217" s="23" t="s">
        <v>130</v>
      </c>
      <c r="N217" s="25">
        <v>0</v>
      </c>
      <c r="O217" s="26" t="str">
        <f t="shared" si="58"/>
        <v>COIN</v>
      </c>
      <c r="P217" s="26" t="str">
        <f t="shared" si="60"/>
        <v>LONG</v>
      </c>
      <c r="Q217" s="26" t="str">
        <f t="shared" si="61"/>
        <v>COIN LONG</v>
      </c>
      <c r="R217" s="26">
        <v>0</v>
      </c>
      <c r="S217" s="26">
        <v>0</v>
      </c>
      <c r="T217" s="26">
        <v>0</v>
      </c>
      <c r="U217" s="26">
        <v>0</v>
      </c>
      <c r="V217" s="23" t="str">
        <f t="shared" si="59"/>
        <v>HUBI</v>
      </c>
      <c r="W217" t="str">
        <f t="shared" si="62"/>
        <v>CMT COIN LONG</v>
      </c>
      <c r="X217" s="88" t="s">
        <v>264</v>
      </c>
    </row>
    <row r="218" spans="1:24" x14ac:dyDescent="0.25">
      <c r="A218">
        <v>259</v>
      </c>
      <c r="B218" s="71">
        <v>44939.000003240741</v>
      </c>
      <c r="C218" s="14" t="s">
        <v>39</v>
      </c>
      <c r="D218" s="23" t="s">
        <v>120</v>
      </c>
      <c r="E218" s="23" t="s">
        <v>131</v>
      </c>
      <c r="F218" s="23">
        <v>0.30791584</v>
      </c>
      <c r="G218" s="23">
        <v>2.04778472878973E-2</v>
      </c>
      <c r="H218" s="23">
        <v>6.6504689358940702E-2</v>
      </c>
      <c r="I218" s="23">
        <v>0</v>
      </c>
      <c r="J218" s="23" t="s">
        <v>85</v>
      </c>
      <c r="K218" s="24">
        <v>44939.000003240741</v>
      </c>
      <c r="L218" s="23">
        <v>1</v>
      </c>
      <c r="M218" s="23" t="s">
        <v>131</v>
      </c>
      <c r="N218" s="25">
        <v>0</v>
      </c>
      <c r="O218" s="26" t="str">
        <f t="shared" si="58"/>
        <v>COIN</v>
      </c>
      <c r="P218" s="26" t="str">
        <f t="shared" si="60"/>
        <v>LONG</v>
      </c>
      <c r="Q218" s="26" t="str">
        <f t="shared" si="61"/>
        <v>COIN LONG</v>
      </c>
      <c r="R218" s="26">
        <v>0</v>
      </c>
      <c r="S218" s="26">
        <v>0</v>
      </c>
      <c r="T218" s="26">
        <v>0</v>
      </c>
      <c r="U218" s="26">
        <v>0</v>
      </c>
      <c r="V218" s="23" t="str">
        <f t="shared" si="59"/>
        <v>HUBI</v>
      </c>
      <c r="W218" t="str">
        <f t="shared" si="62"/>
        <v>CRO COIN LONG</v>
      </c>
      <c r="X218" s="88" t="s">
        <v>264</v>
      </c>
    </row>
    <row r="219" spans="1:24" x14ac:dyDescent="0.25">
      <c r="A219">
        <v>260</v>
      </c>
      <c r="B219" s="71">
        <v>44939.000003240741</v>
      </c>
      <c r="C219" s="14" t="s">
        <v>39</v>
      </c>
      <c r="D219" s="23" t="s">
        <v>120</v>
      </c>
      <c r="E219" s="23" t="s">
        <v>132</v>
      </c>
      <c r="F219" s="23">
        <v>5.6119999999999998E-5</v>
      </c>
      <c r="G219" s="23">
        <v>2.7698860571246102E-3</v>
      </c>
      <c r="H219" s="23">
        <v>49.356487119112799</v>
      </c>
      <c r="I219" s="23">
        <v>0</v>
      </c>
      <c r="J219" s="23" t="s">
        <v>85</v>
      </c>
      <c r="K219" s="24">
        <v>44939.000003240741</v>
      </c>
      <c r="L219" s="23">
        <v>1</v>
      </c>
      <c r="M219" s="23" t="s">
        <v>132</v>
      </c>
      <c r="N219" s="25">
        <v>0</v>
      </c>
      <c r="O219" s="26" t="str">
        <f t="shared" si="58"/>
        <v>COIN</v>
      </c>
      <c r="P219" s="26" t="str">
        <f t="shared" si="60"/>
        <v>LONG</v>
      </c>
      <c r="Q219" s="26" t="str">
        <f t="shared" si="61"/>
        <v>COIN LONG</v>
      </c>
      <c r="R219" s="26">
        <v>0</v>
      </c>
      <c r="S219" s="26">
        <v>0</v>
      </c>
      <c r="T219" s="26">
        <v>0</v>
      </c>
      <c r="U219" s="26">
        <v>0</v>
      </c>
      <c r="V219" s="23" t="str">
        <f t="shared" si="59"/>
        <v>HUBI</v>
      </c>
      <c r="W219" t="str">
        <f t="shared" si="62"/>
        <v>DASH COIN LONG</v>
      </c>
      <c r="X219" s="88" t="s">
        <v>264</v>
      </c>
    </row>
    <row r="220" spans="1:24" x14ac:dyDescent="0.25">
      <c r="A220">
        <v>261</v>
      </c>
      <c r="B220" s="71">
        <v>44939.000003240741</v>
      </c>
      <c r="C220" s="14" t="s">
        <v>39</v>
      </c>
      <c r="D220" s="23" t="s">
        <v>120</v>
      </c>
      <c r="E220" s="23" t="s">
        <v>133</v>
      </c>
      <c r="F220" s="23">
        <v>5.9800000000000001E-4</v>
      </c>
      <c r="G220" s="23">
        <v>6.9374385267831303E-6</v>
      </c>
      <c r="H220" s="23">
        <v>1.16010677705403E-2</v>
      </c>
      <c r="I220" s="23">
        <v>0</v>
      </c>
      <c r="J220" s="23" t="s">
        <v>85</v>
      </c>
      <c r="K220" s="24">
        <v>44939.000003240741</v>
      </c>
      <c r="L220" s="23">
        <v>1</v>
      </c>
      <c r="M220" s="23" t="s">
        <v>133</v>
      </c>
      <c r="N220" s="25">
        <v>0</v>
      </c>
      <c r="O220" s="26" t="str">
        <f t="shared" si="58"/>
        <v>COIN</v>
      </c>
      <c r="P220" s="26" t="str">
        <f t="shared" si="60"/>
        <v>LONG</v>
      </c>
      <c r="Q220" s="26" t="str">
        <f t="shared" si="61"/>
        <v>COIN LONG</v>
      </c>
      <c r="R220" s="26">
        <v>0</v>
      </c>
      <c r="S220" s="26">
        <v>0</v>
      </c>
      <c r="T220" s="26">
        <v>0</v>
      </c>
      <c r="U220" s="26">
        <v>0</v>
      </c>
      <c r="V220" s="23" t="str">
        <f t="shared" si="59"/>
        <v>HUBI</v>
      </c>
      <c r="W220" t="str">
        <f t="shared" si="62"/>
        <v>DON COIN LONG</v>
      </c>
      <c r="X220" s="88" t="s">
        <v>264</v>
      </c>
    </row>
    <row r="221" spans="1:24" x14ac:dyDescent="0.25">
      <c r="A221">
        <v>262</v>
      </c>
      <c r="B221" s="71">
        <v>44939.000003240741</v>
      </c>
      <c r="C221" s="14" t="s">
        <v>39</v>
      </c>
      <c r="D221" s="23" t="s">
        <v>120</v>
      </c>
      <c r="E221" s="23" t="s">
        <v>22</v>
      </c>
      <c r="F221" s="23">
        <v>40059.791036850002</v>
      </c>
      <c r="G221" s="23">
        <v>209491.793471121</v>
      </c>
      <c r="H221" s="23">
        <v>5.2294779390740098</v>
      </c>
      <c r="I221" s="23">
        <v>0</v>
      </c>
      <c r="J221" s="23" t="s">
        <v>85</v>
      </c>
      <c r="K221" s="24">
        <v>44939.000003240741</v>
      </c>
      <c r="L221" s="23">
        <v>1</v>
      </c>
      <c r="M221" s="23" t="s">
        <v>22</v>
      </c>
      <c r="N221" s="25">
        <v>0</v>
      </c>
      <c r="O221" s="26" t="str">
        <f t="shared" si="58"/>
        <v>COIN</v>
      </c>
      <c r="P221" s="26" t="str">
        <f t="shared" si="60"/>
        <v>LONG</v>
      </c>
      <c r="Q221" s="26" t="str">
        <f t="shared" si="61"/>
        <v>COIN LONG</v>
      </c>
      <c r="R221" s="26">
        <v>0</v>
      </c>
      <c r="S221" s="26">
        <v>0</v>
      </c>
      <c r="T221" s="26">
        <v>0</v>
      </c>
      <c r="U221" s="26">
        <v>0</v>
      </c>
      <c r="V221" s="23" t="str">
        <f t="shared" si="59"/>
        <v>HUBI</v>
      </c>
      <c r="W221" t="str">
        <f t="shared" si="62"/>
        <v>DOT COIN LONG</v>
      </c>
      <c r="X221" s="88" t="s">
        <v>264</v>
      </c>
    </row>
    <row r="222" spans="1:24" x14ac:dyDescent="0.25">
      <c r="A222">
        <v>263</v>
      </c>
      <c r="B222" s="71">
        <v>44939.000003240741</v>
      </c>
      <c r="C222" s="14" t="s">
        <v>39</v>
      </c>
      <c r="D222" s="23" t="s">
        <v>120</v>
      </c>
      <c r="E222" s="23" t="s">
        <v>28</v>
      </c>
      <c r="F222" s="23">
        <v>1E-8</v>
      </c>
      <c r="G222" s="23">
        <v>3.04096198903759E-9</v>
      </c>
      <c r="H222" s="23">
        <v>0.304096198903759</v>
      </c>
      <c r="I222" s="23">
        <v>0</v>
      </c>
      <c r="J222" s="23" t="s">
        <v>85</v>
      </c>
      <c r="K222" s="24">
        <v>44939.000003240741</v>
      </c>
      <c r="L222" s="23">
        <v>1</v>
      </c>
      <c r="M222" s="23" t="s">
        <v>28</v>
      </c>
      <c r="N222" s="25">
        <v>0</v>
      </c>
      <c r="O222" s="26" t="str">
        <f t="shared" si="58"/>
        <v>COIN</v>
      </c>
      <c r="P222" s="26" t="str">
        <f t="shared" si="60"/>
        <v>LONG</v>
      </c>
      <c r="Q222" s="26" t="str">
        <f t="shared" si="61"/>
        <v>COIN LONG</v>
      </c>
      <c r="R222" s="26">
        <v>0</v>
      </c>
      <c r="S222" s="26">
        <v>0</v>
      </c>
      <c r="T222" s="26">
        <v>0</v>
      </c>
      <c r="U222" s="26">
        <v>0</v>
      </c>
      <c r="V222" s="23" t="str">
        <f t="shared" si="59"/>
        <v>HUBI</v>
      </c>
      <c r="W222" t="str">
        <f t="shared" si="62"/>
        <v>ENJ COIN LONG</v>
      </c>
      <c r="X222" s="88" t="s">
        <v>264</v>
      </c>
    </row>
    <row r="223" spans="1:24" x14ac:dyDescent="0.25">
      <c r="A223">
        <v>264</v>
      </c>
      <c r="B223" s="71">
        <v>44939.000003240741</v>
      </c>
      <c r="C223" s="14" t="s">
        <v>39</v>
      </c>
      <c r="D223" s="23" t="s">
        <v>120</v>
      </c>
      <c r="E223" s="23" t="s">
        <v>23</v>
      </c>
      <c r="F223" s="23">
        <v>2110.8363221999998</v>
      </c>
      <c r="G223" s="23">
        <v>2090.23978782938</v>
      </c>
      <c r="H223" s="23">
        <v>0.990242476806942</v>
      </c>
      <c r="I223" s="23">
        <v>0</v>
      </c>
      <c r="J223" s="23" t="s">
        <v>85</v>
      </c>
      <c r="K223" s="24">
        <v>44939.000003240741</v>
      </c>
      <c r="L223" s="23">
        <v>1</v>
      </c>
      <c r="M223" s="23" t="s">
        <v>23</v>
      </c>
      <c r="N223" s="25">
        <v>0</v>
      </c>
      <c r="O223" s="26" t="str">
        <f t="shared" si="58"/>
        <v>COIN</v>
      </c>
      <c r="P223" s="26" t="str">
        <f t="shared" si="60"/>
        <v>LONG</v>
      </c>
      <c r="Q223" s="26" t="str">
        <f t="shared" si="61"/>
        <v>COIN LONG</v>
      </c>
      <c r="R223" s="26">
        <v>0</v>
      </c>
      <c r="S223" s="26">
        <v>0</v>
      </c>
      <c r="T223" s="26">
        <v>0</v>
      </c>
      <c r="U223" s="26">
        <v>0</v>
      </c>
      <c r="V223" s="23" t="str">
        <f t="shared" si="59"/>
        <v>HUBI</v>
      </c>
      <c r="W223" t="str">
        <f t="shared" si="62"/>
        <v>EOS COIN LONG</v>
      </c>
      <c r="X223" s="88" t="s">
        <v>264</v>
      </c>
    </row>
    <row r="224" spans="1:24" x14ac:dyDescent="0.25">
      <c r="A224">
        <v>265</v>
      </c>
      <c r="B224" s="71">
        <v>44939.000003240741</v>
      </c>
      <c r="C224" s="14" t="s">
        <v>39</v>
      </c>
      <c r="D224" s="23" t="s">
        <v>120</v>
      </c>
      <c r="E224" s="23" t="s">
        <v>29</v>
      </c>
      <c r="F224" s="23">
        <v>8859.7328020599998</v>
      </c>
      <c r="G224" s="23">
        <v>185325.74862730701</v>
      </c>
      <c r="H224" s="23">
        <v>20.917758217744002</v>
      </c>
      <c r="I224" s="23">
        <v>0</v>
      </c>
      <c r="J224" s="23" t="s">
        <v>85</v>
      </c>
      <c r="K224" s="24">
        <v>44939.000003240741</v>
      </c>
      <c r="L224" s="23">
        <v>1</v>
      </c>
      <c r="M224" s="23" t="s">
        <v>29</v>
      </c>
      <c r="N224" s="25">
        <v>0</v>
      </c>
      <c r="O224" s="26" t="str">
        <f t="shared" si="58"/>
        <v>COIN</v>
      </c>
      <c r="P224" s="26" t="str">
        <f t="shared" si="60"/>
        <v>LONG</v>
      </c>
      <c r="Q224" s="26" t="str">
        <f t="shared" si="61"/>
        <v>COIN LONG</v>
      </c>
      <c r="R224" s="26">
        <v>0</v>
      </c>
      <c r="S224" s="26">
        <v>0</v>
      </c>
      <c r="T224" s="26">
        <v>0</v>
      </c>
      <c r="U224" s="26">
        <v>0</v>
      </c>
      <c r="V224" s="23" t="str">
        <f t="shared" si="59"/>
        <v>HUBI</v>
      </c>
      <c r="W224" t="str">
        <f t="shared" si="62"/>
        <v>ETC COIN LONG</v>
      </c>
      <c r="X224" s="88" t="s">
        <v>264</v>
      </c>
    </row>
    <row r="225" spans="1:24" x14ac:dyDescent="0.25">
      <c r="A225">
        <v>266</v>
      </c>
      <c r="B225" s="71">
        <v>44939.000003240741</v>
      </c>
      <c r="C225" s="14" t="s">
        <v>39</v>
      </c>
      <c r="D225" s="23" t="s">
        <v>120</v>
      </c>
      <c r="E225" s="23" t="s">
        <v>15</v>
      </c>
      <c r="F225" s="23">
        <v>4854.4770517999996</v>
      </c>
      <c r="G225" s="23">
        <v>6883350.0213065902</v>
      </c>
      <c r="H225" s="23">
        <v>1417.9385231112101</v>
      </c>
      <c r="I225" s="23">
        <v>0</v>
      </c>
      <c r="J225" s="23" t="s">
        <v>85</v>
      </c>
      <c r="K225" s="24">
        <v>44939.000003240741</v>
      </c>
      <c r="L225" s="23">
        <v>1</v>
      </c>
      <c r="M225" s="23" t="s">
        <v>15</v>
      </c>
      <c r="N225" s="25">
        <v>0</v>
      </c>
      <c r="O225" s="26" t="str">
        <f t="shared" si="58"/>
        <v>COIN</v>
      </c>
      <c r="P225" s="26" t="str">
        <f t="shared" si="60"/>
        <v>LONG</v>
      </c>
      <c r="Q225" s="26" t="str">
        <f t="shared" si="61"/>
        <v>COIN LONG</v>
      </c>
      <c r="R225" s="26">
        <v>0</v>
      </c>
      <c r="S225" s="26">
        <v>0</v>
      </c>
      <c r="T225" s="26">
        <v>0</v>
      </c>
      <c r="U225" s="26">
        <v>0</v>
      </c>
      <c r="V225" s="23" t="str">
        <f t="shared" si="59"/>
        <v>HUBI</v>
      </c>
      <c r="W225" t="str">
        <f t="shared" si="62"/>
        <v>ETH COIN LONG</v>
      </c>
      <c r="X225" s="88" t="s">
        <v>264</v>
      </c>
    </row>
    <row r="226" spans="1:24" x14ac:dyDescent="0.25">
      <c r="A226">
        <v>267</v>
      </c>
      <c r="B226" s="71">
        <v>44939.000003240741</v>
      </c>
      <c r="C226" s="14" t="s">
        <v>39</v>
      </c>
      <c r="D226" s="23" t="s">
        <v>120</v>
      </c>
      <c r="E226" s="23" t="s">
        <v>290</v>
      </c>
      <c r="F226" s="23">
        <v>9823.8364263999993</v>
      </c>
      <c r="G226" s="23">
        <v>3355.0189397480699</v>
      </c>
      <c r="H226" s="23">
        <v>0.34151820064226501</v>
      </c>
      <c r="I226" s="23">
        <v>0</v>
      </c>
      <c r="J226" s="23" t="s">
        <v>85</v>
      </c>
      <c r="K226" s="24">
        <v>44939.000003240741</v>
      </c>
      <c r="L226" s="23">
        <v>1</v>
      </c>
      <c r="M226" s="23" t="s">
        <v>290</v>
      </c>
      <c r="N226" s="25">
        <v>0</v>
      </c>
      <c r="O226" s="26" t="str">
        <f t="shared" si="58"/>
        <v>COIN</v>
      </c>
      <c r="P226" s="26" t="str">
        <f t="shared" si="60"/>
        <v>LONG</v>
      </c>
      <c r="Q226" s="26" t="str">
        <f t="shared" si="61"/>
        <v>COIN LONG</v>
      </c>
      <c r="R226" s="26">
        <v>0</v>
      </c>
      <c r="S226" s="26">
        <v>0</v>
      </c>
      <c r="T226" s="26">
        <v>0</v>
      </c>
      <c r="U226" s="26">
        <v>0</v>
      </c>
      <c r="V226" s="23" t="str">
        <f t="shared" si="59"/>
        <v>HUBI</v>
      </c>
      <c r="W226" t="str">
        <f t="shared" si="62"/>
        <v>ETHF COIN LONG</v>
      </c>
      <c r="X226" s="88" t="s">
        <v>264</v>
      </c>
    </row>
    <row r="227" spans="1:24" x14ac:dyDescent="0.25">
      <c r="A227">
        <v>268</v>
      </c>
      <c r="B227" s="71">
        <v>44939.000003240741</v>
      </c>
      <c r="C227" s="14" t="s">
        <v>39</v>
      </c>
      <c r="D227" s="23" t="s">
        <v>120</v>
      </c>
      <c r="E227" s="23" t="s">
        <v>272</v>
      </c>
      <c r="F227" s="23">
        <v>3460.93190667</v>
      </c>
      <c r="G227" s="23">
        <v>11885.1634589431</v>
      </c>
      <c r="H227" s="23">
        <v>3.43409341167265</v>
      </c>
      <c r="I227" s="23">
        <v>0</v>
      </c>
      <c r="J227" s="23" t="s">
        <v>85</v>
      </c>
      <c r="K227" s="24">
        <v>44939.000003240741</v>
      </c>
      <c r="L227" s="23">
        <v>1</v>
      </c>
      <c r="M227" s="23" t="s">
        <v>272</v>
      </c>
      <c r="N227" s="25">
        <v>0</v>
      </c>
      <c r="O227" s="26" t="str">
        <f t="shared" si="58"/>
        <v>COIN</v>
      </c>
      <c r="P227" s="26" t="str">
        <f t="shared" si="60"/>
        <v>LONG</v>
      </c>
      <c r="Q227" s="26" t="str">
        <f t="shared" si="61"/>
        <v>COIN LONG</v>
      </c>
      <c r="R227" s="26">
        <v>0</v>
      </c>
      <c r="S227" s="26">
        <v>0</v>
      </c>
      <c r="T227" s="26">
        <v>0</v>
      </c>
      <c r="U227" s="26">
        <v>0</v>
      </c>
      <c r="V227" s="23" t="str">
        <f t="shared" si="59"/>
        <v>HUBI</v>
      </c>
      <c r="W227" t="str">
        <f t="shared" si="62"/>
        <v>ETHW COIN LONG</v>
      </c>
      <c r="X227" s="88" t="s">
        <v>264</v>
      </c>
    </row>
    <row r="228" spans="1:24" x14ac:dyDescent="0.25">
      <c r="A228">
        <v>269</v>
      </c>
      <c r="B228" s="71">
        <v>44939.000003240741</v>
      </c>
      <c r="C228" s="14" t="s">
        <v>39</v>
      </c>
      <c r="D228" s="23" t="s">
        <v>120</v>
      </c>
      <c r="E228" s="23" t="s">
        <v>258</v>
      </c>
      <c r="F228" s="23">
        <v>106105.15993081999</v>
      </c>
      <c r="G228" s="23">
        <v>115077.732305167</v>
      </c>
      <c r="H228" s="23">
        <v>1.0845630163527999</v>
      </c>
      <c r="I228" s="23">
        <v>0</v>
      </c>
      <c r="J228" s="23" t="s">
        <v>85</v>
      </c>
      <c r="K228" s="24">
        <v>44939.000003240741</v>
      </c>
      <c r="L228" s="23">
        <v>1</v>
      </c>
      <c r="M228" s="23" t="s">
        <v>258</v>
      </c>
      <c r="N228" s="25">
        <v>0</v>
      </c>
      <c r="O228" s="26" t="str">
        <f t="shared" si="58"/>
        <v>COIN</v>
      </c>
      <c r="P228" s="26" t="str">
        <f t="shared" si="60"/>
        <v>LONG</v>
      </c>
      <c r="Q228" s="26" t="str">
        <f t="shared" si="61"/>
        <v>COIN LONG</v>
      </c>
      <c r="R228" s="26">
        <v>0</v>
      </c>
      <c r="S228" s="26">
        <v>0</v>
      </c>
      <c r="T228" s="26">
        <v>0</v>
      </c>
      <c r="U228" s="26">
        <v>0</v>
      </c>
      <c r="V228" s="23" t="str">
        <f t="shared" si="59"/>
        <v>HUBI</v>
      </c>
      <c r="W228" t="str">
        <f t="shared" si="62"/>
        <v>EUROC COIN LONG</v>
      </c>
      <c r="X228" s="88" t="s">
        <v>264</v>
      </c>
    </row>
    <row r="229" spans="1:24" x14ac:dyDescent="0.25">
      <c r="A229">
        <v>270</v>
      </c>
      <c r="B229" s="71">
        <v>44939.000003240741</v>
      </c>
      <c r="C229" s="14" t="s">
        <v>39</v>
      </c>
      <c r="D229" s="23" t="s">
        <v>120</v>
      </c>
      <c r="E229" s="23" t="s">
        <v>30</v>
      </c>
      <c r="F229" s="23">
        <v>1.0244641699999999</v>
      </c>
      <c r="G229" s="23">
        <v>3.9475318864603102</v>
      </c>
      <c r="H229" s="23">
        <v>3.8532649574853499</v>
      </c>
      <c r="I229" s="23">
        <v>0</v>
      </c>
      <c r="J229" s="23" t="s">
        <v>85</v>
      </c>
      <c r="K229" s="24">
        <v>44939.000003240741</v>
      </c>
      <c r="L229" s="23">
        <v>1</v>
      </c>
      <c r="M229" s="23" t="s">
        <v>30</v>
      </c>
      <c r="N229" s="25">
        <v>0</v>
      </c>
      <c r="O229" s="26" t="str">
        <f t="shared" si="58"/>
        <v>COIN</v>
      </c>
      <c r="P229" s="26" t="str">
        <f t="shared" si="60"/>
        <v>LONG</v>
      </c>
      <c r="Q229" s="26" t="str">
        <f t="shared" si="61"/>
        <v>COIN LONG</v>
      </c>
      <c r="R229" s="26">
        <v>0</v>
      </c>
      <c r="S229" s="26">
        <v>0</v>
      </c>
      <c r="T229" s="26">
        <v>0</v>
      </c>
      <c r="U229" s="26">
        <v>0</v>
      </c>
      <c r="V229" s="23" t="str">
        <f t="shared" si="59"/>
        <v>HUBI</v>
      </c>
      <c r="W229" t="str">
        <f t="shared" si="62"/>
        <v>FIL COIN LONG</v>
      </c>
      <c r="X229" s="88" t="s">
        <v>264</v>
      </c>
    </row>
    <row r="230" spans="1:24" x14ac:dyDescent="0.25">
      <c r="A230">
        <v>271</v>
      </c>
      <c r="B230" s="71">
        <v>44939.000003240741</v>
      </c>
      <c r="C230" s="14" t="s">
        <v>39</v>
      </c>
      <c r="D230" s="23" t="s">
        <v>120</v>
      </c>
      <c r="E230" s="23" t="s">
        <v>973</v>
      </c>
      <c r="F230" s="23">
        <v>1214222.2371169401</v>
      </c>
      <c r="G230" s="23">
        <v>53439.032654800198</v>
      </c>
      <c r="H230" s="23">
        <v>4.4010915811990299E-2</v>
      </c>
      <c r="I230" s="23">
        <v>0</v>
      </c>
      <c r="J230" s="23" t="s">
        <v>85</v>
      </c>
      <c r="K230" s="24">
        <v>44939.000003240741</v>
      </c>
      <c r="L230" s="23">
        <v>1</v>
      </c>
      <c r="M230" s="23" t="s">
        <v>973</v>
      </c>
      <c r="N230" s="25">
        <v>0</v>
      </c>
      <c r="O230" s="26" t="str">
        <f t="shared" si="58"/>
        <v>COIN</v>
      </c>
      <c r="P230" s="26" t="str">
        <f t="shared" si="60"/>
        <v>LONG</v>
      </c>
      <c r="Q230" s="26" t="str">
        <f t="shared" si="61"/>
        <v>COIN LONG</v>
      </c>
      <c r="R230" s="26">
        <v>0</v>
      </c>
      <c r="S230" s="26">
        <v>0</v>
      </c>
      <c r="T230" s="26">
        <v>0</v>
      </c>
      <c r="U230" s="26">
        <v>0</v>
      </c>
      <c r="V230" s="23" t="str">
        <f t="shared" si="59"/>
        <v>HUBI</v>
      </c>
      <c r="W230" t="str">
        <f t="shared" si="62"/>
        <v>FLR COIN LONG</v>
      </c>
      <c r="X230" s="88" t="s">
        <v>264</v>
      </c>
    </row>
    <row r="231" spans="1:24" x14ac:dyDescent="0.25">
      <c r="A231">
        <v>272</v>
      </c>
      <c r="B231" s="71">
        <v>44939.000003240741</v>
      </c>
      <c r="C231" s="14" t="s">
        <v>39</v>
      </c>
      <c r="D231" s="23" t="s">
        <v>120</v>
      </c>
      <c r="E231" s="23" t="s">
        <v>109</v>
      </c>
      <c r="F231" s="23">
        <v>0.68557060000000003</v>
      </c>
      <c r="G231" s="23">
        <v>0.94664344380638399</v>
      </c>
      <c r="H231" s="23">
        <v>1.3808110263281099</v>
      </c>
      <c r="I231" s="23">
        <v>0</v>
      </c>
      <c r="J231" s="23" t="s">
        <v>85</v>
      </c>
      <c r="K231" s="24">
        <v>44939.000003240741</v>
      </c>
      <c r="L231" s="23">
        <v>1</v>
      </c>
      <c r="M231" s="23" t="s">
        <v>109</v>
      </c>
      <c r="N231" s="25">
        <v>0</v>
      </c>
      <c r="O231" s="26" t="str">
        <f t="shared" si="58"/>
        <v>COIN</v>
      </c>
      <c r="P231" s="26" t="str">
        <f t="shared" si="60"/>
        <v>LONG</v>
      </c>
      <c r="Q231" s="26" t="str">
        <f t="shared" si="61"/>
        <v>COIN LONG</v>
      </c>
      <c r="R231" s="26">
        <v>0</v>
      </c>
      <c r="S231" s="26">
        <v>0</v>
      </c>
      <c r="T231" s="26">
        <v>0</v>
      </c>
      <c r="U231" s="26">
        <v>0</v>
      </c>
      <c r="V231" s="23" t="str">
        <f t="shared" si="59"/>
        <v>HUBI</v>
      </c>
      <c r="W231" t="str">
        <f t="shared" si="62"/>
        <v>FTT COIN LONG</v>
      </c>
      <c r="X231" s="88" t="s">
        <v>264</v>
      </c>
    </row>
    <row r="232" spans="1:24" x14ac:dyDescent="0.25">
      <c r="A232">
        <v>273</v>
      </c>
      <c r="B232" s="71">
        <v>44939.000003240741</v>
      </c>
      <c r="C232" s="14" t="s">
        <v>39</v>
      </c>
      <c r="D232" s="23" t="s">
        <v>120</v>
      </c>
      <c r="E232" s="23" t="s">
        <v>134</v>
      </c>
      <c r="F232" s="23">
        <v>54.776400000000002</v>
      </c>
      <c r="G232" s="23">
        <v>123.290471367386</v>
      </c>
      <c r="H232" s="23">
        <v>2.2507954405069799</v>
      </c>
      <c r="I232" s="23">
        <v>0</v>
      </c>
      <c r="J232" s="23" t="s">
        <v>85</v>
      </c>
      <c r="K232" s="24">
        <v>44939.000003240741</v>
      </c>
      <c r="L232" s="23">
        <v>1</v>
      </c>
      <c r="M232" s="23" t="s">
        <v>134</v>
      </c>
      <c r="N232" s="25">
        <v>0</v>
      </c>
      <c r="O232" s="26" t="str">
        <f t="shared" si="58"/>
        <v>COIN</v>
      </c>
      <c r="P232" s="26" t="str">
        <f t="shared" si="60"/>
        <v>LONG</v>
      </c>
      <c r="Q232" s="26" t="str">
        <f t="shared" si="61"/>
        <v>COIN LONG</v>
      </c>
      <c r="R232" s="26">
        <v>0</v>
      </c>
      <c r="S232" s="26">
        <v>0</v>
      </c>
      <c r="T232" s="26">
        <v>0</v>
      </c>
      <c r="U232" s="26">
        <v>0</v>
      </c>
      <c r="V232" s="23" t="str">
        <f t="shared" si="59"/>
        <v>HUBI</v>
      </c>
      <c r="W232" t="str">
        <f t="shared" si="62"/>
        <v>GAS COIN LONG</v>
      </c>
      <c r="X232" s="88" t="s">
        <v>264</v>
      </c>
    </row>
    <row r="233" spans="1:24" x14ac:dyDescent="0.25">
      <c r="A233">
        <v>274</v>
      </c>
      <c r="B233" s="71">
        <v>44939.000003240741</v>
      </c>
      <c r="C233" s="14" t="s">
        <v>39</v>
      </c>
      <c r="D233" s="23" t="s">
        <v>120</v>
      </c>
      <c r="E233" s="23" t="s">
        <v>135</v>
      </c>
      <c r="F233" s="23">
        <v>3.4060489999999999E-2</v>
      </c>
      <c r="G233" s="23">
        <v>1.62290185554767E-3</v>
      </c>
      <c r="H233" s="23">
        <v>4.7647636764699498E-2</v>
      </c>
      <c r="I233" s="23">
        <v>0</v>
      </c>
      <c r="J233" s="23" t="s">
        <v>85</v>
      </c>
      <c r="K233" s="24">
        <v>44939.000003240741</v>
      </c>
      <c r="L233" s="23">
        <v>1</v>
      </c>
      <c r="M233" s="23" t="s">
        <v>135</v>
      </c>
      <c r="N233" s="25">
        <v>0</v>
      </c>
      <c r="O233" s="26" t="str">
        <f t="shared" si="58"/>
        <v>COIN</v>
      </c>
      <c r="P233" s="26" t="str">
        <f t="shared" si="60"/>
        <v>LONG</v>
      </c>
      <c r="Q233" s="26" t="str">
        <f t="shared" si="61"/>
        <v>COIN LONG</v>
      </c>
      <c r="R233" s="26">
        <v>0</v>
      </c>
      <c r="S233" s="26">
        <v>0</v>
      </c>
      <c r="T233" s="26">
        <v>0</v>
      </c>
      <c r="U233" s="26">
        <v>0</v>
      </c>
      <c r="V233" s="23" t="str">
        <f t="shared" si="59"/>
        <v>HUBI</v>
      </c>
      <c r="W233" t="str">
        <f t="shared" si="62"/>
        <v>HBAR COIN LONG</v>
      </c>
      <c r="X233" s="88" t="s">
        <v>264</v>
      </c>
    </row>
    <row r="234" spans="1:24" x14ac:dyDescent="0.25">
      <c r="A234">
        <v>275</v>
      </c>
      <c r="B234" s="71">
        <v>44939.000003240741</v>
      </c>
      <c r="C234" s="14" t="s">
        <v>39</v>
      </c>
      <c r="D234" s="23" t="s">
        <v>120</v>
      </c>
      <c r="E234" s="23" t="s">
        <v>136</v>
      </c>
      <c r="F234" s="23">
        <v>5337.6979873099999</v>
      </c>
      <c r="G234" s="23">
        <v>1.0398940855485499</v>
      </c>
      <c r="H234" s="23">
        <v>1.9482070510936099E-4</v>
      </c>
      <c r="I234" s="23">
        <v>0</v>
      </c>
      <c r="J234" s="23" t="s">
        <v>85</v>
      </c>
      <c r="K234" s="24">
        <v>44939.000003240741</v>
      </c>
      <c r="L234" s="23">
        <v>1</v>
      </c>
      <c r="M234" s="23" t="s">
        <v>136</v>
      </c>
      <c r="N234" s="25">
        <v>0</v>
      </c>
      <c r="O234" s="26" t="str">
        <f t="shared" si="58"/>
        <v>COIN</v>
      </c>
      <c r="P234" s="26" t="str">
        <f t="shared" si="60"/>
        <v>LONG</v>
      </c>
      <c r="Q234" s="26" t="str">
        <f t="shared" si="61"/>
        <v>COIN LONG</v>
      </c>
      <c r="R234" s="26">
        <v>0</v>
      </c>
      <c r="S234" s="26">
        <v>0</v>
      </c>
      <c r="T234" s="26">
        <v>0</v>
      </c>
      <c r="U234" s="26">
        <v>0</v>
      </c>
      <c r="V234" s="23" t="str">
        <f t="shared" si="59"/>
        <v>HUBI</v>
      </c>
      <c r="W234" t="str">
        <f t="shared" si="62"/>
        <v>HPT COIN LONG</v>
      </c>
      <c r="X234" s="88" t="s">
        <v>264</v>
      </c>
    </row>
    <row r="235" spans="1:24" x14ac:dyDescent="0.25">
      <c r="A235">
        <v>276</v>
      </c>
      <c r="B235" s="71">
        <v>44939.000003240741</v>
      </c>
      <c r="C235" s="14" t="s">
        <v>39</v>
      </c>
      <c r="D235" s="23" t="s">
        <v>120</v>
      </c>
      <c r="E235" s="23" t="s">
        <v>137</v>
      </c>
      <c r="F235" s="23">
        <v>1594.9850023900001</v>
      </c>
      <c r="G235" s="23">
        <v>8106.9204874240804</v>
      </c>
      <c r="H235" s="23">
        <v>5.0827565621471598</v>
      </c>
      <c r="I235" s="23">
        <v>0</v>
      </c>
      <c r="J235" s="23" t="s">
        <v>85</v>
      </c>
      <c r="K235" s="24">
        <v>44939.000003240741</v>
      </c>
      <c r="L235" s="23">
        <v>1</v>
      </c>
      <c r="M235" s="23" t="s">
        <v>137</v>
      </c>
      <c r="N235" s="25">
        <v>0</v>
      </c>
      <c r="O235" s="26" t="str">
        <f t="shared" si="58"/>
        <v>COIN</v>
      </c>
      <c r="P235" s="26" t="str">
        <f t="shared" si="60"/>
        <v>LONG</v>
      </c>
      <c r="Q235" s="26" t="str">
        <f t="shared" si="61"/>
        <v>COIN LONG</v>
      </c>
      <c r="R235" s="26">
        <v>0</v>
      </c>
      <c r="S235" s="26">
        <v>0</v>
      </c>
      <c r="T235" s="26">
        <v>0</v>
      </c>
      <c r="U235" s="26">
        <v>0</v>
      </c>
      <c r="V235" s="23" t="str">
        <f t="shared" si="59"/>
        <v>HUBI</v>
      </c>
      <c r="W235" t="str">
        <f t="shared" si="62"/>
        <v>HT COIN LONG</v>
      </c>
      <c r="X235" s="88" t="s">
        <v>264</v>
      </c>
    </row>
    <row r="236" spans="1:24" x14ac:dyDescent="0.25">
      <c r="A236">
        <v>277</v>
      </c>
      <c r="B236" s="71">
        <v>44939.000003240741</v>
      </c>
      <c r="C236" s="14" t="s">
        <v>39</v>
      </c>
      <c r="D236" s="23" t="s">
        <v>120</v>
      </c>
      <c r="E236" s="23" t="s">
        <v>139</v>
      </c>
      <c r="F236" s="23">
        <v>14.785856219999999</v>
      </c>
      <c r="G236" s="23">
        <v>0.121917236886426</v>
      </c>
      <c r="H236" s="23">
        <v>8.2455310718845091E-3</v>
      </c>
      <c r="I236" s="23">
        <v>0</v>
      </c>
      <c r="J236" s="23" t="s">
        <v>85</v>
      </c>
      <c r="K236" s="24">
        <v>44939.000003240741</v>
      </c>
      <c r="L236" s="23">
        <v>1</v>
      </c>
      <c r="M236" s="23" t="s">
        <v>139</v>
      </c>
      <c r="N236" s="25">
        <v>0</v>
      </c>
      <c r="O236" s="26" t="str">
        <f t="shared" si="58"/>
        <v>COIN</v>
      </c>
      <c r="P236" s="26" t="str">
        <f t="shared" si="60"/>
        <v>LONG</v>
      </c>
      <c r="Q236" s="26" t="str">
        <f t="shared" si="61"/>
        <v>COIN LONG</v>
      </c>
      <c r="R236" s="26">
        <v>0</v>
      </c>
      <c r="S236" s="26">
        <v>0</v>
      </c>
      <c r="T236" s="26">
        <v>0</v>
      </c>
      <c r="U236" s="26">
        <v>0</v>
      </c>
      <c r="V236" s="23" t="str">
        <f t="shared" si="59"/>
        <v>HUBI</v>
      </c>
      <c r="W236" t="str">
        <f t="shared" si="62"/>
        <v>IOST COIN LONG</v>
      </c>
      <c r="X236" s="88" t="s">
        <v>264</v>
      </c>
    </row>
    <row r="237" spans="1:24" x14ac:dyDescent="0.25">
      <c r="A237">
        <v>278</v>
      </c>
      <c r="B237" s="71">
        <v>44939.000003240741</v>
      </c>
      <c r="C237" s="14" t="s">
        <v>39</v>
      </c>
      <c r="D237" s="23" t="s">
        <v>120</v>
      </c>
      <c r="E237" s="23" t="s">
        <v>140</v>
      </c>
      <c r="F237" s="23">
        <v>0.81765067999999996</v>
      </c>
      <c r="G237" s="23">
        <v>1.1689388986948599E-2</v>
      </c>
      <c r="H237" s="23">
        <v>1.4296311704833E-2</v>
      </c>
      <c r="I237" s="23">
        <v>0</v>
      </c>
      <c r="J237" s="23" t="s">
        <v>85</v>
      </c>
      <c r="K237" s="24">
        <v>44939.000003240741</v>
      </c>
      <c r="L237" s="23">
        <v>1</v>
      </c>
      <c r="M237" s="23" t="s">
        <v>140</v>
      </c>
      <c r="N237" s="25">
        <v>0</v>
      </c>
      <c r="O237" s="26" t="str">
        <f t="shared" si="58"/>
        <v>COIN</v>
      </c>
      <c r="P237" s="26" t="str">
        <f t="shared" si="60"/>
        <v>LONG</v>
      </c>
      <c r="Q237" s="26" t="str">
        <f t="shared" si="61"/>
        <v>COIN LONG</v>
      </c>
      <c r="R237" s="26">
        <v>0</v>
      </c>
      <c r="S237" s="26">
        <v>0</v>
      </c>
      <c r="T237" s="26">
        <v>0</v>
      </c>
      <c r="U237" s="26">
        <v>0</v>
      </c>
      <c r="V237" s="23" t="str">
        <f t="shared" si="59"/>
        <v>HUBI</v>
      </c>
      <c r="W237" t="str">
        <f t="shared" si="62"/>
        <v>IRIS COIN LONG</v>
      </c>
      <c r="X237" s="88" t="s">
        <v>264</v>
      </c>
    </row>
    <row r="238" spans="1:24" x14ac:dyDescent="0.25">
      <c r="A238">
        <v>279</v>
      </c>
      <c r="B238" s="71">
        <v>44939.000003240741</v>
      </c>
      <c r="C238" s="14" t="s">
        <v>39</v>
      </c>
      <c r="D238" s="23" t="s">
        <v>120</v>
      </c>
      <c r="E238" s="23" t="s">
        <v>141</v>
      </c>
      <c r="F238" s="23">
        <v>9.1121815000000002</v>
      </c>
      <c r="G238" s="23">
        <v>0.20061593833102701</v>
      </c>
      <c r="H238" s="23">
        <v>2.20162359947535E-2</v>
      </c>
      <c r="I238" s="23">
        <v>0</v>
      </c>
      <c r="J238" s="23" t="s">
        <v>85</v>
      </c>
      <c r="K238" s="24">
        <v>44939.000003240741</v>
      </c>
      <c r="L238" s="23">
        <v>1</v>
      </c>
      <c r="M238" s="23" t="s">
        <v>141</v>
      </c>
      <c r="N238" s="25">
        <v>0</v>
      </c>
      <c r="O238" s="26" t="str">
        <f t="shared" si="58"/>
        <v>COIN</v>
      </c>
      <c r="P238" s="26" t="str">
        <f t="shared" si="60"/>
        <v>LONG</v>
      </c>
      <c r="Q238" s="26" t="str">
        <f t="shared" si="61"/>
        <v>COIN LONG</v>
      </c>
      <c r="R238" s="26">
        <v>0</v>
      </c>
      <c r="S238" s="26">
        <v>0</v>
      </c>
      <c r="T238" s="26">
        <v>0</v>
      </c>
      <c r="U238" s="26">
        <v>0</v>
      </c>
      <c r="V238" s="23" t="str">
        <f t="shared" si="59"/>
        <v>HUBI</v>
      </c>
      <c r="W238" t="str">
        <f t="shared" si="62"/>
        <v>JST COIN LONG</v>
      </c>
      <c r="X238" s="88" t="s">
        <v>264</v>
      </c>
    </row>
    <row r="239" spans="1:24" x14ac:dyDescent="0.25">
      <c r="A239">
        <v>280</v>
      </c>
      <c r="B239" s="71">
        <v>44939.000003240741</v>
      </c>
      <c r="C239" s="14" t="s">
        <v>39</v>
      </c>
      <c r="D239" s="23" t="s">
        <v>120</v>
      </c>
      <c r="E239" s="23" t="s">
        <v>43</v>
      </c>
      <c r="F239" s="23">
        <v>1.4966E-4</v>
      </c>
      <c r="G239" s="23">
        <v>4.2395197801870397E-3</v>
      </c>
      <c r="H239" s="23">
        <v>28.327674597000101</v>
      </c>
      <c r="I239" s="23">
        <v>0</v>
      </c>
      <c r="J239" s="23" t="s">
        <v>85</v>
      </c>
      <c r="K239" s="24">
        <v>44939.000003240741</v>
      </c>
      <c r="L239" s="23">
        <v>1</v>
      </c>
      <c r="M239" s="23" t="s">
        <v>43</v>
      </c>
      <c r="N239" s="25">
        <v>0</v>
      </c>
      <c r="O239" s="26" t="str">
        <f t="shared" si="58"/>
        <v>COIN</v>
      </c>
      <c r="P239" s="26" t="str">
        <f t="shared" si="60"/>
        <v>LONG</v>
      </c>
      <c r="Q239" s="26" t="str">
        <f t="shared" si="61"/>
        <v>COIN LONG</v>
      </c>
      <c r="R239" s="26">
        <v>0</v>
      </c>
      <c r="S239" s="26">
        <v>0</v>
      </c>
      <c r="T239" s="26">
        <v>0</v>
      </c>
      <c r="U239" s="26">
        <v>0</v>
      </c>
      <c r="V239" s="23" t="str">
        <f t="shared" si="59"/>
        <v>HUBI</v>
      </c>
      <c r="W239" t="str">
        <f t="shared" si="62"/>
        <v>KSM COIN LONG</v>
      </c>
      <c r="X239" s="88" t="s">
        <v>264</v>
      </c>
    </row>
    <row r="240" spans="1:24" x14ac:dyDescent="0.25">
      <c r="A240">
        <v>281</v>
      </c>
      <c r="B240" s="71">
        <v>44939.000003240741</v>
      </c>
      <c r="C240" s="14" t="s">
        <v>39</v>
      </c>
      <c r="D240" s="23" t="s">
        <v>120</v>
      </c>
      <c r="E240" s="23" t="s">
        <v>142</v>
      </c>
      <c r="F240" s="23">
        <v>0.24234807999999999</v>
      </c>
      <c r="G240" s="23">
        <v>3.0956421739687298E-4</v>
      </c>
      <c r="H240" s="23">
        <v>1.2773537029749601E-3</v>
      </c>
      <c r="I240" s="23">
        <v>0</v>
      </c>
      <c r="J240" s="23" t="s">
        <v>85</v>
      </c>
      <c r="K240" s="24">
        <v>44939.000003240741</v>
      </c>
      <c r="L240" s="23">
        <v>1</v>
      </c>
      <c r="M240" s="23" t="s">
        <v>142</v>
      </c>
      <c r="N240" s="25">
        <v>0</v>
      </c>
      <c r="O240" s="26" t="str">
        <f t="shared" si="58"/>
        <v>COIN</v>
      </c>
      <c r="P240" s="26" t="str">
        <f t="shared" si="60"/>
        <v>LONG</v>
      </c>
      <c r="Q240" s="26" t="str">
        <f t="shared" si="61"/>
        <v>COIN LONG</v>
      </c>
      <c r="R240" s="26">
        <v>0</v>
      </c>
      <c r="S240" s="26">
        <v>0</v>
      </c>
      <c r="T240" s="26">
        <v>0</v>
      </c>
      <c r="U240" s="26">
        <v>0</v>
      </c>
      <c r="V240" s="23" t="str">
        <f t="shared" si="59"/>
        <v>HUBI</v>
      </c>
      <c r="W240" t="str">
        <f t="shared" si="62"/>
        <v>LAMB COIN LONG</v>
      </c>
      <c r="X240" s="88" t="s">
        <v>264</v>
      </c>
    </row>
    <row r="241" spans="1:24" x14ac:dyDescent="0.25">
      <c r="A241">
        <v>282</v>
      </c>
      <c r="B241" s="71">
        <v>44939.000003240741</v>
      </c>
      <c r="C241" s="14" t="s">
        <v>39</v>
      </c>
      <c r="D241" s="23" t="s">
        <v>120</v>
      </c>
      <c r="E241" s="23" t="s">
        <v>143</v>
      </c>
      <c r="F241" s="23">
        <v>1E-8</v>
      </c>
      <c r="G241" s="23">
        <v>0</v>
      </c>
      <c r="H241" s="23">
        <v>0</v>
      </c>
      <c r="I241" s="23">
        <v>0</v>
      </c>
      <c r="J241" s="23" t="s">
        <v>85</v>
      </c>
      <c r="K241" s="24">
        <v>44939.000003240741</v>
      </c>
      <c r="L241" s="23">
        <v>1</v>
      </c>
      <c r="M241" s="23" t="s">
        <v>143</v>
      </c>
      <c r="N241" s="25">
        <v>0</v>
      </c>
      <c r="O241" s="26" t="str">
        <f t="shared" si="58"/>
        <v>COIN</v>
      </c>
      <c r="P241" s="26" t="str">
        <f t="shared" si="60"/>
        <v>SHORT</v>
      </c>
      <c r="Q241" s="26" t="str">
        <f t="shared" si="61"/>
        <v>COIN SHORT</v>
      </c>
      <c r="R241" s="26">
        <v>0</v>
      </c>
      <c r="S241" s="26">
        <v>0</v>
      </c>
      <c r="T241" s="26">
        <v>0</v>
      </c>
      <c r="U241" s="26">
        <v>0</v>
      </c>
      <c r="V241" s="23" t="str">
        <f t="shared" si="59"/>
        <v>HUBI</v>
      </c>
      <c r="W241" t="str">
        <f t="shared" si="62"/>
        <v>LEND COIN SHORT</v>
      </c>
      <c r="X241" s="88" t="s">
        <v>264</v>
      </c>
    </row>
    <row r="242" spans="1:24" x14ac:dyDescent="0.25">
      <c r="A242">
        <v>283</v>
      </c>
      <c r="B242" s="71">
        <v>44939.000003240741</v>
      </c>
      <c r="C242" s="14" t="s">
        <v>39</v>
      </c>
      <c r="D242" s="23" t="s">
        <v>120</v>
      </c>
      <c r="E242" s="23" t="s">
        <v>27</v>
      </c>
      <c r="F242" s="23">
        <v>538.90453062999995</v>
      </c>
      <c r="G242" s="23">
        <v>3438.9284850609401</v>
      </c>
      <c r="H242" s="23">
        <v>6.38133155243787</v>
      </c>
      <c r="I242" s="23">
        <v>0</v>
      </c>
      <c r="J242" s="23" t="s">
        <v>85</v>
      </c>
      <c r="K242" s="24">
        <v>44939.000003240741</v>
      </c>
      <c r="L242" s="23">
        <v>1</v>
      </c>
      <c r="M242" s="23" t="s">
        <v>27</v>
      </c>
      <c r="N242" s="25">
        <v>0</v>
      </c>
      <c r="O242" s="26" t="str">
        <f t="shared" si="58"/>
        <v>COIN</v>
      </c>
      <c r="P242" s="26" t="str">
        <f t="shared" si="60"/>
        <v>LONG</v>
      </c>
      <c r="Q242" s="26" t="str">
        <f t="shared" si="61"/>
        <v>COIN LONG</v>
      </c>
      <c r="R242" s="26">
        <v>0</v>
      </c>
      <c r="S242" s="26">
        <v>0</v>
      </c>
      <c r="T242" s="26">
        <v>0</v>
      </c>
      <c r="U242" s="26">
        <v>0</v>
      </c>
      <c r="V242" s="23" t="str">
        <f t="shared" si="59"/>
        <v>HUBI</v>
      </c>
      <c r="W242" t="str">
        <f t="shared" si="62"/>
        <v>LINK COIN LONG</v>
      </c>
      <c r="X242" s="88" t="s">
        <v>264</v>
      </c>
    </row>
    <row r="243" spans="1:24" x14ac:dyDescent="0.25">
      <c r="A243">
        <v>284</v>
      </c>
      <c r="B243" s="71">
        <v>44939.000003240741</v>
      </c>
      <c r="C243" s="14" t="s">
        <v>39</v>
      </c>
      <c r="D243" s="23" t="s">
        <v>120</v>
      </c>
      <c r="E243" s="23" t="s">
        <v>144</v>
      </c>
      <c r="F243" s="23">
        <v>4.3289484800000002</v>
      </c>
      <c r="G243" s="23">
        <v>1.2336208176422599E-6</v>
      </c>
      <c r="H243" s="23">
        <v>2.8497008530862999E-7</v>
      </c>
      <c r="I243" s="23">
        <v>0</v>
      </c>
      <c r="J243" s="23" t="s">
        <v>85</v>
      </c>
      <c r="K243" s="24">
        <v>44939.000003240741</v>
      </c>
      <c r="L243" s="23">
        <v>1</v>
      </c>
      <c r="M243" s="23" t="s">
        <v>144</v>
      </c>
      <c r="N243" s="25">
        <v>0</v>
      </c>
      <c r="O243" s="26" t="str">
        <f t="shared" si="58"/>
        <v>COIN</v>
      </c>
      <c r="P243" s="26" t="str">
        <f t="shared" si="60"/>
        <v>LONG</v>
      </c>
      <c r="Q243" s="26" t="str">
        <f t="shared" si="61"/>
        <v>COIN LONG</v>
      </c>
      <c r="R243" s="26">
        <v>0</v>
      </c>
      <c r="S243" s="26">
        <v>0</v>
      </c>
      <c r="T243" s="26">
        <v>0</v>
      </c>
      <c r="U243" s="26">
        <v>0</v>
      </c>
      <c r="V243" s="23" t="str">
        <f t="shared" si="59"/>
        <v>HUBI</v>
      </c>
      <c r="W243" t="str">
        <f t="shared" si="62"/>
        <v>LOL COIN LONG</v>
      </c>
      <c r="X243" s="88" t="s">
        <v>264</v>
      </c>
    </row>
    <row r="244" spans="1:24" x14ac:dyDescent="0.25">
      <c r="A244">
        <v>285</v>
      </c>
      <c r="B244" s="71">
        <v>44939.000003240741</v>
      </c>
      <c r="C244" s="14" t="s">
        <v>39</v>
      </c>
      <c r="D244" s="23" t="s">
        <v>120</v>
      </c>
      <c r="E244" s="23" t="s">
        <v>24</v>
      </c>
      <c r="F244" s="23">
        <v>7241.7835004299995</v>
      </c>
      <c r="G244" s="23">
        <v>622534.33846366405</v>
      </c>
      <c r="H244" s="23">
        <v>85.964229450756093</v>
      </c>
      <c r="I244" s="23">
        <v>0</v>
      </c>
      <c r="J244" s="23" t="s">
        <v>85</v>
      </c>
      <c r="K244" s="24">
        <v>44939.000003240741</v>
      </c>
      <c r="L244" s="23">
        <v>1</v>
      </c>
      <c r="M244" s="23" t="s">
        <v>24</v>
      </c>
      <c r="N244" s="25">
        <v>0</v>
      </c>
      <c r="O244" s="26" t="str">
        <f t="shared" si="58"/>
        <v>COIN</v>
      </c>
      <c r="P244" s="26" t="str">
        <f t="shared" si="60"/>
        <v>LONG</v>
      </c>
      <c r="Q244" s="26" t="str">
        <f t="shared" si="61"/>
        <v>COIN LONG</v>
      </c>
      <c r="R244" s="26">
        <v>0</v>
      </c>
      <c r="S244" s="26">
        <v>0</v>
      </c>
      <c r="T244" s="26">
        <v>0</v>
      </c>
      <c r="U244" s="26">
        <v>0</v>
      </c>
      <c r="V244" s="23" t="str">
        <f t="shared" si="59"/>
        <v>HUBI</v>
      </c>
      <c r="W244" t="str">
        <f t="shared" si="62"/>
        <v>LTC COIN LONG</v>
      </c>
      <c r="X244" s="88" t="s">
        <v>264</v>
      </c>
    </row>
    <row r="245" spans="1:24" x14ac:dyDescent="0.25">
      <c r="A245">
        <v>286</v>
      </c>
      <c r="B245" s="71">
        <v>44939.000003240741</v>
      </c>
      <c r="C245" s="14" t="s">
        <v>39</v>
      </c>
      <c r="D245" s="23" t="s">
        <v>120</v>
      </c>
      <c r="E245" s="23" t="s">
        <v>145</v>
      </c>
      <c r="F245" s="23">
        <v>0.66495972999999997</v>
      </c>
      <c r="G245" s="23">
        <v>1.7157540226222701E-4</v>
      </c>
      <c r="H245" s="23">
        <v>2.5802374868960399E-4</v>
      </c>
      <c r="I245" s="23">
        <v>0</v>
      </c>
      <c r="J245" s="23" t="s">
        <v>85</v>
      </c>
      <c r="K245" s="24">
        <v>44939.000003240741</v>
      </c>
      <c r="L245" s="23">
        <v>1</v>
      </c>
      <c r="M245" s="23" t="s">
        <v>145</v>
      </c>
      <c r="N245" s="25">
        <v>0</v>
      </c>
      <c r="O245" s="26" t="str">
        <f t="shared" si="58"/>
        <v>COIN</v>
      </c>
      <c r="P245" s="26" t="str">
        <f t="shared" si="60"/>
        <v>LONG</v>
      </c>
      <c r="Q245" s="26" t="str">
        <f t="shared" si="61"/>
        <v>COIN LONG</v>
      </c>
      <c r="R245" s="26">
        <v>0</v>
      </c>
      <c r="S245" s="26">
        <v>0</v>
      </c>
      <c r="T245" s="26">
        <v>0</v>
      </c>
      <c r="U245" s="26">
        <v>0</v>
      </c>
      <c r="V245" s="23" t="str">
        <f t="shared" si="59"/>
        <v>HUBI</v>
      </c>
      <c r="W245" t="str">
        <f t="shared" si="62"/>
        <v>LXT COIN LONG</v>
      </c>
      <c r="X245" s="88" t="s">
        <v>264</v>
      </c>
    </row>
    <row r="246" spans="1:24" x14ac:dyDescent="0.25">
      <c r="A246">
        <v>287</v>
      </c>
      <c r="B246" s="71">
        <v>44939.000003240741</v>
      </c>
      <c r="C246" s="14" t="s">
        <v>39</v>
      </c>
      <c r="D246" s="23" t="s">
        <v>120</v>
      </c>
      <c r="E246" s="23" t="s">
        <v>192</v>
      </c>
      <c r="F246" s="23">
        <v>0.34</v>
      </c>
      <c r="G246" s="23">
        <v>0.14023380532507301</v>
      </c>
      <c r="H246" s="23">
        <v>0.41245236860315698</v>
      </c>
      <c r="I246" s="23">
        <v>0</v>
      </c>
      <c r="J246" s="23" t="s">
        <v>85</v>
      </c>
      <c r="K246" s="24">
        <v>44939.000003240741</v>
      </c>
      <c r="L246" s="23">
        <v>1</v>
      </c>
      <c r="M246" s="23" t="s">
        <v>192</v>
      </c>
      <c r="N246" s="25">
        <v>0</v>
      </c>
      <c r="O246" s="26" t="str">
        <f t="shared" si="58"/>
        <v>COIN</v>
      </c>
      <c r="P246" s="26" t="str">
        <f t="shared" si="60"/>
        <v>LONG</v>
      </c>
      <c r="Q246" s="26" t="str">
        <f t="shared" si="61"/>
        <v>COIN LONG</v>
      </c>
      <c r="R246" s="26">
        <v>0</v>
      </c>
      <c r="S246" s="26">
        <v>0</v>
      </c>
      <c r="T246" s="26">
        <v>0</v>
      </c>
      <c r="U246" s="26">
        <v>0</v>
      </c>
      <c r="V246" s="23" t="str">
        <f t="shared" si="59"/>
        <v>HUBI</v>
      </c>
      <c r="W246" t="str">
        <f t="shared" si="62"/>
        <v>MANA COIN LONG</v>
      </c>
      <c r="X246" s="88" t="s">
        <v>264</v>
      </c>
    </row>
    <row r="247" spans="1:24" x14ac:dyDescent="0.25">
      <c r="A247">
        <v>288</v>
      </c>
      <c r="B247" s="71">
        <v>44939.000003240741</v>
      </c>
      <c r="C247" s="14" t="s">
        <v>39</v>
      </c>
      <c r="D247" s="23" t="s">
        <v>120</v>
      </c>
      <c r="E247" s="23" t="s">
        <v>146</v>
      </c>
      <c r="F247" s="23">
        <v>0.89105878000000005</v>
      </c>
      <c r="G247" s="23">
        <v>6.3991039922190902</v>
      </c>
      <c r="H247" s="23">
        <v>7.18146112899431</v>
      </c>
      <c r="I247" s="23">
        <v>0</v>
      </c>
      <c r="J247" s="23" t="s">
        <v>85</v>
      </c>
      <c r="K247" s="24">
        <v>44939.000003240741</v>
      </c>
      <c r="L247" s="23">
        <v>1</v>
      </c>
      <c r="M247" s="23" t="s">
        <v>146</v>
      </c>
      <c r="N247" s="25">
        <v>0</v>
      </c>
      <c r="O247" s="26" t="str">
        <f t="shared" si="58"/>
        <v>COIN</v>
      </c>
      <c r="P247" s="26" t="str">
        <f t="shared" si="60"/>
        <v>LONG</v>
      </c>
      <c r="Q247" s="26" t="str">
        <f t="shared" si="61"/>
        <v>COIN LONG</v>
      </c>
      <c r="R247" s="26">
        <v>0</v>
      </c>
      <c r="S247" s="26">
        <v>0</v>
      </c>
      <c r="T247" s="26">
        <v>0</v>
      </c>
      <c r="U247" s="26">
        <v>0</v>
      </c>
      <c r="V247" s="23" t="str">
        <f t="shared" si="59"/>
        <v>HUBI</v>
      </c>
      <c r="W247" t="str">
        <f t="shared" si="62"/>
        <v>NEO COIN LONG</v>
      </c>
      <c r="X247" s="88" t="s">
        <v>264</v>
      </c>
    </row>
    <row r="248" spans="1:24" x14ac:dyDescent="0.25">
      <c r="A248">
        <v>289</v>
      </c>
      <c r="B248" s="71">
        <v>44939.000003240741</v>
      </c>
      <c r="C248" s="14" t="s">
        <v>39</v>
      </c>
      <c r="D248" s="23" t="s">
        <v>120</v>
      </c>
      <c r="E248" s="23" t="s">
        <v>147</v>
      </c>
      <c r="F248" s="23">
        <v>40.704174029999997</v>
      </c>
      <c r="G248" s="23">
        <v>6.5557813758032801E-3</v>
      </c>
      <c r="H248" s="23">
        <v>1.6105919188954699E-4</v>
      </c>
      <c r="I248" s="23">
        <v>0</v>
      </c>
      <c r="J248" s="23" t="s">
        <v>85</v>
      </c>
      <c r="K248" s="24">
        <v>44939.000003240741</v>
      </c>
      <c r="L248" s="23">
        <v>1</v>
      </c>
      <c r="M248" s="23" t="s">
        <v>147</v>
      </c>
      <c r="N248" s="25">
        <v>0</v>
      </c>
      <c r="O248" s="26" t="str">
        <f t="shared" si="58"/>
        <v>COIN</v>
      </c>
      <c r="P248" s="26" t="str">
        <f t="shared" si="60"/>
        <v>LONG</v>
      </c>
      <c r="Q248" s="26" t="str">
        <f t="shared" si="61"/>
        <v>COIN LONG</v>
      </c>
      <c r="R248" s="26">
        <v>0</v>
      </c>
      <c r="S248" s="26">
        <v>0</v>
      </c>
      <c r="T248" s="26">
        <v>0</v>
      </c>
      <c r="U248" s="26">
        <v>0</v>
      </c>
      <c r="V248" s="23" t="str">
        <f t="shared" si="59"/>
        <v>HUBI</v>
      </c>
      <c r="W248" t="str">
        <f t="shared" si="62"/>
        <v>NEW COIN LONG</v>
      </c>
      <c r="X248" s="88" t="s">
        <v>264</v>
      </c>
    </row>
    <row r="249" spans="1:24" x14ac:dyDescent="0.25">
      <c r="A249">
        <v>290</v>
      </c>
      <c r="B249" s="71">
        <v>44939.000003240741</v>
      </c>
      <c r="C249" s="14" t="s">
        <v>39</v>
      </c>
      <c r="D249" s="23" t="s">
        <v>120</v>
      </c>
      <c r="E249" s="23" t="s">
        <v>148</v>
      </c>
      <c r="F249" s="23">
        <v>3049025070.2014399</v>
      </c>
      <c r="G249" s="23">
        <v>1303.0554985349399</v>
      </c>
      <c r="H249" s="23">
        <v>4.2736791877177001E-7</v>
      </c>
      <c r="I249" s="23">
        <v>0</v>
      </c>
      <c r="J249" s="23" t="s">
        <v>85</v>
      </c>
      <c r="K249" s="24">
        <v>44939.000003240741</v>
      </c>
      <c r="L249" s="23">
        <v>1</v>
      </c>
      <c r="M249" s="23" t="s">
        <v>148</v>
      </c>
      <c r="N249" s="25">
        <v>0</v>
      </c>
      <c r="O249" s="26" t="str">
        <f t="shared" si="58"/>
        <v>COIN</v>
      </c>
      <c r="P249" s="26" t="str">
        <f t="shared" si="60"/>
        <v>LONG</v>
      </c>
      <c r="Q249" s="26" t="str">
        <f t="shared" si="61"/>
        <v>COIN LONG</v>
      </c>
      <c r="R249" s="26">
        <v>0</v>
      </c>
      <c r="S249" s="26">
        <v>0</v>
      </c>
      <c r="T249" s="26">
        <v>0</v>
      </c>
      <c r="U249" s="26">
        <v>0</v>
      </c>
      <c r="V249" s="23" t="str">
        <f t="shared" si="59"/>
        <v>HUBI</v>
      </c>
      <c r="W249" t="str">
        <f t="shared" si="62"/>
        <v>NFT COIN LONG</v>
      </c>
      <c r="X249" s="88" t="s">
        <v>264</v>
      </c>
    </row>
    <row r="250" spans="1:24" x14ac:dyDescent="0.25">
      <c r="A250">
        <v>291</v>
      </c>
      <c r="B250" s="71">
        <v>44939.000003240741</v>
      </c>
      <c r="C250" s="14" t="s">
        <v>39</v>
      </c>
      <c r="D250" s="23" t="s">
        <v>120</v>
      </c>
      <c r="E250" s="23" t="s">
        <v>149</v>
      </c>
      <c r="F250" s="23">
        <v>4.3068300000000002E-3</v>
      </c>
      <c r="G250" s="23">
        <v>8.8743929915522204E-4</v>
      </c>
      <c r="H250" s="23">
        <v>0.20605394203050101</v>
      </c>
      <c r="I250" s="23">
        <v>0</v>
      </c>
      <c r="J250" s="23" t="s">
        <v>85</v>
      </c>
      <c r="K250" s="24">
        <v>44939.000003240741</v>
      </c>
      <c r="L250" s="23">
        <v>1</v>
      </c>
      <c r="M250" s="23" t="s">
        <v>149</v>
      </c>
      <c r="N250" s="25">
        <v>0</v>
      </c>
      <c r="O250" s="26" t="str">
        <f t="shared" si="58"/>
        <v>COIN</v>
      </c>
      <c r="P250" s="26" t="str">
        <f t="shared" si="60"/>
        <v>LONG</v>
      </c>
      <c r="Q250" s="26" t="str">
        <f t="shared" si="61"/>
        <v>COIN LONG</v>
      </c>
      <c r="R250" s="26">
        <v>0</v>
      </c>
      <c r="S250" s="26">
        <v>0</v>
      </c>
      <c r="T250" s="26">
        <v>0</v>
      </c>
      <c r="U250" s="26">
        <v>0</v>
      </c>
      <c r="V250" s="23" t="str">
        <f t="shared" si="59"/>
        <v>HUBI</v>
      </c>
      <c r="W250" t="str">
        <f t="shared" si="62"/>
        <v>NULS COIN LONG</v>
      </c>
      <c r="X250" s="88" t="s">
        <v>264</v>
      </c>
    </row>
    <row r="251" spans="1:24" x14ac:dyDescent="0.25">
      <c r="A251">
        <v>292</v>
      </c>
      <c r="B251" s="71">
        <v>44939.000003240741</v>
      </c>
      <c r="C251" s="14" t="s">
        <v>39</v>
      </c>
      <c r="D251" s="23" t="s">
        <v>120</v>
      </c>
      <c r="E251" s="23" t="s">
        <v>151</v>
      </c>
      <c r="F251" s="23">
        <v>0.34782034000000001</v>
      </c>
      <c r="G251" s="23">
        <v>8.4954954190642806E-2</v>
      </c>
      <c r="H251" s="23">
        <v>0.24424952891093901</v>
      </c>
      <c r="I251" s="23">
        <v>0</v>
      </c>
      <c r="J251" s="23" t="s">
        <v>85</v>
      </c>
      <c r="K251" s="24">
        <v>44939.000003240741</v>
      </c>
      <c r="L251" s="23">
        <v>1</v>
      </c>
      <c r="M251" s="23" t="s">
        <v>151</v>
      </c>
      <c r="N251" s="25">
        <v>0</v>
      </c>
      <c r="O251" s="26" t="str">
        <f t="shared" si="58"/>
        <v>COIN</v>
      </c>
      <c r="P251" s="26" t="str">
        <f t="shared" si="60"/>
        <v>LONG</v>
      </c>
      <c r="Q251" s="26" t="str">
        <f t="shared" si="61"/>
        <v>COIN LONG</v>
      </c>
      <c r="R251" s="26">
        <v>0</v>
      </c>
      <c r="S251" s="26">
        <v>0</v>
      </c>
      <c r="T251" s="26">
        <v>0</v>
      </c>
      <c r="U251" s="26">
        <v>0</v>
      </c>
      <c r="V251" s="23" t="str">
        <f t="shared" si="59"/>
        <v>HUBI</v>
      </c>
      <c r="W251" t="str">
        <f t="shared" si="62"/>
        <v>ONG COIN LONG</v>
      </c>
      <c r="X251" s="88" t="s">
        <v>264</v>
      </c>
    </row>
    <row r="252" spans="1:24" x14ac:dyDescent="0.25">
      <c r="A252">
        <v>293</v>
      </c>
      <c r="B252" s="71">
        <v>44939.000003240741</v>
      </c>
      <c r="C252" s="14" t="s">
        <v>39</v>
      </c>
      <c r="D252" s="23" t="s">
        <v>120</v>
      </c>
      <c r="E252" s="23" t="s">
        <v>89</v>
      </c>
      <c r="F252" s="23">
        <v>78631.814589489994</v>
      </c>
      <c r="G252" s="23">
        <v>5765.2321127505302</v>
      </c>
      <c r="H252" s="23">
        <v>7.3319331912265404E-2</v>
      </c>
      <c r="I252" s="23">
        <v>0</v>
      </c>
      <c r="J252" s="23" t="s">
        <v>85</v>
      </c>
      <c r="K252" s="24">
        <v>44939.000003240741</v>
      </c>
      <c r="L252" s="23">
        <v>1</v>
      </c>
      <c r="M252" s="23" t="s">
        <v>89</v>
      </c>
      <c r="N252" s="25">
        <v>0</v>
      </c>
      <c r="O252" s="26" t="str">
        <f t="shared" si="58"/>
        <v>COIN</v>
      </c>
      <c r="P252" s="26" t="str">
        <f t="shared" si="60"/>
        <v>LONG</v>
      </c>
      <c r="Q252" s="26" t="str">
        <f t="shared" si="61"/>
        <v>COIN LONG</v>
      </c>
      <c r="R252" s="26">
        <v>0</v>
      </c>
      <c r="S252" s="26">
        <v>0</v>
      </c>
      <c r="T252" s="26">
        <v>0</v>
      </c>
      <c r="U252" s="26">
        <v>0</v>
      </c>
      <c r="V252" s="23" t="str">
        <f t="shared" si="59"/>
        <v>HUBI</v>
      </c>
      <c r="W252" t="str">
        <f t="shared" si="62"/>
        <v>OXT COIN LONG</v>
      </c>
      <c r="X252" s="88" t="s">
        <v>264</v>
      </c>
    </row>
    <row r="253" spans="1:24" x14ac:dyDescent="0.25">
      <c r="A253">
        <v>294</v>
      </c>
      <c r="B253" s="71">
        <v>44939.000003240741</v>
      </c>
      <c r="C253" s="14" t="s">
        <v>39</v>
      </c>
      <c r="D253" s="23" t="s">
        <v>120</v>
      </c>
      <c r="E253" s="23" t="s">
        <v>152</v>
      </c>
      <c r="F253" s="23">
        <v>3.0962099999999998E-3</v>
      </c>
      <c r="G253" s="23">
        <v>6.8010097540225998E-3</v>
      </c>
      <c r="H253" s="23">
        <v>2.1965595854359301</v>
      </c>
      <c r="I253" s="23">
        <v>0</v>
      </c>
      <c r="J253" s="23" t="s">
        <v>85</v>
      </c>
      <c r="K253" s="24">
        <v>44939.000003240741</v>
      </c>
      <c r="L253" s="23">
        <v>1</v>
      </c>
      <c r="M253" s="23" t="s">
        <v>152</v>
      </c>
      <c r="N253" s="25">
        <v>0</v>
      </c>
      <c r="O253" s="26" t="str">
        <f t="shared" si="58"/>
        <v>COIN</v>
      </c>
      <c r="P253" s="26" t="str">
        <f t="shared" si="60"/>
        <v>LONG</v>
      </c>
      <c r="Q253" s="26" t="str">
        <f t="shared" si="61"/>
        <v>COIN LONG</v>
      </c>
      <c r="R253" s="26">
        <v>0</v>
      </c>
      <c r="S253" s="26">
        <v>0</v>
      </c>
      <c r="T253" s="26">
        <v>0</v>
      </c>
      <c r="U253" s="26">
        <v>0</v>
      </c>
      <c r="V253" s="23" t="str">
        <f t="shared" si="59"/>
        <v>HUBI</v>
      </c>
      <c r="W253" t="str">
        <f t="shared" si="62"/>
        <v>QTUM COIN LONG</v>
      </c>
      <c r="X253" s="88" t="s">
        <v>264</v>
      </c>
    </row>
    <row r="254" spans="1:24" x14ac:dyDescent="0.25">
      <c r="A254">
        <v>295</v>
      </c>
      <c r="B254" s="71">
        <v>44939.000003240741</v>
      </c>
      <c r="C254" s="14" t="s">
        <v>39</v>
      </c>
      <c r="D254" s="23" t="s">
        <v>120</v>
      </c>
      <c r="E254" s="23" t="s">
        <v>153</v>
      </c>
      <c r="F254" s="23">
        <v>2.6598900000000002E-2</v>
      </c>
      <c r="G254" s="23">
        <v>6.4412294033312095E-4</v>
      </c>
      <c r="H254" s="23">
        <v>2.42161495525424E-2</v>
      </c>
      <c r="I254" s="23">
        <v>0</v>
      </c>
      <c r="J254" s="23" t="s">
        <v>85</v>
      </c>
      <c r="K254" s="24">
        <v>44939.000003240741</v>
      </c>
      <c r="L254" s="23">
        <v>1</v>
      </c>
      <c r="M254" s="23" t="s">
        <v>153</v>
      </c>
      <c r="N254" s="25">
        <v>0</v>
      </c>
      <c r="O254" s="26" t="str">
        <f t="shared" si="58"/>
        <v>COIN</v>
      </c>
      <c r="P254" s="26" t="str">
        <f t="shared" si="60"/>
        <v>LONG</v>
      </c>
      <c r="Q254" s="26" t="str">
        <f t="shared" si="61"/>
        <v>COIN LONG</v>
      </c>
      <c r="R254" s="26">
        <v>0</v>
      </c>
      <c r="S254" s="26">
        <v>0</v>
      </c>
      <c r="T254" s="26">
        <v>0</v>
      </c>
      <c r="U254" s="26">
        <v>0</v>
      </c>
      <c r="V254" s="23" t="str">
        <f t="shared" si="59"/>
        <v>HUBI</v>
      </c>
      <c r="W254" t="str">
        <f t="shared" si="62"/>
        <v>REI COIN LONG</v>
      </c>
      <c r="X254" s="88" t="s">
        <v>264</v>
      </c>
    </row>
    <row r="255" spans="1:24" x14ac:dyDescent="0.25">
      <c r="A255">
        <v>296</v>
      </c>
      <c r="B255" s="71">
        <v>44939.000003240741</v>
      </c>
      <c r="C255" s="14" t="s">
        <v>39</v>
      </c>
      <c r="D255" s="23" t="s">
        <v>120</v>
      </c>
      <c r="E255" s="23" t="s">
        <v>98</v>
      </c>
      <c r="F255" s="23">
        <v>1214222.2371159999</v>
      </c>
      <c r="G255" s="23">
        <v>14215.176878673101</v>
      </c>
      <c r="H255" s="23">
        <v>1.1707228252084E-2</v>
      </c>
      <c r="I255" s="23">
        <v>0</v>
      </c>
      <c r="J255" s="23" t="s">
        <v>85</v>
      </c>
      <c r="K255" s="24">
        <v>44939.000003240741</v>
      </c>
      <c r="L255" s="23">
        <v>1</v>
      </c>
      <c r="M255" s="23" t="s">
        <v>98</v>
      </c>
      <c r="N255" s="25">
        <v>0</v>
      </c>
      <c r="O255" s="26" t="str">
        <f t="shared" si="58"/>
        <v>COIN</v>
      </c>
      <c r="P255" s="26" t="str">
        <f t="shared" si="60"/>
        <v>LONG</v>
      </c>
      <c r="Q255" s="26" t="str">
        <f t="shared" si="61"/>
        <v>COIN LONG</v>
      </c>
      <c r="R255" s="26">
        <v>0</v>
      </c>
      <c r="S255" s="26">
        <v>0</v>
      </c>
      <c r="T255" s="26">
        <v>0</v>
      </c>
      <c r="U255" s="26">
        <v>0</v>
      </c>
      <c r="V255" s="23" t="str">
        <f t="shared" si="59"/>
        <v>HUBI</v>
      </c>
      <c r="W255" t="str">
        <f t="shared" si="62"/>
        <v>SGB COIN LONG</v>
      </c>
      <c r="X255" s="88" t="s">
        <v>264</v>
      </c>
    </row>
    <row r="256" spans="1:24" x14ac:dyDescent="0.25">
      <c r="A256">
        <v>297</v>
      </c>
      <c r="B256" s="71">
        <v>44939.000003240741</v>
      </c>
      <c r="C256" s="14" t="s">
        <v>39</v>
      </c>
      <c r="D256" s="23" t="s">
        <v>120</v>
      </c>
      <c r="E256" s="23" t="s">
        <v>37</v>
      </c>
      <c r="F256" s="23">
        <v>1884988.30453923</v>
      </c>
      <c r="G256" s="23">
        <v>17.853446824831199</v>
      </c>
      <c r="H256" s="23">
        <v>9.4713833405960602E-6</v>
      </c>
      <c r="I256" s="23">
        <v>0</v>
      </c>
      <c r="J256" s="23" t="s">
        <v>85</v>
      </c>
      <c r="K256" s="24">
        <v>44939.000003240741</v>
      </c>
      <c r="L256" s="23">
        <v>1</v>
      </c>
      <c r="M256" s="23" t="s">
        <v>37</v>
      </c>
      <c r="N256" s="25">
        <v>0</v>
      </c>
      <c r="O256" s="26" t="str">
        <f t="shared" si="58"/>
        <v>COIN</v>
      </c>
      <c r="P256" s="26" t="str">
        <f t="shared" si="60"/>
        <v>LONG</v>
      </c>
      <c r="Q256" s="26" t="str">
        <f t="shared" si="61"/>
        <v>COIN LONG</v>
      </c>
      <c r="R256" s="26">
        <v>0</v>
      </c>
      <c r="S256" s="26">
        <v>0</v>
      </c>
      <c r="T256" s="26">
        <v>0</v>
      </c>
      <c r="U256" s="26">
        <v>0</v>
      </c>
      <c r="V256" s="23" t="str">
        <f t="shared" si="59"/>
        <v>HUBI</v>
      </c>
      <c r="W256" t="str">
        <f t="shared" si="62"/>
        <v>SHIB COIN LONG</v>
      </c>
      <c r="X256" s="88" t="s">
        <v>264</v>
      </c>
    </row>
    <row r="257" spans="1:24" x14ac:dyDescent="0.25">
      <c r="A257">
        <v>298</v>
      </c>
      <c r="B257" s="71">
        <v>44939.000003240741</v>
      </c>
      <c r="C257" s="14" t="s">
        <v>39</v>
      </c>
      <c r="D257" s="23" t="s">
        <v>120</v>
      </c>
      <c r="E257" s="23" t="s">
        <v>154</v>
      </c>
      <c r="F257" s="23">
        <v>0.14106867000000001</v>
      </c>
      <c r="G257" s="23">
        <v>2.3444264614525099</v>
      </c>
      <c r="H257" s="23">
        <v>16.6190441963655</v>
      </c>
      <c r="I257" s="23">
        <v>0</v>
      </c>
      <c r="J257" s="23" t="s">
        <v>85</v>
      </c>
      <c r="K257" s="24">
        <v>44939.000003240741</v>
      </c>
      <c r="L257" s="23">
        <v>1</v>
      </c>
      <c r="M257" s="23" t="s">
        <v>154</v>
      </c>
      <c r="N257" s="25">
        <v>0</v>
      </c>
      <c r="O257" s="26" t="str">
        <f t="shared" si="58"/>
        <v>COIN</v>
      </c>
      <c r="P257" s="26" t="str">
        <f t="shared" si="60"/>
        <v>LONG</v>
      </c>
      <c r="Q257" s="26" t="str">
        <f t="shared" si="61"/>
        <v>COIN LONG</v>
      </c>
      <c r="R257" s="26">
        <v>0</v>
      </c>
      <c r="S257" s="26">
        <v>0</v>
      </c>
      <c r="T257" s="26">
        <v>0</v>
      </c>
      <c r="U257" s="26">
        <v>0</v>
      </c>
      <c r="V257" s="23" t="str">
        <f t="shared" si="59"/>
        <v>HUBI</v>
      </c>
      <c r="W257" t="str">
        <f t="shared" si="62"/>
        <v>SOL COIN LONG</v>
      </c>
      <c r="X257" s="88" t="s">
        <v>264</v>
      </c>
    </row>
    <row r="258" spans="1:24" x14ac:dyDescent="0.25">
      <c r="A258">
        <v>299</v>
      </c>
      <c r="B258" s="71">
        <v>44939.000003240741</v>
      </c>
      <c r="C258" s="14" t="s">
        <v>39</v>
      </c>
      <c r="D258" s="23" t="s">
        <v>120</v>
      </c>
      <c r="E258" s="23" t="s">
        <v>155</v>
      </c>
      <c r="F258" s="23">
        <v>38753.774400000002</v>
      </c>
      <c r="G258" s="23">
        <v>6256.6543580955404</v>
      </c>
      <c r="H258" s="23">
        <v>0.16144632245409199</v>
      </c>
      <c r="I258" s="23">
        <v>0</v>
      </c>
      <c r="J258" s="23" t="s">
        <v>85</v>
      </c>
      <c r="K258" s="24">
        <v>44939.000003240741</v>
      </c>
      <c r="L258" s="23">
        <v>1</v>
      </c>
      <c r="M258" s="23" t="s">
        <v>155</v>
      </c>
      <c r="N258" s="25">
        <v>0</v>
      </c>
      <c r="O258" s="26" t="str">
        <f t="shared" ref="O258:O321" si="63">IF($C258="","",IF(OR($E258="USD",$E258="EUR"),"CASH","COIN"))</f>
        <v>COIN</v>
      </c>
      <c r="P258" s="26" t="str">
        <f t="shared" si="60"/>
        <v>LONG</v>
      </c>
      <c r="Q258" s="26" t="str">
        <f t="shared" si="61"/>
        <v>COIN LONG</v>
      </c>
      <c r="R258" s="26">
        <v>0</v>
      </c>
      <c r="S258" s="26">
        <v>0</v>
      </c>
      <c r="T258" s="26">
        <v>0</v>
      </c>
      <c r="U258" s="26">
        <v>0</v>
      </c>
      <c r="V258" s="23" t="str">
        <f t="shared" ref="V258:V321" si="64">IF($C258="","",IF(ISERROR(SEARCH("-",$D258)),$D258,LEFT($D258,SEARCH("-",$D258)-1)))</f>
        <v>HUBI</v>
      </c>
      <c r="W258" t="str">
        <f t="shared" si="62"/>
        <v>SOLO COIN LONG</v>
      </c>
      <c r="X258" s="88" t="s">
        <v>264</v>
      </c>
    </row>
    <row r="259" spans="1:24" x14ac:dyDescent="0.25">
      <c r="A259">
        <v>300</v>
      </c>
      <c r="B259" s="71">
        <v>44939.000003240741</v>
      </c>
      <c r="C259" s="14" t="s">
        <v>39</v>
      </c>
      <c r="D259" s="23" t="s">
        <v>120</v>
      </c>
      <c r="E259" s="23" t="s">
        <v>156</v>
      </c>
      <c r="F259" s="23">
        <v>29.76350429</v>
      </c>
      <c r="G259" s="23">
        <v>8.8686409626250899</v>
      </c>
      <c r="H259" s="23">
        <v>0.29797032218429897</v>
      </c>
      <c r="I259" s="23">
        <v>0</v>
      </c>
      <c r="J259" s="23" t="s">
        <v>85</v>
      </c>
      <c r="K259" s="24">
        <v>44939.000003240741</v>
      </c>
      <c r="L259" s="23">
        <v>1</v>
      </c>
      <c r="M259" s="23" t="s">
        <v>156</v>
      </c>
      <c r="N259" s="25">
        <v>0</v>
      </c>
      <c r="O259" s="26" t="str">
        <f t="shared" si="63"/>
        <v>COIN</v>
      </c>
      <c r="P259" s="26" t="str">
        <f t="shared" ref="P259:P322" si="65">IF($C259="","",IF($J259="CME FUTURE","HEDGE",IF($G259&gt;0,"LONG","SHORT")))</f>
        <v>LONG</v>
      </c>
      <c r="Q259" s="26" t="str">
        <f t="shared" ref="Q259:Q322" si="66">O259&amp;" "&amp;P259</f>
        <v>COIN LONG</v>
      </c>
      <c r="R259" s="26">
        <v>0</v>
      </c>
      <c r="S259" s="26">
        <v>0</v>
      </c>
      <c r="T259" s="26">
        <v>0</v>
      </c>
      <c r="U259" s="26">
        <v>0</v>
      </c>
      <c r="V259" s="23" t="str">
        <f t="shared" si="64"/>
        <v>HUBI</v>
      </c>
      <c r="W259" t="str">
        <f t="shared" si="62"/>
        <v>STORJ COIN LONG</v>
      </c>
      <c r="X259" s="88" t="s">
        <v>264</v>
      </c>
    </row>
    <row r="260" spans="1:24" x14ac:dyDescent="0.25">
      <c r="A260">
        <v>301</v>
      </c>
      <c r="B260" s="71">
        <v>44939.000003240741</v>
      </c>
      <c r="C260" s="14" t="s">
        <v>39</v>
      </c>
      <c r="D260" s="23" t="s">
        <v>120</v>
      </c>
      <c r="E260" s="23" t="s">
        <v>25</v>
      </c>
      <c r="F260" s="23">
        <v>44.266270740000003</v>
      </c>
      <c r="G260" s="23">
        <v>2.5280998251357198</v>
      </c>
      <c r="H260" s="23">
        <v>5.7111199630631597E-2</v>
      </c>
      <c r="I260" s="23">
        <v>0</v>
      </c>
      <c r="J260" s="23" t="s">
        <v>85</v>
      </c>
      <c r="K260" s="24">
        <v>44939.000003240741</v>
      </c>
      <c r="L260" s="23">
        <v>1</v>
      </c>
      <c r="M260" s="23" t="s">
        <v>25</v>
      </c>
      <c r="N260" s="25">
        <v>0</v>
      </c>
      <c r="O260" s="26" t="str">
        <f t="shared" si="63"/>
        <v>COIN</v>
      </c>
      <c r="P260" s="26" t="str">
        <f t="shared" si="65"/>
        <v>LONG</v>
      </c>
      <c r="Q260" s="26" t="str">
        <f t="shared" si="66"/>
        <v>COIN LONG</v>
      </c>
      <c r="R260" s="26">
        <v>0</v>
      </c>
      <c r="S260" s="26">
        <v>0</v>
      </c>
      <c r="T260" s="26">
        <v>0</v>
      </c>
      <c r="U260" s="26">
        <v>0</v>
      </c>
      <c r="V260" s="23" t="str">
        <f t="shared" si="64"/>
        <v>HUBI</v>
      </c>
      <c r="W260" t="str">
        <f t="shared" si="62"/>
        <v>TRX COIN LONG</v>
      </c>
      <c r="X260" s="88" t="s">
        <v>264</v>
      </c>
    </row>
    <row r="261" spans="1:24" x14ac:dyDescent="0.25">
      <c r="A261">
        <v>302</v>
      </c>
      <c r="B261" s="71">
        <v>44939.000003240741</v>
      </c>
      <c r="C261" s="14" t="s">
        <v>39</v>
      </c>
      <c r="D261" s="23" t="s">
        <v>120</v>
      </c>
      <c r="E261" s="23" t="s">
        <v>157</v>
      </c>
      <c r="F261" s="23">
        <v>6.3152970000000003E-2</v>
      </c>
      <c r="G261" s="23">
        <v>2.2172842281770701E-4</v>
      </c>
      <c r="H261" s="23">
        <v>3.5109737961287902E-3</v>
      </c>
      <c r="I261" s="23">
        <v>0</v>
      </c>
      <c r="J261" s="23" t="s">
        <v>85</v>
      </c>
      <c r="K261" s="24">
        <v>44939.000003240741</v>
      </c>
      <c r="L261" s="23">
        <v>1</v>
      </c>
      <c r="M261" s="23" t="s">
        <v>157</v>
      </c>
      <c r="N261" s="25">
        <v>0</v>
      </c>
      <c r="O261" s="26" t="str">
        <f t="shared" si="63"/>
        <v>COIN</v>
      </c>
      <c r="P261" s="26" t="str">
        <f t="shared" si="65"/>
        <v>LONG</v>
      </c>
      <c r="Q261" s="26" t="str">
        <f t="shared" si="66"/>
        <v>COIN LONG</v>
      </c>
      <c r="R261" s="26">
        <v>0</v>
      </c>
      <c r="S261" s="26">
        <v>0</v>
      </c>
      <c r="T261" s="26">
        <v>0</v>
      </c>
      <c r="U261" s="26">
        <v>0</v>
      </c>
      <c r="V261" s="23" t="str">
        <f t="shared" si="64"/>
        <v>HUBI</v>
      </c>
      <c r="W261" t="str">
        <f t="shared" si="62"/>
        <v>TT COIN LONG</v>
      </c>
      <c r="X261" s="88" t="s">
        <v>264</v>
      </c>
    </row>
    <row r="262" spans="1:24" x14ac:dyDescent="0.25">
      <c r="A262">
        <v>303</v>
      </c>
      <c r="B262" s="71">
        <v>44939.000003240741</v>
      </c>
      <c r="C262" s="14" t="s">
        <v>39</v>
      </c>
      <c r="D262" s="23" t="s">
        <v>120</v>
      </c>
      <c r="E262" s="23" t="s">
        <v>158</v>
      </c>
      <c r="F262" s="23">
        <v>20</v>
      </c>
      <c r="G262" s="23">
        <v>19.997862390323</v>
      </c>
      <c r="H262" s="23">
        <v>0.99989311951615301</v>
      </c>
      <c r="I262" s="23">
        <v>0</v>
      </c>
      <c r="J262" s="23" t="s">
        <v>85</v>
      </c>
      <c r="K262" s="24">
        <v>44939.000003240741</v>
      </c>
      <c r="L262" s="23">
        <v>1</v>
      </c>
      <c r="M262" s="23" t="s">
        <v>158</v>
      </c>
      <c r="N262" s="25">
        <v>0</v>
      </c>
      <c r="O262" s="26" t="str">
        <f t="shared" si="63"/>
        <v>COIN</v>
      </c>
      <c r="P262" s="26" t="str">
        <f t="shared" si="65"/>
        <v>LONG</v>
      </c>
      <c r="Q262" s="26" t="str">
        <f t="shared" si="66"/>
        <v>COIN LONG</v>
      </c>
      <c r="R262" s="26">
        <v>0</v>
      </c>
      <c r="S262" s="26">
        <v>0</v>
      </c>
      <c r="T262" s="26">
        <v>0</v>
      </c>
      <c r="U262" s="26">
        <v>0</v>
      </c>
      <c r="V262" s="23" t="str">
        <f t="shared" si="64"/>
        <v>HUBI</v>
      </c>
      <c r="W262" t="str">
        <f t="shared" ref="W262:W325" si="67">IF($C262="","",$M262&amp;" "&amp;$Q262)</f>
        <v>TUSD COIN LONG</v>
      </c>
      <c r="X262" s="88" t="s">
        <v>264</v>
      </c>
    </row>
    <row r="263" spans="1:24" x14ac:dyDescent="0.25">
      <c r="A263">
        <v>304</v>
      </c>
      <c r="B263" s="71">
        <v>44939.000003240741</v>
      </c>
      <c r="C263" s="14" t="s">
        <v>39</v>
      </c>
      <c r="D263" s="23" t="s">
        <v>120</v>
      </c>
      <c r="E263" s="23" t="s">
        <v>159</v>
      </c>
      <c r="F263" s="23">
        <v>1E-8</v>
      </c>
      <c r="G263" s="23">
        <v>6.1733812820777396E-8</v>
      </c>
      <c r="H263" s="23">
        <v>6.1733812820777398</v>
      </c>
      <c r="I263" s="23">
        <v>0</v>
      </c>
      <c r="J263" s="23" t="s">
        <v>85</v>
      </c>
      <c r="K263" s="24">
        <v>44939.000003240741</v>
      </c>
      <c r="L263" s="23">
        <v>1</v>
      </c>
      <c r="M263" s="23" t="s">
        <v>159</v>
      </c>
      <c r="N263" s="25">
        <v>0</v>
      </c>
      <c r="O263" s="26" t="str">
        <f t="shared" si="63"/>
        <v>COIN</v>
      </c>
      <c r="P263" s="26" t="str">
        <f t="shared" si="65"/>
        <v>LONG</v>
      </c>
      <c r="Q263" s="26" t="str">
        <f t="shared" si="66"/>
        <v>COIN LONG</v>
      </c>
      <c r="R263" s="26">
        <v>0</v>
      </c>
      <c r="S263" s="26">
        <v>0</v>
      </c>
      <c r="T263" s="26">
        <v>0</v>
      </c>
      <c r="U263" s="26">
        <v>0</v>
      </c>
      <c r="V263" s="23" t="str">
        <f t="shared" si="64"/>
        <v>HUBI</v>
      </c>
      <c r="W263" t="str">
        <f t="shared" si="67"/>
        <v>UNI COIN LONG</v>
      </c>
      <c r="X263" s="88" t="s">
        <v>264</v>
      </c>
    </row>
    <row r="264" spans="1:24" x14ac:dyDescent="0.25">
      <c r="A264">
        <v>305</v>
      </c>
      <c r="B264" s="71">
        <v>44939.000003240741</v>
      </c>
      <c r="C264" s="14" t="s">
        <v>39</v>
      </c>
      <c r="D264" s="23" t="s">
        <v>120</v>
      </c>
      <c r="E264" s="23" t="s">
        <v>92</v>
      </c>
      <c r="F264" s="23">
        <v>5.6000000000000004E-7</v>
      </c>
      <c r="G264" s="23">
        <v>5.6004040379134398E-7</v>
      </c>
      <c r="H264" s="23">
        <v>1.0000721496274001</v>
      </c>
      <c r="I264" s="23">
        <v>0</v>
      </c>
      <c r="J264" s="23" t="s">
        <v>85</v>
      </c>
      <c r="K264" s="24">
        <v>44939.000003240741</v>
      </c>
      <c r="L264" s="23">
        <v>1</v>
      </c>
      <c r="M264" s="23" t="s">
        <v>92</v>
      </c>
      <c r="N264" s="25">
        <v>0</v>
      </c>
      <c r="O264" s="26" t="str">
        <f t="shared" si="63"/>
        <v>COIN</v>
      </c>
      <c r="P264" s="26" t="str">
        <f t="shared" si="65"/>
        <v>LONG</v>
      </c>
      <c r="Q264" s="26" t="str">
        <f t="shared" si="66"/>
        <v>COIN LONG</v>
      </c>
      <c r="R264" s="26">
        <v>0</v>
      </c>
      <c r="S264" s="26">
        <v>0</v>
      </c>
      <c r="T264" s="26">
        <v>0</v>
      </c>
      <c r="U264" s="26">
        <v>0</v>
      </c>
      <c r="V264" s="23" t="str">
        <f t="shared" si="64"/>
        <v>HUBI</v>
      </c>
      <c r="W264" t="str">
        <f t="shared" si="67"/>
        <v>USDC COIN LONG</v>
      </c>
      <c r="X264" s="88" t="s">
        <v>264</v>
      </c>
    </row>
    <row r="265" spans="1:24" x14ac:dyDescent="0.25">
      <c r="A265">
        <v>306</v>
      </c>
      <c r="B265" s="71">
        <v>44939.000003240741</v>
      </c>
      <c r="C265" s="14" t="s">
        <v>39</v>
      </c>
      <c r="D265" s="23" t="s">
        <v>120</v>
      </c>
      <c r="E265" s="23" t="s">
        <v>160</v>
      </c>
      <c r="F265" s="23">
        <v>0.34680431</v>
      </c>
      <c r="G265" s="23">
        <v>0.34621618871566701</v>
      </c>
      <c r="H265" s="23">
        <v>0.99830416962138402</v>
      </c>
      <c r="I265" s="23">
        <v>0</v>
      </c>
      <c r="J265" s="23" t="s">
        <v>85</v>
      </c>
      <c r="K265" s="24">
        <v>44939.000003240741</v>
      </c>
      <c r="L265" s="23">
        <v>1</v>
      </c>
      <c r="M265" s="23" t="s">
        <v>160</v>
      </c>
      <c r="N265" s="25">
        <v>0</v>
      </c>
      <c r="O265" s="26" t="str">
        <f t="shared" si="63"/>
        <v>COIN</v>
      </c>
      <c r="P265" s="26" t="str">
        <f t="shared" si="65"/>
        <v>LONG</v>
      </c>
      <c r="Q265" s="26" t="str">
        <f t="shared" si="66"/>
        <v>COIN LONG</v>
      </c>
      <c r="R265" s="26">
        <v>0</v>
      </c>
      <c r="S265" s="26">
        <v>0</v>
      </c>
      <c r="T265" s="26">
        <v>0</v>
      </c>
      <c r="U265" s="26">
        <v>0</v>
      </c>
      <c r="V265" s="23" t="str">
        <f t="shared" si="64"/>
        <v>HUBI</v>
      </c>
      <c r="W265" t="str">
        <f t="shared" si="67"/>
        <v>USDP COIN LONG</v>
      </c>
      <c r="X265" s="88" t="s">
        <v>264</v>
      </c>
    </row>
    <row r="266" spans="1:24" x14ac:dyDescent="0.25">
      <c r="A266">
        <v>307</v>
      </c>
      <c r="B266" s="71">
        <v>44939.000003240741</v>
      </c>
      <c r="C266" s="14" t="s">
        <v>39</v>
      </c>
      <c r="D266" s="23" t="s">
        <v>120</v>
      </c>
      <c r="E266" s="23" t="s">
        <v>38</v>
      </c>
      <c r="F266" s="23">
        <v>2871094.4364123498</v>
      </c>
      <c r="G266" s="23">
        <v>2871358.7183138798</v>
      </c>
      <c r="H266" s="23">
        <v>1.00009204918451</v>
      </c>
      <c r="I266" s="23">
        <v>0</v>
      </c>
      <c r="J266" s="23" t="s">
        <v>85</v>
      </c>
      <c r="K266" s="24">
        <v>44939.000003240741</v>
      </c>
      <c r="L266" s="23">
        <v>1</v>
      </c>
      <c r="M266" s="23" t="s">
        <v>38</v>
      </c>
      <c r="N266" s="25">
        <v>0</v>
      </c>
      <c r="O266" s="26" t="str">
        <f t="shared" si="63"/>
        <v>COIN</v>
      </c>
      <c r="P266" s="26" t="str">
        <f t="shared" si="65"/>
        <v>LONG</v>
      </c>
      <c r="Q266" s="26" t="str">
        <f t="shared" si="66"/>
        <v>COIN LONG</v>
      </c>
      <c r="R266" s="26">
        <v>0</v>
      </c>
      <c r="S266" s="26">
        <v>0</v>
      </c>
      <c r="T266" s="26">
        <v>0</v>
      </c>
      <c r="U266" s="26">
        <v>0</v>
      </c>
      <c r="V266" s="23" t="str">
        <f t="shared" si="64"/>
        <v>HUBI</v>
      </c>
      <c r="W266" t="str">
        <f t="shared" si="67"/>
        <v>USDT COIN LONG</v>
      </c>
      <c r="X266" s="88" t="s">
        <v>264</v>
      </c>
    </row>
    <row r="267" spans="1:24" x14ac:dyDescent="0.25">
      <c r="A267">
        <v>308</v>
      </c>
      <c r="B267" s="71">
        <v>44939.000003240741</v>
      </c>
      <c r="C267" s="14" t="s">
        <v>39</v>
      </c>
      <c r="D267" s="23" t="s">
        <v>120</v>
      </c>
      <c r="E267" s="23" t="s">
        <v>196</v>
      </c>
      <c r="F267" s="23">
        <v>25.959481520000001</v>
      </c>
      <c r="G267" s="23">
        <v>0.48913662714363099</v>
      </c>
      <c r="H267" s="23">
        <v>1.8842311113447498E-2</v>
      </c>
      <c r="I267" s="23">
        <v>0</v>
      </c>
      <c r="J267" s="23" t="s">
        <v>85</v>
      </c>
      <c r="K267" s="24">
        <v>44939.000003240741</v>
      </c>
      <c r="L267" s="23">
        <v>1</v>
      </c>
      <c r="M267" s="23" t="s">
        <v>196</v>
      </c>
      <c r="N267" s="25">
        <v>0</v>
      </c>
      <c r="O267" s="26" t="str">
        <f t="shared" si="63"/>
        <v>COIN</v>
      </c>
      <c r="P267" s="26" t="str">
        <f t="shared" si="65"/>
        <v>LONG</v>
      </c>
      <c r="Q267" s="26" t="str">
        <f t="shared" si="66"/>
        <v>COIN LONG</v>
      </c>
      <c r="R267" s="26">
        <v>0</v>
      </c>
      <c r="S267" s="26">
        <v>0</v>
      </c>
      <c r="T267" s="26">
        <v>0</v>
      </c>
      <c r="U267" s="26">
        <v>0</v>
      </c>
      <c r="V267" s="23" t="str">
        <f t="shared" si="64"/>
        <v>HUBI</v>
      </c>
      <c r="W267" t="str">
        <f t="shared" si="67"/>
        <v>VET COIN LONG</v>
      </c>
      <c r="X267" s="88" t="s">
        <v>264</v>
      </c>
    </row>
    <row r="268" spans="1:24" x14ac:dyDescent="0.25">
      <c r="A268">
        <v>309</v>
      </c>
      <c r="B268" s="71">
        <v>44939.000003240741</v>
      </c>
      <c r="C268" s="14" t="s">
        <v>39</v>
      </c>
      <c r="D268" s="23" t="s">
        <v>120</v>
      </c>
      <c r="E268" s="23" t="s">
        <v>161</v>
      </c>
      <c r="F268" s="23">
        <v>0.20872535</v>
      </c>
      <c r="G268" s="23">
        <v>2.25420236368514E-4</v>
      </c>
      <c r="H268" s="23">
        <v>1.0799849484909899E-3</v>
      </c>
      <c r="I268" s="23">
        <v>0</v>
      </c>
      <c r="J268" s="23" t="s">
        <v>85</v>
      </c>
      <c r="K268" s="24">
        <v>44939.000003240741</v>
      </c>
      <c r="L268" s="23">
        <v>1</v>
      </c>
      <c r="M268" s="23" t="s">
        <v>161</v>
      </c>
      <c r="N268" s="25">
        <v>0</v>
      </c>
      <c r="O268" s="26" t="str">
        <f t="shared" si="63"/>
        <v>COIN</v>
      </c>
      <c r="P268" s="26" t="str">
        <f t="shared" si="65"/>
        <v>LONG</v>
      </c>
      <c r="Q268" s="26" t="str">
        <f t="shared" si="66"/>
        <v>COIN LONG</v>
      </c>
      <c r="R268" s="26">
        <v>0</v>
      </c>
      <c r="S268" s="26">
        <v>0</v>
      </c>
      <c r="T268" s="26">
        <v>0</v>
      </c>
      <c r="U268" s="26">
        <v>0</v>
      </c>
      <c r="V268" s="23" t="str">
        <f t="shared" si="64"/>
        <v>HUBI</v>
      </c>
      <c r="W268" t="str">
        <f t="shared" si="67"/>
        <v>VSYS COIN LONG</v>
      </c>
      <c r="X268" s="88" t="s">
        <v>264</v>
      </c>
    </row>
    <row r="269" spans="1:24" x14ac:dyDescent="0.25">
      <c r="A269">
        <v>310</v>
      </c>
      <c r="B269" s="71">
        <v>44939.000003240741</v>
      </c>
      <c r="C269" s="14" t="s">
        <v>39</v>
      </c>
      <c r="D269" s="23" t="s">
        <v>120</v>
      </c>
      <c r="E269" s="23" t="s">
        <v>162</v>
      </c>
      <c r="F269" s="23">
        <v>97856389.900000006</v>
      </c>
      <c r="G269" s="23">
        <v>2672.58922903138</v>
      </c>
      <c r="H269" s="23">
        <v>2.7311340953437101E-5</v>
      </c>
      <c r="I269" s="23">
        <v>0</v>
      </c>
      <c r="J269" s="23" t="s">
        <v>85</v>
      </c>
      <c r="K269" s="24">
        <v>44939.000003240741</v>
      </c>
      <c r="L269" s="23">
        <v>1</v>
      </c>
      <c r="M269" s="23" t="s">
        <v>162</v>
      </c>
      <c r="N269" s="25">
        <v>0</v>
      </c>
      <c r="O269" s="26" t="str">
        <f t="shared" si="63"/>
        <v>COIN</v>
      </c>
      <c r="P269" s="26" t="str">
        <f t="shared" si="65"/>
        <v>LONG</v>
      </c>
      <c r="Q269" s="26" t="str">
        <f t="shared" si="66"/>
        <v>COIN LONG</v>
      </c>
      <c r="R269" s="26">
        <v>0</v>
      </c>
      <c r="S269" s="26">
        <v>0</v>
      </c>
      <c r="T269" s="26">
        <v>0</v>
      </c>
      <c r="U269" s="26">
        <v>0</v>
      </c>
      <c r="V269" s="23" t="str">
        <f t="shared" si="64"/>
        <v>HUBI</v>
      </c>
      <c r="W269" t="str">
        <f t="shared" si="67"/>
        <v>XEC COIN LONG</v>
      </c>
      <c r="X269" s="88" t="s">
        <v>264</v>
      </c>
    </row>
    <row r="270" spans="1:24" x14ac:dyDescent="0.25">
      <c r="A270">
        <v>311</v>
      </c>
      <c r="B270" s="71">
        <v>44939.000003240741</v>
      </c>
      <c r="C270" s="14" t="s">
        <v>39</v>
      </c>
      <c r="D270" s="23" t="s">
        <v>120</v>
      </c>
      <c r="E270" s="23" t="s">
        <v>163</v>
      </c>
      <c r="F270" s="23">
        <v>0.55556267999999998</v>
      </c>
      <c r="G270" s="23">
        <v>4.5358239391654502E-2</v>
      </c>
      <c r="H270" s="23">
        <v>8.1643783905093401E-2</v>
      </c>
      <c r="I270" s="23">
        <v>0</v>
      </c>
      <c r="J270" s="23" t="s">
        <v>85</v>
      </c>
      <c r="K270" s="24">
        <v>44939.000003240741</v>
      </c>
      <c r="L270" s="23">
        <v>1</v>
      </c>
      <c r="M270" s="23" t="s">
        <v>163</v>
      </c>
      <c r="N270" s="25">
        <v>0</v>
      </c>
      <c r="O270" s="26" t="str">
        <f t="shared" si="63"/>
        <v>COIN</v>
      </c>
      <c r="P270" s="26" t="str">
        <f t="shared" si="65"/>
        <v>LONG</v>
      </c>
      <c r="Q270" s="26" t="str">
        <f t="shared" si="66"/>
        <v>COIN LONG</v>
      </c>
      <c r="R270" s="26">
        <v>0</v>
      </c>
      <c r="S270" s="26">
        <v>0</v>
      </c>
      <c r="T270" s="26">
        <v>0</v>
      </c>
      <c r="U270" s="26">
        <v>0</v>
      </c>
      <c r="V270" s="23" t="str">
        <f t="shared" si="64"/>
        <v>HUBI</v>
      </c>
      <c r="W270" t="str">
        <f t="shared" si="67"/>
        <v>XLM COIN LONG</v>
      </c>
      <c r="X270" s="88" t="s">
        <v>264</v>
      </c>
    </row>
    <row r="271" spans="1:24" x14ac:dyDescent="0.25">
      <c r="A271">
        <v>312</v>
      </c>
      <c r="B271" s="71">
        <v>44939.000003240741</v>
      </c>
      <c r="C271" s="14" t="s">
        <v>39</v>
      </c>
      <c r="D271" s="23" t="s">
        <v>120</v>
      </c>
      <c r="E271" s="23" t="s">
        <v>99</v>
      </c>
      <c r="F271" s="23">
        <v>351.63120758000002</v>
      </c>
      <c r="G271" s="23">
        <v>131.93102420708399</v>
      </c>
      <c r="H271" s="23">
        <v>0.37519714224190098</v>
      </c>
      <c r="I271" s="23">
        <v>0</v>
      </c>
      <c r="J271" s="23" t="s">
        <v>85</v>
      </c>
      <c r="K271" s="24">
        <v>44939.000003240741</v>
      </c>
      <c r="L271" s="23">
        <v>1</v>
      </c>
      <c r="M271" s="23" t="s">
        <v>99</v>
      </c>
      <c r="N271" s="25">
        <v>0</v>
      </c>
      <c r="O271" s="26" t="str">
        <f t="shared" si="63"/>
        <v>COIN</v>
      </c>
      <c r="P271" s="26" t="str">
        <f t="shared" si="65"/>
        <v>LONG</v>
      </c>
      <c r="Q271" s="26" t="str">
        <f t="shared" si="66"/>
        <v>COIN LONG</v>
      </c>
      <c r="R271" s="26">
        <v>0</v>
      </c>
      <c r="S271" s="26">
        <v>0</v>
      </c>
      <c r="T271" s="26">
        <v>0</v>
      </c>
      <c r="U271" s="26">
        <v>0</v>
      </c>
      <c r="V271" s="23" t="str">
        <f t="shared" si="64"/>
        <v>HUBI</v>
      </c>
      <c r="W271" t="str">
        <f t="shared" si="67"/>
        <v>XRP COIN LONG</v>
      </c>
      <c r="X271" s="88" t="s">
        <v>264</v>
      </c>
    </row>
    <row r="272" spans="1:24" x14ac:dyDescent="0.25">
      <c r="A272">
        <v>313</v>
      </c>
      <c r="B272" s="71">
        <v>44939.000003240741</v>
      </c>
      <c r="C272" s="14" t="s">
        <v>39</v>
      </c>
      <c r="D272" s="23" t="s">
        <v>120</v>
      </c>
      <c r="E272" s="23" t="s">
        <v>164</v>
      </c>
      <c r="F272" s="23">
        <v>3.9304560899999998</v>
      </c>
      <c r="G272" s="23">
        <v>3.4950788489567901</v>
      </c>
      <c r="H272" s="23">
        <v>0.88922984226921997</v>
      </c>
      <c r="I272" s="23">
        <v>0</v>
      </c>
      <c r="J272" s="23" t="s">
        <v>85</v>
      </c>
      <c r="K272" s="24">
        <v>44939.000003240741</v>
      </c>
      <c r="L272" s="23">
        <v>1</v>
      </c>
      <c r="M272" s="23" t="s">
        <v>164</v>
      </c>
      <c r="N272" s="25">
        <v>0</v>
      </c>
      <c r="O272" s="26" t="str">
        <f t="shared" si="63"/>
        <v>COIN</v>
      </c>
      <c r="P272" s="26" t="str">
        <f t="shared" si="65"/>
        <v>LONG</v>
      </c>
      <c r="Q272" s="26" t="str">
        <f t="shared" si="66"/>
        <v>COIN LONG</v>
      </c>
      <c r="R272" s="26">
        <v>0</v>
      </c>
      <c r="S272" s="26">
        <v>0</v>
      </c>
      <c r="T272" s="26">
        <v>0</v>
      </c>
      <c r="U272" s="26">
        <v>0</v>
      </c>
      <c r="V272" s="23" t="str">
        <f t="shared" si="64"/>
        <v>HUBI</v>
      </c>
      <c r="W272" t="str">
        <f t="shared" si="67"/>
        <v>XTZ COIN LONG</v>
      </c>
      <c r="X272" s="88" t="s">
        <v>264</v>
      </c>
    </row>
    <row r="273" spans="1:24" x14ac:dyDescent="0.25">
      <c r="A273">
        <v>314</v>
      </c>
      <c r="B273" s="71">
        <v>44939.000003240741</v>
      </c>
      <c r="C273" s="14" t="s">
        <v>39</v>
      </c>
      <c r="D273" s="23" t="s">
        <v>120</v>
      </c>
      <c r="E273" s="23" t="s">
        <v>117</v>
      </c>
      <c r="F273" s="23">
        <v>1.329583E-2</v>
      </c>
      <c r="G273" s="23">
        <v>16.3346720498742</v>
      </c>
      <c r="H273" s="23">
        <v>1228.5560246990401</v>
      </c>
      <c r="I273" s="23">
        <v>0</v>
      </c>
      <c r="J273" s="23" t="s">
        <v>85</v>
      </c>
      <c r="K273" s="24">
        <v>44939.000003240741</v>
      </c>
      <c r="L273" s="23">
        <v>1</v>
      </c>
      <c r="M273" s="23" t="s">
        <v>117</v>
      </c>
      <c r="N273" s="25">
        <v>0</v>
      </c>
      <c r="O273" s="26" t="str">
        <f t="shared" si="63"/>
        <v>COIN</v>
      </c>
      <c r="P273" s="26" t="str">
        <f t="shared" si="65"/>
        <v>LONG</v>
      </c>
      <c r="Q273" s="26" t="str">
        <f t="shared" si="66"/>
        <v>COIN LONG</v>
      </c>
      <c r="R273" s="26">
        <v>0</v>
      </c>
      <c r="S273" s="26">
        <v>0</v>
      </c>
      <c r="T273" s="26">
        <v>0</v>
      </c>
      <c r="U273" s="26">
        <v>0</v>
      </c>
      <c r="V273" s="23" t="str">
        <f t="shared" si="64"/>
        <v>HUBI</v>
      </c>
      <c r="W273" t="str">
        <f t="shared" si="67"/>
        <v>YFII COIN LONG</v>
      </c>
      <c r="X273" s="88" t="s">
        <v>264</v>
      </c>
    </row>
    <row r="274" spans="1:24" x14ac:dyDescent="0.25">
      <c r="A274">
        <v>315</v>
      </c>
      <c r="B274" s="71">
        <v>44939.000003240741</v>
      </c>
      <c r="C274" s="14" t="s">
        <v>39</v>
      </c>
      <c r="D274" s="23" t="s">
        <v>120</v>
      </c>
      <c r="E274" s="23" t="s">
        <v>165</v>
      </c>
      <c r="F274" s="23">
        <v>2.173E-4</v>
      </c>
      <c r="G274" s="23">
        <v>9.8461120696399299E-3</v>
      </c>
      <c r="H274" s="23">
        <v>45.3111462017484</v>
      </c>
      <c r="I274" s="23">
        <v>0</v>
      </c>
      <c r="J274" s="23" t="s">
        <v>85</v>
      </c>
      <c r="K274" s="24">
        <v>44939.000003240741</v>
      </c>
      <c r="L274" s="23">
        <v>1</v>
      </c>
      <c r="M274" s="23" t="s">
        <v>165</v>
      </c>
      <c r="N274" s="25">
        <v>0</v>
      </c>
      <c r="O274" s="26" t="str">
        <f t="shared" si="63"/>
        <v>COIN</v>
      </c>
      <c r="P274" s="26" t="str">
        <f t="shared" si="65"/>
        <v>LONG</v>
      </c>
      <c r="Q274" s="26" t="str">
        <f t="shared" si="66"/>
        <v>COIN LONG</v>
      </c>
      <c r="R274" s="26">
        <v>0</v>
      </c>
      <c r="S274" s="26">
        <v>0</v>
      </c>
      <c r="T274" s="26">
        <v>0</v>
      </c>
      <c r="U274" s="26">
        <v>0</v>
      </c>
      <c r="V274" s="23" t="str">
        <f t="shared" si="64"/>
        <v>HUBI</v>
      </c>
      <c r="W274" t="str">
        <f t="shared" si="67"/>
        <v>ZEC COIN LONG</v>
      </c>
      <c r="X274" s="88" t="s">
        <v>264</v>
      </c>
    </row>
    <row r="275" spans="1:24" x14ac:dyDescent="0.25">
      <c r="A275">
        <v>316</v>
      </c>
      <c r="B275" s="71">
        <v>44939.000003240741</v>
      </c>
      <c r="C275" s="14" t="s">
        <v>39</v>
      </c>
      <c r="D275" s="23" t="s">
        <v>120</v>
      </c>
      <c r="E275" s="23" t="s">
        <v>26</v>
      </c>
      <c r="F275" s="23">
        <v>1471148.6227112999</v>
      </c>
      <c r="G275" s="23">
        <v>35270.023095900899</v>
      </c>
      <c r="H275" s="23">
        <v>2.39744799073386E-2</v>
      </c>
      <c r="I275" s="23">
        <v>0</v>
      </c>
      <c r="J275" s="23" t="s">
        <v>85</v>
      </c>
      <c r="K275" s="24">
        <v>44939.000003240741</v>
      </c>
      <c r="L275" s="23">
        <v>1</v>
      </c>
      <c r="M275" s="23" t="s">
        <v>26</v>
      </c>
      <c r="N275" s="25">
        <v>0</v>
      </c>
      <c r="O275" s="26" t="str">
        <f t="shared" si="63"/>
        <v>COIN</v>
      </c>
      <c r="P275" s="26" t="str">
        <f t="shared" si="65"/>
        <v>LONG</v>
      </c>
      <c r="Q275" s="26" t="str">
        <f t="shared" si="66"/>
        <v>COIN LONG</v>
      </c>
      <c r="R275" s="26">
        <v>0</v>
      </c>
      <c r="S275" s="26">
        <v>0</v>
      </c>
      <c r="T275" s="26">
        <v>0</v>
      </c>
      <c r="U275" s="26">
        <v>0</v>
      </c>
      <c r="V275" s="23" t="str">
        <f t="shared" si="64"/>
        <v>HUBI</v>
      </c>
      <c r="W275" t="str">
        <f t="shared" si="67"/>
        <v>ZIL COIN LONG</v>
      </c>
      <c r="X275" s="88" t="s">
        <v>264</v>
      </c>
    </row>
    <row r="276" spans="1:24" x14ac:dyDescent="0.25">
      <c r="A276">
        <v>317</v>
      </c>
      <c r="B276" s="71">
        <v>44939.000003240741</v>
      </c>
      <c r="C276" s="14" t="s">
        <v>39</v>
      </c>
      <c r="D276" s="23" t="s">
        <v>166</v>
      </c>
      <c r="E276" s="23" t="s">
        <v>20</v>
      </c>
      <c r="F276" s="23">
        <v>1E-8</v>
      </c>
      <c r="G276" s="23">
        <v>1.1971046613741201E-6</v>
      </c>
      <c r="H276" s="23">
        <v>119.710466137412</v>
      </c>
      <c r="I276" s="23">
        <v>0</v>
      </c>
      <c r="J276" s="23" t="s">
        <v>85</v>
      </c>
      <c r="K276" s="24">
        <v>44939.000003240741</v>
      </c>
      <c r="L276" s="23">
        <v>1</v>
      </c>
      <c r="M276" s="23" t="s">
        <v>20</v>
      </c>
      <c r="N276" s="25">
        <v>0</v>
      </c>
      <c r="O276" s="26" t="str">
        <f t="shared" si="63"/>
        <v>COIN</v>
      </c>
      <c r="P276" s="26" t="str">
        <f t="shared" si="65"/>
        <v>LONG</v>
      </c>
      <c r="Q276" s="26" t="str">
        <f t="shared" si="66"/>
        <v>COIN LONG</v>
      </c>
      <c r="R276" s="26">
        <v>0</v>
      </c>
      <c r="S276" s="26">
        <v>0</v>
      </c>
      <c r="T276" s="26">
        <v>0</v>
      </c>
      <c r="U276" s="26">
        <v>0</v>
      </c>
      <c r="V276" s="23" t="str">
        <f t="shared" si="64"/>
        <v>HUBI</v>
      </c>
      <c r="W276" t="str">
        <f t="shared" si="67"/>
        <v>BCH COIN LONG</v>
      </c>
      <c r="X276" s="88" t="s">
        <v>264</v>
      </c>
    </row>
    <row r="277" spans="1:24" x14ac:dyDescent="0.25">
      <c r="A277">
        <v>318</v>
      </c>
      <c r="B277" s="71">
        <v>44939.000003240741</v>
      </c>
      <c r="C277" s="14" t="s">
        <v>39</v>
      </c>
      <c r="D277" s="23" t="s">
        <v>166</v>
      </c>
      <c r="E277" s="23" t="s">
        <v>29</v>
      </c>
      <c r="F277" s="23">
        <v>1E-8</v>
      </c>
      <c r="G277" s="23">
        <v>2.0917758217744E-7</v>
      </c>
      <c r="H277" s="23">
        <v>20.917758217744002</v>
      </c>
      <c r="I277" s="23">
        <v>0</v>
      </c>
      <c r="J277" s="23" t="s">
        <v>85</v>
      </c>
      <c r="K277" s="24">
        <v>44939.000003240741</v>
      </c>
      <c r="L277" s="23">
        <v>1</v>
      </c>
      <c r="M277" s="23" t="s">
        <v>29</v>
      </c>
      <c r="N277" s="25">
        <v>0</v>
      </c>
      <c r="O277" s="26" t="str">
        <f t="shared" si="63"/>
        <v>COIN</v>
      </c>
      <c r="P277" s="26" t="str">
        <f t="shared" si="65"/>
        <v>LONG</v>
      </c>
      <c r="Q277" s="26" t="str">
        <f t="shared" si="66"/>
        <v>COIN LONG</v>
      </c>
      <c r="R277" s="26">
        <v>0</v>
      </c>
      <c r="S277" s="26">
        <v>0</v>
      </c>
      <c r="T277" s="26">
        <v>0</v>
      </c>
      <c r="U277" s="26">
        <v>0</v>
      </c>
      <c r="V277" s="23" t="str">
        <f t="shared" si="64"/>
        <v>HUBI</v>
      </c>
      <c r="W277" t="str">
        <f t="shared" si="67"/>
        <v>ETC COIN LONG</v>
      </c>
      <c r="X277" s="88" t="s">
        <v>264</v>
      </c>
    </row>
    <row r="278" spans="1:24" x14ac:dyDescent="0.25">
      <c r="A278">
        <v>319</v>
      </c>
      <c r="B278" s="71">
        <v>44939.000003240741</v>
      </c>
      <c r="C278" s="14" t="s">
        <v>39</v>
      </c>
      <c r="D278" s="23" t="s">
        <v>166</v>
      </c>
      <c r="E278" s="23" t="s">
        <v>24</v>
      </c>
      <c r="F278" s="23">
        <v>1E-8</v>
      </c>
      <c r="G278" s="23">
        <v>8.5964229450756099E-7</v>
      </c>
      <c r="H278" s="23">
        <v>85.964229450756093</v>
      </c>
      <c r="I278" s="23">
        <v>0</v>
      </c>
      <c r="J278" s="23" t="s">
        <v>85</v>
      </c>
      <c r="K278" s="24">
        <v>44939.000003240741</v>
      </c>
      <c r="L278" s="23">
        <v>1</v>
      </c>
      <c r="M278" s="23" t="s">
        <v>24</v>
      </c>
      <c r="N278" s="25">
        <v>0</v>
      </c>
      <c r="O278" s="26" t="str">
        <f t="shared" si="63"/>
        <v>COIN</v>
      </c>
      <c r="P278" s="26" t="str">
        <f t="shared" si="65"/>
        <v>LONG</v>
      </c>
      <c r="Q278" s="26" t="str">
        <f t="shared" si="66"/>
        <v>COIN LONG</v>
      </c>
      <c r="R278" s="26">
        <v>0</v>
      </c>
      <c r="S278" s="26">
        <v>0</v>
      </c>
      <c r="T278" s="26">
        <v>0</v>
      </c>
      <c r="U278" s="26">
        <v>0</v>
      </c>
      <c r="V278" s="23" t="str">
        <f t="shared" si="64"/>
        <v>HUBI</v>
      </c>
      <c r="W278" t="str">
        <f t="shared" si="67"/>
        <v>LTC COIN LONG</v>
      </c>
      <c r="X278" s="88" t="s">
        <v>264</v>
      </c>
    </row>
    <row r="279" spans="1:24" x14ac:dyDescent="0.25">
      <c r="A279">
        <v>320</v>
      </c>
      <c r="B279" s="71">
        <v>44939.000003240741</v>
      </c>
      <c r="C279" s="14" t="s">
        <v>39</v>
      </c>
      <c r="D279" s="23" t="s">
        <v>166</v>
      </c>
      <c r="E279" s="23" t="s">
        <v>25</v>
      </c>
      <c r="F279" s="23">
        <v>1E-8</v>
      </c>
      <c r="G279" s="23">
        <v>5.7111199630631599E-10</v>
      </c>
      <c r="H279" s="23">
        <v>5.7111199630631597E-2</v>
      </c>
      <c r="I279" s="23">
        <v>0</v>
      </c>
      <c r="J279" s="23" t="s">
        <v>85</v>
      </c>
      <c r="K279" s="24">
        <v>44939.000003240741</v>
      </c>
      <c r="L279" s="23">
        <v>1</v>
      </c>
      <c r="M279" s="23" t="s">
        <v>25</v>
      </c>
      <c r="N279" s="25">
        <v>0</v>
      </c>
      <c r="O279" s="26" t="str">
        <f t="shared" si="63"/>
        <v>COIN</v>
      </c>
      <c r="P279" s="26" t="str">
        <f t="shared" si="65"/>
        <v>LONG</v>
      </c>
      <c r="Q279" s="26" t="str">
        <f t="shared" si="66"/>
        <v>COIN LONG</v>
      </c>
      <c r="R279" s="26">
        <v>0</v>
      </c>
      <c r="S279" s="26">
        <v>0</v>
      </c>
      <c r="T279" s="26">
        <v>0</v>
      </c>
      <c r="U279" s="26">
        <v>0</v>
      </c>
      <c r="V279" s="23" t="str">
        <f t="shared" si="64"/>
        <v>HUBI</v>
      </c>
      <c r="W279" t="str">
        <f t="shared" si="67"/>
        <v>TRX COIN LONG</v>
      </c>
      <c r="X279" s="88" t="s">
        <v>264</v>
      </c>
    </row>
    <row r="280" spans="1:24" x14ac:dyDescent="0.25">
      <c r="A280">
        <v>321</v>
      </c>
      <c r="B280" s="71">
        <v>44939.000003240741</v>
      </c>
      <c r="C280" s="14" t="s">
        <v>39</v>
      </c>
      <c r="D280" s="23" t="s">
        <v>166</v>
      </c>
      <c r="E280" s="23" t="s">
        <v>38</v>
      </c>
      <c r="F280" s="23">
        <v>0.90999770000000002</v>
      </c>
      <c r="G280" s="23">
        <v>0.91008146454619399</v>
      </c>
      <c r="H280" s="23">
        <v>1.00009204918451</v>
      </c>
      <c r="I280" s="23">
        <v>0</v>
      </c>
      <c r="J280" s="23" t="s">
        <v>85</v>
      </c>
      <c r="K280" s="24">
        <v>44939.000003240741</v>
      </c>
      <c r="L280" s="23">
        <v>1</v>
      </c>
      <c r="M280" s="23" t="s">
        <v>38</v>
      </c>
      <c r="N280" s="25">
        <v>0</v>
      </c>
      <c r="O280" s="26" t="str">
        <f t="shared" si="63"/>
        <v>COIN</v>
      </c>
      <c r="P280" s="26" t="str">
        <f t="shared" si="65"/>
        <v>LONG</v>
      </c>
      <c r="Q280" s="26" t="str">
        <f t="shared" si="66"/>
        <v>COIN LONG</v>
      </c>
      <c r="R280" s="26">
        <v>0</v>
      </c>
      <c r="S280" s="26">
        <v>0</v>
      </c>
      <c r="T280" s="26">
        <v>0</v>
      </c>
      <c r="U280" s="26">
        <v>0</v>
      </c>
      <c r="V280" s="23" t="str">
        <f t="shared" si="64"/>
        <v>HUBI</v>
      </c>
      <c r="W280" t="str">
        <f t="shared" si="67"/>
        <v>USDT COIN LONG</v>
      </c>
      <c r="X280" s="88" t="s">
        <v>264</v>
      </c>
    </row>
    <row r="281" spans="1:24" x14ac:dyDescent="0.25">
      <c r="A281">
        <v>322</v>
      </c>
      <c r="B281" s="71">
        <v>44939.000003240741</v>
      </c>
      <c r="C281" s="14" t="s">
        <v>39</v>
      </c>
      <c r="D281" s="23" t="s">
        <v>166</v>
      </c>
      <c r="E281" s="23" t="s">
        <v>99</v>
      </c>
      <c r="F281" s="23">
        <v>7.6039999999999997E-5</v>
      </c>
      <c r="G281" s="23">
        <v>2.8529990696074101E-5</v>
      </c>
      <c r="H281" s="23">
        <v>0.37519714224190098</v>
      </c>
      <c r="I281" s="23">
        <v>0</v>
      </c>
      <c r="J281" s="23" t="s">
        <v>85</v>
      </c>
      <c r="K281" s="24">
        <v>44939.000003240741</v>
      </c>
      <c r="L281" s="23">
        <v>1</v>
      </c>
      <c r="M281" s="23" t="s">
        <v>99</v>
      </c>
      <c r="N281" s="25">
        <v>0</v>
      </c>
      <c r="O281" s="26" t="str">
        <f t="shared" si="63"/>
        <v>COIN</v>
      </c>
      <c r="P281" s="26" t="str">
        <f t="shared" si="65"/>
        <v>LONG</v>
      </c>
      <c r="Q281" s="26" t="str">
        <f t="shared" si="66"/>
        <v>COIN LONG</v>
      </c>
      <c r="R281" s="26">
        <v>0</v>
      </c>
      <c r="S281" s="26">
        <v>0</v>
      </c>
      <c r="T281" s="26">
        <v>0</v>
      </c>
      <c r="U281" s="26">
        <v>0</v>
      </c>
      <c r="V281" s="23" t="str">
        <f t="shared" si="64"/>
        <v>HUBI</v>
      </c>
      <c r="W281" t="str">
        <f t="shared" si="67"/>
        <v>XRP COIN LONG</v>
      </c>
      <c r="X281" s="88" t="s">
        <v>264</v>
      </c>
    </row>
    <row r="282" spans="1:24" x14ac:dyDescent="0.25">
      <c r="A282">
        <v>323</v>
      </c>
      <c r="B282" s="71">
        <v>44938.917056053244</v>
      </c>
      <c r="C282" s="14" t="s">
        <v>167</v>
      </c>
      <c r="D282" s="23" t="s">
        <v>167</v>
      </c>
      <c r="E282" s="23" t="s">
        <v>35</v>
      </c>
      <c r="F282" s="23">
        <v>0.331542</v>
      </c>
      <c r="G282" s="23">
        <v>4.0695758794946002</v>
      </c>
      <c r="H282" s="23">
        <v>12.274691832390999</v>
      </c>
      <c r="I282" s="23">
        <v>0</v>
      </c>
      <c r="J282" s="23" t="s">
        <v>85</v>
      </c>
      <c r="K282" s="24">
        <v>44938.917056053244</v>
      </c>
      <c r="L282" s="23">
        <v>1</v>
      </c>
      <c r="M282" s="23" t="s">
        <v>35</v>
      </c>
      <c r="N282" s="25">
        <v>0</v>
      </c>
      <c r="O282" s="26" t="str">
        <f t="shared" si="63"/>
        <v>COIN</v>
      </c>
      <c r="P282" s="26" t="str">
        <f t="shared" si="65"/>
        <v>LONG</v>
      </c>
      <c r="Q282" s="26" t="str">
        <f t="shared" si="66"/>
        <v>COIN LONG</v>
      </c>
      <c r="R282" s="26">
        <v>0</v>
      </c>
      <c r="S282" s="26">
        <v>0</v>
      </c>
      <c r="T282" s="26">
        <v>0</v>
      </c>
      <c r="U282" s="26">
        <v>0</v>
      </c>
      <c r="V282" s="23" t="str">
        <f t="shared" si="64"/>
        <v>KRKE</v>
      </c>
      <c r="W282" t="str">
        <f t="shared" si="67"/>
        <v>ATOM COIN LONG</v>
      </c>
      <c r="X282" s="88" t="s">
        <v>264</v>
      </c>
    </row>
    <row r="283" spans="1:24" x14ac:dyDescent="0.25">
      <c r="A283">
        <v>324</v>
      </c>
      <c r="B283" s="71">
        <v>44938.917053553239</v>
      </c>
      <c r="C283" s="14" t="s">
        <v>167</v>
      </c>
      <c r="D283" s="23" t="s">
        <v>167</v>
      </c>
      <c r="E283" s="23" t="s">
        <v>20</v>
      </c>
      <c r="F283" s="23">
        <v>1.7695412699999999</v>
      </c>
      <c r="G283" s="23">
        <v>211.83261028108799</v>
      </c>
      <c r="H283" s="23">
        <v>119.710466137412</v>
      </c>
      <c r="I283" s="23">
        <v>0</v>
      </c>
      <c r="J283" s="23" t="s">
        <v>85</v>
      </c>
      <c r="K283" s="24">
        <v>44938.917053553239</v>
      </c>
      <c r="L283" s="23">
        <v>1</v>
      </c>
      <c r="M283" s="23" t="s">
        <v>20</v>
      </c>
      <c r="N283" s="25">
        <v>0</v>
      </c>
      <c r="O283" s="26" t="str">
        <f t="shared" si="63"/>
        <v>COIN</v>
      </c>
      <c r="P283" s="26" t="str">
        <f t="shared" si="65"/>
        <v>LONG</v>
      </c>
      <c r="Q283" s="26" t="str">
        <f t="shared" si="66"/>
        <v>COIN LONG</v>
      </c>
      <c r="R283" s="26">
        <v>0</v>
      </c>
      <c r="S283" s="26">
        <v>0</v>
      </c>
      <c r="T283" s="26">
        <v>0</v>
      </c>
      <c r="U283" s="26">
        <v>0</v>
      </c>
      <c r="V283" s="23" t="str">
        <f t="shared" si="64"/>
        <v>KRKE</v>
      </c>
      <c r="W283" t="str">
        <f t="shared" si="67"/>
        <v>BCH COIN LONG</v>
      </c>
      <c r="X283" s="88" t="s">
        <v>264</v>
      </c>
    </row>
    <row r="284" spans="1:24" x14ac:dyDescent="0.25">
      <c r="A284">
        <v>325</v>
      </c>
      <c r="B284" s="71">
        <v>44938.917053703706</v>
      </c>
      <c r="C284" s="14" t="s">
        <v>167</v>
      </c>
      <c r="D284" s="23" t="s">
        <v>167</v>
      </c>
      <c r="E284" s="23" t="s">
        <v>14</v>
      </c>
      <c r="F284" s="23">
        <v>1.8847760000000002E-2</v>
      </c>
      <c r="G284" s="23">
        <v>355.64946696451199</v>
      </c>
      <c r="H284" s="23">
        <v>18869.5880552655</v>
      </c>
      <c r="I284" s="23">
        <v>0</v>
      </c>
      <c r="J284" s="23" t="s">
        <v>85</v>
      </c>
      <c r="K284" s="24">
        <v>44938.917053703706</v>
      </c>
      <c r="L284" s="23">
        <v>1</v>
      </c>
      <c r="M284" s="23" t="s">
        <v>14</v>
      </c>
      <c r="N284" s="25">
        <v>0</v>
      </c>
      <c r="O284" s="26" t="str">
        <f t="shared" si="63"/>
        <v>COIN</v>
      </c>
      <c r="P284" s="26" t="str">
        <f t="shared" si="65"/>
        <v>LONG</v>
      </c>
      <c r="Q284" s="26" t="str">
        <f t="shared" si="66"/>
        <v>COIN LONG</v>
      </c>
      <c r="R284" s="26">
        <v>0</v>
      </c>
      <c r="S284" s="26">
        <v>0</v>
      </c>
      <c r="T284" s="26">
        <v>0</v>
      </c>
      <c r="U284" s="26">
        <v>0</v>
      </c>
      <c r="V284" s="23" t="str">
        <f t="shared" si="64"/>
        <v>KRKE</v>
      </c>
      <c r="W284" t="str">
        <f t="shared" si="67"/>
        <v>BTC COIN LONG</v>
      </c>
      <c r="X284" s="88" t="s">
        <v>264</v>
      </c>
    </row>
    <row r="285" spans="1:24" x14ac:dyDescent="0.25">
      <c r="A285">
        <v>326</v>
      </c>
      <c r="B285" s="71">
        <v>44938.91705517361</v>
      </c>
      <c r="C285" s="14" t="s">
        <v>167</v>
      </c>
      <c r="D285" s="23" t="s">
        <v>167</v>
      </c>
      <c r="E285" s="23" t="s">
        <v>23</v>
      </c>
      <c r="F285" s="23">
        <v>9.9499194400000004</v>
      </c>
      <c r="G285" s="23">
        <v>9.8528328702951509</v>
      </c>
      <c r="H285" s="23">
        <v>0.990242476806942</v>
      </c>
      <c r="I285" s="23">
        <v>0</v>
      </c>
      <c r="J285" s="23" t="s">
        <v>85</v>
      </c>
      <c r="K285" s="24">
        <v>44938.91705517361</v>
      </c>
      <c r="L285" s="23">
        <v>1</v>
      </c>
      <c r="M285" s="23" t="s">
        <v>23</v>
      </c>
      <c r="N285" s="25">
        <v>0</v>
      </c>
      <c r="O285" s="26" t="str">
        <f t="shared" si="63"/>
        <v>COIN</v>
      </c>
      <c r="P285" s="26" t="str">
        <f t="shared" si="65"/>
        <v>LONG</v>
      </c>
      <c r="Q285" s="26" t="str">
        <f t="shared" si="66"/>
        <v>COIN LONG</v>
      </c>
      <c r="R285" s="26">
        <v>0</v>
      </c>
      <c r="S285" s="26">
        <v>0</v>
      </c>
      <c r="T285" s="26">
        <v>0</v>
      </c>
      <c r="U285" s="26">
        <v>0</v>
      </c>
      <c r="V285" s="23" t="str">
        <f t="shared" si="64"/>
        <v>KRKE</v>
      </c>
      <c r="W285" t="str">
        <f t="shared" si="67"/>
        <v>EOS COIN LONG</v>
      </c>
      <c r="X285" s="88" t="s">
        <v>264</v>
      </c>
    </row>
    <row r="286" spans="1:24" x14ac:dyDescent="0.25">
      <c r="A286">
        <v>327</v>
      </c>
      <c r="B286" s="71">
        <v>44938.917055324077</v>
      </c>
      <c r="C286" s="14" t="s">
        <v>167</v>
      </c>
      <c r="D286" s="23" t="s">
        <v>167</v>
      </c>
      <c r="E286" s="23" t="s">
        <v>272</v>
      </c>
      <c r="F286" s="23">
        <v>3.4037359</v>
      </c>
      <c r="G286" s="23">
        <v>11.6887470292637</v>
      </c>
      <c r="H286" s="23">
        <v>3.43409341167265</v>
      </c>
      <c r="I286" s="23">
        <v>0</v>
      </c>
      <c r="J286" s="23" t="s">
        <v>85</v>
      </c>
      <c r="K286" s="24">
        <v>44938.917055324077</v>
      </c>
      <c r="L286" s="23">
        <v>1</v>
      </c>
      <c r="M286" s="23" t="s">
        <v>272</v>
      </c>
      <c r="N286" s="25">
        <v>0</v>
      </c>
      <c r="O286" s="26" t="str">
        <f t="shared" si="63"/>
        <v>COIN</v>
      </c>
      <c r="P286" s="26" t="str">
        <f t="shared" si="65"/>
        <v>LONG</v>
      </c>
      <c r="Q286" s="26" t="str">
        <f t="shared" si="66"/>
        <v>COIN LONG</v>
      </c>
      <c r="R286" s="26">
        <v>0</v>
      </c>
      <c r="S286" s="26">
        <v>0</v>
      </c>
      <c r="T286" s="26">
        <v>0</v>
      </c>
      <c r="U286" s="26">
        <v>0</v>
      </c>
      <c r="V286" s="23" t="str">
        <f t="shared" si="64"/>
        <v>KRKE</v>
      </c>
      <c r="W286" t="str">
        <f t="shared" si="67"/>
        <v>ETHW COIN LONG</v>
      </c>
      <c r="X286" s="88" t="s">
        <v>264</v>
      </c>
    </row>
    <row r="287" spans="1:24" x14ac:dyDescent="0.25">
      <c r="A287">
        <v>328</v>
      </c>
      <c r="B287" s="71">
        <v>44938.917054976853</v>
      </c>
      <c r="C287" s="14" t="s">
        <v>167</v>
      </c>
      <c r="D287" s="23" t="s">
        <v>167</v>
      </c>
      <c r="E287" s="23" t="s">
        <v>24</v>
      </c>
      <c r="F287" s="23">
        <v>9.1421368100000002</v>
      </c>
      <c r="G287" s="23">
        <v>785.89674640504302</v>
      </c>
      <c r="H287" s="23">
        <v>85.964229450756093</v>
      </c>
      <c r="I287" s="23">
        <v>0</v>
      </c>
      <c r="J287" s="23" t="s">
        <v>85</v>
      </c>
      <c r="K287" s="24">
        <v>44938.917054976853</v>
      </c>
      <c r="L287" s="23">
        <v>1</v>
      </c>
      <c r="M287" s="23" t="s">
        <v>24</v>
      </c>
      <c r="N287" s="25">
        <v>0</v>
      </c>
      <c r="O287" s="26" t="str">
        <f t="shared" si="63"/>
        <v>COIN</v>
      </c>
      <c r="P287" s="26" t="str">
        <f t="shared" si="65"/>
        <v>LONG</v>
      </c>
      <c r="Q287" s="26" t="str">
        <f t="shared" si="66"/>
        <v>COIN LONG</v>
      </c>
      <c r="R287" s="26">
        <v>0</v>
      </c>
      <c r="S287" s="26">
        <v>0</v>
      </c>
      <c r="T287" s="26">
        <v>0</v>
      </c>
      <c r="U287" s="26">
        <v>0</v>
      </c>
      <c r="V287" s="23" t="str">
        <f t="shared" si="64"/>
        <v>KRKE</v>
      </c>
      <c r="W287" t="str">
        <f t="shared" si="67"/>
        <v>LTC COIN LONG</v>
      </c>
      <c r="X287" s="88" t="s">
        <v>264</v>
      </c>
    </row>
    <row r="288" spans="1:24" x14ac:dyDescent="0.25">
      <c r="A288">
        <v>329</v>
      </c>
      <c r="B288" s="71">
        <v>44938.917054247686</v>
      </c>
      <c r="C288" s="14" t="s">
        <v>167</v>
      </c>
      <c r="D288" s="23" t="s">
        <v>167</v>
      </c>
      <c r="E288" s="23" t="s">
        <v>89</v>
      </c>
      <c r="F288" s="23">
        <v>700512.94058015</v>
      </c>
      <c r="G288" s="23">
        <v>51361.140799233101</v>
      </c>
      <c r="H288" s="23">
        <v>7.3319331912265404E-2</v>
      </c>
      <c r="I288" s="23">
        <v>0</v>
      </c>
      <c r="J288" s="23" t="s">
        <v>85</v>
      </c>
      <c r="K288" s="24">
        <v>44938.917054247686</v>
      </c>
      <c r="L288" s="23">
        <v>1</v>
      </c>
      <c r="M288" s="23" t="s">
        <v>89</v>
      </c>
      <c r="N288" s="25">
        <v>0</v>
      </c>
      <c r="O288" s="26" t="str">
        <f t="shared" si="63"/>
        <v>COIN</v>
      </c>
      <c r="P288" s="26" t="str">
        <f t="shared" si="65"/>
        <v>LONG</v>
      </c>
      <c r="Q288" s="26" t="str">
        <f t="shared" si="66"/>
        <v>COIN LONG</v>
      </c>
      <c r="R288" s="26">
        <v>0</v>
      </c>
      <c r="S288" s="26">
        <v>0</v>
      </c>
      <c r="T288" s="26">
        <v>0</v>
      </c>
      <c r="U288" s="26">
        <v>0</v>
      </c>
      <c r="V288" s="23" t="str">
        <f t="shared" si="64"/>
        <v>KRKE</v>
      </c>
      <c r="W288" t="str">
        <f t="shared" si="67"/>
        <v>OXT COIN LONG</v>
      </c>
      <c r="X288" s="88" t="s">
        <v>264</v>
      </c>
    </row>
    <row r="289" spans="1:24" x14ac:dyDescent="0.25">
      <c r="A289">
        <v>330</v>
      </c>
      <c r="B289" s="71">
        <v>44938.917056597224</v>
      </c>
      <c r="C289" s="14" t="s">
        <v>167</v>
      </c>
      <c r="D289" s="23" t="s">
        <v>167</v>
      </c>
      <c r="E289" s="23" t="s">
        <v>98</v>
      </c>
      <c r="F289" s="23">
        <v>0.10834547999999999</v>
      </c>
      <c r="G289" s="23">
        <v>1.26842526444161E-3</v>
      </c>
      <c r="H289" s="23">
        <v>1.1707228252084E-2</v>
      </c>
      <c r="I289" s="23">
        <v>0</v>
      </c>
      <c r="J289" s="23" t="s">
        <v>85</v>
      </c>
      <c r="K289" s="24">
        <v>44938.917056597224</v>
      </c>
      <c r="L289" s="23">
        <v>1</v>
      </c>
      <c r="M289" s="23" t="s">
        <v>98</v>
      </c>
      <c r="N289" s="25">
        <v>0</v>
      </c>
      <c r="O289" s="26" t="str">
        <f t="shared" si="63"/>
        <v>COIN</v>
      </c>
      <c r="P289" s="26" t="str">
        <f t="shared" si="65"/>
        <v>LONG</v>
      </c>
      <c r="Q289" s="26" t="str">
        <f t="shared" si="66"/>
        <v>COIN LONG</v>
      </c>
      <c r="R289" s="26">
        <v>0</v>
      </c>
      <c r="S289" s="26">
        <v>0</v>
      </c>
      <c r="T289" s="26">
        <v>0</v>
      </c>
      <c r="U289" s="26">
        <v>0</v>
      </c>
      <c r="V289" s="23" t="str">
        <f t="shared" si="64"/>
        <v>KRKE</v>
      </c>
      <c r="W289" t="str">
        <f t="shared" si="67"/>
        <v>SGB COIN LONG</v>
      </c>
      <c r="X289" s="88" t="s">
        <v>264</v>
      </c>
    </row>
    <row r="290" spans="1:24" x14ac:dyDescent="0.25">
      <c r="A290">
        <v>331</v>
      </c>
      <c r="B290" s="71">
        <v>44938.917053900463</v>
      </c>
      <c r="C290" s="14" t="s">
        <v>167</v>
      </c>
      <c r="D290" s="23" t="s">
        <v>167</v>
      </c>
      <c r="E290" s="23" t="s">
        <v>95</v>
      </c>
      <c r="F290" s="23">
        <v>128214.5635</v>
      </c>
      <c r="G290" s="23">
        <v>128214.5635</v>
      </c>
      <c r="H290" s="23">
        <v>1</v>
      </c>
      <c r="I290" s="23">
        <v>0</v>
      </c>
      <c r="J290" s="23" t="s">
        <v>85</v>
      </c>
      <c r="K290" s="24">
        <v>44938.917053900463</v>
      </c>
      <c r="L290" s="23">
        <v>1</v>
      </c>
      <c r="M290" s="23" t="s">
        <v>95</v>
      </c>
      <c r="N290" s="25">
        <v>0</v>
      </c>
      <c r="O290" s="26" t="str">
        <f t="shared" si="63"/>
        <v>CASH</v>
      </c>
      <c r="P290" s="26" t="str">
        <f t="shared" si="65"/>
        <v>LONG</v>
      </c>
      <c r="Q290" s="26" t="str">
        <f t="shared" si="66"/>
        <v>CASH LONG</v>
      </c>
      <c r="R290" s="26">
        <v>0</v>
      </c>
      <c r="S290" s="26">
        <v>0</v>
      </c>
      <c r="T290" s="26">
        <v>0</v>
      </c>
      <c r="U290" s="26">
        <v>0</v>
      </c>
      <c r="V290" s="23" t="str">
        <f t="shared" si="64"/>
        <v>KRKE</v>
      </c>
      <c r="W290" t="str">
        <f t="shared" si="67"/>
        <v>USD CASH LONG</v>
      </c>
      <c r="X290" s="88" t="s">
        <v>264</v>
      </c>
    </row>
    <row r="291" spans="1:24" x14ac:dyDescent="0.25">
      <c r="A291">
        <v>332</v>
      </c>
      <c r="B291" s="71">
        <v>44938.91705679398</v>
      </c>
      <c r="C291" s="14" t="s">
        <v>167</v>
      </c>
      <c r="D291" s="23" t="s">
        <v>167</v>
      </c>
      <c r="E291" s="23" t="s">
        <v>38</v>
      </c>
      <c r="F291" s="23">
        <v>1.182861E-2</v>
      </c>
      <c r="G291" s="23">
        <v>1.18296988139044E-2</v>
      </c>
      <c r="H291" s="23">
        <v>1.00009204918451</v>
      </c>
      <c r="I291" s="23">
        <v>0</v>
      </c>
      <c r="J291" s="23" t="s">
        <v>85</v>
      </c>
      <c r="K291" s="24">
        <v>44938.91705679398</v>
      </c>
      <c r="L291" s="23">
        <v>1</v>
      </c>
      <c r="M291" s="23" t="s">
        <v>38</v>
      </c>
      <c r="N291" s="25">
        <v>0</v>
      </c>
      <c r="O291" s="26" t="str">
        <f t="shared" si="63"/>
        <v>COIN</v>
      </c>
      <c r="P291" s="26" t="str">
        <f t="shared" si="65"/>
        <v>LONG</v>
      </c>
      <c r="Q291" s="26" t="str">
        <f t="shared" si="66"/>
        <v>COIN LONG</v>
      </c>
      <c r="R291" s="26">
        <v>0</v>
      </c>
      <c r="S291" s="26">
        <v>0</v>
      </c>
      <c r="T291" s="26">
        <v>0</v>
      </c>
      <c r="U291" s="26">
        <v>0</v>
      </c>
      <c r="V291" s="23" t="str">
        <f t="shared" si="64"/>
        <v>KRKE</v>
      </c>
      <c r="W291" t="str">
        <f t="shared" si="67"/>
        <v>USDT COIN LONG</v>
      </c>
      <c r="X291" s="88" t="s">
        <v>264</v>
      </c>
    </row>
    <row r="292" spans="1:24" x14ac:dyDescent="0.25">
      <c r="A292">
        <v>333</v>
      </c>
      <c r="B292" s="71">
        <v>44938.917056979168</v>
      </c>
      <c r="C292" s="14" t="s">
        <v>167</v>
      </c>
      <c r="D292" s="23" t="s">
        <v>167</v>
      </c>
      <c r="E292" s="23" t="s">
        <v>163</v>
      </c>
      <c r="F292" s="23">
        <v>8.93329E-3</v>
      </c>
      <c r="G292" s="23">
        <v>7.2934759832153195E-4</v>
      </c>
      <c r="H292" s="23">
        <v>8.1643783905093401E-2</v>
      </c>
      <c r="I292" s="23">
        <v>0</v>
      </c>
      <c r="J292" s="23" t="s">
        <v>85</v>
      </c>
      <c r="K292" s="24">
        <v>44938.917056979168</v>
      </c>
      <c r="L292" s="23">
        <v>1</v>
      </c>
      <c r="M292" s="23" t="s">
        <v>163</v>
      </c>
      <c r="N292" s="25">
        <v>0</v>
      </c>
      <c r="O292" s="26" t="str">
        <f t="shared" si="63"/>
        <v>COIN</v>
      </c>
      <c r="P292" s="26" t="str">
        <f t="shared" si="65"/>
        <v>LONG</v>
      </c>
      <c r="Q292" s="26" t="str">
        <f t="shared" si="66"/>
        <v>COIN LONG</v>
      </c>
      <c r="R292" s="26">
        <v>0</v>
      </c>
      <c r="S292" s="26">
        <v>0</v>
      </c>
      <c r="T292" s="26">
        <v>0</v>
      </c>
      <c r="U292" s="26">
        <v>0</v>
      </c>
      <c r="V292" s="23" t="str">
        <f t="shared" si="64"/>
        <v>KRKE</v>
      </c>
      <c r="W292" t="str">
        <f t="shared" si="67"/>
        <v>XLM COIN LONG</v>
      </c>
      <c r="X292" s="88" t="s">
        <v>264</v>
      </c>
    </row>
    <row r="293" spans="1:24" x14ac:dyDescent="0.25">
      <c r="A293">
        <v>334</v>
      </c>
      <c r="B293" s="71">
        <v>44938.917055520833</v>
      </c>
      <c r="C293" s="14" t="s">
        <v>167</v>
      </c>
      <c r="D293" s="23" t="s">
        <v>167</v>
      </c>
      <c r="E293" s="23" t="s">
        <v>99</v>
      </c>
      <c r="F293" s="23">
        <v>0.71704489000000005</v>
      </c>
      <c r="G293" s="23">
        <v>0.26903319358715799</v>
      </c>
      <c r="H293" s="23">
        <v>0.37519714224190098</v>
      </c>
      <c r="I293" s="23">
        <v>0</v>
      </c>
      <c r="J293" s="23" t="s">
        <v>85</v>
      </c>
      <c r="K293" s="24">
        <v>44938.917055520833</v>
      </c>
      <c r="L293" s="23">
        <v>1</v>
      </c>
      <c r="M293" s="23" t="s">
        <v>99</v>
      </c>
      <c r="N293" s="25">
        <v>0</v>
      </c>
      <c r="O293" s="26" t="str">
        <f t="shared" si="63"/>
        <v>COIN</v>
      </c>
      <c r="P293" s="26" t="str">
        <f t="shared" si="65"/>
        <v>LONG</v>
      </c>
      <c r="Q293" s="26" t="str">
        <f t="shared" si="66"/>
        <v>COIN LONG</v>
      </c>
      <c r="R293" s="26">
        <v>0</v>
      </c>
      <c r="S293" s="26">
        <v>0</v>
      </c>
      <c r="T293" s="26">
        <v>0</v>
      </c>
      <c r="U293" s="26">
        <v>0</v>
      </c>
      <c r="V293" s="23" t="str">
        <f t="shared" si="64"/>
        <v>KRKE</v>
      </c>
      <c r="W293" t="str">
        <f t="shared" si="67"/>
        <v>XRP COIN LONG</v>
      </c>
      <c r="X293" s="88" t="s">
        <v>264</v>
      </c>
    </row>
    <row r="294" spans="1:24" x14ac:dyDescent="0.25">
      <c r="A294">
        <v>335</v>
      </c>
      <c r="B294" s="71">
        <v>44938</v>
      </c>
      <c r="C294" s="14" t="s">
        <v>170</v>
      </c>
      <c r="D294" s="23" t="s">
        <v>168</v>
      </c>
      <c r="E294" s="23" t="s">
        <v>116</v>
      </c>
      <c r="F294" s="23">
        <v>300</v>
      </c>
      <c r="G294" s="23">
        <v>20358.340959391298</v>
      </c>
      <c r="H294" s="23">
        <v>67.861136531304297</v>
      </c>
      <c r="I294" s="23">
        <v>0</v>
      </c>
      <c r="J294" s="23" t="s">
        <v>85</v>
      </c>
      <c r="K294" s="24">
        <v>44938</v>
      </c>
      <c r="L294" s="23">
        <v>1</v>
      </c>
      <c r="M294" s="23" t="s">
        <v>116</v>
      </c>
      <c r="N294" s="25">
        <v>0</v>
      </c>
      <c r="O294" s="26" t="str">
        <f t="shared" si="63"/>
        <v>COIN</v>
      </c>
      <c r="P294" s="26" t="str">
        <f t="shared" si="65"/>
        <v>LONG</v>
      </c>
      <c r="Q294" s="26" t="str">
        <f t="shared" si="66"/>
        <v>COIN LONG</v>
      </c>
      <c r="R294" s="26">
        <v>0</v>
      </c>
      <c r="S294" s="26">
        <v>0</v>
      </c>
      <c r="T294" s="26">
        <v>0</v>
      </c>
      <c r="U294" s="26">
        <v>0</v>
      </c>
      <c r="V294" s="23" t="str">
        <f t="shared" si="64"/>
        <v>LEND</v>
      </c>
      <c r="W294" t="str">
        <f t="shared" si="67"/>
        <v>AAVE COIN LONG</v>
      </c>
      <c r="X294" s="88" t="s">
        <v>264</v>
      </c>
    </row>
    <row r="295" spans="1:24" x14ac:dyDescent="0.25">
      <c r="A295">
        <v>336</v>
      </c>
      <c r="B295" s="71">
        <v>44938</v>
      </c>
      <c r="C295" s="14" t="s">
        <v>170</v>
      </c>
      <c r="D295" s="23" t="s">
        <v>168</v>
      </c>
      <c r="E295" s="23" t="s">
        <v>84</v>
      </c>
      <c r="F295" s="23">
        <v>150000</v>
      </c>
      <c r="G295" s="23">
        <v>49463.771211506297</v>
      </c>
      <c r="H295" s="23">
        <v>0.329758474743375</v>
      </c>
      <c r="I295" s="23">
        <v>0</v>
      </c>
      <c r="J295" s="23" t="s">
        <v>85</v>
      </c>
      <c r="K295" s="24">
        <v>44938</v>
      </c>
      <c r="L295" s="23">
        <v>1</v>
      </c>
      <c r="M295" s="23" t="s">
        <v>84</v>
      </c>
      <c r="N295" s="25">
        <v>0</v>
      </c>
      <c r="O295" s="26" t="str">
        <f t="shared" si="63"/>
        <v>COIN</v>
      </c>
      <c r="P295" s="26" t="str">
        <f t="shared" si="65"/>
        <v>LONG</v>
      </c>
      <c r="Q295" s="26" t="str">
        <f t="shared" si="66"/>
        <v>COIN LONG</v>
      </c>
      <c r="R295" s="26">
        <v>0</v>
      </c>
      <c r="S295" s="26">
        <v>0</v>
      </c>
      <c r="T295" s="26">
        <v>0</v>
      </c>
      <c r="U295" s="26">
        <v>0</v>
      </c>
      <c r="V295" s="23" t="str">
        <f t="shared" si="64"/>
        <v>LEND</v>
      </c>
      <c r="W295" t="str">
        <f t="shared" si="67"/>
        <v>ADA COIN LONG</v>
      </c>
      <c r="X295" s="88" t="s">
        <v>264</v>
      </c>
    </row>
    <row r="296" spans="1:24" x14ac:dyDescent="0.25">
      <c r="A296">
        <v>337</v>
      </c>
      <c r="B296" s="71">
        <v>44938</v>
      </c>
      <c r="C296" s="14" t="s">
        <v>170</v>
      </c>
      <c r="D296" s="23" t="s">
        <v>168</v>
      </c>
      <c r="E296" s="23" t="s">
        <v>122</v>
      </c>
      <c r="F296" s="23">
        <v>35000</v>
      </c>
      <c r="G296" s="23">
        <v>7438.4272051851603</v>
      </c>
      <c r="H296" s="23">
        <v>0.21252649157671899</v>
      </c>
      <c r="I296" s="23">
        <v>0</v>
      </c>
      <c r="J296" s="23" t="s">
        <v>85</v>
      </c>
      <c r="K296" s="24">
        <v>44938</v>
      </c>
      <c r="L296" s="23">
        <v>1</v>
      </c>
      <c r="M296" s="23" t="s">
        <v>122</v>
      </c>
      <c r="N296" s="25">
        <v>0</v>
      </c>
      <c r="O296" s="26" t="str">
        <f t="shared" si="63"/>
        <v>COIN</v>
      </c>
      <c r="P296" s="26" t="str">
        <f t="shared" si="65"/>
        <v>LONG</v>
      </c>
      <c r="Q296" s="26" t="str">
        <f t="shared" si="66"/>
        <v>COIN LONG</v>
      </c>
      <c r="R296" s="26">
        <v>0</v>
      </c>
      <c r="S296" s="26">
        <v>0</v>
      </c>
      <c r="T296" s="26">
        <v>0</v>
      </c>
      <c r="U296" s="26">
        <v>0</v>
      </c>
      <c r="V296" s="23" t="str">
        <f t="shared" si="64"/>
        <v>LEND</v>
      </c>
      <c r="W296" t="str">
        <f t="shared" si="67"/>
        <v>ALGO COIN LONG</v>
      </c>
      <c r="X296" s="88" t="s">
        <v>264</v>
      </c>
    </row>
    <row r="297" spans="1:24" x14ac:dyDescent="0.25">
      <c r="A297">
        <v>338</v>
      </c>
      <c r="B297" s="71">
        <v>44938</v>
      </c>
      <c r="C297" s="14" t="s">
        <v>170</v>
      </c>
      <c r="D297" s="23" t="s">
        <v>168</v>
      </c>
      <c r="E297" s="23" t="s">
        <v>187</v>
      </c>
      <c r="F297" s="23">
        <v>3000</v>
      </c>
      <c r="G297" s="23">
        <v>46372.050779343299</v>
      </c>
      <c r="H297" s="23">
        <v>15.4573502597811</v>
      </c>
      <c r="I297" s="23">
        <v>0</v>
      </c>
      <c r="J297" s="23" t="s">
        <v>85</v>
      </c>
      <c r="K297" s="24">
        <v>44938</v>
      </c>
      <c r="L297" s="23">
        <v>1</v>
      </c>
      <c r="M297" s="23" t="s">
        <v>187</v>
      </c>
      <c r="N297" s="25">
        <v>0</v>
      </c>
      <c r="O297" s="26" t="str">
        <f t="shared" si="63"/>
        <v>COIN</v>
      </c>
      <c r="P297" s="26" t="str">
        <f t="shared" si="65"/>
        <v>LONG</v>
      </c>
      <c r="Q297" s="26" t="str">
        <f t="shared" si="66"/>
        <v>COIN LONG</v>
      </c>
      <c r="R297" s="26">
        <v>0</v>
      </c>
      <c r="S297" s="26">
        <v>0</v>
      </c>
      <c r="T297" s="26">
        <v>0</v>
      </c>
      <c r="U297" s="26">
        <v>0</v>
      </c>
      <c r="V297" s="23" t="str">
        <f t="shared" si="64"/>
        <v>LEND</v>
      </c>
      <c r="W297" t="str">
        <f t="shared" si="67"/>
        <v>AVAX COIN LONG</v>
      </c>
      <c r="X297" s="88" t="s">
        <v>264</v>
      </c>
    </row>
    <row r="298" spans="1:24" x14ac:dyDescent="0.25">
      <c r="A298">
        <v>339</v>
      </c>
      <c r="B298" s="71">
        <v>44938</v>
      </c>
      <c r="C298" s="14" t="s">
        <v>170</v>
      </c>
      <c r="D298" s="23" t="s">
        <v>168</v>
      </c>
      <c r="E298" s="23" t="s">
        <v>124</v>
      </c>
      <c r="F298" s="23">
        <v>100000</v>
      </c>
      <c r="G298" s="23">
        <v>20477.401519184201</v>
      </c>
      <c r="H298" s="23">
        <v>0.20477401519184199</v>
      </c>
      <c r="I298" s="23">
        <v>0</v>
      </c>
      <c r="J298" s="23" t="s">
        <v>85</v>
      </c>
      <c r="K298" s="24">
        <v>44938</v>
      </c>
      <c r="L298" s="23">
        <v>1</v>
      </c>
      <c r="M298" s="23" t="s">
        <v>124</v>
      </c>
      <c r="N298" s="25">
        <v>0</v>
      </c>
      <c r="O298" s="26" t="str">
        <f t="shared" si="63"/>
        <v>COIN</v>
      </c>
      <c r="P298" s="26" t="str">
        <f t="shared" si="65"/>
        <v>LONG</v>
      </c>
      <c r="Q298" s="26" t="str">
        <f t="shared" si="66"/>
        <v>COIN LONG</v>
      </c>
      <c r="R298" s="26">
        <v>0</v>
      </c>
      <c r="S298" s="26">
        <v>0</v>
      </c>
      <c r="T298" s="26">
        <v>0</v>
      </c>
      <c r="U298" s="26">
        <v>0</v>
      </c>
      <c r="V298" s="23" t="str">
        <f t="shared" si="64"/>
        <v>LEND</v>
      </c>
      <c r="W298" t="str">
        <f t="shared" si="67"/>
        <v>BAT COIN LONG</v>
      </c>
      <c r="X298" s="88" t="s">
        <v>264</v>
      </c>
    </row>
    <row r="299" spans="1:24" x14ac:dyDescent="0.25">
      <c r="A299">
        <v>340</v>
      </c>
      <c r="B299" s="71">
        <v>44938</v>
      </c>
      <c r="C299" s="14" t="s">
        <v>170</v>
      </c>
      <c r="D299" s="23" t="s">
        <v>168</v>
      </c>
      <c r="E299" s="23" t="s">
        <v>20</v>
      </c>
      <c r="F299" s="23">
        <v>5627</v>
      </c>
      <c r="G299" s="23">
        <v>673610.792955218</v>
      </c>
      <c r="H299" s="23">
        <v>119.710466137412</v>
      </c>
      <c r="I299" s="23">
        <v>0</v>
      </c>
      <c r="J299" s="23" t="s">
        <v>85</v>
      </c>
      <c r="K299" s="24">
        <v>44938</v>
      </c>
      <c r="L299" s="23">
        <v>1</v>
      </c>
      <c r="M299" s="23" t="s">
        <v>20</v>
      </c>
      <c r="N299" s="25">
        <v>0</v>
      </c>
      <c r="O299" s="26" t="str">
        <f t="shared" si="63"/>
        <v>COIN</v>
      </c>
      <c r="P299" s="26" t="str">
        <f t="shared" si="65"/>
        <v>LONG</v>
      </c>
      <c r="Q299" s="26" t="str">
        <f t="shared" si="66"/>
        <v>COIN LONG</v>
      </c>
      <c r="R299" s="26">
        <v>0</v>
      </c>
      <c r="S299" s="26">
        <v>0</v>
      </c>
      <c r="T299" s="26">
        <v>0</v>
      </c>
      <c r="U299" s="26">
        <v>0</v>
      </c>
      <c r="V299" s="23" t="str">
        <f t="shared" si="64"/>
        <v>LEND</v>
      </c>
      <c r="W299" t="str">
        <f t="shared" si="67"/>
        <v>BCH COIN LONG</v>
      </c>
      <c r="X299" s="88" t="s">
        <v>264</v>
      </c>
    </row>
    <row r="300" spans="1:24" x14ac:dyDescent="0.25">
      <c r="A300">
        <v>341</v>
      </c>
      <c r="B300" s="71">
        <v>44938</v>
      </c>
      <c r="C300" s="14" t="s">
        <v>170</v>
      </c>
      <c r="D300" s="23" t="s">
        <v>168</v>
      </c>
      <c r="E300" s="23" t="s">
        <v>132</v>
      </c>
      <c r="F300" s="23">
        <v>100</v>
      </c>
      <c r="G300" s="23">
        <v>4935.6487119112799</v>
      </c>
      <c r="H300" s="23">
        <v>49.356487119112799</v>
      </c>
      <c r="I300" s="23">
        <v>0</v>
      </c>
      <c r="J300" s="23" t="s">
        <v>85</v>
      </c>
      <c r="K300" s="24">
        <v>44938</v>
      </c>
      <c r="L300" s="23">
        <v>1</v>
      </c>
      <c r="M300" s="23" t="s">
        <v>132</v>
      </c>
      <c r="N300" s="25">
        <v>0</v>
      </c>
      <c r="O300" s="26" t="str">
        <f t="shared" si="63"/>
        <v>COIN</v>
      </c>
      <c r="P300" s="26" t="str">
        <f t="shared" si="65"/>
        <v>LONG</v>
      </c>
      <c r="Q300" s="26" t="str">
        <f t="shared" si="66"/>
        <v>COIN LONG</v>
      </c>
      <c r="R300" s="26">
        <v>0</v>
      </c>
      <c r="S300" s="26">
        <v>0</v>
      </c>
      <c r="T300" s="26">
        <v>0</v>
      </c>
      <c r="U300" s="26">
        <v>0</v>
      </c>
      <c r="V300" s="23" t="str">
        <f t="shared" si="64"/>
        <v>LEND</v>
      </c>
      <c r="W300" t="str">
        <f t="shared" si="67"/>
        <v>DASH COIN LONG</v>
      </c>
      <c r="X300" s="88" t="s">
        <v>264</v>
      </c>
    </row>
    <row r="301" spans="1:24" x14ac:dyDescent="0.25">
      <c r="A301">
        <v>342</v>
      </c>
      <c r="B301" s="71">
        <v>44938</v>
      </c>
      <c r="C301" s="14" t="s">
        <v>170</v>
      </c>
      <c r="D301" s="23" t="s">
        <v>168</v>
      </c>
      <c r="E301" s="23" t="s">
        <v>190</v>
      </c>
      <c r="F301" s="23">
        <v>600000</v>
      </c>
      <c r="G301" s="23">
        <v>48171.441601568797</v>
      </c>
      <c r="H301" s="23">
        <v>8.0285736002614697E-2</v>
      </c>
      <c r="I301" s="23">
        <v>0</v>
      </c>
      <c r="J301" s="23" t="s">
        <v>85</v>
      </c>
      <c r="K301" s="24">
        <v>44938</v>
      </c>
      <c r="L301" s="23">
        <v>1</v>
      </c>
      <c r="M301" s="23" t="s">
        <v>190</v>
      </c>
      <c r="N301" s="25">
        <v>0</v>
      </c>
      <c r="O301" s="26" t="str">
        <f t="shared" si="63"/>
        <v>COIN</v>
      </c>
      <c r="P301" s="26" t="str">
        <f t="shared" si="65"/>
        <v>LONG</v>
      </c>
      <c r="Q301" s="26" t="str">
        <f t="shared" si="66"/>
        <v>COIN LONG</v>
      </c>
      <c r="R301" s="26">
        <v>0</v>
      </c>
      <c r="S301" s="26">
        <v>0</v>
      </c>
      <c r="T301" s="26">
        <v>0</v>
      </c>
      <c r="U301" s="26">
        <v>0</v>
      </c>
      <c r="V301" s="23" t="str">
        <f t="shared" si="64"/>
        <v>LEND</v>
      </c>
      <c r="W301" t="str">
        <f t="shared" si="67"/>
        <v>DOGE COIN LONG</v>
      </c>
      <c r="X301" s="88" t="s">
        <v>264</v>
      </c>
    </row>
    <row r="302" spans="1:24" x14ac:dyDescent="0.25">
      <c r="A302">
        <v>343</v>
      </c>
      <c r="B302" s="71">
        <v>44938</v>
      </c>
      <c r="C302" s="14" t="s">
        <v>170</v>
      </c>
      <c r="D302" s="23" t="s">
        <v>168</v>
      </c>
      <c r="E302" s="23" t="s">
        <v>22</v>
      </c>
      <c r="F302" s="23">
        <v>5000</v>
      </c>
      <c r="G302" s="23">
        <v>26147.389695369999</v>
      </c>
      <c r="H302" s="23">
        <v>5.2294779390740098</v>
      </c>
      <c r="I302" s="23">
        <v>0</v>
      </c>
      <c r="J302" s="23" t="s">
        <v>85</v>
      </c>
      <c r="K302" s="24">
        <v>44938</v>
      </c>
      <c r="L302" s="23">
        <v>1</v>
      </c>
      <c r="M302" s="23" t="s">
        <v>22</v>
      </c>
      <c r="N302" s="25">
        <v>0</v>
      </c>
      <c r="O302" s="26" t="str">
        <f t="shared" si="63"/>
        <v>COIN</v>
      </c>
      <c r="P302" s="26" t="str">
        <f t="shared" si="65"/>
        <v>LONG</v>
      </c>
      <c r="Q302" s="26" t="str">
        <f t="shared" si="66"/>
        <v>COIN LONG</v>
      </c>
      <c r="R302" s="26">
        <v>0</v>
      </c>
      <c r="S302" s="26">
        <v>0</v>
      </c>
      <c r="T302" s="26">
        <v>0</v>
      </c>
      <c r="U302" s="26">
        <v>0</v>
      </c>
      <c r="V302" s="23" t="str">
        <f t="shared" si="64"/>
        <v>LEND</v>
      </c>
      <c r="W302" t="str">
        <f t="shared" si="67"/>
        <v>DOT COIN LONG</v>
      </c>
      <c r="X302" s="88" t="s">
        <v>264</v>
      </c>
    </row>
    <row r="303" spans="1:24" x14ac:dyDescent="0.25">
      <c r="A303">
        <v>344</v>
      </c>
      <c r="B303" s="71">
        <v>44938</v>
      </c>
      <c r="C303" s="14" t="s">
        <v>170</v>
      </c>
      <c r="D303" s="23" t="s">
        <v>168</v>
      </c>
      <c r="E303" s="23" t="s">
        <v>28</v>
      </c>
      <c r="F303" s="23">
        <v>15000</v>
      </c>
      <c r="G303" s="23">
        <v>4561.4429835563797</v>
      </c>
      <c r="H303" s="23">
        <v>0.304096198903759</v>
      </c>
      <c r="I303" s="23">
        <v>0</v>
      </c>
      <c r="J303" s="23" t="s">
        <v>85</v>
      </c>
      <c r="K303" s="24">
        <v>44938</v>
      </c>
      <c r="L303" s="23">
        <v>1</v>
      </c>
      <c r="M303" s="23" t="s">
        <v>28</v>
      </c>
      <c r="N303" s="25">
        <v>0</v>
      </c>
      <c r="O303" s="26" t="str">
        <f t="shared" si="63"/>
        <v>COIN</v>
      </c>
      <c r="P303" s="26" t="str">
        <f t="shared" si="65"/>
        <v>LONG</v>
      </c>
      <c r="Q303" s="26" t="str">
        <f t="shared" si="66"/>
        <v>COIN LONG</v>
      </c>
      <c r="R303" s="26">
        <v>0</v>
      </c>
      <c r="S303" s="26">
        <v>0</v>
      </c>
      <c r="T303" s="26">
        <v>0</v>
      </c>
      <c r="U303" s="26">
        <v>0</v>
      </c>
      <c r="V303" s="23" t="str">
        <f t="shared" si="64"/>
        <v>LEND</v>
      </c>
      <c r="W303" t="str">
        <f t="shared" si="67"/>
        <v>ENJ COIN LONG</v>
      </c>
      <c r="X303" s="88" t="s">
        <v>264</v>
      </c>
    </row>
    <row r="304" spans="1:24" x14ac:dyDescent="0.25">
      <c r="A304">
        <v>345</v>
      </c>
      <c r="B304" s="71">
        <v>44938</v>
      </c>
      <c r="C304" s="14" t="s">
        <v>170</v>
      </c>
      <c r="D304" s="23" t="s">
        <v>168</v>
      </c>
      <c r="E304" s="23" t="s">
        <v>23</v>
      </c>
      <c r="F304" s="23">
        <v>30000</v>
      </c>
      <c r="G304" s="23">
        <v>29707.2743042082</v>
      </c>
      <c r="H304" s="23">
        <v>0.990242476806942</v>
      </c>
      <c r="I304" s="23">
        <v>0</v>
      </c>
      <c r="J304" s="23" t="s">
        <v>85</v>
      </c>
      <c r="K304" s="24">
        <v>44938</v>
      </c>
      <c r="L304" s="23">
        <v>1</v>
      </c>
      <c r="M304" s="23" t="s">
        <v>23</v>
      </c>
      <c r="N304" s="25">
        <v>0</v>
      </c>
      <c r="O304" s="26" t="str">
        <f t="shared" si="63"/>
        <v>COIN</v>
      </c>
      <c r="P304" s="26" t="str">
        <f t="shared" si="65"/>
        <v>LONG</v>
      </c>
      <c r="Q304" s="26" t="str">
        <f t="shared" si="66"/>
        <v>COIN LONG</v>
      </c>
      <c r="R304" s="26">
        <v>0</v>
      </c>
      <c r="S304" s="26">
        <v>0</v>
      </c>
      <c r="T304" s="26">
        <v>0</v>
      </c>
      <c r="U304" s="26">
        <v>0</v>
      </c>
      <c r="V304" s="23" t="str">
        <f t="shared" si="64"/>
        <v>LEND</v>
      </c>
      <c r="W304" t="str">
        <f t="shared" si="67"/>
        <v>EOS COIN LONG</v>
      </c>
      <c r="X304" s="88" t="s">
        <v>264</v>
      </c>
    </row>
    <row r="305" spans="1:24" x14ac:dyDescent="0.25">
      <c r="A305">
        <v>346</v>
      </c>
      <c r="B305" s="71">
        <v>44938</v>
      </c>
      <c r="C305" s="14" t="s">
        <v>170</v>
      </c>
      <c r="D305" s="23" t="s">
        <v>168</v>
      </c>
      <c r="E305" s="23" t="s">
        <v>29</v>
      </c>
      <c r="F305" s="23">
        <v>98000</v>
      </c>
      <c r="G305" s="23">
        <v>2049940.3053389101</v>
      </c>
      <c r="H305" s="23">
        <v>20.917758217744002</v>
      </c>
      <c r="I305" s="23">
        <v>0</v>
      </c>
      <c r="J305" s="23" t="s">
        <v>85</v>
      </c>
      <c r="K305" s="24">
        <v>44938</v>
      </c>
      <c r="L305" s="23">
        <v>1</v>
      </c>
      <c r="M305" s="23" t="s">
        <v>29</v>
      </c>
      <c r="N305" s="25">
        <v>0</v>
      </c>
      <c r="O305" s="26" t="str">
        <f t="shared" si="63"/>
        <v>COIN</v>
      </c>
      <c r="P305" s="26" t="str">
        <f t="shared" si="65"/>
        <v>LONG</v>
      </c>
      <c r="Q305" s="26" t="str">
        <f t="shared" si="66"/>
        <v>COIN LONG</v>
      </c>
      <c r="R305" s="26">
        <v>0</v>
      </c>
      <c r="S305" s="26">
        <v>0</v>
      </c>
      <c r="T305" s="26">
        <v>0</v>
      </c>
      <c r="U305" s="26">
        <v>0</v>
      </c>
      <c r="V305" s="23" t="str">
        <f t="shared" si="64"/>
        <v>LEND</v>
      </c>
      <c r="W305" t="str">
        <f t="shared" si="67"/>
        <v>ETC COIN LONG</v>
      </c>
      <c r="X305" s="88" t="s">
        <v>264</v>
      </c>
    </row>
    <row r="306" spans="1:24" x14ac:dyDescent="0.25">
      <c r="A306">
        <v>347</v>
      </c>
      <c r="B306" s="71">
        <v>44938</v>
      </c>
      <c r="C306" s="14" t="s">
        <v>170</v>
      </c>
      <c r="D306" s="23" t="s">
        <v>168</v>
      </c>
      <c r="E306" s="23" t="s">
        <v>191</v>
      </c>
      <c r="F306" s="23">
        <v>30000</v>
      </c>
      <c r="G306" s="23">
        <v>8203.4051788677698</v>
      </c>
      <c r="H306" s="23">
        <v>0.27344683929559199</v>
      </c>
      <c r="I306" s="23">
        <v>0</v>
      </c>
      <c r="J306" s="23" t="s">
        <v>85</v>
      </c>
      <c r="K306" s="24">
        <v>44938</v>
      </c>
      <c r="L306" s="23">
        <v>1</v>
      </c>
      <c r="M306" s="23" t="s">
        <v>191</v>
      </c>
      <c r="N306" s="25">
        <v>0</v>
      </c>
      <c r="O306" s="26" t="str">
        <f t="shared" si="63"/>
        <v>COIN</v>
      </c>
      <c r="P306" s="26" t="str">
        <f t="shared" si="65"/>
        <v>LONG</v>
      </c>
      <c r="Q306" s="26" t="str">
        <f t="shared" si="66"/>
        <v>COIN LONG</v>
      </c>
      <c r="R306" s="26">
        <v>0</v>
      </c>
      <c r="S306" s="26">
        <v>0</v>
      </c>
      <c r="T306" s="26">
        <v>0</v>
      </c>
      <c r="U306" s="26">
        <v>0</v>
      </c>
      <c r="V306" s="23" t="str">
        <f t="shared" si="64"/>
        <v>LEND</v>
      </c>
      <c r="W306" t="str">
        <f t="shared" si="67"/>
        <v>FTM COIN LONG</v>
      </c>
      <c r="X306" s="88" t="s">
        <v>264</v>
      </c>
    </row>
    <row r="307" spans="1:24" x14ac:dyDescent="0.25">
      <c r="A307">
        <v>348</v>
      </c>
      <c r="B307" s="71">
        <v>44938</v>
      </c>
      <c r="C307" s="14" t="s">
        <v>170</v>
      </c>
      <c r="D307" s="23" t="s">
        <v>168</v>
      </c>
      <c r="E307" s="23" t="s">
        <v>415</v>
      </c>
      <c r="F307" s="23">
        <v>50000</v>
      </c>
      <c r="G307" s="23">
        <v>3675.0979151612801</v>
      </c>
      <c r="H307" s="23">
        <v>7.3501958303225604E-2</v>
      </c>
      <c r="I307" s="23">
        <v>0</v>
      </c>
      <c r="J307" s="23" t="s">
        <v>85</v>
      </c>
      <c r="K307" s="24">
        <v>44938</v>
      </c>
      <c r="L307" s="23">
        <v>1</v>
      </c>
      <c r="M307" s="23" t="s">
        <v>415</v>
      </c>
      <c r="N307" s="25">
        <v>0</v>
      </c>
      <c r="O307" s="26" t="str">
        <f t="shared" si="63"/>
        <v>COIN</v>
      </c>
      <c r="P307" s="26" t="str">
        <f t="shared" si="65"/>
        <v>LONG</v>
      </c>
      <c r="Q307" s="26" t="str">
        <f t="shared" si="66"/>
        <v>COIN LONG</v>
      </c>
      <c r="R307" s="26">
        <v>0</v>
      </c>
      <c r="S307" s="26">
        <v>0</v>
      </c>
      <c r="T307" s="26">
        <v>0</v>
      </c>
      <c r="U307" s="26">
        <v>0</v>
      </c>
      <c r="V307" s="23" t="str">
        <f t="shared" si="64"/>
        <v>LEND</v>
      </c>
      <c r="W307" t="str">
        <f t="shared" si="67"/>
        <v>GRT COIN LONG</v>
      </c>
      <c r="X307" s="88" t="s">
        <v>264</v>
      </c>
    </row>
    <row r="308" spans="1:24" x14ac:dyDescent="0.25">
      <c r="A308">
        <v>349</v>
      </c>
      <c r="B308" s="71">
        <v>44938</v>
      </c>
      <c r="C308" s="14" t="s">
        <v>170</v>
      </c>
      <c r="D308" s="23" t="s">
        <v>168</v>
      </c>
      <c r="E308" s="23" t="s">
        <v>135</v>
      </c>
      <c r="F308" s="23">
        <v>125000</v>
      </c>
      <c r="G308" s="23">
        <v>5955.95459558743</v>
      </c>
      <c r="H308" s="23">
        <v>4.7647636764699498E-2</v>
      </c>
      <c r="I308" s="23">
        <v>0</v>
      </c>
      <c r="J308" s="23" t="s">
        <v>85</v>
      </c>
      <c r="K308" s="24">
        <v>44938</v>
      </c>
      <c r="L308" s="23">
        <v>1</v>
      </c>
      <c r="M308" s="23" t="s">
        <v>135</v>
      </c>
      <c r="N308" s="25">
        <v>0</v>
      </c>
      <c r="O308" s="26" t="str">
        <f t="shared" si="63"/>
        <v>COIN</v>
      </c>
      <c r="P308" s="26" t="str">
        <f t="shared" si="65"/>
        <v>LONG</v>
      </c>
      <c r="Q308" s="26" t="str">
        <f t="shared" si="66"/>
        <v>COIN LONG</v>
      </c>
      <c r="R308" s="26">
        <v>0</v>
      </c>
      <c r="S308" s="26">
        <v>0</v>
      </c>
      <c r="T308" s="26">
        <v>0</v>
      </c>
      <c r="U308" s="26">
        <v>0</v>
      </c>
      <c r="V308" s="23" t="str">
        <f t="shared" si="64"/>
        <v>LEND</v>
      </c>
      <c r="W308" t="str">
        <f t="shared" si="67"/>
        <v>HBAR COIN LONG</v>
      </c>
      <c r="X308" s="88" t="s">
        <v>264</v>
      </c>
    </row>
    <row r="309" spans="1:24" x14ac:dyDescent="0.25">
      <c r="A309">
        <v>350</v>
      </c>
      <c r="B309" s="71">
        <v>44938</v>
      </c>
      <c r="C309" s="14" t="s">
        <v>170</v>
      </c>
      <c r="D309" s="23" t="s">
        <v>168</v>
      </c>
      <c r="E309" s="23" t="s">
        <v>27</v>
      </c>
      <c r="F309" s="23">
        <v>7000</v>
      </c>
      <c r="G309" s="23">
        <v>44669.3208670651</v>
      </c>
      <c r="H309" s="23">
        <v>6.38133155243787</v>
      </c>
      <c r="I309" s="23">
        <v>0</v>
      </c>
      <c r="J309" s="23" t="s">
        <v>85</v>
      </c>
      <c r="K309" s="24">
        <v>44938</v>
      </c>
      <c r="L309" s="23">
        <v>1</v>
      </c>
      <c r="M309" s="23" t="s">
        <v>27</v>
      </c>
      <c r="N309" s="25">
        <v>0</v>
      </c>
      <c r="O309" s="26" t="str">
        <f t="shared" si="63"/>
        <v>COIN</v>
      </c>
      <c r="P309" s="26" t="str">
        <f t="shared" si="65"/>
        <v>LONG</v>
      </c>
      <c r="Q309" s="26" t="str">
        <f t="shared" si="66"/>
        <v>COIN LONG</v>
      </c>
      <c r="R309" s="26">
        <v>0</v>
      </c>
      <c r="S309" s="26">
        <v>0</v>
      </c>
      <c r="T309" s="26">
        <v>0</v>
      </c>
      <c r="U309" s="26">
        <v>0</v>
      </c>
      <c r="V309" s="23" t="str">
        <f t="shared" si="64"/>
        <v>LEND</v>
      </c>
      <c r="W309" t="str">
        <f t="shared" si="67"/>
        <v>LINK COIN LONG</v>
      </c>
      <c r="X309" s="88" t="s">
        <v>264</v>
      </c>
    </row>
    <row r="310" spans="1:24" x14ac:dyDescent="0.25">
      <c r="A310">
        <v>351</v>
      </c>
      <c r="B310" s="71">
        <v>44938</v>
      </c>
      <c r="C310" s="14" t="s">
        <v>170</v>
      </c>
      <c r="D310" s="23" t="s">
        <v>168</v>
      </c>
      <c r="E310" s="23" t="s">
        <v>24</v>
      </c>
      <c r="F310" s="23">
        <v>500</v>
      </c>
      <c r="G310" s="23">
        <v>42982.114725378</v>
      </c>
      <c r="H310" s="23">
        <v>85.964229450756093</v>
      </c>
      <c r="I310" s="23">
        <v>0</v>
      </c>
      <c r="J310" s="23" t="s">
        <v>85</v>
      </c>
      <c r="K310" s="24">
        <v>44938</v>
      </c>
      <c r="L310" s="23">
        <v>1</v>
      </c>
      <c r="M310" s="23" t="s">
        <v>24</v>
      </c>
      <c r="N310" s="25">
        <v>0</v>
      </c>
      <c r="O310" s="26" t="str">
        <f t="shared" si="63"/>
        <v>COIN</v>
      </c>
      <c r="P310" s="26" t="str">
        <f t="shared" si="65"/>
        <v>LONG</v>
      </c>
      <c r="Q310" s="26" t="str">
        <f t="shared" si="66"/>
        <v>COIN LONG</v>
      </c>
      <c r="R310" s="26">
        <v>0</v>
      </c>
      <c r="S310" s="26">
        <v>0</v>
      </c>
      <c r="T310" s="26">
        <v>0</v>
      </c>
      <c r="U310" s="26">
        <v>0</v>
      </c>
      <c r="V310" s="23" t="str">
        <f t="shared" si="64"/>
        <v>LEND</v>
      </c>
      <c r="W310" t="str">
        <f t="shared" si="67"/>
        <v>LTC COIN LONG</v>
      </c>
      <c r="X310" s="88" t="s">
        <v>264</v>
      </c>
    </row>
    <row r="311" spans="1:24" x14ac:dyDescent="0.25">
      <c r="A311">
        <v>352</v>
      </c>
      <c r="B311" s="71">
        <v>44938</v>
      </c>
      <c r="C311" s="14" t="s">
        <v>170</v>
      </c>
      <c r="D311" s="23" t="s">
        <v>168</v>
      </c>
      <c r="E311" s="23" t="s">
        <v>192</v>
      </c>
      <c r="F311" s="23">
        <v>45000</v>
      </c>
      <c r="G311" s="23">
        <v>18560.356587142</v>
      </c>
      <c r="H311" s="23">
        <v>0.41245236860315698</v>
      </c>
      <c r="I311" s="23">
        <v>0</v>
      </c>
      <c r="J311" s="23" t="s">
        <v>85</v>
      </c>
      <c r="K311" s="24">
        <v>44938</v>
      </c>
      <c r="L311" s="23">
        <v>1</v>
      </c>
      <c r="M311" s="23" t="s">
        <v>192</v>
      </c>
      <c r="N311" s="25">
        <v>0</v>
      </c>
      <c r="O311" s="26" t="str">
        <f t="shared" si="63"/>
        <v>COIN</v>
      </c>
      <c r="P311" s="26" t="str">
        <f t="shared" si="65"/>
        <v>LONG</v>
      </c>
      <c r="Q311" s="26" t="str">
        <f t="shared" si="66"/>
        <v>COIN LONG</v>
      </c>
      <c r="R311" s="26">
        <v>0</v>
      </c>
      <c r="S311" s="26">
        <v>0</v>
      </c>
      <c r="T311" s="26">
        <v>0</v>
      </c>
      <c r="U311" s="26">
        <v>0</v>
      </c>
      <c r="V311" s="23" t="str">
        <f t="shared" si="64"/>
        <v>LEND</v>
      </c>
      <c r="W311" t="str">
        <f t="shared" si="67"/>
        <v>MANA COIN LONG</v>
      </c>
      <c r="X311" s="88" t="s">
        <v>264</v>
      </c>
    </row>
    <row r="312" spans="1:24" x14ac:dyDescent="0.25">
      <c r="A312">
        <v>353</v>
      </c>
      <c r="B312" s="71">
        <v>44938</v>
      </c>
      <c r="C312" s="14" t="s">
        <v>170</v>
      </c>
      <c r="D312" s="23" t="s">
        <v>168</v>
      </c>
      <c r="E312" s="23" t="s">
        <v>193</v>
      </c>
      <c r="F312" s="23">
        <v>50000</v>
      </c>
      <c r="G312" s="23">
        <v>45814.455718261699</v>
      </c>
      <c r="H312" s="23">
        <v>0.91628911436523497</v>
      </c>
      <c r="I312" s="23">
        <v>0</v>
      </c>
      <c r="J312" s="23" t="s">
        <v>85</v>
      </c>
      <c r="K312" s="24">
        <v>44938</v>
      </c>
      <c r="L312" s="23">
        <v>1</v>
      </c>
      <c r="M312" s="23" t="s">
        <v>193</v>
      </c>
      <c r="N312" s="25">
        <v>0</v>
      </c>
      <c r="O312" s="26" t="str">
        <f t="shared" si="63"/>
        <v>COIN</v>
      </c>
      <c r="P312" s="26" t="str">
        <f t="shared" si="65"/>
        <v>LONG</v>
      </c>
      <c r="Q312" s="26" t="str">
        <f t="shared" si="66"/>
        <v>COIN LONG</v>
      </c>
      <c r="R312" s="26">
        <v>0</v>
      </c>
      <c r="S312" s="26">
        <v>0</v>
      </c>
      <c r="T312" s="26">
        <v>0</v>
      </c>
      <c r="U312" s="26">
        <v>0</v>
      </c>
      <c r="V312" s="23" t="str">
        <f t="shared" si="64"/>
        <v>LEND</v>
      </c>
      <c r="W312" t="str">
        <f t="shared" si="67"/>
        <v>MATIC COIN LONG</v>
      </c>
      <c r="X312" s="88" t="s">
        <v>264</v>
      </c>
    </row>
    <row r="313" spans="1:24" x14ac:dyDescent="0.25">
      <c r="A313">
        <v>354</v>
      </c>
      <c r="B313" s="71">
        <v>44938</v>
      </c>
      <c r="C313" s="14" t="s">
        <v>170</v>
      </c>
      <c r="D313" s="23" t="s">
        <v>168</v>
      </c>
      <c r="E313" s="23" t="s">
        <v>89</v>
      </c>
      <c r="F313" s="23">
        <v>80000</v>
      </c>
      <c r="G313" s="23">
        <v>5865.54655298123</v>
      </c>
      <c r="H313" s="23">
        <v>7.3319331912265404E-2</v>
      </c>
      <c r="I313" s="23">
        <v>0</v>
      </c>
      <c r="J313" s="23" t="s">
        <v>85</v>
      </c>
      <c r="K313" s="24">
        <v>44938</v>
      </c>
      <c r="L313" s="23">
        <v>1</v>
      </c>
      <c r="M313" s="23" t="s">
        <v>89</v>
      </c>
      <c r="N313" s="25">
        <v>0</v>
      </c>
      <c r="O313" s="26" t="str">
        <f t="shared" si="63"/>
        <v>COIN</v>
      </c>
      <c r="P313" s="26" t="str">
        <f t="shared" si="65"/>
        <v>LONG</v>
      </c>
      <c r="Q313" s="26" t="str">
        <f t="shared" si="66"/>
        <v>COIN LONG</v>
      </c>
      <c r="R313" s="26">
        <v>0</v>
      </c>
      <c r="S313" s="26">
        <v>0</v>
      </c>
      <c r="T313" s="26">
        <v>0</v>
      </c>
      <c r="U313" s="26">
        <v>0</v>
      </c>
      <c r="V313" s="23" t="str">
        <f t="shared" si="64"/>
        <v>LEND</v>
      </c>
      <c r="W313" t="str">
        <f t="shared" si="67"/>
        <v>OXT COIN LONG</v>
      </c>
      <c r="X313" s="88" t="s">
        <v>264</v>
      </c>
    </row>
    <row r="314" spans="1:24" x14ac:dyDescent="0.25">
      <c r="A314">
        <v>355</v>
      </c>
      <c r="B314" s="71">
        <v>44938</v>
      </c>
      <c r="C314" s="14" t="s">
        <v>170</v>
      </c>
      <c r="D314" s="23" t="s">
        <v>168</v>
      </c>
      <c r="E314" s="23" t="s">
        <v>154</v>
      </c>
      <c r="F314" s="23">
        <v>3500</v>
      </c>
      <c r="G314" s="23">
        <v>58166.654687279501</v>
      </c>
      <c r="H314" s="23">
        <v>16.6190441963655</v>
      </c>
      <c r="I314" s="23">
        <v>0</v>
      </c>
      <c r="J314" s="23" t="s">
        <v>85</v>
      </c>
      <c r="K314" s="24">
        <v>44938</v>
      </c>
      <c r="L314" s="23">
        <v>1</v>
      </c>
      <c r="M314" s="23" t="s">
        <v>154</v>
      </c>
      <c r="N314" s="25">
        <v>0</v>
      </c>
      <c r="O314" s="26" t="str">
        <f t="shared" si="63"/>
        <v>COIN</v>
      </c>
      <c r="P314" s="26" t="str">
        <f t="shared" si="65"/>
        <v>LONG</v>
      </c>
      <c r="Q314" s="26" t="str">
        <f t="shared" si="66"/>
        <v>COIN LONG</v>
      </c>
      <c r="R314" s="26">
        <v>0</v>
      </c>
      <c r="S314" s="26">
        <v>0</v>
      </c>
      <c r="T314" s="26">
        <v>0</v>
      </c>
      <c r="U314" s="26">
        <v>0</v>
      </c>
      <c r="V314" s="23" t="str">
        <f t="shared" si="64"/>
        <v>LEND</v>
      </c>
      <c r="W314" t="str">
        <f t="shared" si="67"/>
        <v>SOL COIN LONG</v>
      </c>
      <c r="X314" s="88" t="s">
        <v>264</v>
      </c>
    </row>
    <row r="315" spans="1:24" x14ac:dyDescent="0.25">
      <c r="A315">
        <v>356</v>
      </c>
      <c r="B315" s="71">
        <v>44938</v>
      </c>
      <c r="C315" s="14" t="s">
        <v>170</v>
      </c>
      <c r="D315" s="23" t="s">
        <v>168</v>
      </c>
      <c r="E315" s="23" t="s">
        <v>414</v>
      </c>
      <c r="F315" s="23">
        <v>21600</v>
      </c>
      <c r="G315" s="23">
        <v>24574.094963555199</v>
      </c>
      <c r="H315" s="23">
        <v>1.1376895816460699</v>
      </c>
      <c r="I315" s="23">
        <v>0</v>
      </c>
      <c r="J315" s="23" t="s">
        <v>85</v>
      </c>
      <c r="K315" s="24">
        <v>44938</v>
      </c>
      <c r="L315" s="23">
        <v>1</v>
      </c>
      <c r="M315" s="23" t="s">
        <v>414</v>
      </c>
      <c r="N315" s="25">
        <v>0</v>
      </c>
      <c r="O315" s="26" t="str">
        <f t="shared" si="63"/>
        <v>COIN</v>
      </c>
      <c r="P315" s="26" t="str">
        <f t="shared" si="65"/>
        <v>LONG</v>
      </c>
      <c r="Q315" s="26" t="str">
        <f t="shared" si="66"/>
        <v>COIN LONG</v>
      </c>
      <c r="R315" s="26">
        <v>0</v>
      </c>
      <c r="S315" s="26">
        <v>0</v>
      </c>
      <c r="T315" s="26">
        <v>0</v>
      </c>
      <c r="U315" s="26">
        <v>0</v>
      </c>
      <c r="V315" s="23" t="str">
        <f t="shared" si="64"/>
        <v>LEND</v>
      </c>
      <c r="W315" t="str">
        <f t="shared" si="67"/>
        <v>SUSHI COIN LONG</v>
      </c>
      <c r="X315" s="88" t="s">
        <v>264</v>
      </c>
    </row>
    <row r="316" spans="1:24" x14ac:dyDescent="0.25">
      <c r="A316">
        <v>357</v>
      </c>
      <c r="B316" s="71">
        <v>44938</v>
      </c>
      <c r="C316" s="14" t="s">
        <v>170</v>
      </c>
      <c r="D316" s="23" t="s">
        <v>168</v>
      </c>
      <c r="E316" s="23" t="s">
        <v>159</v>
      </c>
      <c r="F316" s="23">
        <v>6000</v>
      </c>
      <c r="G316" s="23">
        <v>37040.287692466401</v>
      </c>
      <c r="H316" s="23">
        <v>6.1733812820777398</v>
      </c>
      <c r="I316" s="23">
        <v>0</v>
      </c>
      <c r="J316" s="23" t="s">
        <v>85</v>
      </c>
      <c r="K316" s="24">
        <v>44938</v>
      </c>
      <c r="L316" s="23">
        <v>1</v>
      </c>
      <c r="M316" s="23" t="s">
        <v>159</v>
      </c>
      <c r="N316" s="25">
        <v>0</v>
      </c>
      <c r="O316" s="26" t="str">
        <f t="shared" si="63"/>
        <v>COIN</v>
      </c>
      <c r="P316" s="26" t="str">
        <f t="shared" si="65"/>
        <v>LONG</v>
      </c>
      <c r="Q316" s="26" t="str">
        <f t="shared" si="66"/>
        <v>COIN LONG</v>
      </c>
      <c r="R316" s="26">
        <v>0</v>
      </c>
      <c r="S316" s="26">
        <v>0</v>
      </c>
      <c r="T316" s="26">
        <v>0</v>
      </c>
      <c r="U316" s="26">
        <v>0</v>
      </c>
      <c r="V316" s="23" t="str">
        <f t="shared" si="64"/>
        <v>LEND</v>
      </c>
      <c r="W316" t="str">
        <f t="shared" si="67"/>
        <v>UNI COIN LONG</v>
      </c>
      <c r="X316" s="88" t="s">
        <v>264</v>
      </c>
    </row>
    <row r="317" spans="1:24" x14ac:dyDescent="0.25">
      <c r="A317">
        <v>358</v>
      </c>
      <c r="B317" s="71">
        <v>44938</v>
      </c>
      <c r="C317" s="14" t="s">
        <v>170</v>
      </c>
      <c r="D317" s="23" t="s">
        <v>168</v>
      </c>
      <c r="E317" s="23" t="s">
        <v>38</v>
      </c>
      <c r="F317" s="23">
        <v>10000000</v>
      </c>
      <c r="G317" s="23">
        <v>10000920.491845099</v>
      </c>
      <c r="H317" s="23">
        <v>1.00009204918451</v>
      </c>
      <c r="I317" s="23">
        <v>0</v>
      </c>
      <c r="J317" s="23" t="s">
        <v>85</v>
      </c>
      <c r="K317" s="24">
        <v>44938</v>
      </c>
      <c r="L317" s="23">
        <v>1</v>
      </c>
      <c r="M317" s="23" t="s">
        <v>38</v>
      </c>
      <c r="N317" s="25">
        <v>0</v>
      </c>
      <c r="O317" s="26" t="str">
        <f t="shared" si="63"/>
        <v>COIN</v>
      </c>
      <c r="P317" s="26" t="str">
        <f t="shared" si="65"/>
        <v>LONG</v>
      </c>
      <c r="Q317" s="26" t="str">
        <f t="shared" si="66"/>
        <v>COIN LONG</v>
      </c>
      <c r="R317" s="26">
        <v>0</v>
      </c>
      <c r="S317" s="26">
        <v>0</v>
      </c>
      <c r="T317" s="26">
        <v>0</v>
      </c>
      <c r="U317" s="26">
        <v>0</v>
      </c>
      <c r="V317" s="23" t="str">
        <f t="shared" si="64"/>
        <v>LEND</v>
      </c>
      <c r="W317" t="str">
        <f t="shared" si="67"/>
        <v>USDT COIN LONG</v>
      </c>
      <c r="X317" s="88" t="s">
        <v>264</v>
      </c>
    </row>
    <row r="318" spans="1:24" x14ac:dyDescent="0.25">
      <c r="A318">
        <v>359</v>
      </c>
      <c r="B318" s="71">
        <v>44938</v>
      </c>
      <c r="C318" s="14" t="s">
        <v>170</v>
      </c>
      <c r="D318" s="23" t="s">
        <v>168</v>
      </c>
      <c r="E318" s="23" t="s">
        <v>163</v>
      </c>
      <c r="F318" s="23">
        <v>100000</v>
      </c>
      <c r="G318" s="23">
        <v>8164.3783905093396</v>
      </c>
      <c r="H318" s="23">
        <v>8.1643783905093401E-2</v>
      </c>
      <c r="I318" s="23">
        <v>0</v>
      </c>
      <c r="J318" s="23" t="s">
        <v>85</v>
      </c>
      <c r="K318" s="24">
        <v>44938</v>
      </c>
      <c r="L318" s="23">
        <v>1</v>
      </c>
      <c r="M318" s="23" t="s">
        <v>163</v>
      </c>
      <c r="N318" s="25">
        <v>0</v>
      </c>
      <c r="O318" s="26" t="str">
        <f t="shared" si="63"/>
        <v>COIN</v>
      </c>
      <c r="P318" s="26" t="str">
        <f t="shared" si="65"/>
        <v>LONG</v>
      </c>
      <c r="Q318" s="26" t="str">
        <f t="shared" si="66"/>
        <v>COIN LONG</v>
      </c>
      <c r="R318" s="26">
        <v>0</v>
      </c>
      <c r="S318" s="26">
        <v>0</v>
      </c>
      <c r="T318" s="26">
        <v>0</v>
      </c>
      <c r="U318" s="26">
        <v>0</v>
      </c>
      <c r="V318" s="23" t="str">
        <f t="shared" si="64"/>
        <v>LEND</v>
      </c>
      <c r="W318" t="str">
        <f t="shared" si="67"/>
        <v>XLM COIN LONG</v>
      </c>
      <c r="X318" s="88" t="s">
        <v>264</v>
      </c>
    </row>
    <row r="319" spans="1:24" x14ac:dyDescent="0.25">
      <c r="A319">
        <v>360</v>
      </c>
      <c r="B319" s="71">
        <v>44938</v>
      </c>
      <c r="C319" s="14" t="s">
        <v>170</v>
      </c>
      <c r="D319" s="23" t="s">
        <v>168</v>
      </c>
      <c r="E319" s="23" t="s">
        <v>164</v>
      </c>
      <c r="F319" s="23">
        <v>5000</v>
      </c>
      <c r="G319" s="23">
        <v>4446.1492113460999</v>
      </c>
      <c r="H319" s="23">
        <v>0.88922984226921997</v>
      </c>
      <c r="I319" s="23">
        <v>0</v>
      </c>
      <c r="J319" s="23" t="s">
        <v>85</v>
      </c>
      <c r="K319" s="24">
        <v>44938</v>
      </c>
      <c r="L319" s="23">
        <v>1</v>
      </c>
      <c r="M319" s="23" t="s">
        <v>164</v>
      </c>
      <c r="N319" s="25">
        <v>0</v>
      </c>
      <c r="O319" s="26" t="str">
        <f t="shared" si="63"/>
        <v>COIN</v>
      </c>
      <c r="P319" s="26" t="str">
        <f t="shared" si="65"/>
        <v>LONG</v>
      </c>
      <c r="Q319" s="26" t="str">
        <f t="shared" si="66"/>
        <v>COIN LONG</v>
      </c>
      <c r="R319" s="26">
        <v>0</v>
      </c>
      <c r="S319" s="26">
        <v>0</v>
      </c>
      <c r="T319" s="26">
        <v>0</v>
      </c>
      <c r="U319" s="26">
        <v>0</v>
      </c>
      <c r="V319" s="23" t="str">
        <f t="shared" si="64"/>
        <v>LEND</v>
      </c>
      <c r="W319" t="str">
        <f t="shared" si="67"/>
        <v>XTZ COIN LONG</v>
      </c>
      <c r="X319" s="88" t="s">
        <v>264</v>
      </c>
    </row>
    <row r="320" spans="1:24" x14ac:dyDescent="0.25">
      <c r="A320">
        <v>361</v>
      </c>
      <c r="B320" s="71">
        <v>44938.000008414354</v>
      </c>
      <c r="C320" s="14" t="s">
        <v>172</v>
      </c>
      <c r="D320" s="23" t="s">
        <v>172</v>
      </c>
      <c r="E320" s="23" t="s">
        <v>15</v>
      </c>
      <c r="F320" s="23">
        <v>5.0000000000000001E-4</v>
      </c>
      <c r="G320" s="23">
        <v>0.70896926155560902</v>
      </c>
      <c r="H320" s="23">
        <v>1417.9385231112101</v>
      </c>
      <c r="I320" s="23">
        <v>0</v>
      </c>
      <c r="J320" s="23" t="s">
        <v>85</v>
      </c>
      <c r="K320" s="24">
        <v>44938.000008414354</v>
      </c>
      <c r="L320" s="23">
        <v>1</v>
      </c>
      <c r="M320" s="23" t="s">
        <v>15</v>
      </c>
      <c r="N320" s="25">
        <v>0</v>
      </c>
      <c r="O320" s="26" t="str">
        <f t="shared" si="63"/>
        <v>COIN</v>
      </c>
      <c r="P320" s="26" t="str">
        <f t="shared" si="65"/>
        <v>LONG</v>
      </c>
      <c r="Q320" s="26" t="str">
        <f t="shared" si="66"/>
        <v>COIN LONG</v>
      </c>
      <c r="R320" s="26">
        <v>0</v>
      </c>
      <c r="S320" s="26">
        <v>0</v>
      </c>
      <c r="T320" s="26">
        <v>0</v>
      </c>
      <c r="U320" s="26">
        <v>0</v>
      </c>
      <c r="V320" s="23" t="str">
        <f t="shared" si="64"/>
        <v>LMAC</v>
      </c>
      <c r="W320" t="str">
        <f t="shared" si="67"/>
        <v>ETH COIN LONG</v>
      </c>
      <c r="X320" s="88" t="s">
        <v>264</v>
      </c>
    </row>
    <row r="321" spans="1:24" x14ac:dyDescent="0.25">
      <c r="A321">
        <v>362</v>
      </c>
      <c r="B321" s="71">
        <v>44938.000008414354</v>
      </c>
      <c r="C321" s="14" t="s">
        <v>172</v>
      </c>
      <c r="D321" s="23" t="s">
        <v>172</v>
      </c>
      <c r="E321" s="23" t="s">
        <v>95</v>
      </c>
      <c r="F321" s="23">
        <v>2.63E-3</v>
      </c>
      <c r="G321" s="23">
        <v>2.63E-3</v>
      </c>
      <c r="H321" s="23">
        <v>1</v>
      </c>
      <c r="I321" s="23">
        <v>0</v>
      </c>
      <c r="J321" s="23" t="s">
        <v>85</v>
      </c>
      <c r="K321" s="24">
        <v>44938.000008414354</v>
      </c>
      <c r="L321" s="23">
        <v>1</v>
      </c>
      <c r="M321" s="23" t="s">
        <v>95</v>
      </c>
      <c r="N321" s="25">
        <v>0</v>
      </c>
      <c r="O321" s="26" t="str">
        <f t="shared" si="63"/>
        <v>CASH</v>
      </c>
      <c r="P321" s="26" t="str">
        <f t="shared" si="65"/>
        <v>LONG</v>
      </c>
      <c r="Q321" s="26" t="str">
        <f t="shared" si="66"/>
        <v>CASH LONG</v>
      </c>
      <c r="R321" s="26">
        <v>0</v>
      </c>
      <c r="S321" s="26">
        <v>0</v>
      </c>
      <c r="T321" s="26">
        <v>0</v>
      </c>
      <c r="U321" s="26">
        <v>0</v>
      </c>
      <c r="V321" s="23" t="str">
        <f t="shared" si="64"/>
        <v>LMAC</v>
      </c>
      <c r="W321" t="str">
        <f t="shared" si="67"/>
        <v>USD CASH LONG</v>
      </c>
      <c r="X321" s="88" t="s">
        <v>264</v>
      </c>
    </row>
    <row r="322" spans="1:24" x14ac:dyDescent="0.25">
      <c r="A322">
        <v>363</v>
      </c>
      <c r="B322" s="71">
        <v>44938.000008414354</v>
      </c>
      <c r="C322" s="14" t="s">
        <v>173</v>
      </c>
      <c r="D322" s="23" t="s">
        <v>173</v>
      </c>
      <c r="E322" s="23" t="s">
        <v>95</v>
      </c>
      <c r="F322" s="23">
        <v>10138.725630000001</v>
      </c>
      <c r="G322" s="23">
        <v>10138.725630000001</v>
      </c>
      <c r="H322" s="23">
        <v>1</v>
      </c>
      <c r="I322" s="23">
        <v>0</v>
      </c>
      <c r="J322" s="23" t="s">
        <v>85</v>
      </c>
      <c r="K322" s="24">
        <v>44938.000008414354</v>
      </c>
      <c r="L322" s="23">
        <v>1</v>
      </c>
      <c r="M322" s="23" t="s">
        <v>95</v>
      </c>
      <c r="N322" s="25">
        <v>0</v>
      </c>
      <c r="O322" s="26" t="str">
        <f t="shared" ref="O322:O385" si="68">IF($C322="","",IF(OR($E322="USD",$E322="EUR"),"CASH","COIN"))</f>
        <v>CASH</v>
      </c>
      <c r="P322" s="26" t="str">
        <f t="shared" si="65"/>
        <v>LONG</v>
      </c>
      <c r="Q322" s="26" t="str">
        <f t="shared" si="66"/>
        <v>CASH LONG</v>
      </c>
      <c r="R322" s="26">
        <v>0</v>
      </c>
      <c r="S322" s="26">
        <v>0</v>
      </c>
      <c r="T322" s="26">
        <v>0</v>
      </c>
      <c r="U322" s="26">
        <v>0</v>
      </c>
      <c r="V322" s="23" t="str">
        <f t="shared" ref="V322:V385" si="69">IF($C322="","",IF(ISERROR(SEARCH("-",$D322)),$D322,LEFT($D322,SEARCH("-",$D322)-1)))</f>
        <v>LMAX</v>
      </c>
      <c r="W322" t="str">
        <f t="shared" si="67"/>
        <v>USD CASH LONG</v>
      </c>
      <c r="X322" s="88" t="s">
        <v>264</v>
      </c>
    </row>
    <row r="323" spans="1:24" x14ac:dyDescent="0.25">
      <c r="A323">
        <v>364</v>
      </c>
      <c r="B323" s="71">
        <v>44939.000000312502</v>
      </c>
      <c r="C323" s="14" t="s">
        <v>45</v>
      </c>
      <c r="D323" s="23" t="s">
        <v>48</v>
      </c>
      <c r="E323" s="23" t="s">
        <v>14</v>
      </c>
      <c r="F323" s="23">
        <v>2.6E-7</v>
      </c>
      <c r="G323" s="23">
        <v>4.9060928943690501E-3</v>
      </c>
      <c r="H323" s="23">
        <v>18869.5880552655</v>
      </c>
      <c r="I323" s="23">
        <v>0</v>
      </c>
      <c r="J323" s="23" t="s">
        <v>85</v>
      </c>
      <c r="K323" s="24">
        <v>44939.000000312502</v>
      </c>
      <c r="L323" s="23">
        <v>1</v>
      </c>
      <c r="M323" s="23" t="s">
        <v>14</v>
      </c>
      <c r="N323" s="25">
        <v>0</v>
      </c>
      <c r="O323" s="26" t="str">
        <f t="shared" si="68"/>
        <v>COIN</v>
      </c>
      <c r="P323" s="26" t="str">
        <f t="shared" ref="P323:P386" si="70">IF($C323="","",IF($J323="CME FUTURE","HEDGE",IF($G323&gt;0,"LONG","SHORT")))</f>
        <v>LONG</v>
      </c>
      <c r="Q323" s="26" t="str">
        <f t="shared" ref="Q323:Q352" si="71">O323&amp;" "&amp;P323</f>
        <v>COIN LONG</v>
      </c>
      <c r="R323" s="26">
        <v>0</v>
      </c>
      <c r="S323" s="26">
        <v>0</v>
      </c>
      <c r="T323" s="26">
        <v>0</v>
      </c>
      <c r="U323" s="26">
        <v>0</v>
      </c>
      <c r="V323" s="23" t="str">
        <f t="shared" si="69"/>
        <v>OKEX</v>
      </c>
      <c r="W323" t="str">
        <f t="shared" si="67"/>
        <v>BTC COIN LONG</v>
      </c>
      <c r="X323" s="88" t="s">
        <v>264</v>
      </c>
    </row>
    <row r="324" spans="1:24" x14ac:dyDescent="0.25">
      <c r="A324">
        <v>365</v>
      </c>
      <c r="B324" s="71">
        <v>44939.000000312502</v>
      </c>
      <c r="C324" s="14" t="s">
        <v>45</v>
      </c>
      <c r="D324" s="23" t="s">
        <v>48</v>
      </c>
      <c r="E324" s="23" t="s">
        <v>15</v>
      </c>
      <c r="F324" s="23">
        <v>6.7499999999999997E-6</v>
      </c>
      <c r="G324" s="23">
        <v>9.5710850310007298E-3</v>
      </c>
      <c r="H324" s="23">
        <v>1417.9385231112101</v>
      </c>
      <c r="I324" s="23">
        <v>0</v>
      </c>
      <c r="J324" s="23" t="s">
        <v>85</v>
      </c>
      <c r="K324" s="24">
        <v>44939.000000312502</v>
      </c>
      <c r="L324" s="23">
        <v>1</v>
      </c>
      <c r="M324" s="23" t="s">
        <v>15</v>
      </c>
      <c r="N324" s="25">
        <v>0</v>
      </c>
      <c r="O324" s="26" t="str">
        <f t="shared" si="68"/>
        <v>COIN</v>
      </c>
      <c r="P324" s="26" t="str">
        <f t="shared" si="70"/>
        <v>LONG</v>
      </c>
      <c r="Q324" s="26" t="str">
        <f t="shared" si="71"/>
        <v>COIN LONG</v>
      </c>
      <c r="R324" s="26">
        <v>0</v>
      </c>
      <c r="S324" s="26">
        <v>0</v>
      </c>
      <c r="T324" s="26">
        <v>0</v>
      </c>
      <c r="U324" s="26">
        <v>0</v>
      </c>
      <c r="V324" s="23" t="str">
        <f t="shared" si="69"/>
        <v>OKEX</v>
      </c>
      <c r="W324" t="str">
        <f t="shared" si="67"/>
        <v>ETH COIN LONG</v>
      </c>
      <c r="X324" s="88" t="s">
        <v>264</v>
      </c>
    </row>
    <row r="325" spans="1:24" x14ac:dyDescent="0.25">
      <c r="A325">
        <v>366</v>
      </c>
      <c r="B325" s="71">
        <v>44939.000000312502</v>
      </c>
      <c r="C325" s="14" t="s">
        <v>45</v>
      </c>
      <c r="D325" s="23" t="s">
        <v>48</v>
      </c>
      <c r="E325" s="23" t="s">
        <v>99</v>
      </c>
      <c r="F325" s="23">
        <v>0.44933625999999999</v>
      </c>
      <c r="G325" s="23">
        <v>0.168589680657663</v>
      </c>
      <c r="H325" s="23">
        <v>0.37519714224190098</v>
      </c>
      <c r="I325" s="23">
        <v>0</v>
      </c>
      <c r="J325" s="23" t="s">
        <v>85</v>
      </c>
      <c r="K325" s="24">
        <v>44939.000000312502</v>
      </c>
      <c r="L325" s="23">
        <v>1</v>
      </c>
      <c r="M325" s="23" t="s">
        <v>99</v>
      </c>
      <c r="N325" s="25">
        <v>0</v>
      </c>
      <c r="O325" s="26" t="str">
        <f t="shared" si="68"/>
        <v>COIN</v>
      </c>
      <c r="P325" s="26" t="str">
        <f t="shared" si="70"/>
        <v>LONG</v>
      </c>
      <c r="Q325" s="26" t="str">
        <f t="shared" si="71"/>
        <v>COIN LONG</v>
      </c>
      <c r="R325" s="26">
        <v>0</v>
      </c>
      <c r="S325" s="26">
        <v>0</v>
      </c>
      <c r="T325" s="26">
        <v>0</v>
      </c>
      <c r="U325" s="26">
        <v>0</v>
      </c>
      <c r="V325" s="23" t="str">
        <f t="shared" si="69"/>
        <v>OKEX</v>
      </c>
      <c r="W325" t="str">
        <f t="shared" si="67"/>
        <v>XRP COIN LONG</v>
      </c>
      <c r="X325" s="88" t="s">
        <v>264</v>
      </c>
    </row>
    <row r="326" spans="1:24" x14ac:dyDescent="0.25">
      <c r="A326">
        <v>367</v>
      </c>
      <c r="B326" s="71">
        <v>44939.000000312502</v>
      </c>
      <c r="C326" s="14" t="s">
        <v>45</v>
      </c>
      <c r="D326" s="23" t="s">
        <v>50</v>
      </c>
      <c r="E326" s="23" t="s">
        <v>38</v>
      </c>
      <c r="F326" s="23">
        <v>9.0007799999999999E-3</v>
      </c>
      <c r="G326" s="23">
        <v>9.0016085144589905E-3</v>
      </c>
      <c r="H326" s="23">
        <v>1.00009204918451</v>
      </c>
      <c r="I326" s="23">
        <v>0</v>
      </c>
      <c r="J326" s="23" t="s">
        <v>85</v>
      </c>
      <c r="K326" s="24">
        <v>44939.000000312502</v>
      </c>
      <c r="L326" s="23">
        <v>1</v>
      </c>
      <c r="M326" s="23" t="s">
        <v>38</v>
      </c>
      <c r="N326" s="25">
        <v>0</v>
      </c>
      <c r="O326" s="26" t="str">
        <f t="shared" si="68"/>
        <v>COIN</v>
      </c>
      <c r="P326" s="26" t="str">
        <f t="shared" si="70"/>
        <v>LONG</v>
      </c>
      <c r="Q326" s="26" t="str">
        <f t="shared" si="71"/>
        <v>COIN LONG</v>
      </c>
      <c r="R326" s="26">
        <v>0</v>
      </c>
      <c r="S326" s="26">
        <v>0</v>
      </c>
      <c r="T326" s="26">
        <v>0</v>
      </c>
      <c r="U326" s="26">
        <v>0</v>
      </c>
      <c r="V326" s="23" t="str">
        <f t="shared" si="69"/>
        <v>OKEX</v>
      </c>
      <c r="W326" t="str">
        <f t="shared" ref="W326:W389" si="72">IF($C326="","",$M326&amp;" "&amp;$Q326)</f>
        <v>USDT COIN LONG</v>
      </c>
      <c r="X326" s="88" t="s">
        <v>264</v>
      </c>
    </row>
    <row r="327" spans="1:24" x14ac:dyDescent="0.25">
      <c r="A327">
        <v>368</v>
      </c>
      <c r="B327" s="71">
        <v>44939.000003819441</v>
      </c>
      <c r="C327" s="14" t="s">
        <v>45</v>
      </c>
      <c r="D327" s="23" t="s">
        <v>51</v>
      </c>
      <c r="E327" s="23" t="s">
        <v>14</v>
      </c>
      <c r="F327" s="23">
        <v>1.3863722599999999</v>
      </c>
      <c r="G327" s="23">
        <v>26160.2734374475</v>
      </c>
      <c r="H327" s="23">
        <v>18869.5880552655</v>
      </c>
      <c r="I327" s="23">
        <v>0</v>
      </c>
      <c r="J327" s="23" t="s">
        <v>85</v>
      </c>
      <c r="K327" s="24">
        <v>44939.000003819441</v>
      </c>
      <c r="L327" s="23">
        <v>1</v>
      </c>
      <c r="M327" s="23" t="s">
        <v>14</v>
      </c>
      <c r="N327" s="25">
        <v>0</v>
      </c>
      <c r="O327" s="26" t="str">
        <f t="shared" si="68"/>
        <v>COIN</v>
      </c>
      <c r="P327" s="26" t="str">
        <f t="shared" si="70"/>
        <v>LONG</v>
      </c>
      <c r="Q327" s="26" t="str">
        <f t="shared" si="71"/>
        <v>COIN LONG</v>
      </c>
      <c r="R327" s="26">
        <v>0</v>
      </c>
      <c r="S327" s="26">
        <v>0</v>
      </c>
      <c r="T327" s="26">
        <v>0</v>
      </c>
      <c r="U327" s="26">
        <v>0</v>
      </c>
      <c r="V327" s="23" t="str">
        <f t="shared" si="69"/>
        <v>OKEX</v>
      </c>
      <c r="W327" t="str">
        <f t="shared" si="72"/>
        <v>BTC COIN LONG</v>
      </c>
      <c r="X327" s="88" t="s">
        <v>264</v>
      </c>
    </row>
    <row r="328" spans="1:24" x14ac:dyDescent="0.25">
      <c r="A328">
        <v>369</v>
      </c>
      <c r="B328" s="71">
        <v>44939.000003819441</v>
      </c>
      <c r="C328" s="14" t="s">
        <v>45</v>
      </c>
      <c r="D328" s="23" t="s">
        <v>51</v>
      </c>
      <c r="E328" s="23" t="s">
        <v>38</v>
      </c>
      <c r="F328" s="23">
        <v>14155.78589843</v>
      </c>
      <c r="G328" s="23">
        <v>14157.0889269781</v>
      </c>
      <c r="H328" s="23">
        <v>1.00009204918451</v>
      </c>
      <c r="I328" s="23">
        <v>0</v>
      </c>
      <c r="J328" s="23" t="s">
        <v>85</v>
      </c>
      <c r="K328" s="24">
        <v>44939.000003819441</v>
      </c>
      <c r="L328" s="23">
        <v>1</v>
      </c>
      <c r="M328" s="23" t="s">
        <v>38</v>
      </c>
      <c r="N328" s="25">
        <v>0</v>
      </c>
      <c r="O328" s="26" t="str">
        <f t="shared" si="68"/>
        <v>COIN</v>
      </c>
      <c r="P328" s="26" t="str">
        <f t="shared" si="70"/>
        <v>LONG</v>
      </c>
      <c r="Q328" s="26" t="str">
        <f t="shared" si="71"/>
        <v>COIN LONG</v>
      </c>
      <c r="R328" s="26">
        <v>0</v>
      </c>
      <c r="S328" s="26">
        <v>0</v>
      </c>
      <c r="T328" s="26">
        <v>0</v>
      </c>
      <c r="U328" s="26">
        <v>0</v>
      </c>
      <c r="V328" s="23" t="str">
        <f t="shared" si="69"/>
        <v>OKEX</v>
      </c>
      <c r="W328" t="str">
        <f t="shared" si="72"/>
        <v>USDT COIN LONG</v>
      </c>
      <c r="X328" s="88" t="s">
        <v>264</v>
      </c>
    </row>
    <row r="329" spans="1:24" x14ac:dyDescent="0.25">
      <c r="A329">
        <v>370</v>
      </c>
      <c r="B329" s="71">
        <v>44939.000003819441</v>
      </c>
      <c r="C329" s="14" t="s">
        <v>45</v>
      </c>
      <c r="D329" s="23" t="s">
        <v>51</v>
      </c>
      <c r="E329" s="23" t="s">
        <v>38</v>
      </c>
      <c r="F329" s="23">
        <v>-17651.770061800002</v>
      </c>
      <c r="G329" s="23">
        <v>-17653.394892839398</v>
      </c>
      <c r="H329" s="23">
        <v>1.00009204918451</v>
      </c>
      <c r="I329" s="23">
        <v>0</v>
      </c>
      <c r="J329" s="23" t="s">
        <v>253</v>
      </c>
      <c r="K329" s="24">
        <v>44939.000003819441</v>
      </c>
      <c r="L329" s="23">
        <v>1</v>
      </c>
      <c r="M329" s="23" t="s">
        <v>38</v>
      </c>
      <c r="N329" s="25">
        <v>0</v>
      </c>
      <c r="O329" s="26" t="str">
        <f t="shared" si="68"/>
        <v>COIN</v>
      </c>
      <c r="P329" s="26" t="str">
        <f t="shared" si="70"/>
        <v>SHORT</v>
      </c>
      <c r="Q329" s="26" t="str">
        <f t="shared" si="71"/>
        <v>COIN SHORT</v>
      </c>
      <c r="R329" s="26">
        <v>0</v>
      </c>
      <c r="S329" s="26">
        <v>0</v>
      </c>
      <c r="T329" s="26">
        <v>0</v>
      </c>
      <c r="U329" s="26">
        <v>0</v>
      </c>
      <c r="V329" s="23" t="str">
        <f t="shared" si="69"/>
        <v>OKEX</v>
      </c>
      <c r="W329" t="str">
        <f t="shared" si="72"/>
        <v>USDT COIN SHORT</v>
      </c>
      <c r="X329" s="88" t="s">
        <v>264</v>
      </c>
    </row>
    <row r="330" spans="1:24" x14ac:dyDescent="0.25">
      <c r="A330">
        <v>371</v>
      </c>
      <c r="B330" s="71">
        <v>44939.000005208334</v>
      </c>
      <c r="C330" s="14" t="s">
        <v>45</v>
      </c>
      <c r="D330" s="23" t="s">
        <v>46</v>
      </c>
      <c r="E330" s="23" t="s">
        <v>14</v>
      </c>
      <c r="F330" s="23">
        <v>719.02328516</v>
      </c>
      <c r="G330" s="23">
        <v>13567673.1931129</v>
      </c>
      <c r="H330" s="23">
        <v>18869.5880552655</v>
      </c>
      <c r="I330" s="23">
        <v>0</v>
      </c>
      <c r="J330" s="23" t="s">
        <v>85</v>
      </c>
      <c r="K330" s="24">
        <v>44939.000005208334</v>
      </c>
      <c r="L330" s="23">
        <v>1</v>
      </c>
      <c r="M330" s="23" t="s">
        <v>14</v>
      </c>
      <c r="N330" s="25">
        <v>0</v>
      </c>
      <c r="O330" s="26" t="str">
        <f t="shared" si="68"/>
        <v>COIN</v>
      </c>
      <c r="P330" s="26" t="str">
        <f t="shared" si="70"/>
        <v>LONG</v>
      </c>
      <c r="Q330" s="26" t="str">
        <f t="shared" si="71"/>
        <v>COIN LONG</v>
      </c>
      <c r="R330" s="26">
        <v>0</v>
      </c>
      <c r="S330" s="26">
        <v>0</v>
      </c>
      <c r="T330" s="26">
        <v>0</v>
      </c>
      <c r="U330" s="26">
        <v>0</v>
      </c>
      <c r="V330" s="23" t="str">
        <f t="shared" si="69"/>
        <v>OKEX</v>
      </c>
      <c r="W330" t="str">
        <f t="shared" si="72"/>
        <v>BTC COIN LONG</v>
      </c>
      <c r="X330" s="88" t="s">
        <v>264</v>
      </c>
    </row>
    <row r="331" spans="1:24" x14ac:dyDescent="0.25">
      <c r="A331">
        <v>372</v>
      </c>
      <c r="B331" s="71">
        <v>44939.000005208334</v>
      </c>
      <c r="C331" s="14" t="s">
        <v>45</v>
      </c>
      <c r="D331" s="23" t="s">
        <v>46</v>
      </c>
      <c r="E331" s="23" t="s">
        <v>14</v>
      </c>
      <c r="F331" s="23">
        <v>-32.644600570000001</v>
      </c>
      <c r="G331" s="23">
        <v>-615990.16498458805</v>
      </c>
      <c r="H331" s="23">
        <v>18869.5880552655</v>
      </c>
      <c r="I331" s="23">
        <v>0</v>
      </c>
      <c r="J331" s="23" t="s">
        <v>253</v>
      </c>
      <c r="K331" s="24">
        <v>44939.000005208334</v>
      </c>
      <c r="L331" s="23">
        <v>1</v>
      </c>
      <c r="M331" s="23" t="s">
        <v>14</v>
      </c>
      <c r="N331" s="25">
        <v>0</v>
      </c>
      <c r="O331" s="26" t="str">
        <f t="shared" si="68"/>
        <v>COIN</v>
      </c>
      <c r="P331" s="26" t="str">
        <f t="shared" si="70"/>
        <v>SHORT</v>
      </c>
      <c r="Q331" s="26" t="str">
        <f t="shared" si="71"/>
        <v>COIN SHORT</v>
      </c>
      <c r="R331" s="26">
        <v>0</v>
      </c>
      <c r="S331" s="26">
        <v>0</v>
      </c>
      <c r="T331" s="26">
        <v>0</v>
      </c>
      <c r="U331" s="26">
        <v>0</v>
      </c>
      <c r="V331" s="23" t="str">
        <f t="shared" si="69"/>
        <v>OKEX</v>
      </c>
      <c r="W331" t="str">
        <f t="shared" si="72"/>
        <v>BTC COIN SHORT</v>
      </c>
      <c r="X331" s="88" t="s">
        <v>264</v>
      </c>
    </row>
    <row r="332" spans="1:24" x14ac:dyDescent="0.25">
      <c r="A332">
        <v>373</v>
      </c>
      <c r="B332" s="71">
        <v>44939.000005208334</v>
      </c>
      <c r="C332" s="14" t="s">
        <v>45</v>
      </c>
      <c r="D332" s="23" t="s">
        <v>46</v>
      </c>
      <c r="E332" s="23" t="s">
        <v>15</v>
      </c>
      <c r="F332" s="23">
        <v>8955.2959333500003</v>
      </c>
      <c r="G332" s="23">
        <v>12698059.089758201</v>
      </c>
      <c r="H332" s="23">
        <v>1417.9385231112101</v>
      </c>
      <c r="I332" s="23">
        <v>0</v>
      </c>
      <c r="J332" s="23" t="s">
        <v>85</v>
      </c>
      <c r="K332" s="24">
        <v>44939.000005208334</v>
      </c>
      <c r="L332" s="23">
        <v>1</v>
      </c>
      <c r="M332" s="23" t="s">
        <v>15</v>
      </c>
      <c r="N332" s="25">
        <v>0</v>
      </c>
      <c r="O332" s="26" t="str">
        <f t="shared" si="68"/>
        <v>COIN</v>
      </c>
      <c r="P332" s="26" t="str">
        <f t="shared" si="70"/>
        <v>LONG</v>
      </c>
      <c r="Q332" s="26" t="str">
        <f t="shared" si="71"/>
        <v>COIN LONG</v>
      </c>
      <c r="R332" s="26">
        <v>0</v>
      </c>
      <c r="S332" s="26">
        <v>0</v>
      </c>
      <c r="T332" s="26">
        <v>0</v>
      </c>
      <c r="U332" s="26">
        <v>0</v>
      </c>
      <c r="V332" s="23" t="str">
        <f t="shared" si="69"/>
        <v>OKEX</v>
      </c>
      <c r="W332" t="str">
        <f t="shared" si="72"/>
        <v>ETH COIN LONG</v>
      </c>
      <c r="X332" s="88" t="s">
        <v>264</v>
      </c>
    </row>
    <row r="333" spans="1:24" x14ac:dyDescent="0.25">
      <c r="A333">
        <v>374</v>
      </c>
      <c r="B333" s="71">
        <v>44939.000005208334</v>
      </c>
      <c r="C333" s="14" t="s">
        <v>45</v>
      </c>
      <c r="D333" s="23" t="s">
        <v>46</v>
      </c>
      <c r="E333" s="23" t="s">
        <v>15</v>
      </c>
      <c r="F333" s="23">
        <v>-270.77938137000001</v>
      </c>
      <c r="G333" s="23">
        <v>-383948.51610874699</v>
      </c>
      <c r="H333" s="23">
        <v>1417.9385231112101</v>
      </c>
      <c r="I333" s="23">
        <v>0</v>
      </c>
      <c r="J333" s="23" t="s">
        <v>253</v>
      </c>
      <c r="K333" s="24">
        <v>44939.000005208334</v>
      </c>
      <c r="L333" s="23">
        <v>1</v>
      </c>
      <c r="M333" s="23" t="s">
        <v>15</v>
      </c>
      <c r="N333" s="25">
        <v>0</v>
      </c>
      <c r="O333" s="26" t="str">
        <f t="shared" si="68"/>
        <v>COIN</v>
      </c>
      <c r="P333" s="26" t="str">
        <f t="shared" si="70"/>
        <v>SHORT</v>
      </c>
      <c r="Q333" s="26" t="str">
        <f t="shared" si="71"/>
        <v>COIN SHORT</v>
      </c>
      <c r="R333" s="26">
        <v>0</v>
      </c>
      <c r="S333" s="26">
        <v>0</v>
      </c>
      <c r="T333" s="26">
        <v>0</v>
      </c>
      <c r="U333" s="26">
        <v>0</v>
      </c>
      <c r="V333" s="23" t="str">
        <f t="shared" si="69"/>
        <v>OKEX</v>
      </c>
      <c r="W333" t="str">
        <f t="shared" si="72"/>
        <v>ETH COIN SHORT</v>
      </c>
      <c r="X333" s="88" t="s">
        <v>264</v>
      </c>
    </row>
    <row r="334" spans="1:24" x14ac:dyDescent="0.25">
      <c r="A334">
        <v>375</v>
      </c>
      <c r="B334" s="71">
        <v>44939.000005208334</v>
      </c>
      <c r="C334" s="14" t="s">
        <v>45</v>
      </c>
      <c r="D334" s="23" t="s">
        <v>46</v>
      </c>
      <c r="E334" s="23" t="s">
        <v>89</v>
      </c>
      <c r="F334" s="23">
        <v>604136.71778894996</v>
      </c>
      <c r="G334" s="23">
        <v>44294.900531954598</v>
      </c>
      <c r="H334" s="23">
        <v>7.3319331912265404E-2</v>
      </c>
      <c r="I334" s="23">
        <v>0</v>
      </c>
      <c r="J334" s="23" t="s">
        <v>85</v>
      </c>
      <c r="K334" s="24">
        <v>44939.000005208334</v>
      </c>
      <c r="L334" s="23">
        <v>1</v>
      </c>
      <c r="M334" s="23" t="s">
        <v>89</v>
      </c>
      <c r="N334" s="25">
        <v>0</v>
      </c>
      <c r="O334" s="26" t="str">
        <f t="shared" si="68"/>
        <v>COIN</v>
      </c>
      <c r="P334" s="26" t="str">
        <f t="shared" si="70"/>
        <v>LONG</v>
      </c>
      <c r="Q334" s="26" t="str">
        <f t="shared" si="71"/>
        <v>COIN LONG</v>
      </c>
      <c r="R334" s="26">
        <v>0</v>
      </c>
      <c r="S334" s="26">
        <v>0</v>
      </c>
      <c r="T334" s="26">
        <v>0</v>
      </c>
      <c r="U334" s="26">
        <v>0</v>
      </c>
      <c r="V334" s="23" t="str">
        <f t="shared" si="69"/>
        <v>OKEX</v>
      </c>
      <c r="W334" t="str">
        <f t="shared" si="72"/>
        <v>OXT COIN LONG</v>
      </c>
      <c r="X334" s="88" t="s">
        <v>264</v>
      </c>
    </row>
    <row r="335" spans="1:24" x14ac:dyDescent="0.25">
      <c r="A335">
        <v>376</v>
      </c>
      <c r="B335" s="71">
        <v>44939.000005208334</v>
      </c>
      <c r="C335" s="14" t="s">
        <v>45</v>
      </c>
      <c r="D335" s="23" t="s">
        <v>46</v>
      </c>
      <c r="E335" s="23" t="s">
        <v>37</v>
      </c>
      <c r="F335" s="23">
        <v>78952990042.466797</v>
      </c>
      <c r="G335" s="23">
        <v>747794.03457846702</v>
      </c>
      <c r="H335" s="23">
        <v>9.4713833405960602E-6</v>
      </c>
      <c r="I335" s="23">
        <v>0</v>
      </c>
      <c r="J335" s="23" t="s">
        <v>85</v>
      </c>
      <c r="K335" s="24">
        <v>44939.000005208334</v>
      </c>
      <c r="L335" s="23">
        <v>1</v>
      </c>
      <c r="M335" s="23" t="s">
        <v>37</v>
      </c>
      <c r="N335" s="25">
        <v>0</v>
      </c>
      <c r="O335" s="26" t="str">
        <f t="shared" si="68"/>
        <v>COIN</v>
      </c>
      <c r="P335" s="26" t="str">
        <f t="shared" si="70"/>
        <v>LONG</v>
      </c>
      <c r="Q335" s="26" t="str">
        <f t="shared" si="71"/>
        <v>COIN LONG</v>
      </c>
      <c r="R335" s="26">
        <v>0</v>
      </c>
      <c r="S335" s="26">
        <v>0</v>
      </c>
      <c r="T335" s="26">
        <v>0</v>
      </c>
      <c r="U335" s="26">
        <v>0</v>
      </c>
      <c r="V335" s="23" t="str">
        <f t="shared" si="69"/>
        <v>OKEX</v>
      </c>
      <c r="W335" t="str">
        <f t="shared" si="72"/>
        <v>SHIB COIN LONG</v>
      </c>
      <c r="X335" s="88" t="s">
        <v>264</v>
      </c>
    </row>
    <row r="336" spans="1:24" x14ac:dyDescent="0.25">
      <c r="A336">
        <v>377</v>
      </c>
      <c r="B336" s="71">
        <v>44939.000005208334</v>
      </c>
      <c r="C336" s="14" t="s">
        <v>45</v>
      </c>
      <c r="D336" s="23" t="s">
        <v>46</v>
      </c>
      <c r="E336" s="23" t="s">
        <v>38</v>
      </c>
      <c r="F336" s="23">
        <v>2962793.3999678502</v>
      </c>
      <c r="G336" s="23">
        <v>2963066.1226841998</v>
      </c>
      <c r="H336" s="23">
        <v>1.00009204918451</v>
      </c>
      <c r="I336" s="23">
        <v>0</v>
      </c>
      <c r="J336" s="23" t="s">
        <v>85</v>
      </c>
      <c r="K336" s="24">
        <v>44939.000005208334</v>
      </c>
      <c r="L336" s="23">
        <v>1</v>
      </c>
      <c r="M336" s="23" t="s">
        <v>38</v>
      </c>
      <c r="N336" s="25">
        <v>0</v>
      </c>
      <c r="O336" s="26" t="str">
        <f t="shared" si="68"/>
        <v>COIN</v>
      </c>
      <c r="P336" s="26" t="str">
        <f t="shared" si="70"/>
        <v>LONG</v>
      </c>
      <c r="Q336" s="26" t="str">
        <f t="shared" si="71"/>
        <v>COIN LONG</v>
      </c>
      <c r="R336" s="26">
        <v>0</v>
      </c>
      <c r="S336" s="26">
        <v>0</v>
      </c>
      <c r="T336" s="26">
        <v>0</v>
      </c>
      <c r="U336" s="26">
        <v>0</v>
      </c>
      <c r="V336" s="23" t="str">
        <f t="shared" si="69"/>
        <v>OKEX</v>
      </c>
      <c r="W336" t="str">
        <f t="shared" si="72"/>
        <v>USDT COIN LONG</v>
      </c>
      <c r="X336" s="88" t="s">
        <v>264</v>
      </c>
    </row>
    <row r="337" spans="1:24" x14ac:dyDescent="0.25">
      <c r="A337">
        <v>378</v>
      </c>
      <c r="B337" s="71">
        <v>44939.000005208334</v>
      </c>
      <c r="C337" s="14" t="s">
        <v>45</v>
      </c>
      <c r="D337" s="23" t="s">
        <v>46</v>
      </c>
      <c r="E337" s="23" t="s">
        <v>38</v>
      </c>
      <c r="F337" s="23">
        <v>582247.84443457995</v>
      </c>
      <c r="G337" s="23">
        <v>582301.43987384497</v>
      </c>
      <c r="H337" s="23">
        <v>1.00009204918451</v>
      </c>
      <c r="I337" s="23">
        <v>0</v>
      </c>
      <c r="J337" s="23" t="s">
        <v>253</v>
      </c>
      <c r="K337" s="24">
        <v>44939.000005208334</v>
      </c>
      <c r="L337" s="23">
        <v>1</v>
      </c>
      <c r="M337" s="23" t="s">
        <v>38</v>
      </c>
      <c r="N337" s="25">
        <v>0</v>
      </c>
      <c r="O337" s="26" t="str">
        <f t="shared" si="68"/>
        <v>COIN</v>
      </c>
      <c r="P337" s="26" t="str">
        <f t="shared" si="70"/>
        <v>LONG</v>
      </c>
      <c r="Q337" s="26" t="str">
        <f t="shared" si="71"/>
        <v>COIN LONG</v>
      </c>
      <c r="R337" s="26">
        <v>0</v>
      </c>
      <c r="S337" s="26">
        <v>0</v>
      </c>
      <c r="T337" s="26">
        <v>0</v>
      </c>
      <c r="U337" s="26">
        <v>0</v>
      </c>
      <c r="V337" s="23" t="str">
        <f t="shared" si="69"/>
        <v>OKEX</v>
      </c>
      <c r="W337" t="str">
        <f t="shared" si="72"/>
        <v>USDT COIN LONG</v>
      </c>
      <c r="X337" s="88" t="s">
        <v>264</v>
      </c>
    </row>
    <row r="338" spans="1:24" x14ac:dyDescent="0.25">
      <c r="A338">
        <v>379</v>
      </c>
      <c r="B338" s="71">
        <v>44939.000005208334</v>
      </c>
      <c r="C338" s="14" t="s">
        <v>45</v>
      </c>
      <c r="D338" s="23" t="s">
        <v>46</v>
      </c>
      <c r="E338" s="23" t="s">
        <v>26</v>
      </c>
      <c r="F338" s="23">
        <v>3469624.0473292298</v>
      </c>
      <c r="G338" s="23">
        <v>83182.432008713396</v>
      </c>
      <c r="H338" s="23">
        <v>2.39744799073386E-2</v>
      </c>
      <c r="I338" s="23">
        <v>0</v>
      </c>
      <c r="J338" s="23" t="s">
        <v>85</v>
      </c>
      <c r="K338" s="24">
        <v>44939.000005208334</v>
      </c>
      <c r="L338" s="23">
        <v>1</v>
      </c>
      <c r="M338" s="23" t="s">
        <v>26</v>
      </c>
      <c r="N338" s="25">
        <v>0</v>
      </c>
      <c r="O338" s="26" t="str">
        <f t="shared" si="68"/>
        <v>COIN</v>
      </c>
      <c r="P338" s="26" t="str">
        <f t="shared" si="70"/>
        <v>LONG</v>
      </c>
      <c r="Q338" s="26" t="str">
        <f t="shared" si="71"/>
        <v>COIN LONG</v>
      </c>
      <c r="R338" s="26">
        <v>0</v>
      </c>
      <c r="S338" s="26">
        <v>0</v>
      </c>
      <c r="T338" s="26">
        <v>0</v>
      </c>
      <c r="U338" s="26">
        <v>0</v>
      </c>
      <c r="V338" s="23" t="str">
        <f t="shared" si="69"/>
        <v>OKEX</v>
      </c>
      <c r="W338" t="str">
        <f t="shared" si="72"/>
        <v>ZIL COIN LONG</v>
      </c>
      <c r="X338" s="88" t="s">
        <v>264</v>
      </c>
    </row>
    <row r="339" spans="1:24" x14ac:dyDescent="0.25">
      <c r="A339">
        <v>380</v>
      </c>
      <c r="B339" s="71">
        <v>44939.000005208334</v>
      </c>
      <c r="C339" s="14" t="s">
        <v>45</v>
      </c>
      <c r="D339" s="23" t="s">
        <v>174</v>
      </c>
      <c r="E339" s="23" t="s">
        <v>113</v>
      </c>
      <c r="F339" s="23">
        <v>9.4549999999999994E-5</v>
      </c>
      <c r="G339" s="23">
        <v>3.9850920739355599E-3</v>
      </c>
      <c r="H339" s="23">
        <v>42.1479859749927</v>
      </c>
      <c r="I339" s="23">
        <v>0</v>
      </c>
      <c r="J339" s="23" t="s">
        <v>85</v>
      </c>
      <c r="K339" s="24">
        <v>44939.000005208334</v>
      </c>
      <c r="L339" s="23">
        <v>1</v>
      </c>
      <c r="M339" s="23" t="s">
        <v>113</v>
      </c>
      <c r="N339" s="25">
        <v>0</v>
      </c>
      <c r="O339" s="26" t="str">
        <f t="shared" si="68"/>
        <v>COIN</v>
      </c>
      <c r="P339" s="26" t="str">
        <f t="shared" si="70"/>
        <v>LONG</v>
      </c>
      <c r="Q339" s="26" t="str">
        <f t="shared" si="71"/>
        <v>COIN LONG</v>
      </c>
      <c r="R339" s="26">
        <v>0</v>
      </c>
      <c r="S339" s="26">
        <v>0</v>
      </c>
      <c r="T339" s="26">
        <v>0</v>
      </c>
      <c r="U339" s="26">
        <v>0</v>
      </c>
      <c r="V339" s="23" t="str">
        <f t="shared" si="69"/>
        <v>OKEX</v>
      </c>
      <c r="W339" t="str">
        <f t="shared" si="72"/>
        <v>BSV COIN LONG</v>
      </c>
      <c r="X339" s="88" t="s">
        <v>264</v>
      </c>
    </row>
    <row r="340" spans="1:24" x14ac:dyDescent="0.25">
      <c r="A340">
        <v>381</v>
      </c>
      <c r="B340" s="71">
        <v>44939.000005208334</v>
      </c>
      <c r="C340" s="14" t="s">
        <v>45</v>
      </c>
      <c r="D340" s="23" t="s">
        <v>174</v>
      </c>
      <c r="E340" s="23" t="s">
        <v>22</v>
      </c>
      <c r="F340" s="23">
        <v>1E-8</v>
      </c>
      <c r="G340" s="23">
        <v>5.2294779390740102E-8</v>
      </c>
      <c r="H340" s="23">
        <v>5.2294779390740098</v>
      </c>
      <c r="I340" s="23">
        <v>0</v>
      </c>
      <c r="J340" s="23" t="s">
        <v>85</v>
      </c>
      <c r="K340" s="24">
        <v>44939.000005208334</v>
      </c>
      <c r="L340" s="23">
        <v>1</v>
      </c>
      <c r="M340" s="23" t="s">
        <v>22</v>
      </c>
      <c r="N340" s="25">
        <v>0</v>
      </c>
      <c r="O340" s="26" t="str">
        <f t="shared" si="68"/>
        <v>COIN</v>
      </c>
      <c r="P340" s="26" t="str">
        <f t="shared" si="70"/>
        <v>LONG</v>
      </c>
      <c r="Q340" s="26" t="str">
        <f t="shared" si="71"/>
        <v>COIN LONG</v>
      </c>
      <c r="R340" s="26">
        <v>0</v>
      </c>
      <c r="S340" s="26">
        <v>0</v>
      </c>
      <c r="T340" s="26">
        <v>0</v>
      </c>
      <c r="U340" s="26">
        <v>0</v>
      </c>
      <c r="V340" s="23" t="str">
        <f t="shared" si="69"/>
        <v>OKEX</v>
      </c>
      <c r="W340" t="str">
        <f t="shared" si="72"/>
        <v>DOT COIN LONG</v>
      </c>
      <c r="X340" s="88" t="s">
        <v>264</v>
      </c>
    </row>
    <row r="341" spans="1:24" x14ac:dyDescent="0.25">
      <c r="A341">
        <v>382</v>
      </c>
      <c r="B341" s="71">
        <v>44939.000005208334</v>
      </c>
      <c r="C341" s="14" t="s">
        <v>45</v>
      </c>
      <c r="D341" s="23" t="s">
        <v>174</v>
      </c>
      <c r="E341" s="23" t="s">
        <v>272</v>
      </c>
      <c r="F341" s="23">
        <v>8.7929999999999993E-5</v>
      </c>
      <c r="G341" s="23">
        <v>3.0195983368837601E-4</v>
      </c>
      <c r="H341" s="23">
        <v>3.43409341167265</v>
      </c>
      <c r="I341" s="23">
        <v>0</v>
      </c>
      <c r="J341" s="23" t="s">
        <v>85</v>
      </c>
      <c r="K341" s="24">
        <v>44939.000005208334</v>
      </c>
      <c r="L341" s="23">
        <v>1</v>
      </c>
      <c r="M341" s="23" t="s">
        <v>272</v>
      </c>
      <c r="N341" s="25">
        <v>0</v>
      </c>
      <c r="O341" s="26" t="str">
        <f t="shared" si="68"/>
        <v>COIN</v>
      </c>
      <c r="P341" s="26" t="str">
        <f t="shared" si="70"/>
        <v>LONG</v>
      </c>
      <c r="Q341" s="26" t="str">
        <f t="shared" si="71"/>
        <v>COIN LONG</v>
      </c>
      <c r="R341" s="26">
        <v>0</v>
      </c>
      <c r="S341" s="26">
        <v>0</v>
      </c>
      <c r="T341" s="26">
        <v>0</v>
      </c>
      <c r="U341" s="26">
        <v>0</v>
      </c>
      <c r="V341" s="23" t="str">
        <f t="shared" si="69"/>
        <v>OKEX</v>
      </c>
      <c r="W341" t="str">
        <f t="shared" si="72"/>
        <v>ETHW COIN LONG</v>
      </c>
      <c r="X341" s="88" t="s">
        <v>264</v>
      </c>
    </row>
    <row r="342" spans="1:24" x14ac:dyDescent="0.25">
      <c r="A342">
        <v>383</v>
      </c>
      <c r="B342" s="71">
        <v>44939.000005208334</v>
      </c>
      <c r="C342" s="14" t="s">
        <v>45</v>
      </c>
      <c r="D342" s="23" t="s">
        <v>174</v>
      </c>
      <c r="E342" s="23" t="s">
        <v>24</v>
      </c>
      <c r="F342" s="23">
        <v>1E-8</v>
      </c>
      <c r="G342" s="23">
        <v>8.5964229450756099E-7</v>
      </c>
      <c r="H342" s="23">
        <v>85.964229450756093</v>
      </c>
      <c r="I342" s="23">
        <v>0</v>
      </c>
      <c r="J342" s="23" t="s">
        <v>85</v>
      </c>
      <c r="K342" s="24">
        <v>44939.000005208334</v>
      </c>
      <c r="L342" s="23">
        <v>1</v>
      </c>
      <c r="M342" s="23" t="s">
        <v>24</v>
      </c>
      <c r="N342" s="25">
        <v>0</v>
      </c>
      <c r="O342" s="26" t="str">
        <f t="shared" si="68"/>
        <v>COIN</v>
      </c>
      <c r="P342" s="26" t="str">
        <f t="shared" si="70"/>
        <v>LONG</v>
      </c>
      <c r="Q342" s="26" t="str">
        <f t="shared" si="71"/>
        <v>COIN LONG</v>
      </c>
      <c r="R342" s="26">
        <v>0</v>
      </c>
      <c r="S342" s="26">
        <v>0</v>
      </c>
      <c r="T342" s="26">
        <v>0</v>
      </c>
      <c r="U342" s="26">
        <v>0</v>
      </c>
      <c r="V342" s="23" t="str">
        <f t="shared" si="69"/>
        <v>OKEX</v>
      </c>
      <c r="W342" t="str">
        <f t="shared" si="72"/>
        <v>LTC COIN LONG</v>
      </c>
      <c r="X342" s="88" t="s">
        <v>264</v>
      </c>
    </row>
    <row r="343" spans="1:24" x14ac:dyDescent="0.25">
      <c r="A343">
        <v>384</v>
      </c>
      <c r="B343" s="71">
        <v>44939.000005208334</v>
      </c>
      <c r="C343" s="14" t="s">
        <v>45</v>
      </c>
      <c r="D343" s="23" t="s">
        <v>174</v>
      </c>
      <c r="E343" s="23" t="s">
        <v>37</v>
      </c>
      <c r="F343" s="23">
        <v>10000000000</v>
      </c>
      <c r="G343" s="23">
        <v>94713.833405960599</v>
      </c>
      <c r="H343" s="23">
        <v>9.4713833405960602E-6</v>
      </c>
      <c r="I343" s="23">
        <v>0</v>
      </c>
      <c r="J343" s="23" t="s">
        <v>85</v>
      </c>
      <c r="K343" s="24">
        <v>44939.000005208334</v>
      </c>
      <c r="L343" s="23">
        <v>1</v>
      </c>
      <c r="M343" s="23" t="s">
        <v>37</v>
      </c>
      <c r="N343" s="25">
        <v>0</v>
      </c>
      <c r="O343" s="26" t="str">
        <f t="shared" si="68"/>
        <v>COIN</v>
      </c>
      <c r="P343" s="26" t="str">
        <f t="shared" si="70"/>
        <v>LONG</v>
      </c>
      <c r="Q343" s="26" t="str">
        <f t="shared" si="71"/>
        <v>COIN LONG</v>
      </c>
      <c r="R343" s="26">
        <v>0</v>
      </c>
      <c r="S343" s="26">
        <v>0</v>
      </c>
      <c r="T343" s="26">
        <v>0</v>
      </c>
      <c r="U343" s="26">
        <v>0</v>
      </c>
      <c r="V343" s="23" t="str">
        <f t="shared" si="69"/>
        <v>OKEX</v>
      </c>
      <c r="W343" t="str">
        <f t="shared" si="72"/>
        <v>SHIB COIN LONG</v>
      </c>
      <c r="X343" s="88" t="s">
        <v>264</v>
      </c>
    </row>
    <row r="344" spans="1:24" x14ac:dyDescent="0.25">
      <c r="A344">
        <v>385</v>
      </c>
      <c r="B344" s="71">
        <v>44939.000005208334</v>
      </c>
      <c r="C344" s="14" t="s">
        <v>45</v>
      </c>
      <c r="D344" s="23" t="s">
        <v>174</v>
      </c>
      <c r="E344" s="23" t="s">
        <v>92</v>
      </c>
      <c r="F344" s="23">
        <v>5.2E-7</v>
      </c>
      <c r="G344" s="23">
        <v>5.2003751780624803E-7</v>
      </c>
      <c r="H344" s="23">
        <v>1.0000721496274001</v>
      </c>
      <c r="I344" s="23">
        <v>0</v>
      </c>
      <c r="J344" s="23" t="s">
        <v>85</v>
      </c>
      <c r="K344" s="24">
        <v>44939.000005208334</v>
      </c>
      <c r="L344" s="23">
        <v>1</v>
      </c>
      <c r="M344" s="23" t="s">
        <v>92</v>
      </c>
      <c r="N344" s="25">
        <v>0</v>
      </c>
      <c r="O344" s="26" t="str">
        <f t="shared" si="68"/>
        <v>COIN</v>
      </c>
      <c r="P344" s="26" t="str">
        <f t="shared" si="70"/>
        <v>LONG</v>
      </c>
      <c r="Q344" s="26" t="str">
        <f t="shared" si="71"/>
        <v>COIN LONG</v>
      </c>
      <c r="R344" s="26">
        <v>0</v>
      </c>
      <c r="S344" s="26">
        <v>0</v>
      </c>
      <c r="T344" s="26">
        <v>0</v>
      </c>
      <c r="U344" s="26">
        <v>0</v>
      </c>
      <c r="V344" s="23" t="str">
        <f t="shared" si="69"/>
        <v>OKEX</v>
      </c>
      <c r="W344" t="str">
        <f t="shared" si="72"/>
        <v>USDC COIN LONG</v>
      </c>
      <c r="X344" s="88" t="s">
        <v>264</v>
      </c>
    </row>
    <row r="345" spans="1:24" x14ac:dyDescent="0.25">
      <c r="A345">
        <v>386</v>
      </c>
      <c r="B345" s="71">
        <v>44939.000005208334</v>
      </c>
      <c r="C345" s="14" t="s">
        <v>45</v>
      </c>
      <c r="D345" s="23" t="s">
        <v>174</v>
      </c>
      <c r="E345" s="23" t="s">
        <v>162</v>
      </c>
      <c r="F345" s="23">
        <v>5.47</v>
      </c>
      <c r="G345" s="23">
        <v>1.4939303501530001E-4</v>
      </c>
      <c r="H345" s="23">
        <v>2.7311340953437101E-5</v>
      </c>
      <c r="I345" s="23">
        <v>0</v>
      </c>
      <c r="J345" s="23" t="s">
        <v>85</v>
      </c>
      <c r="K345" s="24">
        <v>44939.000005208334</v>
      </c>
      <c r="L345" s="23">
        <v>1</v>
      </c>
      <c r="M345" s="23" t="s">
        <v>162</v>
      </c>
      <c r="N345" s="25">
        <v>0</v>
      </c>
      <c r="O345" s="26" t="str">
        <f t="shared" si="68"/>
        <v>COIN</v>
      </c>
      <c r="P345" s="26" t="str">
        <f t="shared" si="70"/>
        <v>LONG</v>
      </c>
      <c r="Q345" s="26" t="str">
        <f t="shared" si="71"/>
        <v>COIN LONG</v>
      </c>
      <c r="R345" s="26">
        <v>0</v>
      </c>
      <c r="S345" s="26">
        <v>0</v>
      </c>
      <c r="T345" s="26">
        <v>0</v>
      </c>
      <c r="U345" s="26">
        <v>0</v>
      </c>
      <c r="V345" s="23" t="str">
        <f t="shared" si="69"/>
        <v>OKEX</v>
      </c>
      <c r="W345" t="str">
        <f t="shared" si="72"/>
        <v>XEC COIN LONG</v>
      </c>
      <c r="X345" s="88" t="s">
        <v>264</v>
      </c>
    </row>
    <row r="346" spans="1:24" x14ac:dyDescent="0.25">
      <c r="A346">
        <v>387</v>
      </c>
      <c r="B346" s="71">
        <v>44939.000005208334</v>
      </c>
      <c r="C346" s="14" t="s">
        <v>45</v>
      </c>
      <c r="D346" s="23" t="s">
        <v>174</v>
      </c>
      <c r="E346" s="23" t="s">
        <v>99</v>
      </c>
      <c r="F346" s="23">
        <v>4.4000000000000002E-7</v>
      </c>
      <c r="G346" s="23">
        <v>1.65086742586436E-7</v>
      </c>
      <c r="H346" s="23">
        <v>0.37519714224190098</v>
      </c>
      <c r="I346" s="23">
        <v>0</v>
      </c>
      <c r="J346" s="23" t="s">
        <v>85</v>
      </c>
      <c r="K346" s="24">
        <v>44939.000005208334</v>
      </c>
      <c r="L346" s="23">
        <v>1</v>
      </c>
      <c r="M346" s="23" t="s">
        <v>99</v>
      </c>
      <c r="N346" s="25">
        <v>0</v>
      </c>
      <c r="O346" s="26" t="str">
        <f t="shared" si="68"/>
        <v>COIN</v>
      </c>
      <c r="P346" s="26" t="str">
        <f t="shared" si="70"/>
        <v>LONG</v>
      </c>
      <c r="Q346" s="26" t="str">
        <f t="shared" si="71"/>
        <v>COIN LONG</v>
      </c>
      <c r="R346" s="26">
        <v>0</v>
      </c>
      <c r="S346" s="26">
        <v>0</v>
      </c>
      <c r="T346" s="26">
        <v>0</v>
      </c>
      <c r="U346" s="26">
        <v>0</v>
      </c>
      <c r="V346" s="23" t="str">
        <f t="shared" si="69"/>
        <v>OKEX</v>
      </c>
      <c r="W346" t="str">
        <f t="shared" si="72"/>
        <v>XRP COIN LONG</v>
      </c>
      <c r="X346" s="88" t="s">
        <v>264</v>
      </c>
    </row>
    <row r="347" spans="1:24" x14ac:dyDescent="0.25">
      <c r="A347">
        <v>388</v>
      </c>
      <c r="B347" s="71">
        <v>44939.040304745373</v>
      </c>
      <c r="C347" s="14" t="s">
        <v>176</v>
      </c>
      <c r="D347" s="23" t="s">
        <v>175</v>
      </c>
      <c r="E347" s="23" t="s">
        <v>15</v>
      </c>
      <c r="F347" s="23">
        <v>7.1361999999999999E-4</v>
      </c>
      <c r="G347" s="23">
        <v>1.01186928886262</v>
      </c>
      <c r="H347" s="23">
        <v>1417.9385231112101</v>
      </c>
      <c r="I347" s="23">
        <v>0</v>
      </c>
      <c r="J347" s="23" t="s">
        <v>85</v>
      </c>
      <c r="K347" s="24">
        <v>44939.040304745373</v>
      </c>
      <c r="L347" s="23">
        <v>1</v>
      </c>
      <c r="M347" s="23" t="s">
        <v>15</v>
      </c>
      <c r="N347" s="25">
        <v>0</v>
      </c>
      <c r="O347" s="26" t="str">
        <f t="shared" si="68"/>
        <v>COIN</v>
      </c>
      <c r="P347" s="26" t="str">
        <f t="shared" si="70"/>
        <v>LONG</v>
      </c>
      <c r="Q347" s="26" t="str">
        <f t="shared" si="71"/>
        <v>COIN LONG</v>
      </c>
      <c r="R347" s="26">
        <v>0</v>
      </c>
      <c r="S347" s="26">
        <v>0</v>
      </c>
      <c r="T347" s="26">
        <v>0</v>
      </c>
      <c r="U347" s="26">
        <v>0</v>
      </c>
      <c r="V347" s="23" t="str">
        <f t="shared" si="69"/>
        <v>PITX</v>
      </c>
      <c r="W347" t="str">
        <f t="shared" si="72"/>
        <v>ETH COIN LONG</v>
      </c>
      <c r="X347" s="88" t="s">
        <v>264</v>
      </c>
    </row>
    <row r="348" spans="1:24" x14ac:dyDescent="0.25">
      <c r="A348">
        <v>389</v>
      </c>
      <c r="B348" s="71">
        <v>44939.040304548609</v>
      </c>
      <c r="C348" s="14" t="s">
        <v>176</v>
      </c>
      <c r="D348" s="23" t="s">
        <v>175</v>
      </c>
      <c r="E348" s="23" t="s">
        <v>107</v>
      </c>
      <c r="F348" s="23">
        <v>0.01</v>
      </c>
      <c r="G348" s="23">
        <v>1.0852199999999999E-2</v>
      </c>
      <c r="H348" s="23">
        <v>1.0852200000000001</v>
      </c>
      <c r="I348" s="23">
        <v>0</v>
      </c>
      <c r="J348" s="23" t="s">
        <v>85</v>
      </c>
      <c r="K348" s="24">
        <v>44939.040304548609</v>
      </c>
      <c r="L348" s="23">
        <v>1</v>
      </c>
      <c r="M348" s="23" t="s">
        <v>107</v>
      </c>
      <c r="N348" s="25">
        <v>0</v>
      </c>
      <c r="O348" s="26" t="str">
        <f t="shared" si="68"/>
        <v>CASH</v>
      </c>
      <c r="P348" s="26" t="str">
        <f t="shared" si="70"/>
        <v>LONG</v>
      </c>
      <c r="Q348" s="26" t="str">
        <f t="shared" si="71"/>
        <v>CASH LONG</v>
      </c>
      <c r="R348" s="26">
        <v>0</v>
      </c>
      <c r="S348" s="26">
        <v>0</v>
      </c>
      <c r="T348" s="26">
        <v>0</v>
      </c>
      <c r="U348" s="26">
        <v>0</v>
      </c>
      <c r="V348" s="23" t="str">
        <f t="shared" si="69"/>
        <v>PITX</v>
      </c>
      <c r="W348" t="str">
        <f t="shared" si="72"/>
        <v>EUR CASH LONG</v>
      </c>
      <c r="X348" s="88" t="s">
        <v>264</v>
      </c>
    </row>
    <row r="349" spans="1:24" x14ac:dyDescent="0.25">
      <c r="A349">
        <v>390</v>
      </c>
      <c r="B349" s="71">
        <v>44939.040304548609</v>
      </c>
      <c r="C349" s="14" t="s">
        <v>176</v>
      </c>
      <c r="D349" s="23" t="s">
        <v>175</v>
      </c>
      <c r="E349" s="23" t="s">
        <v>177</v>
      </c>
      <c r="F349" s="23">
        <v>0.01</v>
      </c>
      <c r="G349" s="23">
        <v>1.2211649999999999E-2</v>
      </c>
      <c r="H349" s="23">
        <v>1.2211650000000001</v>
      </c>
      <c r="I349" s="23">
        <v>0</v>
      </c>
      <c r="J349" s="23" t="s">
        <v>85</v>
      </c>
      <c r="K349" s="24">
        <v>44939.040304548609</v>
      </c>
      <c r="L349" s="23">
        <v>1</v>
      </c>
      <c r="M349" s="23" t="s">
        <v>177</v>
      </c>
      <c r="N349" s="25">
        <v>0</v>
      </c>
      <c r="O349" s="26" t="str">
        <f t="shared" si="68"/>
        <v>COIN</v>
      </c>
      <c r="P349" s="26" t="str">
        <f t="shared" si="70"/>
        <v>LONG</v>
      </c>
      <c r="Q349" s="26" t="str">
        <f t="shared" si="71"/>
        <v>COIN LONG</v>
      </c>
      <c r="R349" s="26">
        <v>0</v>
      </c>
      <c r="S349" s="26">
        <v>0</v>
      </c>
      <c r="T349" s="26">
        <v>0</v>
      </c>
      <c r="U349" s="26">
        <v>0</v>
      </c>
      <c r="V349" s="23" t="str">
        <f t="shared" si="69"/>
        <v>PITX</v>
      </c>
      <c r="W349" t="str">
        <f t="shared" si="72"/>
        <v>GBP COIN LONG</v>
      </c>
      <c r="X349" s="88" t="s">
        <v>264</v>
      </c>
    </row>
    <row r="350" spans="1:24" x14ac:dyDescent="0.25">
      <c r="A350">
        <v>391</v>
      </c>
      <c r="B350" s="71">
        <v>44939.040304548609</v>
      </c>
      <c r="C350" s="14" t="s">
        <v>176</v>
      </c>
      <c r="D350" s="23" t="s">
        <v>175</v>
      </c>
      <c r="E350" s="23" t="s">
        <v>179</v>
      </c>
      <c r="F350" s="23">
        <v>0.10983253</v>
      </c>
      <c r="G350" s="23">
        <v>2.6601917850581499E-4</v>
      </c>
      <c r="H350" s="23">
        <v>2.4220436195525599E-3</v>
      </c>
      <c r="I350" s="23">
        <v>0</v>
      </c>
      <c r="J350" s="23" t="s">
        <v>85</v>
      </c>
      <c r="K350" s="24">
        <v>44939.040304548609</v>
      </c>
      <c r="L350" s="23">
        <v>1</v>
      </c>
      <c r="M350" s="23" t="s">
        <v>179</v>
      </c>
      <c r="N350" s="25">
        <v>0</v>
      </c>
      <c r="O350" s="26" t="str">
        <f t="shared" si="68"/>
        <v>COIN</v>
      </c>
      <c r="P350" s="26" t="str">
        <f t="shared" si="70"/>
        <v>LONG</v>
      </c>
      <c r="Q350" s="26" t="str">
        <f t="shared" si="71"/>
        <v>COIN LONG</v>
      </c>
      <c r="R350" s="26">
        <v>0</v>
      </c>
      <c r="S350" s="26">
        <v>0</v>
      </c>
      <c r="T350" s="26">
        <v>0</v>
      </c>
      <c r="U350" s="26">
        <v>0</v>
      </c>
      <c r="V350" s="23" t="str">
        <f t="shared" si="69"/>
        <v>PITX</v>
      </c>
      <c r="W350" t="str">
        <f t="shared" si="72"/>
        <v>TRY COIN LONG</v>
      </c>
      <c r="X350" s="88" t="s">
        <v>264</v>
      </c>
    </row>
    <row r="351" spans="1:24" x14ac:dyDescent="0.25">
      <c r="A351">
        <v>392</v>
      </c>
      <c r="B351" s="71">
        <v>44939.040304548609</v>
      </c>
      <c r="C351" s="14" t="s">
        <v>176</v>
      </c>
      <c r="D351" s="23" t="s">
        <v>175</v>
      </c>
      <c r="E351" s="23" t="s">
        <v>95</v>
      </c>
      <c r="F351" s="23">
        <v>6.5778299999999998E-3</v>
      </c>
      <c r="G351" s="23">
        <v>6.5778299999999998E-3</v>
      </c>
      <c r="H351" s="23">
        <v>1</v>
      </c>
      <c r="I351" s="23">
        <v>0</v>
      </c>
      <c r="J351" s="23" t="s">
        <v>85</v>
      </c>
      <c r="K351" s="24">
        <v>44939.040304548609</v>
      </c>
      <c r="L351" s="23">
        <v>1</v>
      </c>
      <c r="M351" s="23" t="s">
        <v>95</v>
      </c>
      <c r="N351" s="25">
        <v>0</v>
      </c>
      <c r="O351" s="26" t="str">
        <f t="shared" si="68"/>
        <v>CASH</v>
      </c>
      <c r="P351" s="26" t="str">
        <f t="shared" si="70"/>
        <v>LONG</v>
      </c>
      <c r="Q351" s="26" t="str">
        <f t="shared" si="71"/>
        <v>CASH LONG</v>
      </c>
      <c r="R351" s="26">
        <v>0</v>
      </c>
      <c r="S351" s="26">
        <v>0</v>
      </c>
      <c r="T351" s="26">
        <v>0</v>
      </c>
      <c r="U351" s="26">
        <v>0</v>
      </c>
      <c r="V351" s="23" t="str">
        <f t="shared" si="69"/>
        <v>PITX</v>
      </c>
      <c r="W351" t="str">
        <f t="shared" si="72"/>
        <v>USD CASH LONG</v>
      </c>
      <c r="X351" s="88" t="s">
        <v>264</v>
      </c>
    </row>
    <row r="352" spans="1:24" x14ac:dyDescent="0.25">
      <c r="A352">
        <v>393</v>
      </c>
      <c r="B352" s="71">
        <v>44939.040304548609</v>
      </c>
      <c r="C352" s="14" t="s">
        <v>176</v>
      </c>
      <c r="D352" s="23" t="s">
        <v>175</v>
      </c>
      <c r="E352" s="23" t="s">
        <v>38</v>
      </c>
      <c r="F352" s="23">
        <v>9.9996000000000004E-4</v>
      </c>
      <c r="G352" s="23">
        <v>1.0000520455025401E-3</v>
      </c>
      <c r="H352" s="23">
        <v>1.00009204918451</v>
      </c>
      <c r="I352" s="23">
        <v>0</v>
      </c>
      <c r="J352" s="23" t="s">
        <v>85</v>
      </c>
      <c r="K352" s="24">
        <v>44939.040304548609</v>
      </c>
      <c r="L352" s="23">
        <v>1</v>
      </c>
      <c r="M352" s="23" t="s">
        <v>38</v>
      </c>
      <c r="N352" s="25">
        <v>0</v>
      </c>
      <c r="O352" s="26" t="str">
        <f t="shared" si="68"/>
        <v>COIN</v>
      </c>
      <c r="P352" s="26" t="str">
        <f t="shared" si="70"/>
        <v>LONG</v>
      </c>
      <c r="Q352" s="26" t="str">
        <f t="shared" si="71"/>
        <v>COIN LONG</v>
      </c>
      <c r="R352" s="26">
        <v>0</v>
      </c>
      <c r="S352" s="26">
        <v>0</v>
      </c>
      <c r="T352" s="26">
        <v>0</v>
      </c>
      <c r="U352" s="26">
        <v>0</v>
      </c>
      <c r="V352" s="23" t="str">
        <f t="shared" si="69"/>
        <v>PITX</v>
      </c>
      <c r="W352" t="str">
        <f t="shared" si="72"/>
        <v>USDT COIN LONG</v>
      </c>
      <c r="X352" s="88" t="s">
        <v>264</v>
      </c>
    </row>
    <row r="353" spans="1:24" x14ac:dyDescent="0.25">
      <c r="A353">
        <v>394</v>
      </c>
      <c r="B353" s="71">
        <v>44939.040304548609</v>
      </c>
      <c r="C353" s="14" t="s">
        <v>176</v>
      </c>
      <c r="D353" s="23" t="s">
        <v>175</v>
      </c>
      <c r="E353" s="23" t="s">
        <v>163</v>
      </c>
      <c r="F353" s="23">
        <v>9.9999999999999995E-8</v>
      </c>
      <c r="G353" s="23">
        <v>8.1643783905093393E-9</v>
      </c>
      <c r="H353" s="23">
        <v>8.1643783905093401E-2</v>
      </c>
      <c r="I353" s="23">
        <v>0</v>
      </c>
      <c r="J353" s="23" t="s">
        <v>85</v>
      </c>
      <c r="K353" s="24">
        <v>44939.040304548609</v>
      </c>
      <c r="L353" s="23">
        <v>1</v>
      </c>
      <c r="M353" s="23" t="s">
        <v>163</v>
      </c>
      <c r="N353" s="25">
        <v>0</v>
      </c>
      <c r="O353" s="26" t="str">
        <f t="shared" si="68"/>
        <v>COIN</v>
      </c>
      <c r="P353" s="26" t="str">
        <f t="shared" si="70"/>
        <v>LONG</v>
      </c>
      <c r="Q353" s="26" t="str">
        <f t="shared" ref="Q353:Q363" si="73">O353&amp;" "&amp;P353</f>
        <v>COIN LONG</v>
      </c>
      <c r="R353" s="26">
        <v>0</v>
      </c>
      <c r="S353" s="26">
        <v>0</v>
      </c>
      <c r="T353" s="26">
        <v>0</v>
      </c>
      <c r="U353" s="26">
        <v>0</v>
      </c>
      <c r="V353" s="23" t="str">
        <f t="shared" si="69"/>
        <v>PITX</v>
      </c>
      <c r="W353" t="str">
        <f t="shared" si="72"/>
        <v>XLM COIN LONG</v>
      </c>
      <c r="X353" s="88" t="s">
        <v>264</v>
      </c>
    </row>
    <row r="354" spans="1:24" x14ac:dyDescent="0.25">
      <c r="A354">
        <v>395</v>
      </c>
      <c r="B354" s="71">
        <v>44939.000005590278</v>
      </c>
      <c r="C354" s="14" t="s">
        <v>182</v>
      </c>
      <c r="D354" s="23" t="s">
        <v>180</v>
      </c>
      <c r="E354" s="23" t="s">
        <v>181</v>
      </c>
      <c r="F354" s="23">
        <v>3449324.2188823698</v>
      </c>
      <c r="G354" s="23">
        <v>27668.2027522961</v>
      </c>
      <c r="H354" s="23">
        <v>8.0213401224605903E-3</v>
      </c>
      <c r="I354" s="23">
        <v>0</v>
      </c>
      <c r="J354" s="23" t="s">
        <v>85</v>
      </c>
      <c r="K354" s="24">
        <v>44939.000005590278</v>
      </c>
      <c r="L354" s="23">
        <v>1</v>
      </c>
      <c r="M354" s="23" t="s">
        <v>181</v>
      </c>
      <c r="N354" s="25">
        <v>0</v>
      </c>
      <c r="O354" s="26" t="str">
        <f t="shared" si="68"/>
        <v>COIN</v>
      </c>
      <c r="P354" s="26" t="str">
        <f t="shared" si="70"/>
        <v>LONG</v>
      </c>
      <c r="Q354" s="26" t="str">
        <f t="shared" si="73"/>
        <v>COIN LONG</v>
      </c>
      <c r="R354" s="26">
        <v>0</v>
      </c>
      <c r="S354" s="26">
        <v>0</v>
      </c>
      <c r="T354" s="26">
        <v>0</v>
      </c>
      <c r="U354" s="26">
        <v>0</v>
      </c>
      <c r="V354" s="23" t="str">
        <f t="shared" si="69"/>
        <v>SHFT</v>
      </c>
      <c r="W354" t="str">
        <f t="shared" si="72"/>
        <v>SHFT COIN LONG</v>
      </c>
      <c r="X354" s="88" t="s">
        <v>264</v>
      </c>
    </row>
    <row r="355" spans="1:24" x14ac:dyDescent="0.25">
      <c r="A355">
        <v>396</v>
      </c>
      <c r="B355" s="71">
        <v>44939.000000775464</v>
      </c>
      <c r="C355" s="14" t="s">
        <v>184</v>
      </c>
      <c r="D355" s="23" t="s">
        <v>183</v>
      </c>
      <c r="E355" s="23" t="s">
        <v>14</v>
      </c>
      <c r="F355" s="23">
        <v>130.56228007999999</v>
      </c>
      <c r="G355" s="23">
        <v>2463656.4406658001</v>
      </c>
      <c r="H355" s="23">
        <v>18869.5880552655</v>
      </c>
      <c r="I355" s="23">
        <v>0</v>
      </c>
      <c r="J355" s="23" t="s">
        <v>85</v>
      </c>
      <c r="K355" s="24">
        <v>44939.000000775464</v>
      </c>
      <c r="L355" s="23">
        <v>1</v>
      </c>
      <c r="M355" s="23" t="s">
        <v>14</v>
      </c>
      <c r="N355" s="25">
        <v>0</v>
      </c>
      <c r="O355" s="26" t="str">
        <f t="shared" si="68"/>
        <v>COIN</v>
      </c>
      <c r="P355" s="26" t="str">
        <f t="shared" si="70"/>
        <v>LONG</v>
      </c>
      <c r="Q355" s="26" t="str">
        <f t="shared" si="73"/>
        <v>COIN LONG</v>
      </c>
      <c r="R355" s="26">
        <v>0</v>
      </c>
      <c r="S355" s="26">
        <v>0</v>
      </c>
      <c r="T355" s="26">
        <v>0</v>
      </c>
      <c r="U355" s="26">
        <v>0</v>
      </c>
      <c r="V355" s="23" t="str">
        <f t="shared" si="69"/>
        <v>WOOX</v>
      </c>
      <c r="W355" t="str">
        <f t="shared" si="72"/>
        <v>BTC COIN LONG</v>
      </c>
      <c r="X355" s="88" t="s">
        <v>264</v>
      </c>
    </row>
    <row r="356" spans="1:24" x14ac:dyDescent="0.25">
      <c r="A356">
        <v>397</v>
      </c>
      <c r="B356" s="71">
        <v>44939.000000775464</v>
      </c>
      <c r="C356" s="14" t="s">
        <v>184</v>
      </c>
      <c r="D356" s="23" t="s">
        <v>183</v>
      </c>
      <c r="E356" s="23" t="s">
        <v>15</v>
      </c>
      <c r="F356" s="23">
        <v>2169.3453886699999</v>
      </c>
      <c r="G356" s="23">
        <v>3075998.3965288699</v>
      </c>
      <c r="H356" s="23">
        <v>1417.9385231112101</v>
      </c>
      <c r="I356" s="23">
        <v>0</v>
      </c>
      <c r="J356" s="23" t="s">
        <v>85</v>
      </c>
      <c r="K356" s="24">
        <v>44939.000000775464</v>
      </c>
      <c r="L356" s="23">
        <v>1</v>
      </c>
      <c r="M356" s="23" t="s">
        <v>15</v>
      </c>
      <c r="N356" s="25">
        <v>0</v>
      </c>
      <c r="O356" s="26" t="str">
        <f t="shared" si="68"/>
        <v>COIN</v>
      </c>
      <c r="P356" s="26" t="str">
        <f t="shared" si="70"/>
        <v>LONG</v>
      </c>
      <c r="Q356" s="26" t="str">
        <f t="shared" si="73"/>
        <v>COIN LONG</v>
      </c>
      <c r="R356" s="26">
        <v>0</v>
      </c>
      <c r="S356" s="26">
        <v>0</v>
      </c>
      <c r="T356" s="26">
        <v>0</v>
      </c>
      <c r="U356" s="26">
        <v>0</v>
      </c>
      <c r="V356" s="23" t="str">
        <f t="shared" si="69"/>
        <v>WOOX</v>
      </c>
      <c r="W356" t="str">
        <f t="shared" si="72"/>
        <v>ETH COIN LONG</v>
      </c>
      <c r="X356" s="88" t="s">
        <v>264</v>
      </c>
    </row>
    <row r="357" spans="1:24" x14ac:dyDescent="0.25">
      <c r="A357">
        <v>398</v>
      </c>
      <c r="B357" s="71">
        <v>44939.000000775464</v>
      </c>
      <c r="C357" s="14" t="s">
        <v>184</v>
      </c>
      <c r="D357" s="23" t="s">
        <v>183</v>
      </c>
      <c r="E357" s="23" t="s">
        <v>185</v>
      </c>
      <c r="F357" s="23">
        <v>1644286.05309931</v>
      </c>
      <c r="G357" s="23">
        <v>281459.93846142199</v>
      </c>
      <c r="H357" s="23">
        <v>0.17117455805873899</v>
      </c>
      <c r="I357" s="23">
        <v>0</v>
      </c>
      <c r="J357" s="23" t="s">
        <v>85</v>
      </c>
      <c r="K357" s="24">
        <v>44939.000000775464</v>
      </c>
      <c r="L357" s="23">
        <v>1</v>
      </c>
      <c r="M357" s="23" t="s">
        <v>185</v>
      </c>
      <c r="N357" s="25">
        <v>0</v>
      </c>
      <c r="O357" s="26" t="str">
        <f t="shared" si="68"/>
        <v>COIN</v>
      </c>
      <c r="P357" s="26" t="str">
        <f t="shared" si="70"/>
        <v>LONG</v>
      </c>
      <c r="Q357" s="26" t="str">
        <f t="shared" si="73"/>
        <v>COIN LONG</v>
      </c>
      <c r="R357" s="26">
        <v>0</v>
      </c>
      <c r="S357" s="26">
        <v>0</v>
      </c>
      <c r="T357" s="26">
        <v>0</v>
      </c>
      <c r="U357" s="26">
        <v>0</v>
      </c>
      <c r="V357" s="23" t="str">
        <f t="shared" si="69"/>
        <v>WOOX</v>
      </c>
      <c r="W357" t="str">
        <f t="shared" si="72"/>
        <v>WOO COIN LONG</v>
      </c>
      <c r="X357" s="88" t="s">
        <v>264</v>
      </c>
    </row>
    <row r="358" spans="1:24" x14ac:dyDescent="0.25">
      <c r="A358">
        <v>399</v>
      </c>
      <c r="B358" s="71">
        <v>44938.983087002314</v>
      </c>
      <c r="C358" s="14" t="s">
        <v>186</v>
      </c>
      <c r="D358" s="23" t="s">
        <v>186</v>
      </c>
      <c r="E358" s="23" t="s">
        <v>116</v>
      </c>
      <c r="F358" s="23">
        <v>1.34894162</v>
      </c>
      <c r="G358" s="23">
        <v>91.5407114475789</v>
      </c>
      <c r="H358" s="23">
        <v>67.861136531304297</v>
      </c>
      <c r="I358" s="23">
        <v>0</v>
      </c>
      <c r="J358" s="23" t="s">
        <v>85</v>
      </c>
      <c r="K358" s="24">
        <v>44938.983087002314</v>
      </c>
      <c r="L358" s="23">
        <v>1</v>
      </c>
      <c r="M358" s="23" t="s">
        <v>116</v>
      </c>
      <c r="N358" s="25">
        <v>0</v>
      </c>
      <c r="O358" s="26" t="str">
        <f t="shared" si="68"/>
        <v>COIN</v>
      </c>
      <c r="P358" s="26" t="str">
        <f t="shared" si="70"/>
        <v>LONG</v>
      </c>
      <c r="Q358" s="26" t="str">
        <f t="shared" si="73"/>
        <v>COIN LONG</v>
      </c>
      <c r="R358" s="26">
        <v>0</v>
      </c>
      <c r="S358" s="26">
        <v>0</v>
      </c>
      <c r="T358" s="26">
        <v>0</v>
      </c>
      <c r="U358" s="26">
        <v>0</v>
      </c>
      <c r="V358" s="23" t="str">
        <f t="shared" si="69"/>
        <v>FBLK</v>
      </c>
      <c r="W358" t="str">
        <f t="shared" si="72"/>
        <v>AAVE COIN LONG</v>
      </c>
      <c r="X358" s="88" t="s">
        <v>264</v>
      </c>
    </row>
    <row r="359" spans="1:24" x14ac:dyDescent="0.25">
      <c r="A359">
        <v>400</v>
      </c>
      <c r="B359" s="71">
        <v>44938.983087002314</v>
      </c>
      <c r="C359" s="14" t="s">
        <v>186</v>
      </c>
      <c r="D359" s="23" t="s">
        <v>186</v>
      </c>
      <c r="E359" s="23" t="s">
        <v>84</v>
      </c>
      <c r="F359" s="23">
        <v>559</v>
      </c>
      <c r="G359" s="23">
        <v>184.33498738154699</v>
      </c>
      <c r="H359" s="23">
        <v>0.329758474743375</v>
      </c>
      <c r="I359" s="23">
        <v>0</v>
      </c>
      <c r="J359" s="23" t="s">
        <v>85</v>
      </c>
      <c r="K359" s="24">
        <v>44938.983087002314</v>
      </c>
      <c r="L359" s="23">
        <v>1</v>
      </c>
      <c r="M359" s="23" t="s">
        <v>84</v>
      </c>
      <c r="N359" s="25">
        <v>0</v>
      </c>
      <c r="O359" s="26" t="str">
        <f t="shared" si="68"/>
        <v>COIN</v>
      </c>
      <c r="P359" s="26" t="str">
        <f t="shared" si="70"/>
        <v>LONG</v>
      </c>
      <c r="Q359" s="26" t="str">
        <f t="shared" si="73"/>
        <v>COIN LONG</v>
      </c>
      <c r="R359" s="26">
        <v>0</v>
      </c>
      <c r="S359" s="26">
        <v>0</v>
      </c>
      <c r="T359" s="26">
        <v>0</v>
      </c>
      <c r="U359" s="26">
        <v>0</v>
      </c>
      <c r="V359" s="23" t="str">
        <f t="shared" si="69"/>
        <v>FBLK</v>
      </c>
      <c r="W359" t="str">
        <f t="shared" si="72"/>
        <v>ADA COIN LONG</v>
      </c>
      <c r="X359" s="88" t="s">
        <v>264</v>
      </c>
    </row>
    <row r="360" spans="1:24" x14ac:dyDescent="0.25">
      <c r="A360">
        <v>401</v>
      </c>
      <c r="B360" s="71">
        <v>44938.983087002314</v>
      </c>
      <c r="C360" s="14" t="s">
        <v>186</v>
      </c>
      <c r="D360" s="23" t="s">
        <v>186</v>
      </c>
      <c r="E360" s="23" t="s">
        <v>122</v>
      </c>
      <c r="F360" s="23">
        <v>116.66666600000001</v>
      </c>
      <c r="G360" s="23">
        <v>24.794757208932801</v>
      </c>
      <c r="H360" s="23">
        <v>0.21252649157671899</v>
      </c>
      <c r="I360" s="23">
        <v>0</v>
      </c>
      <c r="J360" s="23" t="s">
        <v>85</v>
      </c>
      <c r="K360" s="24">
        <v>44938.983087002314</v>
      </c>
      <c r="L360" s="23">
        <v>1</v>
      </c>
      <c r="M360" s="23" t="s">
        <v>122</v>
      </c>
      <c r="N360" s="25">
        <v>0</v>
      </c>
      <c r="O360" s="26" t="str">
        <f t="shared" si="68"/>
        <v>COIN</v>
      </c>
      <c r="P360" s="26" t="str">
        <f t="shared" si="70"/>
        <v>LONG</v>
      </c>
      <c r="Q360" s="26" t="str">
        <f t="shared" si="73"/>
        <v>COIN LONG</v>
      </c>
      <c r="R360" s="26">
        <v>0</v>
      </c>
      <c r="S360" s="26">
        <v>0</v>
      </c>
      <c r="T360" s="26">
        <v>0</v>
      </c>
      <c r="U360" s="26">
        <v>0</v>
      </c>
      <c r="V360" s="23" t="str">
        <f t="shared" si="69"/>
        <v>FBLK</v>
      </c>
      <c r="W360" t="str">
        <f t="shared" si="72"/>
        <v>ALGO COIN LONG</v>
      </c>
      <c r="X360" s="88" t="s">
        <v>264</v>
      </c>
    </row>
    <row r="361" spans="1:24" x14ac:dyDescent="0.25">
      <c r="A361">
        <v>402</v>
      </c>
      <c r="B361" s="71">
        <v>44938.983087002314</v>
      </c>
      <c r="C361" s="14" t="s">
        <v>186</v>
      </c>
      <c r="D361" s="23" t="s">
        <v>186</v>
      </c>
      <c r="E361" s="23" t="s">
        <v>187</v>
      </c>
      <c r="F361" s="23">
        <v>170.43333855999899</v>
      </c>
      <c r="G361" s="23">
        <v>2634.4478100657702</v>
      </c>
      <c r="H361" s="23">
        <v>15.4573502597811</v>
      </c>
      <c r="I361" s="23">
        <v>0</v>
      </c>
      <c r="J361" s="23" t="s">
        <v>85</v>
      </c>
      <c r="K361" s="24">
        <v>44938.983087002314</v>
      </c>
      <c r="L361" s="23">
        <v>1</v>
      </c>
      <c r="M361" s="23" t="s">
        <v>187</v>
      </c>
      <c r="N361" s="25">
        <v>0</v>
      </c>
      <c r="O361" s="26" t="str">
        <f t="shared" si="68"/>
        <v>COIN</v>
      </c>
      <c r="P361" s="26" t="str">
        <f t="shared" si="70"/>
        <v>LONG</v>
      </c>
      <c r="Q361" s="26" t="str">
        <f t="shared" si="73"/>
        <v>COIN LONG</v>
      </c>
      <c r="R361" s="26">
        <v>0</v>
      </c>
      <c r="S361" s="26">
        <v>0</v>
      </c>
      <c r="T361" s="26">
        <v>0</v>
      </c>
      <c r="U361" s="26">
        <v>0</v>
      </c>
      <c r="V361" s="23" t="str">
        <f t="shared" si="69"/>
        <v>FBLK</v>
      </c>
      <c r="W361" t="str">
        <f t="shared" si="72"/>
        <v>AVAX COIN LONG</v>
      </c>
      <c r="X361" s="88" t="s">
        <v>264</v>
      </c>
    </row>
    <row r="362" spans="1:24" x14ac:dyDescent="0.25">
      <c r="A362">
        <v>403</v>
      </c>
      <c r="B362" s="71">
        <v>44938.983087002314</v>
      </c>
      <c r="C362" s="14" t="s">
        <v>186</v>
      </c>
      <c r="D362" s="23" t="s">
        <v>186</v>
      </c>
      <c r="E362" s="23" t="s">
        <v>124</v>
      </c>
      <c r="F362" s="23">
        <v>333.33333333000002</v>
      </c>
      <c r="G362" s="23">
        <v>68.258005063265003</v>
      </c>
      <c r="H362" s="23">
        <v>0.20477401519184199</v>
      </c>
      <c r="I362" s="23">
        <v>0</v>
      </c>
      <c r="J362" s="23" t="s">
        <v>85</v>
      </c>
      <c r="K362" s="24">
        <v>44938.983087002314</v>
      </c>
      <c r="L362" s="23">
        <v>1</v>
      </c>
      <c r="M362" s="23" t="s">
        <v>124</v>
      </c>
      <c r="N362" s="25">
        <v>0</v>
      </c>
      <c r="O362" s="26" t="str">
        <f t="shared" si="68"/>
        <v>COIN</v>
      </c>
      <c r="P362" s="26" t="str">
        <f t="shared" si="70"/>
        <v>LONG</v>
      </c>
      <c r="Q362" s="26" t="str">
        <f t="shared" si="73"/>
        <v>COIN LONG</v>
      </c>
      <c r="R362" s="26">
        <v>0</v>
      </c>
      <c r="S362" s="26">
        <v>0</v>
      </c>
      <c r="T362" s="26">
        <v>0</v>
      </c>
      <c r="U362" s="26">
        <v>0</v>
      </c>
      <c r="V362" s="23" t="str">
        <f t="shared" si="69"/>
        <v>FBLK</v>
      </c>
      <c r="W362" t="str">
        <f t="shared" si="72"/>
        <v>BAT COIN LONG</v>
      </c>
      <c r="X362" s="88" t="s">
        <v>264</v>
      </c>
    </row>
    <row r="363" spans="1:24" x14ac:dyDescent="0.25">
      <c r="A363">
        <v>404</v>
      </c>
      <c r="B363" s="71">
        <v>44938.983087002314</v>
      </c>
      <c r="C363" s="14" t="s">
        <v>186</v>
      </c>
      <c r="D363" s="23" t="s">
        <v>186</v>
      </c>
      <c r="E363" s="23" t="s">
        <v>20</v>
      </c>
      <c r="F363" s="23">
        <v>5171.2119944799997</v>
      </c>
      <c r="G363" s="23">
        <v>619048.19835457695</v>
      </c>
      <c r="H363" s="23">
        <v>119.710466137412</v>
      </c>
      <c r="I363" s="23">
        <v>0</v>
      </c>
      <c r="J363" s="23" t="s">
        <v>85</v>
      </c>
      <c r="K363" s="24">
        <v>44938.983087002314</v>
      </c>
      <c r="L363" s="23">
        <v>1</v>
      </c>
      <c r="M363" s="23" t="s">
        <v>20</v>
      </c>
      <c r="N363" s="25">
        <v>0</v>
      </c>
      <c r="O363" s="26" t="str">
        <f t="shared" si="68"/>
        <v>COIN</v>
      </c>
      <c r="P363" s="26" t="str">
        <f t="shared" si="70"/>
        <v>LONG</v>
      </c>
      <c r="Q363" s="26" t="str">
        <f t="shared" si="73"/>
        <v>COIN LONG</v>
      </c>
      <c r="R363" s="26">
        <v>0</v>
      </c>
      <c r="S363" s="26">
        <v>0</v>
      </c>
      <c r="T363" s="26">
        <v>0</v>
      </c>
      <c r="U363" s="26">
        <v>0</v>
      </c>
      <c r="V363" s="23" t="str">
        <f t="shared" si="69"/>
        <v>FBLK</v>
      </c>
      <c r="W363" t="str">
        <f t="shared" si="72"/>
        <v>BCH COIN LONG</v>
      </c>
      <c r="X363" s="88" t="s">
        <v>264</v>
      </c>
    </row>
    <row r="364" spans="1:24" x14ac:dyDescent="0.25">
      <c r="A364">
        <v>405</v>
      </c>
      <c r="B364" s="71">
        <v>44938.983087002314</v>
      </c>
      <c r="C364" s="14" t="s">
        <v>186</v>
      </c>
      <c r="D364" s="23" t="s">
        <v>186</v>
      </c>
      <c r="E364" s="23" t="s">
        <v>87</v>
      </c>
      <c r="F364" s="23">
        <v>1.7652E-4</v>
      </c>
      <c r="G364" s="23">
        <v>5.0804633608003198E-2</v>
      </c>
      <c r="H364" s="23">
        <v>287.81233632451398</v>
      </c>
      <c r="I364" s="23">
        <v>0</v>
      </c>
      <c r="J364" s="23" t="s">
        <v>85</v>
      </c>
      <c r="K364" s="24">
        <v>44938.983087002314</v>
      </c>
      <c r="L364" s="23">
        <v>1</v>
      </c>
      <c r="M364" s="23" t="s">
        <v>87</v>
      </c>
      <c r="N364" s="25">
        <v>0</v>
      </c>
      <c r="O364" s="26" t="str">
        <f t="shared" si="68"/>
        <v>COIN</v>
      </c>
      <c r="P364" s="26" t="str">
        <f t="shared" si="70"/>
        <v>LONG</v>
      </c>
      <c r="Q364" s="26" t="str">
        <f>O364&amp;" "&amp;P364</f>
        <v>COIN LONG</v>
      </c>
      <c r="R364" s="26">
        <v>0</v>
      </c>
      <c r="S364" s="26">
        <v>0</v>
      </c>
      <c r="T364" s="26">
        <v>0</v>
      </c>
      <c r="U364" s="26">
        <v>0</v>
      </c>
      <c r="V364" s="23" t="str">
        <f t="shared" si="69"/>
        <v>FBLK</v>
      </c>
      <c r="W364" t="str">
        <f t="shared" si="72"/>
        <v>BNB COIN LONG</v>
      </c>
      <c r="X364" s="88" t="s">
        <v>264</v>
      </c>
    </row>
    <row r="365" spans="1:24" x14ac:dyDescent="0.25">
      <c r="A365">
        <v>406</v>
      </c>
      <c r="B365" s="71">
        <v>44938.983087002314</v>
      </c>
      <c r="C365" s="14" t="s">
        <v>186</v>
      </c>
      <c r="D365" s="23" t="s">
        <v>186</v>
      </c>
      <c r="E365" s="23" t="s">
        <v>14</v>
      </c>
      <c r="F365" s="23">
        <v>135.14263080000001</v>
      </c>
      <c r="G365" s="23">
        <v>2550085.7719008401</v>
      </c>
      <c r="H365" s="23">
        <v>18869.5880552655</v>
      </c>
      <c r="I365" s="23">
        <v>0</v>
      </c>
      <c r="J365" s="23" t="s">
        <v>85</v>
      </c>
      <c r="K365" s="24">
        <v>44938.983087002314</v>
      </c>
      <c r="L365" s="23">
        <v>1</v>
      </c>
      <c r="M365" s="23" t="s">
        <v>14</v>
      </c>
      <c r="N365" s="25">
        <v>0</v>
      </c>
      <c r="O365" s="26" t="str">
        <f t="shared" si="68"/>
        <v>COIN</v>
      </c>
      <c r="P365" s="26" t="str">
        <f t="shared" si="70"/>
        <v>LONG</v>
      </c>
      <c r="Q365" s="26" t="str">
        <f>O365&amp;" "&amp;P365</f>
        <v>COIN LONG</v>
      </c>
      <c r="R365" s="26">
        <v>0</v>
      </c>
      <c r="S365" s="26">
        <v>0</v>
      </c>
      <c r="T365" s="26">
        <v>0</v>
      </c>
      <c r="U365" s="26">
        <v>0</v>
      </c>
      <c r="V365" s="23" t="str">
        <f t="shared" si="69"/>
        <v>FBLK</v>
      </c>
      <c r="W365" t="str">
        <f t="shared" si="72"/>
        <v>BTC COIN LONG</v>
      </c>
      <c r="X365" s="88" t="s">
        <v>264</v>
      </c>
    </row>
    <row r="366" spans="1:24" x14ac:dyDescent="0.25">
      <c r="A366">
        <v>407</v>
      </c>
      <c r="B366" s="71">
        <v>44938.983087002314</v>
      </c>
      <c r="C366" s="14" t="s">
        <v>186</v>
      </c>
      <c r="D366" s="23" t="s">
        <v>186</v>
      </c>
      <c r="E366" s="23" t="s">
        <v>31</v>
      </c>
      <c r="F366" s="23">
        <v>2921.9333411799998</v>
      </c>
      <c r="G366" s="23">
        <v>110175.64054287699</v>
      </c>
      <c r="H366" s="23">
        <v>37.706418209521303</v>
      </c>
      <c r="I366" s="23">
        <v>0</v>
      </c>
      <c r="J366" s="23" t="s">
        <v>85</v>
      </c>
      <c r="K366" s="24">
        <v>44938.983087002314</v>
      </c>
      <c r="L366" s="23">
        <v>1</v>
      </c>
      <c r="M366" s="23" t="s">
        <v>31</v>
      </c>
      <c r="N366" s="25">
        <v>0</v>
      </c>
      <c r="O366" s="26" t="str">
        <f t="shared" si="68"/>
        <v>COIN</v>
      </c>
      <c r="P366" s="26" t="str">
        <f t="shared" si="70"/>
        <v>LONG</v>
      </c>
      <c r="Q366" s="26" t="str">
        <f>O366&amp;" "&amp;P366</f>
        <v>COIN LONG</v>
      </c>
      <c r="R366" s="26">
        <v>0</v>
      </c>
      <c r="S366" s="26">
        <v>0</v>
      </c>
      <c r="T366" s="26">
        <v>0</v>
      </c>
      <c r="U366" s="26">
        <v>0</v>
      </c>
      <c r="V366" s="23" t="str">
        <f t="shared" si="69"/>
        <v>FBLK</v>
      </c>
      <c r="W366" t="str">
        <f t="shared" si="72"/>
        <v>COMP COIN LONG</v>
      </c>
      <c r="X366" s="88" t="s">
        <v>264</v>
      </c>
    </row>
    <row r="367" spans="1:24" x14ac:dyDescent="0.25">
      <c r="A367">
        <v>408</v>
      </c>
      <c r="B367" s="71">
        <v>44938.983087002314</v>
      </c>
      <c r="C367" s="14" t="s">
        <v>186</v>
      </c>
      <c r="D367" s="23" t="s">
        <v>186</v>
      </c>
      <c r="E367" s="23" t="s">
        <v>132</v>
      </c>
      <c r="F367" s="23">
        <v>2.9907231299999899</v>
      </c>
      <c r="G367" s="23">
        <v>147.61158764267699</v>
      </c>
      <c r="H367" s="23">
        <v>49.356487119112799</v>
      </c>
      <c r="I367" s="23">
        <v>0</v>
      </c>
      <c r="J367" s="23" t="s">
        <v>85</v>
      </c>
      <c r="K367" s="24">
        <v>44938.983087002314</v>
      </c>
      <c r="L367" s="23">
        <v>1</v>
      </c>
      <c r="M367" s="23" t="s">
        <v>132</v>
      </c>
      <c r="N367" s="25">
        <v>0</v>
      </c>
      <c r="O367" s="26" t="str">
        <f t="shared" si="68"/>
        <v>COIN</v>
      </c>
      <c r="P367" s="26" t="str">
        <f t="shared" si="70"/>
        <v>LONG</v>
      </c>
      <c r="Q367" s="26" t="str">
        <f>O367&amp;" "&amp;P367</f>
        <v>COIN LONG</v>
      </c>
      <c r="R367" s="26">
        <v>0</v>
      </c>
      <c r="S367" s="26">
        <v>0</v>
      </c>
      <c r="T367" s="26">
        <v>0</v>
      </c>
      <c r="U367" s="26">
        <v>0</v>
      </c>
      <c r="V367" s="23" t="str">
        <f t="shared" si="69"/>
        <v>FBLK</v>
      </c>
      <c r="W367" t="str">
        <f t="shared" si="72"/>
        <v>DASH COIN LONG</v>
      </c>
      <c r="X367" s="88" t="s">
        <v>264</v>
      </c>
    </row>
    <row r="368" spans="1:24" x14ac:dyDescent="0.25">
      <c r="A368">
        <v>409</v>
      </c>
      <c r="B368" s="71">
        <v>44938.983087002314</v>
      </c>
      <c r="C368" s="14" t="s">
        <v>186</v>
      </c>
      <c r="D368" s="23" t="s">
        <v>186</v>
      </c>
      <c r="E368" s="23" t="s">
        <v>190</v>
      </c>
      <c r="F368" s="23">
        <v>2000</v>
      </c>
      <c r="G368" s="23">
        <v>160.571472005229</v>
      </c>
      <c r="H368" s="23">
        <v>8.0285736002614697E-2</v>
      </c>
      <c r="I368" s="23">
        <v>0</v>
      </c>
      <c r="J368" s="23" t="s">
        <v>85</v>
      </c>
      <c r="K368" s="24">
        <v>44938.983087002314</v>
      </c>
      <c r="L368" s="23">
        <v>1</v>
      </c>
      <c r="M368" s="23" t="s">
        <v>190</v>
      </c>
      <c r="N368" s="25">
        <v>0</v>
      </c>
      <c r="O368" s="26" t="str">
        <f t="shared" si="68"/>
        <v>COIN</v>
      </c>
      <c r="P368" s="26" t="str">
        <f t="shared" si="70"/>
        <v>LONG</v>
      </c>
      <c r="Q368" s="26" t="str">
        <f t="shared" ref="Q368:Q406" si="74">O368&amp;" "&amp;P368</f>
        <v>COIN LONG</v>
      </c>
      <c r="R368" s="26">
        <v>0</v>
      </c>
      <c r="S368" s="26">
        <v>0</v>
      </c>
      <c r="T368" s="26">
        <v>0</v>
      </c>
      <c r="U368" s="26">
        <v>0</v>
      </c>
      <c r="V368" s="23" t="str">
        <f t="shared" si="69"/>
        <v>FBLK</v>
      </c>
      <c r="W368" t="str">
        <f t="shared" si="72"/>
        <v>DOGE COIN LONG</v>
      </c>
      <c r="X368" s="88" t="s">
        <v>264</v>
      </c>
    </row>
    <row r="369" spans="1:24" x14ac:dyDescent="0.25">
      <c r="A369">
        <v>410</v>
      </c>
      <c r="B369" s="71">
        <v>44938.983087002314</v>
      </c>
      <c r="C369" s="14" t="s">
        <v>186</v>
      </c>
      <c r="D369" s="23" t="s">
        <v>186</v>
      </c>
      <c r="E369" s="23" t="s">
        <v>22</v>
      </c>
      <c r="F369" s="23">
        <v>322.31185354000002</v>
      </c>
      <c r="G369" s="23">
        <v>1685.5227275894799</v>
      </c>
      <c r="H369" s="23">
        <v>5.2294779390740098</v>
      </c>
      <c r="I369" s="23">
        <v>0</v>
      </c>
      <c r="J369" s="23" t="s">
        <v>85</v>
      </c>
      <c r="K369" s="24">
        <v>44938.983087002314</v>
      </c>
      <c r="L369" s="23">
        <v>1</v>
      </c>
      <c r="M369" s="23" t="s">
        <v>22</v>
      </c>
      <c r="N369" s="25">
        <v>0</v>
      </c>
      <c r="O369" s="26" t="str">
        <f t="shared" si="68"/>
        <v>COIN</v>
      </c>
      <c r="P369" s="26" t="str">
        <f t="shared" si="70"/>
        <v>LONG</v>
      </c>
      <c r="Q369" s="26" t="str">
        <f t="shared" si="74"/>
        <v>COIN LONG</v>
      </c>
      <c r="R369" s="26">
        <v>0</v>
      </c>
      <c r="S369" s="26">
        <v>0</v>
      </c>
      <c r="T369" s="26">
        <v>0</v>
      </c>
      <c r="U369" s="26">
        <v>0</v>
      </c>
      <c r="V369" s="23" t="str">
        <f t="shared" si="69"/>
        <v>FBLK</v>
      </c>
      <c r="W369" t="str">
        <f t="shared" si="72"/>
        <v>DOT COIN LONG</v>
      </c>
      <c r="X369" s="88" t="s">
        <v>264</v>
      </c>
    </row>
    <row r="370" spans="1:24" x14ac:dyDescent="0.25">
      <c r="A370">
        <v>411</v>
      </c>
      <c r="B370" s="71">
        <v>44938.983087002314</v>
      </c>
      <c r="C370" s="14" t="s">
        <v>186</v>
      </c>
      <c r="D370" s="23" t="s">
        <v>186</v>
      </c>
      <c r="E370" s="23" t="s">
        <v>28</v>
      </c>
      <c r="F370" s="23">
        <v>516.67744242000003</v>
      </c>
      <c r="G370" s="23">
        <v>157.11964629923699</v>
      </c>
      <c r="H370" s="23">
        <v>0.304096198903759</v>
      </c>
      <c r="I370" s="23">
        <v>0</v>
      </c>
      <c r="J370" s="23" t="s">
        <v>85</v>
      </c>
      <c r="K370" s="24">
        <v>44938.983087002314</v>
      </c>
      <c r="L370" s="23">
        <v>1</v>
      </c>
      <c r="M370" s="23" t="s">
        <v>28</v>
      </c>
      <c r="N370" s="25">
        <v>0</v>
      </c>
      <c r="O370" s="26" t="str">
        <f t="shared" si="68"/>
        <v>COIN</v>
      </c>
      <c r="P370" s="26" t="str">
        <f t="shared" si="70"/>
        <v>LONG</v>
      </c>
      <c r="Q370" s="26" t="str">
        <f t="shared" si="74"/>
        <v>COIN LONG</v>
      </c>
      <c r="R370" s="26">
        <v>0</v>
      </c>
      <c r="S370" s="26">
        <v>0</v>
      </c>
      <c r="T370" s="26">
        <v>0</v>
      </c>
      <c r="U370" s="26">
        <v>0</v>
      </c>
      <c r="V370" s="23" t="str">
        <f t="shared" si="69"/>
        <v>FBLK</v>
      </c>
      <c r="W370" t="str">
        <f t="shared" si="72"/>
        <v>ENJ COIN LONG</v>
      </c>
      <c r="X370" s="88" t="s">
        <v>264</v>
      </c>
    </row>
    <row r="371" spans="1:24" x14ac:dyDescent="0.25">
      <c r="A371">
        <v>412</v>
      </c>
      <c r="B371" s="71">
        <v>44938.983087002314</v>
      </c>
      <c r="C371" s="14" t="s">
        <v>186</v>
      </c>
      <c r="D371" s="23" t="s">
        <v>186</v>
      </c>
      <c r="E371" s="23" t="s">
        <v>23</v>
      </c>
      <c r="F371" s="23">
        <v>186334.70740000001</v>
      </c>
      <c r="G371" s="23">
        <v>184516.542170873</v>
      </c>
      <c r="H371" s="23">
        <v>0.990242476806942</v>
      </c>
      <c r="I371" s="23">
        <v>0</v>
      </c>
      <c r="J371" s="23" t="s">
        <v>85</v>
      </c>
      <c r="K371" s="24">
        <v>44938.983087002314</v>
      </c>
      <c r="L371" s="23">
        <v>1</v>
      </c>
      <c r="M371" s="23" t="s">
        <v>23</v>
      </c>
      <c r="N371" s="25">
        <v>0</v>
      </c>
      <c r="O371" s="26" t="str">
        <f t="shared" si="68"/>
        <v>COIN</v>
      </c>
      <c r="P371" s="26" t="str">
        <f t="shared" si="70"/>
        <v>LONG</v>
      </c>
      <c r="Q371" s="26" t="str">
        <f t="shared" si="74"/>
        <v>COIN LONG</v>
      </c>
      <c r="R371" s="26">
        <v>0</v>
      </c>
      <c r="S371" s="26">
        <v>0</v>
      </c>
      <c r="T371" s="26">
        <v>0</v>
      </c>
      <c r="U371" s="26">
        <v>0</v>
      </c>
      <c r="V371" s="23" t="str">
        <f t="shared" si="69"/>
        <v>FBLK</v>
      </c>
      <c r="W371" t="str">
        <f t="shared" si="72"/>
        <v>EOS COIN LONG</v>
      </c>
      <c r="X371" s="88" t="s">
        <v>264</v>
      </c>
    </row>
    <row r="372" spans="1:24" x14ac:dyDescent="0.25">
      <c r="A372">
        <v>413</v>
      </c>
      <c r="B372" s="71">
        <v>44938.983087002314</v>
      </c>
      <c r="C372" s="14" t="s">
        <v>186</v>
      </c>
      <c r="D372" s="23" t="s">
        <v>186</v>
      </c>
      <c r="E372" s="23" t="s">
        <v>29</v>
      </c>
      <c r="F372" s="23">
        <v>98844.463872979904</v>
      </c>
      <c r="G372" s="23">
        <v>2067604.59645753</v>
      </c>
      <c r="H372" s="23">
        <v>20.917758217744002</v>
      </c>
      <c r="I372" s="23">
        <v>0</v>
      </c>
      <c r="J372" s="23" t="s">
        <v>85</v>
      </c>
      <c r="K372" s="24">
        <v>44938.983087002314</v>
      </c>
      <c r="L372" s="23">
        <v>1</v>
      </c>
      <c r="M372" s="23" t="s">
        <v>29</v>
      </c>
      <c r="N372" s="25">
        <v>0</v>
      </c>
      <c r="O372" s="26" t="str">
        <f t="shared" si="68"/>
        <v>COIN</v>
      </c>
      <c r="P372" s="26" t="str">
        <f t="shared" si="70"/>
        <v>LONG</v>
      </c>
      <c r="Q372" s="26" t="str">
        <f t="shared" si="74"/>
        <v>COIN LONG</v>
      </c>
      <c r="R372" s="26">
        <v>0</v>
      </c>
      <c r="S372" s="26">
        <v>0</v>
      </c>
      <c r="T372" s="26">
        <v>0</v>
      </c>
      <c r="U372" s="26">
        <v>0</v>
      </c>
      <c r="V372" s="23" t="str">
        <f t="shared" si="69"/>
        <v>FBLK</v>
      </c>
      <c r="W372" t="str">
        <f t="shared" si="72"/>
        <v>ETC COIN LONG</v>
      </c>
      <c r="X372" s="88" t="s">
        <v>264</v>
      </c>
    </row>
    <row r="373" spans="1:24" x14ac:dyDescent="0.25">
      <c r="A373">
        <v>414</v>
      </c>
      <c r="B373" s="71">
        <v>44938.983087002314</v>
      </c>
      <c r="C373" s="14" t="s">
        <v>186</v>
      </c>
      <c r="D373" s="23" t="s">
        <v>186</v>
      </c>
      <c r="E373" s="23" t="s">
        <v>15</v>
      </c>
      <c r="F373" s="23">
        <v>1175.8957334300001</v>
      </c>
      <c r="G373" s="23">
        <v>1667347.8595925099</v>
      </c>
      <c r="H373" s="23">
        <v>1417.9385231112101</v>
      </c>
      <c r="I373" s="23">
        <v>0</v>
      </c>
      <c r="J373" s="23" t="s">
        <v>85</v>
      </c>
      <c r="K373" s="24">
        <v>44938.983087002314</v>
      </c>
      <c r="L373" s="23">
        <v>1</v>
      </c>
      <c r="M373" s="23" t="s">
        <v>15</v>
      </c>
      <c r="N373" s="25">
        <v>0</v>
      </c>
      <c r="O373" s="26" t="str">
        <f t="shared" si="68"/>
        <v>COIN</v>
      </c>
      <c r="P373" s="26" t="str">
        <f t="shared" si="70"/>
        <v>LONG</v>
      </c>
      <c r="Q373" s="26" t="str">
        <f t="shared" si="74"/>
        <v>COIN LONG</v>
      </c>
      <c r="R373" s="26">
        <v>0</v>
      </c>
      <c r="S373" s="26">
        <v>0</v>
      </c>
      <c r="T373" s="26">
        <v>0</v>
      </c>
      <c r="U373" s="26">
        <v>0</v>
      </c>
      <c r="V373" s="23" t="str">
        <f t="shared" si="69"/>
        <v>FBLK</v>
      </c>
      <c r="W373" t="str">
        <f t="shared" si="72"/>
        <v>ETH COIN LONG</v>
      </c>
      <c r="X373" s="88" t="s">
        <v>264</v>
      </c>
    </row>
    <row r="374" spans="1:24" x14ac:dyDescent="0.25">
      <c r="A374">
        <v>415</v>
      </c>
      <c r="B374" s="71">
        <v>44938.983087002314</v>
      </c>
      <c r="C374" s="14" t="s">
        <v>186</v>
      </c>
      <c r="D374" s="23" t="s">
        <v>186</v>
      </c>
      <c r="E374" s="23" t="s">
        <v>272</v>
      </c>
      <c r="F374" s="23">
        <v>1268.1820227400001</v>
      </c>
      <c r="G374" s="23">
        <v>4355.0555290931297</v>
      </c>
      <c r="H374" s="23">
        <v>3.43409341167265</v>
      </c>
      <c r="I374" s="23">
        <v>0</v>
      </c>
      <c r="J374" s="23" t="s">
        <v>85</v>
      </c>
      <c r="K374" s="24">
        <v>44938.983087002314</v>
      </c>
      <c r="L374" s="23">
        <v>1</v>
      </c>
      <c r="M374" s="23" t="s">
        <v>272</v>
      </c>
      <c r="N374" s="25">
        <v>0</v>
      </c>
      <c r="O374" s="26" t="str">
        <f t="shared" si="68"/>
        <v>COIN</v>
      </c>
      <c r="P374" s="26" t="str">
        <f t="shared" si="70"/>
        <v>LONG</v>
      </c>
      <c r="Q374" s="26" t="str">
        <f t="shared" si="74"/>
        <v>COIN LONG</v>
      </c>
      <c r="R374" s="26">
        <v>0</v>
      </c>
      <c r="S374" s="26">
        <v>0</v>
      </c>
      <c r="T374" s="26">
        <v>0</v>
      </c>
      <c r="U374" s="26">
        <v>0</v>
      </c>
      <c r="V374" s="23" t="str">
        <f t="shared" si="69"/>
        <v>FBLK</v>
      </c>
      <c r="W374" t="str">
        <f t="shared" si="72"/>
        <v>ETHW COIN LONG</v>
      </c>
      <c r="X374" s="88" t="s">
        <v>264</v>
      </c>
    </row>
    <row r="375" spans="1:24" x14ac:dyDescent="0.25">
      <c r="A375">
        <v>416</v>
      </c>
      <c r="B375" s="71">
        <v>44938.983087002314</v>
      </c>
      <c r="C375" s="14" t="s">
        <v>186</v>
      </c>
      <c r="D375" s="23" t="s">
        <v>186</v>
      </c>
      <c r="E375" s="23" t="s">
        <v>258</v>
      </c>
      <c r="F375" s="23">
        <v>235746.127034</v>
      </c>
      <c r="G375" s="23">
        <v>255681.53062948701</v>
      </c>
      <c r="H375" s="23">
        <v>1.0845630163527999</v>
      </c>
      <c r="I375" s="23">
        <v>0</v>
      </c>
      <c r="J375" s="23" t="s">
        <v>85</v>
      </c>
      <c r="K375" s="24">
        <v>44938.983087002314</v>
      </c>
      <c r="L375" s="23">
        <v>1</v>
      </c>
      <c r="M375" s="23" t="s">
        <v>258</v>
      </c>
      <c r="N375" s="25">
        <v>0</v>
      </c>
      <c r="O375" s="26" t="str">
        <f t="shared" si="68"/>
        <v>COIN</v>
      </c>
      <c r="P375" s="26" t="str">
        <f t="shared" si="70"/>
        <v>LONG</v>
      </c>
      <c r="Q375" s="26" t="str">
        <f t="shared" si="74"/>
        <v>COIN LONG</v>
      </c>
      <c r="R375" s="26">
        <v>0</v>
      </c>
      <c r="S375" s="26">
        <v>0</v>
      </c>
      <c r="T375" s="26">
        <v>0</v>
      </c>
      <c r="U375" s="26">
        <v>0</v>
      </c>
      <c r="V375" s="23" t="str">
        <f t="shared" si="69"/>
        <v>FBLK</v>
      </c>
      <c r="W375" t="str">
        <f t="shared" si="72"/>
        <v>EUROC COIN LONG</v>
      </c>
      <c r="X375" s="88" t="s">
        <v>264</v>
      </c>
    </row>
    <row r="376" spans="1:24" x14ac:dyDescent="0.25">
      <c r="A376">
        <v>417</v>
      </c>
      <c r="B376" s="71">
        <v>44938.983087002314</v>
      </c>
      <c r="C376" s="14" t="s">
        <v>186</v>
      </c>
      <c r="D376" s="23" t="s">
        <v>186</v>
      </c>
      <c r="E376" s="23" t="s">
        <v>191</v>
      </c>
      <c r="F376" s="23">
        <v>3173.41253207</v>
      </c>
      <c r="G376" s="23">
        <v>867.75962667556405</v>
      </c>
      <c r="H376" s="23">
        <v>0.27344683929559199</v>
      </c>
      <c r="I376" s="23">
        <v>0</v>
      </c>
      <c r="J376" s="23" t="s">
        <v>85</v>
      </c>
      <c r="K376" s="24">
        <v>44938.983087002314</v>
      </c>
      <c r="L376" s="23">
        <v>1</v>
      </c>
      <c r="M376" s="23" t="s">
        <v>191</v>
      </c>
      <c r="N376" s="25">
        <v>0</v>
      </c>
      <c r="O376" s="26" t="str">
        <f t="shared" si="68"/>
        <v>COIN</v>
      </c>
      <c r="P376" s="26" t="str">
        <f t="shared" si="70"/>
        <v>LONG</v>
      </c>
      <c r="Q376" s="26" t="str">
        <f t="shared" si="74"/>
        <v>COIN LONG</v>
      </c>
      <c r="R376" s="26">
        <v>0</v>
      </c>
      <c r="S376" s="26">
        <v>0</v>
      </c>
      <c r="T376" s="26">
        <v>0</v>
      </c>
      <c r="U376" s="26">
        <v>0</v>
      </c>
      <c r="V376" s="23" t="str">
        <f t="shared" si="69"/>
        <v>FBLK</v>
      </c>
      <c r="W376" t="str">
        <f t="shared" si="72"/>
        <v>FTM COIN LONG</v>
      </c>
      <c r="X376" s="88" t="s">
        <v>264</v>
      </c>
    </row>
    <row r="377" spans="1:24" x14ac:dyDescent="0.25">
      <c r="A377">
        <v>418</v>
      </c>
      <c r="B377" s="71">
        <v>44938.983087002314</v>
      </c>
      <c r="C377" s="14" t="s">
        <v>186</v>
      </c>
      <c r="D377" s="23" t="s">
        <v>186</v>
      </c>
      <c r="E377" s="23" t="s">
        <v>109</v>
      </c>
      <c r="F377" s="23">
        <v>2.53888889</v>
      </c>
      <c r="G377" s="23">
        <v>3.5057257739339498</v>
      </c>
      <c r="H377" s="23">
        <v>1.3808110263281099</v>
      </c>
      <c r="I377" s="23">
        <v>0</v>
      </c>
      <c r="J377" s="23" t="s">
        <v>85</v>
      </c>
      <c r="K377" s="24">
        <v>44938.983087002314</v>
      </c>
      <c r="L377" s="23">
        <v>1</v>
      </c>
      <c r="M377" s="23" t="s">
        <v>109</v>
      </c>
      <c r="N377" s="25">
        <v>0</v>
      </c>
      <c r="O377" s="26" t="str">
        <f t="shared" si="68"/>
        <v>COIN</v>
      </c>
      <c r="P377" s="26" t="str">
        <f t="shared" si="70"/>
        <v>LONG</v>
      </c>
      <c r="Q377" s="26" t="str">
        <f t="shared" si="74"/>
        <v>COIN LONG</v>
      </c>
      <c r="R377" s="26">
        <v>0</v>
      </c>
      <c r="S377" s="26">
        <v>0</v>
      </c>
      <c r="T377" s="26">
        <v>0</v>
      </c>
      <c r="U377" s="26">
        <v>0</v>
      </c>
      <c r="V377" s="23" t="str">
        <f t="shared" si="69"/>
        <v>FBLK</v>
      </c>
      <c r="W377" t="str">
        <f t="shared" si="72"/>
        <v>FTT COIN LONG</v>
      </c>
      <c r="X377" s="88" t="s">
        <v>264</v>
      </c>
    </row>
    <row r="378" spans="1:24" x14ac:dyDescent="0.25">
      <c r="A378">
        <v>419</v>
      </c>
      <c r="B378" s="71">
        <v>44938.983087002314</v>
      </c>
      <c r="C378" s="14" t="s">
        <v>186</v>
      </c>
      <c r="D378" s="23" t="s">
        <v>186</v>
      </c>
      <c r="E378" s="23" t="s">
        <v>415</v>
      </c>
      <c r="F378" s="23">
        <v>8497.41400307</v>
      </c>
      <c r="G378" s="23">
        <v>624.57656973889596</v>
      </c>
      <c r="H378" s="23">
        <v>7.3501958303225604E-2</v>
      </c>
      <c r="I378" s="23">
        <v>0</v>
      </c>
      <c r="J378" s="23" t="s">
        <v>85</v>
      </c>
      <c r="K378" s="24">
        <v>44938.983087002314</v>
      </c>
      <c r="L378" s="23">
        <v>1</v>
      </c>
      <c r="M378" s="23" t="s">
        <v>415</v>
      </c>
      <c r="N378" s="25">
        <v>0</v>
      </c>
      <c r="O378" s="26" t="str">
        <f t="shared" si="68"/>
        <v>COIN</v>
      </c>
      <c r="P378" s="26" t="str">
        <f t="shared" si="70"/>
        <v>LONG</v>
      </c>
      <c r="Q378" s="26" t="str">
        <f t="shared" si="74"/>
        <v>COIN LONG</v>
      </c>
      <c r="R378" s="26">
        <v>0</v>
      </c>
      <c r="S378" s="26">
        <v>0</v>
      </c>
      <c r="T378" s="26">
        <v>0</v>
      </c>
      <c r="U378" s="26">
        <v>0</v>
      </c>
      <c r="V378" s="23" t="str">
        <f t="shared" si="69"/>
        <v>FBLK</v>
      </c>
      <c r="W378" t="str">
        <f t="shared" si="72"/>
        <v>GRT COIN LONG</v>
      </c>
      <c r="X378" s="88" t="s">
        <v>264</v>
      </c>
    </row>
    <row r="379" spans="1:24" x14ac:dyDescent="0.25">
      <c r="A379">
        <v>420</v>
      </c>
      <c r="B379" s="71">
        <v>44938.983087002314</v>
      </c>
      <c r="C379" s="14" t="s">
        <v>186</v>
      </c>
      <c r="D379" s="23" t="s">
        <v>186</v>
      </c>
      <c r="E379" s="23" t="s">
        <v>135</v>
      </c>
      <c r="F379" s="23">
        <v>255118.81084801001</v>
      </c>
      <c r="G379" s="23">
        <v>12155.808431128</v>
      </c>
      <c r="H379" s="23">
        <v>4.7647636764699498E-2</v>
      </c>
      <c r="I379" s="23">
        <v>0</v>
      </c>
      <c r="J379" s="23" t="s">
        <v>85</v>
      </c>
      <c r="K379" s="24">
        <v>44938.983087002314</v>
      </c>
      <c r="L379" s="23">
        <v>1</v>
      </c>
      <c r="M379" s="23" t="s">
        <v>135</v>
      </c>
      <c r="N379" s="25">
        <v>0</v>
      </c>
      <c r="O379" s="26" t="str">
        <f t="shared" si="68"/>
        <v>COIN</v>
      </c>
      <c r="P379" s="26" t="str">
        <f t="shared" si="70"/>
        <v>LONG</v>
      </c>
      <c r="Q379" s="26" t="str">
        <f t="shared" si="74"/>
        <v>COIN LONG</v>
      </c>
      <c r="R379" s="26">
        <v>0</v>
      </c>
      <c r="S379" s="26">
        <v>0</v>
      </c>
      <c r="T379" s="26">
        <v>0</v>
      </c>
      <c r="U379" s="26">
        <v>0</v>
      </c>
      <c r="V379" s="23" t="str">
        <f t="shared" si="69"/>
        <v>FBLK</v>
      </c>
      <c r="W379" t="str">
        <f t="shared" si="72"/>
        <v>HBAR COIN LONG</v>
      </c>
      <c r="X379" s="88" t="s">
        <v>264</v>
      </c>
    </row>
    <row r="380" spans="1:24" x14ac:dyDescent="0.25">
      <c r="A380">
        <v>421</v>
      </c>
      <c r="B380" s="71">
        <v>44938.983087002314</v>
      </c>
      <c r="C380" s="14" t="s">
        <v>186</v>
      </c>
      <c r="D380" s="23" t="s">
        <v>186</v>
      </c>
      <c r="E380" s="23" t="s">
        <v>43</v>
      </c>
      <c r="F380" s="23">
        <v>9.2269799999999992E-3</v>
      </c>
      <c r="G380" s="23">
        <v>0.26137888695302802</v>
      </c>
      <c r="H380" s="23">
        <v>28.327674597000101</v>
      </c>
      <c r="I380" s="23">
        <v>0</v>
      </c>
      <c r="J380" s="23" t="s">
        <v>85</v>
      </c>
      <c r="K380" s="24">
        <v>44938.983087002314</v>
      </c>
      <c r="L380" s="23">
        <v>1</v>
      </c>
      <c r="M380" s="23" t="s">
        <v>43</v>
      </c>
      <c r="N380" s="25">
        <v>0</v>
      </c>
      <c r="O380" s="26" t="str">
        <f t="shared" si="68"/>
        <v>COIN</v>
      </c>
      <c r="P380" s="26" t="str">
        <f t="shared" si="70"/>
        <v>LONG</v>
      </c>
      <c r="Q380" s="26" t="str">
        <f t="shared" si="74"/>
        <v>COIN LONG</v>
      </c>
      <c r="R380" s="26">
        <v>0</v>
      </c>
      <c r="S380" s="26">
        <v>0</v>
      </c>
      <c r="T380" s="26">
        <v>0</v>
      </c>
      <c r="U380" s="26">
        <v>0</v>
      </c>
      <c r="V380" s="23" t="str">
        <f t="shared" si="69"/>
        <v>FBLK</v>
      </c>
      <c r="W380" t="str">
        <f t="shared" si="72"/>
        <v>KSM COIN LONG</v>
      </c>
      <c r="X380" s="88" t="s">
        <v>264</v>
      </c>
    </row>
    <row r="381" spans="1:24" x14ac:dyDescent="0.25">
      <c r="A381">
        <v>422</v>
      </c>
      <c r="B381" s="71">
        <v>44938.983087002314</v>
      </c>
      <c r="C381" s="14" t="s">
        <v>186</v>
      </c>
      <c r="D381" s="23" t="s">
        <v>186</v>
      </c>
      <c r="E381" s="23" t="s">
        <v>27</v>
      </c>
      <c r="F381" s="23">
        <v>23.333333329999999</v>
      </c>
      <c r="G381" s="23">
        <v>148.89773620227899</v>
      </c>
      <c r="H381" s="23">
        <v>6.38133155243787</v>
      </c>
      <c r="I381" s="23">
        <v>0</v>
      </c>
      <c r="J381" s="23" t="s">
        <v>85</v>
      </c>
      <c r="K381" s="24">
        <v>44938.983087002314</v>
      </c>
      <c r="L381" s="23">
        <v>1</v>
      </c>
      <c r="M381" s="23" t="s">
        <v>27</v>
      </c>
      <c r="N381" s="25">
        <v>0</v>
      </c>
      <c r="O381" s="26" t="str">
        <f t="shared" si="68"/>
        <v>COIN</v>
      </c>
      <c r="P381" s="26" t="str">
        <f t="shared" si="70"/>
        <v>LONG</v>
      </c>
      <c r="Q381" s="26" t="str">
        <f t="shared" si="74"/>
        <v>COIN LONG</v>
      </c>
      <c r="R381" s="26">
        <v>0</v>
      </c>
      <c r="S381" s="26">
        <v>0</v>
      </c>
      <c r="T381" s="26">
        <v>0</v>
      </c>
      <c r="U381" s="26">
        <v>0</v>
      </c>
      <c r="V381" s="23" t="str">
        <f t="shared" si="69"/>
        <v>FBLK</v>
      </c>
      <c r="W381" t="str">
        <f t="shared" si="72"/>
        <v>LINK COIN LONG</v>
      </c>
      <c r="X381" s="88" t="s">
        <v>264</v>
      </c>
    </row>
    <row r="382" spans="1:24" x14ac:dyDescent="0.25">
      <c r="A382">
        <v>423</v>
      </c>
      <c r="B382" s="71">
        <v>44938.983087002314</v>
      </c>
      <c r="C382" s="14" t="s">
        <v>186</v>
      </c>
      <c r="D382" s="23" t="s">
        <v>186</v>
      </c>
      <c r="E382" s="23" t="s">
        <v>24</v>
      </c>
      <c r="F382" s="23">
        <v>1.6666666699999999</v>
      </c>
      <c r="G382" s="23">
        <v>143.27371603780699</v>
      </c>
      <c r="H382" s="23">
        <v>85.964229450756093</v>
      </c>
      <c r="I382" s="23">
        <v>0</v>
      </c>
      <c r="J382" s="23" t="s">
        <v>85</v>
      </c>
      <c r="K382" s="24">
        <v>44938.983087002314</v>
      </c>
      <c r="L382" s="23">
        <v>1</v>
      </c>
      <c r="M382" s="23" t="s">
        <v>24</v>
      </c>
      <c r="N382" s="25">
        <v>0</v>
      </c>
      <c r="O382" s="26" t="str">
        <f t="shared" si="68"/>
        <v>COIN</v>
      </c>
      <c r="P382" s="26" t="str">
        <f t="shared" si="70"/>
        <v>LONG</v>
      </c>
      <c r="Q382" s="26" t="str">
        <f t="shared" si="74"/>
        <v>COIN LONG</v>
      </c>
      <c r="R382" s="26">
        <v>0</v>
      </c>
      <c r="S382" s="26">
        <v>0</v>
      </c>
      <c r="T382" s="26">
        <v>0</v>
      </c>
      <c r="U382" s="26">
        <v>0</v>
      </c>
      <c r="V382" s="23" t="str">
        <f t="shared" si="69"/>
        <v>FBLK</v>
      </c>
      <c r="W382" t="str">
        <f t="shared" si="72"/>
        <v>LTC COIN LONG</v>
      </c>
      <c r="X382" s="88" t="s">
        <v>264</v>
      </c>
    </row>
    <row r="383" spans="1:24" x14ac:dyDescent="0.25">
      <c r="A383">
        <v>424</v>
      </c>
      <c r="B383" s="71">
        <v>44938.983087002314</v>
      </c>
      <c r="C383" s="14" t="s">
        <v>186</v>
      </c>
      <c r="D383" s="23" t="s">
        <v>186</v>
      </c>
      <c r="E383" s="23" t="s">
        <v>192</v>
      </c>
      <c r="F383" s="23">
        <v>150.97894937000001</v>
      </c>
      <c r="G383" s="23">
        <v>62.271625276872697</v>
      </c>
      <c r="H383" s="23">
        <v>0.41245236860315698</v>
      </c>
      <c r="I383" s="23">
        <v>0</v>
      </c>
      <c r="J383" s="23" t="s">
        <v>85</v>
      </c>
      <c r="K383" s="24">
        <v>44938.983087002314</v>
      </c>
      <c r="L383" s="23">
        <v>1</v>
      </c>
      <c r="M383" s="23" t="s">
        <v>192</v>
      </c>
      <c r="N383" s="25">
        <v>0</v>
      </c>
      <c r="O383" s="26" t="str">
        <f t="shared" si="68"/>
        <v>COIN</v>
      </c>
      <c r="P383" s="26" t="str">
        <f t="shared" si="70"/>
        <v>LONG</v>
      </c>
      <c r="Q383" s="26" t="str">
        <f t="shared" si="74"/>
        <v>COIN LONG</v>
      </c>
      <c r="R383" s="26">
        <v>0</v>
      </c>
      <c r="S383" s="26">
        <v>0</v>
      </c>
      <c r="T383" s="26">
        <v>0</v>
      </c>
      <c r="U383" s="26">
        <v>0</v>
      </c>
      <c r="V383" s="23" t="str">
        <f t="shared" si="69"/>
        <v>FBLK</v>
      </c>
      <c r="W383" t="str">
        <f t="shared" si="72"/>
        <v>MANA COIN LONG</v>
      </c>
      <c r="X383" s="88" t="s">
        <v>264</v>
      </c>
    </row>
    <row r="384" spans="1:24" x14ac:dyDescent="0.25">
      <c r="A384">
        <v>425</v>
      </c>
      <c r="B384" s="71">
        <v>44938.983087002314</v>
      </c>
      <c r="C384" s="14" t="s">
        <v>186</v>
      </c>
      <c r="D384" s="23" t="s">
        <v>186</v>
      </c>
      <c r="E384" s="23" t="s">
        <v>193</v>
      </c>
      <c r="F384" s="23">
        <v>2464.7238741799902</v>
      </c>
      <c r="G384" s="23">
        <v>2258.3996558272402</v>
      </c>
      <c r="H384" s="23">
        <v>0.91628911436523497</v>
      </c>
      <c r="I384" s="23">
        <v>0</v>
      </c>
      <c r="J384" s="23" t="s">
        <v>85</v>
      </c>
      <c r="K384" s="24">
        <v>44938.983087002314</v>
      </c>
      <c r="L384" s="23">
        <v>1</v>
      </c>
      <c r="M384" s="23" t="s">
        <v>193</v>
      </c>
      <c r="N384" s="25">
        <v>0</v>
      </c>
      <c r="O384" s="26" t="str">
        <f t="shared" si="68"/>
        <v>COIN</v>
      </c>
      <c r="P384" s="26" t="str">
        <f t="shared" si="70"/>
        <v>LONG</v>
      </c>
      <c r="Q384" s="26" t="str">
        <f t="shared" si="74"/>
        <v>COIN LONG</v>
      </c>
      <c r="R384" s="26">
        <v>0</v>
      </c>
      <c r="S384" s="26">
        <v>0</v>
      </c>
      <c r="T384" s="26">
        <v>0</v>
      </c>
      <c r="U384" s="26">
        <v>0</v>
      </c>
      <c r="V384" s="23" t="str">
        <f t="shared" si="69"/>
        <v>FBLK</v>
      </c>
      <c r="W384" t="str">
        <f t="shared" si="72"/>
        <v>MATIC COIN LONG</v>
      </c>
      <c r="X384" s="88" t="s">
        <v>264</v>
      </c>
    </row>
    <row r="385" spans="1:24" x14ac:dyDescent="0.25">
      <c r="A385">
        <v>426</v>
      </c>
      <c r="B385" s="71">
        <v>44938.983087002314</v>
      </c>
      <c r="C385" s="14" t="s">
        <v>186</v>
      </c>
      <c r="D385" s="23" t="s">
        <v>186</v>
      </c>
      <c r="E385" s="23" t="s">
        <v>413</v>
      </c>
      <c r="F385" s="23">
        <v>3.27084449</v>
      </c>
      <c r="G385" s="23">
        <v>2134.4735182886802</v>
      </c>
      <c r="H385" s="23">
        <v>652.57566503526505</v>
      </c>
      <c r="I385" s="23">
        <v>0</v>
      </c>
      <c r="J385" s="23" t="s">
        <v>85</v>
      </c>
      <c r="K385" s="24">
        <v>44938.983087002314</v>
      </c>
      <c r="L385" s="23">
        <v>1</v>
      </c>
      <c r="M385" s="23" t="s">
        <v>413</v>
      </c>
      <c r="N385" s="25">
        <v>0</v>
      </c>
      <c r="O385" s="26" t="str">
        <f t="shared" si="68"/>
        <v>COIN</v>
      </c>
      <c r="P385" s="26" t="str">
        <f t="shared" si="70"/>
        <v>LONG</v>
      </c>
      <c r="Q385" s="26" t="str">
        <f t="shared" si="74"/>
        <v>COIN LONG</v>
      </c>
      <c r="R385" s="26">
        <v>0</v>
      </c>
      <c r="S385" s="26">
        <v>0</v>
      </c>
      <c r="T385" s="26">
        <v>0</v>
      </c>
      <c r="U385" s="26">
        <v>0</v>
      </c>
      <c r="V385" s="23" t="str">
        <f t="shared" si="69"/>
        <v>FBLK</v>
      </c>
      <c r="W385" t="str">
        <f t="shared" si="72"/>
        <v>MKR COIN LONG</v>
      </c>
      <c r="X385" s="88" t="s">
        <v>264</v>
      </c>
    </row>
    <row r="386" spans="1:24" x14ac:dyDescent="0.25">
      <c r="A386">
        <v>427</v>
      </c>
      <c r="B386" s="71">
        <v>44938.983087002314</v>
      </c>
      <c r="C386" s="14" t="s">
        <v>186</v>
      </c>
      <c r="D386" s="23" t="s">
        <v>186</v>
      </c>
      <c r="E386" s="23" t="s">
        <v>150</v>
      </c>
      <c r="F386" s="23">
        <v>204.55099999999999</v>
      </c>
      <c r="G386" s="23">
        <v>247.97144936939401</v>
      </c>
      <c r="H386" s="23">
        <v>1.21227199754288</v>
      </c>
      <c r="I386" s="23">
        <v>0</v>
      </c>
      <c r="J386" s="23" t="s">
        <v>85</v>
      </c>
      <c r="K386" s="24">
        <v>44938.983087002314</v>
      </c>
      <c r="L386" s="23">
        <v>1</v>
      </c>
      <c r="M386" s="23" t="s">
        <v>150</v>
      </c>
      <c r="N386" s="25">
        <v>0</v>
      </c>
      <c r="O386" s="26" t="str">
        <f t="shared" ref="O386:O396" si="75">IF($C386="","",IF(OR($E386="USD",$E386="EUR"),"CASH","COIN"))</f>
        <v>COIN</v>
      </c>
      <c r="P386" s="26" t="str">
        <f t="shared" si="70"/>
        <v>LONG</v>
      </c>
      <c r="Q386" s="26" t="str">
        <f t="shared" si="74"/>
        <v>COIN LONG</v>
      </c>
      <c r="R386" s="26">
        <v>0</v>
      </c>
      <c r="S386" s="26">
        <v>0</v>
      </c>
      <c r="T386" s="26">
        <v>0</v>
      </c>
      <c r="U386" s="26">
        <v>0</v>
      </c>
      <c r="V386" s="23" t="str">
        <f t="shared" ref="V386:V449" si="76">IF($C386="","",IF(ISERROR(SEARCH("-",$D386)),$D386,LEFT($D386,SEARCH("-",$D386)-1)))</f>
        <v>FBLK</v>
      </c>
      <c r="W386" t="str">
        <f t="shared" si="72"/>
        <v>OMG COIN LONG</v>
      </c>
      <c r="X386" s="88" t="s">
        <v>264</v>
      </c>
    </row>
    <row r="387" spans="1:24" x14ac:dyDescent="0.25">
      <c r="A387">
        <v>428</v>
      </c>
      <c r="B387" s="71">
        <v>44938.983087002314</v>
      </c>
      <c r="C387" s="14" t="s">
        <v>186</v>
      </c>
      <c r="D387" s="23" t="s">
        <v>186</v>
      </c>
      <c r="E387" s="23" t="s">
        <v>89</v>
      </c>
      <c r="F387" s="23">
        <v>837715.31955742999</v>
      </c>
      <c r="G387" s="23">
        <v>61420.727562620697</v>
      </c>
      <c r="H387" s="23">
        <v>7.3319331912265404E-2</v>
      </c>
      <c r="I387" s="23">
        <v>0</v>
      </c>
      <c r="J387" s="23" t="s">
        <v>85</v>
      </c>
      <c r="K387" s="24">
        <v>44938.983087002314</v>
      </c>
      <c r="L387" s="23">
        <v>1</v>
      </c>
      <c r="M387" s="23" t="s">
        <v>89</v>
      </c>
      <c r="N387" s="25">
        <v>0</v>
      </c>
      <c r="O387" s="26" t="str">
        <f t="shared" si="75"/>
        <v>COIN</v>
      </c>
      <c r="P387" s="26" t="str">
        <f t="shared" ref="P387:P450" si="77">IF($C387="","",IF($J387="CME FUTURE","HEDGE",IF($G387&gt;0,"LONG","SHORT")))</f>
        <v>LONG</v>
      </c>
      <c r="Q387" s="26" t="str">
        <f t="shared" si="74"/>
        <v>COIN LONG</v>
      </c>
      <c r="R387" s="26">
        <v>0</v>
      </c>
      <c r="S387" s="26">
        <v>0</v>
      </c>
      <c r="T387" s="26">
        <v>0</v>
      </c>
      <c r="U387" s="26">
        <v>0</v>
      </c>
      <c r="V387" s="23" t="str">
        <f t="shared" si="76"/>
        <v>FBLK</v>
      </c>
      <c r="W387" t="str">
        <f t="shared" si="72"/>
        <v>OXT COIN LONG</v>
      </c>
      <c r="X387" s="88" t="s">
        <v>264</v>
      </c>
    </row>
    <row r="388" spans="1:24" x14ac:dyDescent="0.25">
      <c r="A388">
        <v>429</v>
      </c>
      <c r="B388" s="71">
        <v>44938.983087002314</v>
      </c>
      <c r="C388" s="14" t="s">
        <v>186</v>
      </c>
      <c r="D388" s="23" t="s">
        <v>186</v>
      </c>
      <c r="E388" s="23" t="s">
        <v>37</v>
      </c>
      <c r="F388" s="23">
        <v>1682891321.7256501</v>
      </c>
      <c r="G388" s="23">
        <v>15939.308828626001</v>
      </c>
      <c r="H388" s="23">
        <v>9.4713833405960602E-6</v>
      </c>
      <c r="I388" s="23">
        <v>0</v>
      </c>
      <c r="J388" s="23" t="s">
        <v>85</v>
      </c>
      <c r="K388" s="24">
        <v>44938.983087002314</v>
      </c>
      <c r="L388" s="23">
        <v>1</v>
      </c>
      <c r="M388" s="23" t="s">
        <v>37</v>
      </c>
      <c r="N388" s="25">
        <v>0</v>
      </c>
      <c r="O388" s="26" t="str">
        <f t="shared" si="75"/>
        <v>COIN</v>
      </c>
      <c r="P388" s="26" t="str">
        <f t="shared" si="77"/>
        <v>LONG</v>
      </c>
      <c r="Q388" s="26" t="str">
        <f t="shared" si="74"/>
        <v>COIN LONG</v>
      </c>
      <c r="R388" s="26">
        <v>0</v>
      </c>
      <c r="S388" s="26">
        <v>0</v>
      </c>
      <c r="T388" s="26">
        <v>0</v>
      </c>
      <c r="U388" s="26">
        <v>0</v>
      </c>
      <c r="V388" s="23" t="str">
        <f t="shared" si="76"/>
        <v>FBLK</v>
      </c>
      <c r="W388" t="str">
        <f t="shared" si="72"/>
        <v>SHIB COIN LONG</v>
      </c>
      <c r="X388" s="88" t="s">
        <v>264</v>
      </c>
    </row>
    <row r="389" spans="1:24" x14ac:dyDescent="0.25">
      <c r="A389">
        <v>430</v>
      </c>
      <c r="B389" s="71">
        <v>44938.983087002314</v>
      </c>
      <c r="C389" s="14" t="s">
        <v>186</v>
      </c>
      <c r="D389" s="23" t="s">
        <v>186</v>
      </c>
      <c r="E389" s="23" t="s">
        <v>154</v>
      </c>
      <c r="F389" s="23">
        <v>11.66666667</v>
      </c>
      <c r="G389" s="23">
        <v>193.888849012995</v>
      </c>
      <c r="H389" s="23">
        <v>16.6190441963655</v>
      </c>
      <c r="I389" s="23">
        <v>0</v>
      </c>
      <c r="J389" s="23" t="s">
        <v>85</v>
      </c>
      <c r="K389" s="24">
        <v>44938.983087002314</v>
      </c>
      <c r="L389" s="23">
        <v>1</v>
      </c>
      <c r="M389" s="23" t="s">
        <v>154</v>
      </c>
      <c r="N389" s="25">
        <v>0</v>
      </c>
      <c r="O389" s="26" t="str">
        <f t="shared" si="75"/>
        <v>COIN</v>
      </c>
      <c r="P389" s="26" t="str">
        <f t="shared" si="77"/>
        <v>LONG</v>
      </c>
      <c r="Q389" s="26" t="str">
        <f t="shared" si="74"/>
        <v>COIN LONG</v>
      </c>
      <c r="R389" s="26">
        <v>0</v>
      </c>
      <c r="S389" s="26">
        <v>0</v>
      </c>
      <c r="T389" s="26">
        <v>0</v>
      </c>
      <c r="U389" s="26">
        <v>0</v>
      </c>
      <c r="V389" s="23" t="str">
        <f t="shared" si="76"/>
        <v>FBLK</v>
      </c>
      <c r="W389" t="str">
        <f t="shared" si="72"/>
        <v>SOL COIN LONG</v>
      </c>
      <c r="X389" s="88" t="s">
        <v>264</v>
      </c>
    </row>
    <row r="390" spans="1:24" x14ac:dyDescent="0.25">
      <c r="A390">
        <v>431</v>
      </c>
      <c r="B390" s="71">
        <v>44938.983087002314</v>
      </c>
      <c r="C390" s="14" t="s">
        <v>186</v>
      </c>
      <c r="D390" s="23" t="s">
        <v>186</v>
      </c>
      <c r="E390" s="23" t="s">
        <v>414</v>
      </c>
      <c r="F390" s="23">
        <v>719.80145141000003</v>
      </c>
      <c r="G390" s="23">
        <v>818.91061212288105</v>
      </c>
      <c r="H390" s="23">
        <v>1.1376895816460699</v>
      </c>
      <c r="I390" s="23">
        <v>0</v>
      </c>
      <c r="J390" s="23" t="s">
        <v>85</v>
      </c>
      <c r="K390" s="24">
        <v>44938.983087002314</v>
      </c>
      <c r="L390" s="23">
        <v>1</v>
      </c>
      <c r="M390" s="23" t="s">
        <v>414</v>
      </c>
      <c r="N390" s="25">
        <v>0</v>
      </c>
      <c r="O390" s="26" t="str">
        <f t="shared" si="75"/>
        <v>COIN</v>
      </c>
      <c r="P390" s="26" t="str">
        <f t="shared" si="77"/>
        <v>LONG</v>
      </c>
      <c r="Q390" s="26" t="str">
        <f t="shared" si="74"/>
        <v>COIN LONG</v>
      </c>
      <c r="R390" s="26">
        <v>0</v>
      </c>
      <c r="S390" s="26">
        <v>0</v>
      </c>
      <c r="T390" s="26">
        <v>0</v>
      </c>
      <c r="U390" s="26">
        <v>0</v>
      </c>
      <c r="V390" s="23" t="str">
        <f t="shared" si="76"/>
        <v>FBLK</v>
      </c>
      <c r="W390" t="str">
        <f t="shared" ref="W390:W453" si="78">IF($C390="","",$M390&amp;" "&amp;$Q390)</f>
        <v>SUSHI COIN LONG</v>
      </c>
      <c r="X390" s="88" t="s">
        <v>264</v>
      </c>
    </row>
    <row r="391" spans="1:24" x14ac:dyDescent="0.25">
      <c r="A391">
        <v>432</v>
      </c>
      <c r="B391" s="71">
        <v>44938.983087002314</v>
      </c>
      <c r="C391" s="14" t="s">
        <v>186</v>
      </c>
      <c r="D391" s="23" t="s">
        <v>186</v>
      </c>
      <c r="E391" s="23" t="s">
        <v>159</v>
      </c>
      <c r="F391" s="23">
        <v>308.31158293999999</v>
      </c>
      <c r="G391" s="23">
        <v>1903.3249551695501</v>
      </c>
      <c r="H391" s="23">
        <v>6.1733812820777398</v>
      </c>
      <c r="I391" s="23">
        <v>0</v>
      </c>
      <c r="J391" s="23" t="s">
        <v>85</v>
      </c>
      <c r="K391" s="24">
        <v>44938.983087002314</v>
      </c>
      <c r="L391" s="23">
        <v>1</v>
      </c>
      <c r="M391" s="23" t="s">
        <v>159</v>
      </c>
      <c r="N391" s="25">
        <v>0</v>
      </c>
      <c r="O391" s="26" t="str">
        <f t="shared" si="75"/>
        <v>COIN</v>
      </c>
      <c r="P391" s="26" t="str">
        <f t="shared" si="77"/>
        <v>LONG</v>
      </c>
      <c r="Q391" s="26" t="str">
        <f t="shared" si="74"/>
        <v>COIN LONG</v>
      </c>
      <c r="R391" s="26">
        <v>0</v>
      </c>
      <c r="S391" s="26">
        <v>0</v>
      </c>
      <c r="T391" s="26">
        <v>0</v>
      </c>
      <c r="U391" s="26">
        <v>0</v>
      </c>
      <c r="V391" s="23" t="str">
        <f t="shared" si="76"/>
        <v>FBLK</v>
      </c>
      <c r="W391" t="str">
        <f t="shared" si="78"/>
        <v>UNI COIN LONG</v>
      </c>
      <c r="X391" s="88" t="s">
        <v>264</v>
      </c>
    </row>
    <row r="392" spans="1:24" x14ac:dyDescent="0.25">
      <c r="A392">
        <v>433</v>
      </c>
      <c r="B392" s="71">
        <v>44938.983087002314</v>
      </c>
      <c r="C392" s="14" t="s">
        <v>186</v>
      </c>
      <c r="D392" s="23" t="s">
        <v>186</v>
      </c>
      <c r="E392" s="23" t="s">
        <v>92</v>
      </c>
      <c r="F392" s="23">
        <v>18401408.683667999</v>
      </c>
      <c r="G392" s="23">
        <v>18402736.3384481</v>
      </c>
      <c r="H392" s="23">
        <v>1.0000721496274001</v>
      </c>
      <c r="I392" s="23">
        <v>0</v>
      </c>
      <c r="J392" s="23" t="s">
        <v>85</v>
      </c>
      <c r="K392" s="24">
        <v>44938.983087002314</v>
      </c>
      <c r="L392" s="23">
        <v>1</v>
      </c>
      <c r="M392" s="23" t="s">
        <v>92</v>
      </c>
      <c r="N392" s="25">
        <v>0</v>
      </c>
      <c r="O392" s="26" t="str">
        <f t="shared" si="75"/>
        <v>COIN</v>
      </c>
      <c r="P392" s="26" t="str">
        <f t="shared" si="77"/>
        <v>LONG</v>
      </c>
      <c r="Q392" s="26" t="str">
        <f t="shared" si="74"/>
        <v>COIN LONG</v>
      </c>
      <c r="R392" s="26">
        <v>0</v>
      </c>
      <c r="S392" s="26">
        <v>0</v>
      </c>
      <c r="T392" s="26">
        <v>0</v>
      </c>
      <c r="U392" s="26">
        <v>0</v>
      </c>
      <c r="V392" s="23" t="str">
        <f t="shared" si="76"/>
        <v>FBLK</v>
      </c>
      <c r="W392" t="str">
        <f t="shared" si="78"/>
        <v>USDC COIN LONG</v>
      </c>
      <c r="X392" s="88" t="s">
        <v>264</v>
      </c>
    </row>
    <row r="393" spans="1:24" x14ac:dyDescent="0.25">
      <c r="A393">
        <v>434</v>
      </c>
      <c r="B393" s="71">
        <v>44938.983087002314</v>
      </c>
      <c r="C393" s="14" t="s">
        <v>186</v>
      </c>
      <c r="D393" s="23" t="s">
        <v>186</v>
      </c>
      <c r="E393" s="23" t="s">
        <v>38</v>
      </c>
      <c r="F393" s="23">
        <v>1579950.0448429999</v>
      </c>
      <c r="G393" s="23">
        <v>1580095.4779562</v>
      </c>
      <c r="H393" s="23">
        <v>1.00009204918451</v>
      </c>
      <c r="I393" s="23">
        <v>0</v>
      </c>
      <c r="J393" s="23" t="s">
        <v>85</v>
      </c>
      <c r="K393" s="24">
        <v>44938.983087002314</v>
      </c>
      <c r="L393" s="23">
        <v>1</v>
      </c>
      <c r="M393" s="23" t="s">
        <v>38</v>
      </c>
      <c r="N393" s="25">
        <v>0</v>
      </c>
      <c r="O393" s="26" t="str">
        <f t="shared" si="75"/>
        <v>COIN</v>
      </c>
      <c r="P393" s="26" t="str">
        <f t="shared" si="77"/>
        <v>LONG</v>
      </c>
      <c r="Q393" s="26" t="str">
        <f t="shared" si="74"/>
        <v>COIN LONG</v>
      </c>
      <c r="R393" s="26">
        <v>0</v>
      </c>
      <c r="S393" s="26">
        <v>0</v>
      </c>
      <c r="T393" s="26">
        <v>0</v>
      </c>
      <c r="U393" s="26">
        <v>0</v>
      </c>
      <c r="V393" s="23" t="str">
        <f t="shared" si="76"/>
        <v>FBLK</v>
      </c>
      <c r="W393" t="str">
        <f t="shared" si="78"/>
        <v>USDT COIN LONG</v>
      </c>
      <c r="X393" s="88" t="s">
        <v>264</v>
      </c>
    </row>
    <row r="394" spans="1:24" x14ac:dyDescent="0.25">
      <c r="A394">
        <v>435</v>
      </c>
      <c r="B394" s="71">
        <v>44938.983087002314</v>
      </c>
      <c r="C394" s="14" t="s">
        <v>186</v>
      </c>
      <c r="D394" s="23" t="s">
        <v>186</v>
      </c>
      <c r="E394" s="23" t="s">
        <v>163</v>
      </c>
      <c r="F394" s="23">
        <v>25070.457326</v>
      </c>
      <c r="G394" s="23">
        <v>2046.8470003258101</v>
      </c>
      <c r="H394" s="23">
        <v>8.1643783905093401E-2</v>
      </c>
      <c r="I394" s="23">
        <v>0</v>
      </c>
      <c r="J394" s="23" t="s">
        <v>85</v>
      </c>
      <c r="K394" s="24">
        <v>44938.983087002314</v>
      </c>
      <c r="L394" s="23">
        <v>1</v>
      </c>
      <c r="M394" s="23" t="s">
        <v>163</v>
      </c>
      <c r="N394" s="25">
        <v>0</v>
      </c>
      <c r="O394" s="26" t="str">
        <f t="shared" si="75"/>
        <v>COIN</v>
      </c>
      <c r="P394" s="26" t="str">
        <f t="shared" si="77"/>
        <v>LONG</v>
      </c>
      <c r="Q394" s="26" t="str">
        <f t="shared" si="74"/>
        <v>COIN LONG</v>
      </c>
      <c r="R394" s="26">
        <v>0</v>
      </c>
      <c r="S394" s="26">
        <v>0</v>
      </c>
      <c r="T394" s="26">
        <v>0</v>
      </c>
      <c r="U394" s="26">
        <v>0</v>
      </c>
      <c r="V394" s="23" t="str">
        <f t="shared" si="76"/>
        <v>FBLK</v>
      </c>
      <c r="W394" t="str">
        <f t="shared" si="78"/>
        <v>XLM COIN LONG</v>
      </c>
      <c r="X394" s="88" t="s">
        <v>264</v>
      </c>
    </row>
    <row r="395" spans="1:24" x14ac:dyDescent="0.25">
      <c r="A395">
        <v>436</v>
      </c>
      <c r="B395" s="71">
        <v>44938.983087002314</v>
      </c>
      <c r="C395" s="14" t="s">
        <v>186</v>
      </c>
      <c r="D395" s="23" t="s">
        <v>186</v>
      </c>
      <c r="E395" s="23" t="s">
        <v>99</v>
      </c>
      <c r="F395" s="23">
        <v>283.58991600000002</v>
      </c>
      <c r="G395" s="23">
        <v>106.40212605182001</v>
      </c>
      <c r="H395" s="23">
        <v>0.37519714224190098</v>
      </c>
      <c r="I395" s="23">
        <v>0</v>
      </c>
      <c r="J395" s="23" t="s">
        <v>85</v>
      </c>
      <c r="K395" s="24">
        <v>44938.983087002314</v>
      </c>
      <c r="L395" s="23">
        <v>1</v>
      </c>
      <c r="M395" s="23" t="s">
        <v>99</v>
      </c>
      <c r="N395" s="25">
        <v>0</v>
      </c>
      <c r="O395" s="26" t="str">
        <f t="shared" si="75"/>
        <v>COIN</v>
      </c>
      <c r="P395" s="26" t="str">
        <f t="shared" si="77"/>
        <v>LONG</v>
      </c>
      <c r="Q395" s="26" t="str">
        <f t="shared" si="74"/>
        <v>COIN LONG</v>
      </c>
      <c r="R395" s="26">
        <v>0</v>
      </c>
      <c r="S395" s="26">
        <v>0</v>
      </c>
      <c r="T395" s="26">
        <v>0</v>
      </c>
      <c r="U395" s="26">
        <v>0</v>
      </c>
      <c r="V395" s="23" t="str">
        <f t="shared" si="76"/>
        <v>FBLK</v>
      </c>
      <c r="W395" t="str">
        <f t="shared" si="78"/>
        <v>XRP COIN LONG</v>
      </c>
      <c r="X395" s="88" t="s">
        <v>264</v>
      </c>
    </row>
    <row r="396" spans="1:24" x14ac:dyDescent="0.25">
      <c r="A396">
        <v>437</v>
      </c>
      <c r="B396" s="71">
        <v>44938.983087002314</v>
      </c>
      <c r="C396" s="14" t="s">
        <v>186</v>
      </c>
      <c r="D396" s="23" t="s">
        <v>186</v>
      </c>
      <c r="E396" s="23" t="s">
        <v>164</v>
      </c>
      <c r="F396" s="23">
        <v>599.81476599999996</v>
      </c>
      <c r="G396" s="23">
        <v>533.37318976092899</v>
      </c>
      <c r="H396" s="23">
        <v>0.88922984226922097</v>
      </c>
      <c r="I396" s="23">
        <v>0</v>
      </c>
      <c r="J396" s="23" t="s">
        <v>85</v>
      </c>
      <c r="K396" s="24">
        <v>44938.983087002314</v>
      </c>
      <c r="L396" s="23">
        <v>1</v>
      </c>
      <c r="M396" s="23" t="s">
        <v>164</v>
      </c>
      <c r="N396" s="25">
        <v>0</v>
      </c>
      <c r="O396" s="26" t="str">
        <f t="shared" si="75"/>
        <v>COIN</v>
      </c>
      <c r="P396" s="26" t="str">
        <f t="shared" si="77"/>
        <v>LONG</v>
      </c>
      <c r="Q396" s="26" t="str">
        <f t="shared" si="74"/>
        <v>COIN LONG</v>
      </c>
      <c r="R396" s="26">
        <v>0</v>
      </c>
      <c r="S396" s="26">
        <v>0</v>
      </c>
      <c r="T396" s="26">
        <v>0</v>
      </c>
      <c r="U396" s="26">
        <v>0</v>
      </c>
      <c r="V396" s="23" t="str">
        <f t="shared" si="76"/>
        <v>FBLK</v>
      </c>
      <c r="W396" t="str">
        <f t="shared" si="78"/>
        <v>XTZ COIN LONG</v>
      </c>
      <c r="X396" s="88" t="s">
        <v>264</v>
      </c>
    </row>
    <row r="397" spans="1:24" x14ac:dyDescent="0.25">
      <c r="A397">
        <v>438</v>
      </c>
      <c r="B397" s="71">
        <v>44938.983087002314</v>
      </c>
      <c r="C397" s="14" t="s">
        <v>186</v>
      </c>
      <c r="D397" s="23" t="s">
        <v>186</v>
      </c>
      <c r="E397" s="23" t="s">
        <v>171</v>
      </c>
      <c r="F397" s="23">
        <v>3.444444E-2</v>
      </c>
      <c r="G397" s="23">
        <v>214.737571186076</v>
      </c>
      <c r="H397" s="23">
        <v>6234.31738724961</v>
      </c>
      <c r="I397" s="23">
        <v>0</v>
      </c>
      <c r="J397" s="23" t="s">
        <v>85</v>
      </c>
      <c r="K397" s="24">
        <v>44938.983087002314</v>
      </c>
      <c r="L397" s="23">
        <v>1</v>
      </c>
      <c r="M397" s="23" t="s">
        <v>171</v>
      </c>
      <c r="N397" s="25">
        <v>0</v>
      </c>
      <c r="O397" s="26" t="str">
        <f>IF($C397="","",IF(OR($E397="USD",$E397="EUR"),"CASH","COIN"))</f>
        <v>COIN</v>
      </c>
      <c r="P397" s="26" t="str">
        <f t="shared" si="77"/>
        <v>LONG</v>
      </c>
      <c r="Q397" s="26" t="str">
        <f t="shared" si="74"/>
        <v>COIN LONG</v>
      </c>
      <c r="R397" s="26">
        <v>0</v>
      </c>
      <c r="S397" s="26">
        <v>0</v>
      </c>
      <c r="T397" s="26">
        <v>0</v>
      </c>
      <c r="U397" s="26">
        <v>0</v>
      </c>
      <c r="V397" s="23" t="str">
        <f t="shared" si="76"/>
        <v>FBLK</v>
      </c>
      <c r="W397" t="str">
        <f t="shared" si="78"/>
        <v>YFI COIN LONG</v>
      </c>
      <c r="X397" s="88" t="s">
        <v>264</v>
      </c>
    </row>
    <row r="398" spans="1:24" x14ac:dyDescent="0.25">
      <c r="A398">
        <v>439</v>
      </c>
      <c r="B398" s="71">
        <v>44939.000002199071</v>
      </c>
      <c r="C398" s="14" t="s">
        <v>11</v>
      </c>
      <c r="D398" s="23" t="s">
        <v>194</v>
      </c>
      <c r="E398" s="23" t="s">
        <v>116</v>
      </c>
      <c r="F398" s="23">
        <v>-900</v>
      </c>
      <c r="G398" s="23">
        <v>-61075.022878173899</v>
      </c>
      <c r="H398" s="23">
        <v>67.861136531304297</v>
      </c>
      <c r="I398" s="23">
        <v>0</v>
      </c>
      <c r="J398" s="23" t="s">
        <v>263</v>
      </c>
      <c r="K398" s="24">
        <v>44939.000002199071</v>
      </c>
      <c r="L398" s="23">
        <v>1</v>
      </c>
      <c r="M398" s="23" t="s">
        <v>116</v>
      </c>
      <c r="N398" s="25">
        <v>0</v>
      </c>
      <c r="O398" s="26" t="str">
        <f>IF($C398="","",IF(OR($E398="USD",$E398="EUR"),"CASH","COIN"))</f>
        <v>COIN</v>
      </c>
      <c r="P398" s="26" t="str">
        <f t="shared" si="77"/>
        <v>SHORT</v>
      </c>
      <c r="Q398" s="26" t="str">
        <f t="shared" si="74"/>
        <v>COIN SHORT</v>
      </c>
      <c r="R398" s="26">
        <v>0</v>
      </c>
      <c r="S398" s="26">
        <v>0</v>
      </c>
      <c r="T398" s="26">
        <v>0</v>
      </c>
      <c r="U398" s="26">
        <v>0</v>
      </c>
      <c r="V398" s="23" t="str">
        <f t="shared" si="76"/>
        <v>BINE</v>
      </c>
      <c r="W398" t="str">
        <f t="shared" si="78"/>
        <v>AAVE COIN SHORT</v>
      </c>
      <c r="X398" s="88" t="s">
        <v>264</v>
      </c>
    </row>
    <row r="399" spans="1:24" x14ac:dyDescent="0.25">
      <c r="A399">
        <v>440</v>
      </c>
      <c r="B399" s="71">
        <v>44939.000002199071</v>
      </c>
      <c r="C399" s="14" t="s">
        <v>11</v>
      </c>
      <c r="D399" s="23" t="s">
        <v>194</v>
      </c>
      <c r="E399" s="23" t="s">
        <v>84</v>
      </c>
      <c r="F399" s="23">
        <v>-450000</v>
      </c>
      <c r="G399" s="23">
        <v>-148391.313634519</v>
      </c>
      <c r="H399" s="23">
        <v>0.329758474743375</v>
      </c>
      <c r="I399" s="23">
        <v>0</v>
      </c>
      <c r="J399" s="23" t="s">
        <v>263</v>
      </c>
      <c r="K399" s="24">
        <v>44939.000002199071</v>
      </c>
      <c r="L399" s="23">
        <v>1</v>
      </c>
      <c r="M399" s="23" t="s">
        <v>84</v>
      </c>
      <c r="N399" s="25">
        <v>0</v>
      </c>
      <c r="O399" s="26" t="str">
        <f t="shared" ref="O399:O462" si="79">IF($C399="","",IF(OR($E399="USD",$E399="EUR"),"CASH","COIN"))</f>
        <v>COIN</v>
      </c>
      <c r="P399" s="26" t="str">
        <f t="shared" si="77"/>
        <v>SHORT</v>
      </c>
      <c r="Q399" s="26" t="str">
        <f t="shared" si="74"/>
        <v>COIN SHORT</v>
      </c>
      <c r="R399" s="26">
        <v>0</v>
      </c>
      <c r="S399" s="26">
        <v>0</v>
      </c>
      <c r="T399" s="26">
        <v>0</v>
      </c>
      <c r="U399" s="26">
        <v>0</v>
      </c>
      <c r="V399" s="23" t="str">
        <f t="shared" si="76"/>
        <v>BINE</v>
      </c>
      <c r="W399" t="str">
        <f t="shared" si="78"/>
        <v>ADA COIN SHORT</v>
      </c>
      <c r="X399" s="88" t="s">
        <v>264</v>
      </c>
    </row>
    <row r="400" spans="1:24" x14ac:dyDescent="0.25">
      <c r="A400">
        <v>441</v>
      </c>
      <c r="B400" s="71">
        <v>44939.000002199071</v>
      </c>
      <c r="C400" s="14" t="s">
        <v>11</v>
      </c>
      <c r="D400" s="23" t="s">
        <v>194</v>
      </c>
      <c r="E400" s="23" t="s">
        <v>122</v>
      </c>
      <c r="F400" s="23">
        <v>-244800</v>
      </c>
      <c r="G400" s="23">
        <v>-52026.485137980802</v>
      </c>
      <c r="H400" s="23">
        <v>0.21252649157671899</v>
      </c>
      <c r="I400" s="23">
        <v>0</v>
      </c>
      <c r="J400" s="23" t="s">
        <v>263</v>
      </c>
      <c r="K400" s="24">
        <v>44939.000002199071</v>
      </c>
      <c r="L400" s="23">
        <v>1</v>
      </c>
      <c r="M400" s="23" t="s">
        <v>122</v>
      </c>
      <c r="N400" s="25">
        <v>0</v>
      </c>
      <c r="O400" s="26" t="str">
        <f t="shared" si="79"/>
        <v>COIN</v>
      </c>
      <c r="P400" s="26" t="str">
        <f t="shared" si="77"/>
        <v>SHORT</v>
      </c>
      <c r="Q400" s="26" t="str">
        <f t="shared" si="74"/>
        <v>COIN SHORT</v>
      </c>
      <c r="R400" s="26">
        <v>0</v>
      </c>
      <c r="S400" s="26">
        <v>0</v>
      </c>
      <c r="T400" s="26">
        <v>0</v>
      </c>
      <c r="U400" s="26">
        <v>0</v>
      </c>
      <c r="V400" s="23" t="str">
        <f t="shared" si="76"/>
        <v>BINE</v>
      </c>
      <c r="W400" t="str">
        <f t="shared" si="78"/>
        <v>ALGO COIN SHORT</v>
      </c>
      <c r="X400" s="88" t="s">
        <v>264</v>
      </c>
    </row>
    <row r="401" spans="1:24" x14ac:dyDescent="0.25">
      <c r="A401">
        <v>442</v>
      </c>
      <c r="B401" s="71">
        <v>44939.000002199071</v>
      </c>
      <c r="C401" s="14" t="s">
        <v>11</v>
      </c>
      <c r="D401" s="23" t="s">
        <v>194</v>
      </c>
      <c r="E401" s="23" t="s">
        <v>187</v>
      </c>
      <c r="F401" s="23">
        <v>-6000</v>
      </c>
      <c r="G401" s="23">
        <v>-92744.101558686598</v>
      </c>
      <c r="H401" s="23">
        <v>15.4573502597811</v>
      </c>
      <c r="I401" s="23">
        <v>0</v>
      </c>
      <c r="J401" s="23" t="s">
        <v>263</v>
      </c>
      <c r="K401" s="24">
        <v>44939.000002199071</v>
      </c>
      <c r="L401" s="23">
        <v>1</v>
      </c>
      <c r="M401" s="23" t="s">
        <v>187</v>
      </c>
      <c r="N401" s="25">
        <v>0</v>
      </c>
      <c r="O401" s="26" t="str">
        <f t="shared" si="79"/>
        <v>COIN</v>
      </c>
      <c r="P401" s="26" t="str">
        <f t="shared" si="77"/>
        <v>SHORT</v>
      </c>
      <c r="Q401" s="26" t="str">
        <f t="shared" si="74"/>
        <v>COIN SHORT</v>
      </c>
      <c r="R401" s="26">
        <v>0</v>
      </c>
      <c r="S401" s="26">
        <v>0</v>
      </c>
      <c r="T401" s="26">
        <v>0</v>
      </c>
      <c r="U401" s="26">
        <v>0</v>
      </c>
      <c r="V401" s="23" t="str">
        <f t="shared" si="76"/>
        <v>BINE</v>
      </c>
      <c r="W401" t="str">
        <f t="shared" si="78"/>
        <v>AVAX COIN SHORT</v>
      </c>
      <c r="X401" s="88" t="s">
        <v>264</v>
      </c>
    </row>
    <row r="402" spans="1:24" x14ac:dyDescent="0.25">
      <c r="A402">
        <v>443</v>
      </c>
      <c r="B402" s="71">
        <v>44939.000002199071</v>
      </c>
      <c r="C402" s="14" t="s">
        <v>11</v>
      </c>
      <c r="D402" s="23" t="s">
        <v>194</v>
      </c>
      <c r="E402" s="23" t="s">
        <v>124</v>
      </c>
      <c r="F402" s="23">
        <v>-200000</v>
      </c>
      <c r="G402" s="23">
        <v>-40954.803038368504</v>
      </c>
      <c r="H402" s="23">
        <v>0.20477401519184199</v>
      </c>
      <c r="I402" s="23">
        <v>0</v>
      </c>
      <c r="J402" s="23" t="s">
        <v>263</v>
      </c>
      <c r="K402" s="24">
        <v>44939.000002199071</v>
      </c>
      <c r="L402" s="23">
        <v>1</v>
      </c>
      <c r="M402" s="23" t="s">
        <v>124</v>
      </c>
      <c r="N402" s="25">
        <v>0</v>
      </c>
      <c r="O402" s="26" t="str">
        <f t="shared" si="79"/>
        <v>COIN</v>
      </c>
      <c r="P402" s="26" t="str">
        <f t="shared" si="77"/>
        <v>SHORT</v>
      </c>
      <c r="Q402" s="26" t="str">
        <f t="shared" si="74"/>
        <v>COIN SHORT</v>
      </c>
      <c r="R402" s="26">
        <v>0</v>
      </c>
      <c r="S402" s="26">
        <v>0</v>
      </c>
      <c r="T402" s="26">
        <v>0</v>
      </c>
      <c r="U402" s="26">
        <v>0</v>
      </c>
      <c r="V402" s="23" t="str">
        <f t="shared" si="76"/>
        <v>BINE</v>
      </c>
      <c r="W402" t="str">
        <f t="shared" si="78"/>
        <v>BAT COIN SHORT</v>
      </c>
      <c r="X402" s="88" t="s">
        <v>264</v>
      </c>
    </row>
    <row r="403" spans="1:24" x14ac:dyDescent="0.25">
      <c r="A403">
        <v>444</v>
      </c>
      <c r="B403" s="71">
        <v>44939.000002199071</v>
      </c>
      <c r="C403" s="14" t="s">
        <v>11</v>
      </c>
      <c r="D403" s="23" t="s">
        <v>194</v>
      </c>
      <c r="E403" s="23" t="s">
        <v>20</v>
      </c>
      <c r="F403" s="23">
        <v>-90</v>
      </c>
      <c r="G403" s="23">
        <v>-10773.941952367</v>
      </c>
      <c r="H403" s="23">
        <v>119.710466137412</v>
      </c>
      <c r="I403" s="23">
        <v>0</v>
      </c>
      <c r="J403" s="23" t="s">
        <v>263</v>
      </c>
      <c r="K403" s="24">
        <v>44939.000002199071</v>
      </c>
      <c r="L403" s="23">
        <v>1</v>
      </c>
      <c r="M403" s="23" t="s">
        <v>20</v>
      </c>
      <c r="N403" s="25">
        <v>0</v>
      </c>
      <c r="O403" s="26" t="str">
        <f t="shared" si="79"/>
        <v>COIN</v>
      </c>
      <c r="P403" s="26" t="str">
        <f t="shared" si="77"/>
        <v>SHORT</v>
      </c>
      <c r="Q403" s="26" t="str">
        <f t="shared" si="74"/>
        <v>COIN SHORT</v>
      </c>
      <c r="R403" s="26">
        <v>0</v>
      </c>
      <c r="S403" s="26">
        <v>0</v>
      </c>
      <c r="T403" s="26">
        <v>0</v>
      </c>
      <c r="U403" s="26">
        <v>0</v>
      </c>
      <c r="V403" s="23" t="str">
        <f t="shared" si="76"/>
        <v>BINE</v>
      </c>
      <c r="W403" t="str">
        <f t="shared" si="78"/>
        <v>BCH COIN SHORT</v>
      </c>
      <c r="X403" s="88" t="s">
        <v>264</v>
      </c>
    </row>
    <row r="404" spans="1:24" x14ac:dyDescent="0.25">
      <c r="A404">
        <v>445</v>
      </c>
      <c r="B404" s="71">
        <v>44939.000002199071</v>
      </c>
      <c r="C404" s="14" t="s">
        <v>11</v>
      </c>
      <c r="D404" s="23" t="s">
        <v>194</v>
      </c>
      <c r="E404" s="23" t="s">
        <v>31</v>
      </c>
      <c r="F404" s="23">
        <v>-4800</v>
      </c>
      <c r="G404" s="23">
        <v>-180990.80740570201</v>
      </c>
      <c r="H404" s="23">
        <v>37.706418209521303</v>
      </c>
      <c r="I404" s="23">
        <v>0</v>
      </c>
      <c r="J404" s="23" t="s">
        <v>263</v>
      </c>
      <c r="K404" s="24">
        <v>44939.000002199071</v>
      </c>
      <c r="L404" s="23">
        <v>1</v>
      </c>
      <c r="M404" s="23" t="s">
        <v>31</v>
      </c>
      <c r="N404" s="25">
        <v>0</v>
      </c>
      <c r="O404" s="26" t="str">
        <f t="shared" si="79"/>
        <v>COIN</v>
      </c>
      <c r="P404" s="26" t="str">
        <f t="shared" si="77"/>
        <v>SHORT</v>
      </c>
      <c r="Q404" s="26" t="str">
        <f t="shared" si="74"/>
        <v>COIN SHORT</v>
      </c>
      <c r="R404" s="26">
        <v>0</v>
      </c>
      <c r="S404" s="26">
        <v>0</v>
      </c>
      <c r="T404" s="26">
        <v>0</v>
      </c>
      <c r="U404" s="26">
        <v>0</v>
      </c>
      <c r="V404" s="23" t="str">
        <f t="shared" si="76"/>
        <v>BINE</v>
      </c>
      <c r="W404" t="str">
        <f t="shared" si="78"/>
        <v>COMP COIN SHORT</v>
      </c>
      <c r="X404" s="88" t="s">
        <v>264</v>
      </c>
    </row>
    <row r="405" spans="1:24" x14ac:dyDescent="0.25">
      <c r="A405">
        <v>446</v>
      </c>
      <c r="B405" s="71">
        <v>44939.000002199071</v>
      </c>
      <c r="C405" s="14" t="s">
        <v>11</v>
      </c>
      <c r="D405" s="23" t="s">
        <v>194</v>
      </c>
      <c r="E405" s="23" t="s">
        <v>132</v>
      </c>
      <c r="F405" s="23">
        <v>-1000</v>
      </c>
      <c r="G405" s="23">
        <v>-49356.487119112797</v>
      </c>
      <c r="H405" s="23">
        <v>49.356487119112799</v>
      </c>
      <c r="I405" s="23">
        <v>0</v>
      </c>
      <c r="J405" s="23" t="s">
        <v>263</v>
      </c>
      <c r="K405" s="24">
        <v>44939.000002199071</v>
      </c>
      <c r="L405" s="23">
        <v>1</v>
      </c>
      <c r="M405" s="23" t="s">
        <v>132</v>
      </c>
      <c r="N405" s="25">
        <v>0</v>
      </c>
      <c r="O405" s="26" t="str">
        <f t="shared" si="79"/>
        <v>COIN</v>
      </c>
      <c r="P405" s="26" t="str">
        <f t="shared" si="77"/>
        <v>SHORT</v>
      </c>
      <c r="Q405" s="26" t="str">
        <f t="shared" si="74"/>
        <v>COIN SHORT</v>
      </c>
      <c r="R405" s="26">
        <v>0</v>
      </c>
      <c r="S405" s="26">
        <v>0</v>
      </c>
      <c r="T405" s="26">
        <v>0</v>
      </c>
      <c r="U405" s="26">
        <v>0</v>
      </c>
      <c r="V405" s="23" t="str">
        <f t="shared" si="76"/>
        <v>BINE</v>
      </c>
      <c r="W405" t="str">
        <f t="shared" si="78"/>
        <v>DASH COIN SHORT</v>
      </c>
      <c r="X405" s="88" t="s">
        <v>264</v>
      </c>
    </row>
    <row r="406" spans="1:24" x14ac:dyDescent="0.25">
      <c r="A406">
        <v>447</v>
      </c>
      <c r="B406" s="71">
        <v>44939.000002199071</v>
      </c>
      <c r="C406" s="14" t="s">
        <v>11</v>
      </c>
      <c r="D406" s="23" t="s">
        <v>194</v>
      </c>
      <c r="E406" s="23" t="s">
        <v>190</v>
      </c>
      <c r="F406" s="23">
        <v>-1100000</v>
      </c>
      <c r="G406" s="23">
        <v>-88314.309602876194</v>
      </c>
      <c r="H406" s="23">
        <v>8.0285736002614697E-2</v>
      </c>
      <c r="I406" s="23">
        <v>0</v>
      </c>
      <c r="J406" s="23" t="s">
        <v>263</v>
      </c>
      <c r="K406" s="24">
        <v>44939.000002199071</v>
      </c>
      <c r="L406" s="23">
        <v>1</v>
      </c>
      <c r="M406" s="23" t="s">
        <v>190</v>
      </c>
      <c r="N406" s="25">
        <v>0</v>
      </c>
      <c r="O406" s="26" t="str">
        <f t="shared" si="79"/>
        <v>COIN</v>
      </c>
      <c r="P406" s="26" t="str">
        <f t="shared" si="77"/>
        <v>SHORT</v>
      </c>
      <c r="Q406" s="26" t="str">
        <f t="shared" si="74"/>
        <v>COIN SHORT</v>
      </c>
      <c r="R406" s="26">
        <v>0</v>
      </c>
      <c r="S406" s="26">
        <v>0</v>
      </c>
      <c r="T406" s="26">
        <v>0</v>
      </c>
      <c r="U406" s="26">
        <v>0</v>
      </c>
      <c r="V406" s="23" t="str">
        <f t="shared" si="76"/>
        <v>BINE</v>
      </c>
      <c r="W406" t="str">
        <f t="shared" si="78"/>
        <v>DOGE COIN SHORT</v>
      </c>
      <c r="X406" s="88" t="s">
        <v>264</v>
      </c>
    </row>
    <row r="407" spans="1:24" x14ac:dyDescent="0.25">
      <c r="A407">
        <v>448</v>
      </c>
      <c r="B407" s="71">
        <v>44939.000002199071</v>
      </c>
      <c r="C407" s="14" t="s">
        <v>11</v>
      </c>
      <c r="D407" s="23" t="s">
        <v>194</v>
      </c>
      <c r="E407" s="23" t="s">
        <v>22</v>
      </c>
      <c r="F407" s="23">
        <v>-10000</v>
      </c>
      <c r="G407" s="23">
        <v>-52294.779390740099</v>
      </c>
      <c r="H407" s="23">
        <v>5.2294779390740098</v>
      </c>
      <c r="I407" s="23">
        <v>0</v>
      </c>
      <c r="J407" s="23" t="s">
        <v>263</v>
      </c>
      <c r="K407" s="24">
        <v>44939.000002199071</v>
      </c>
      <c r="L407" s="23">
        <v>1</v>
      </c>
      <c r="M407" s="23" t="s">
        <v>22</v>
      </c>
      <c r="N407" s="25">
        <v>0</v>
      </c>
      <c r="O407" s="26" t="str">
        <f t="shared" si="79"/>
        <v>COIN</v>
      </c>
      <c r="P407" s="26" t="str">
        <f t="shared" si="77"/>
        <v>SHORT</v>
      </c>
      <c r="Q407" s="26" t="str">
        <f t="shared" ref="Q407:Q417" si="80">O407&amp;" "&amp;P407</f>
        <v>COIN SHORT</v>
      </c>
      <c r="R407" s="26">
        <v>0</v>
      </c>
      <c r="S407" s="26">
        <v>0</v>
      </c>
      <c r="T407" s="26">
        <v>0</v>
      </c>
      <c r="U407" s="26">
        <v>0</v>
      </c>
      <c r="V407" s="23" t="str">
        <f t="shared" si="76"/>
        <v>BINE</v>
      </c>
      <c r="W407" t="str">
        <f t="shared" si="78"/>
        <v>DOT COIN SHORT</v>
      </c>
      <c r="X407" s="88" t="s">
        <v>264</v>
      </c>
    </row>
    <row r="408" spans="1:24" x14ac:dyDescent="0.25">
      <c r="A408">
        <v>449</v>
      </c>
      <c r="B408" s="71">
        <v>44939.000002199071</v>
      </c>
      <c r="C408" s="14" t="s">
        <v>11</v>
      </c>
      <c r="D408" s="23" t="s">
        <v>194</v>
      </c>
      <c r="E408" s="23" t="s">
        <v>28</v>
      </c>
      <c r="F408" s="23">
        <v>-60000</v>
      </c>
      <c r="G408" s="23">
        <v>-18245.7719342255</v>
      </c>
      <c r="H408" s="23">
        <v>0.304096198903759</v>
      </c>
      <c r="I408" s="23">
        <v>0</v>
      </c>
      <c r="J408" s="23" t="s">
        <v>263</v>
      </c>
      <c r="K408" s="24">
        <v>44939.000002199071</v>
      </c>
      <c r="L408" s="23">
        <v>1</v>
      </c>
      <c r="M408" s="23" t="s">
        <v>28</v>
      </c>
      <c r="N408" s="25">
        <v>0</v>
      </c>
      <c r="O408" s="26" t="str">
        <f t="shared" si="79"/>
        <v>COIN</v>
      </c>
      <c r="P408" s="26" t="str">
        <f t="shared" si="77"/>
        <v>SHORT</v>
      </c>
      <c r="Q408" s="26" t="str">
        <f t="shared" si="80"/>
        <v>COIN SHORT</v>
      </c>
      <c r="R408" s="26">
        <v>0</v>
      </c>
      <c r="S408" s="26">
        <v>0</v>
      </c>
      <c r="T408" s="26">
        <v>0</v>
      </c>
      <c r="U408" s="26">
        <v>0</v>
      </c>
      <c r="V408" s="23" t="str">
        <f t="shared" si="76"/>
        <v>BINE</v>
      </c>
      <c r="W408" t="str">
        <f t="shared" si="78"/>
        <v>ENJ COIN SHORT</v>
      </c>
      <c r="X408" s="88" t="s">
        <v>264</v>
      </c>
    </row>
    <row r="409" spans="1:24" x14ac:dyDescent="0.25">
      <c r="A409">
        <v>450</v>
      </c>
      <c r="B409" s="71">
        <v>44939.000002199071</v>
      </c>
      <c r="C409" s="14" t="s">
        <v>11</v>
      </c>
      <c r="D409" s="23" t="s">
        <v>194</v>
      </c>
      <c r="E409" s="23" t="s">
        <v>23</v>
      </c>
      <c r="F409" s="23">
        <v>-115336.6</v>
      </c>
      <c r="G409" s="23">
        <v>-114211.200450491</v>
      </c>
      <c r="H409" s="23">
        <v>0.990242476806942</v>
      </c>
      <c r="I409" s="23">
        <v>0</v>
      </c>
      <c r="J409" s="23" t="s">
        <v>263</v>
      </c>
      <c r="K409" s="24">
        <v>44939.000002199071</v>
      </c>
      <c r="L409" s="23">
        <v>1</v>
      </c>
      <c r="M409" s="23" t="s">
        <v>23</v>
      </c>
      <c r="N409" s="25">
        <v>0</v>
      </c>
      <c r="O409" s="26" t="str">
        <f t="shared" si="79"/>
        <v>COIN</v>
      </c>
      <c r="P409" s="26" t="str">
        <f t="shared" si="77"/>
        <v>SHORT</v>
      </c>
      <c r="Q409" s="26" t="str">
        <f t="shared" si="80"/>
        <v>COIN SHORT</v>
      </c>
      <c r="R409" s="26">
        <v>0</v>
      </c>
      <c r="S409" s="26">
        <v>0</v>
      </c>
      <c r="T409" s="26">
        <v>0</v>
      </c>
      <c r="U409" s="26">
        <v>0</v>
      </c>
      <c r="V409" s="23" t="str">
        <f t="shared" si="76"/>
        <v>BINE</v>
      </c>
      <c r="W409" t="str">
        <f t="shared" si="78"/>
        <v>EOS COIN SHORT</v>
      </c>
      <c r="X409" s="88" t="s">
        <v>264</v>
      </c>
    </row>
    <row r="410" spans="1:24" x14ac:dyDescent="0.25">
      <c r="A410">
        <v>451</v>
      </c>
      <c r="B410" s="71">
        <v>44939.000002199071</v>
      </c>
      <c r="C410" s="14" t="s">
        <v>11</v>
      </c>
      <c r="D410" s="23" t="s">
        <v>194</v>
      </c>
      <c r="E410" s="23" t="s">
        <v>191</v>
      </c>
      <c r="F410" s="23">
        <v>-300000</v>
      </c>
      <c r="G410" s="23">
        <v>-82034.051788677694</v>
      </c>
      <c r="H410" s="23">
        <v>0.27344683929559199</v>
      </c>
      <c r="I410" s="23">
        <v>0</v>
      </c>
      <c r="J410" s="23" t="s">
        <v>263</v>
      </c>
      <c r="K410" s="24">
        <v>44939.000002199071</v>
      </c>
      <c r="L410" s="23">
        <v>1</v>
      </c>
      <c r="M410" s="23" t="s">
        <v>191</v>
      </c>
      <c r="N410" s="25">
        <v>0</v>
      </c>
      <c r="O410" s="26" t="str">
        <f t="shared" si="79"/>
        <v>COIN</v>
      </c>
      <c r="P410" s="26" t="str">
        <f t="shared" si="77"/>
        <v>SHORT</v>
      </c>
      <c r="Q410" s="26" t="str">
        <f t="shared" si="80"/>
        <v>COIN SHORT</v>
      </c>
      <c r="R410" s="26">
        <v>0</v>
      </c>
      <c r="S410" s="26">
        <v>0</v>
      </c>
      <c r="T410" s="26">
        <v>0</v>
      </c>
      <c r="U410" s="26">
        <v>0</v>
      </c>
      <c r="V410" s="23" t="str">
        <f t="shared" si="76"/>
        <v>BINE</v>
      </c>
      <c r="W410" t="str">
        <f t="shared" si="78"/>
        <v>FTM COIN SHORT</v>
      </c>
      <c r="X410" s="88" t="s">
        <v>264</v>
      </c>
    </row>
    <row r="411" spans="1:24" x14ac:dyDescent="0.25">
      <c r="A411">
        <v>452</v>
      </c>
      <c r="B411" s="71">
        <v>44939.000002199071</v>
      </c>
      <c r="C411" s="14" t="s">
        <v>11</v>
      </c>
      <c r="D411" s="23" t="s">
        <v>194</v>
      </c>
      <c r="E411" s="23" t="s">
        <v>415</v>
      </c>
      <c r="F411" s="23">
        <v>-240000</v>
      </c>
      <c r="G411" s="23">
        <v>-17640.469992774099</v>
      </c>
      <c r="H411" s="23">
        <v>7.3501958303225604E-2</v>
      </c>
      <c r="I411" s="23">
        <v>0</v>
      </c>
      <c r="J411" s="23" t="s">
        <v>263</v>
      </c>
      <c r="K411" s="24">
        <v>44939.000002199071</v>
      </c>
      <c r="L411" s="23">
        <v>1</v>
      </c>
      <c r="M411" s="23" t="s">
        <v>415</v>
      </c>
      <c r="N411" s="25">
        <v>0</v>
      </c>
      <c r="O411" s="26" t="str">
        <f t="shared" si="79"/>
        <v>COIN</v>
      </c>
      <c r="P411" s="26" t="str">
        <f t="shared" si="77"/>
        <v>SHORT</v>
      </c>
      <c r="Q411" s="26" t="str">
        <f t="shared" si="80"/>
        <v>COIN SHORT</v>
      </c>
      <c r="R411" s="26">
        <v>0</v>
      </c>
      <c r="S411" s="26">
        <v>0</v>
      </c>
      <c r="T411" s="26">
        <v>0</v>
      </c>
      <c r="U411" s="26">
        <v>0</v>
      </c>
      <c r="V411" s="23" t="str">
        <f t="shared" si="76"/>
        <v>BINE</v>
      </c>
      <c r="W411" t="str">
        <f t="shared" si="78"/>
        <v>GRT COIN SHORT</v>
      </c>
      <c r="X411" s="88" t="s">
        <v>264</v>
      </c>
    </row>
    <row r="412" spans="1:24" x14ac:dyDescent="0.25">
      <c r="A412">
        <v>453</v>
      </c>
      <c r="B412" s="71">
        <v>44939.000002199071</v>
      </c>
      <c r="C412" s="14" t="s">
        <v>11</v>
      </c>
      <c r="D412" s="23" t="s">
        <v>194</v>
      </c>
      <c r="E412" s="23" t="s">
        <v>135</v>
      </c>
      <c r="F412" s="23">
        <v>-628800</v>
      </c>
      <c r="G412" s="23">
        <v>-29960.833997643</v>
      </c>
      <c r="H412" s="23">
        <v>4.7647636764699498E-2</v>
      </c>
      <c r="I412" s="23">
        <v>0</v>
      </c>
      <c r="J412" s="23" t="s">
        <v>263</v>
      </c>
      <c r="K412" s="24">
        <v>44939.000002199071</v>
      </c>
      <c r="L412" s="23">
        <v>1</v>
      </c>
      <c r="M412" s="23" t="s">
        <v>135</v>
      </c>
      <c r="N412" s="25">
        <v>0</v>
      </c>
      <c r="O412" s="26" t="str">
        <f t="shared" si="79"/>
        <v>COIN</v>
      </c>
      <c r="P412" s="26" t="str">
        <f t="shared" si="77"/>
        <v>SHORT</v>
      </c>
      <c r="Q412" s="26" t="str">
        <f t="shared" si="80"/>
        <v>COIN SHORT</v>
      </c>
      <c r="R412" s="26">
        <v>0</v>
      </c>
      <c r="S412" s="26">
        <v>0</v>
      </c>
      <c r="T412" s="26">
        <v>0</v>
      </c>
      <c r="U412" s="26">
        <v>0</v>
      </c>
      <c r="V412" s="23" t="str">
        <f t="shared" si="76"/>
        <v>BINE</v>
      </c>
      <c r="W412" t="str">
        <f t="shared" si="78"/>
        <v>HBAR COIN SHORT</v>
      </c>
      <c r="X412" s="88" t="s">
        <v>264</v>
      </c>
    </row>
    <row r="413" spans="1:24" x14ac:dyDescent="0.25">
      <c r="A413">
        <v>454</v>
      </c>
      <c r="B413" s="71">
        <v>44939.000002199071</v>
      </c>
      <c r="C413" s="14" t="s">
        <v>11</v>
      </c>
      <c r="D413" s="23" t="s">
        <v>194</v>
      </c>
      <c r="E413" s="23" t="s">
        <v>27</v>
      </c>
      <c r="F413" s="23">
        <v>-20654.13</v>
      </c>
      <c r="G413" s="23">
        <v>-131800.85145715301</v>
      </c>
      <c r="H413" s="23">
        <v>6.38133155243787</v>
      </c>
      <c r="I413" s="23">
        <v>0</v>
      </c>
      <c r="J413" s="23" t="s">
        <v>263</v>
      </c>
      <c r="K413" s="24">
        <v>44939.000002199071</v>
      </c>
      <c r="L413" s="23">
        <v>1</v>
      </c>
      <c r="M413" s="23" t="s">
        <v>27</v>
      </c>
      <c r="N413" s="25">
        <v>0</v>
      </c>
      <c r="O413" s="26" t="str">
        <f t="shared" si="79"/>
        <v>COIN</v>
      </c>
      <c r="P413" s="26" t="str">
        <f t="shared" si="77"/>
        <v>SHORT</v>
      </c>
      <c r="Q413" s="26" t="str">
        <f t="shared" si="80"/>
        <v>COIN SHORT</v>
      </c>
      <c r="R413" s="26">
        <v>0</v>
      </c>
      <c r="S413" s="26">
        <v>0</v>
      </c>
      <c r="T413" s="26">
        <v>0</v>
      </c>
      <c r="U413" s="26">
        <v>0</v>
      </c>
      <c r="V413" s="23" t="str">
        <f t="shared" si="76"/>
        <v>BINE</v>
      </c>
      <c r="W413" t="str">
        <f t="shared" si="78"/>
        <v>LINK COIN SHORT</v>
      </c>
      <c r="X413" s="88" t="s">
        <v>264</v>
      </c>
    </row>
    <row r="414" spans="1:24" x14ac:dyDescent="0.25">
      <c r="A414">
        <v>455</v>
      </c>
      <c r="B414" s="71">
        <v>44939.000002199071</v>
      </c>
      <c r="C414" s="14" t="s">
        <v>11</v>
      </c>
      <c r="D414" s="23" t="s">
        <v>194</v>
      </c>
      <c r="E414" s="23" t="s">
        <v>24</v>
      </c>
      <c r="F414" s="23">
        <v>-1610.2</v>
      </c>
      <c r="G414" s="23">
        <v>-138419.60226160701</v>
      </c>
      <c r="H414" s="23">
        <v>85.964229450756093</v>
      </c>
      <c r="I414" s="23">
        <v>0</v>
      </c>
      <c r="J414" s="23" t="s">
        <v>263</v>
      </c>
      <c r="K414" s="24">
        <v>44939.000002199071</v>
      </c>
      <c r="L414" s="23">
        <v>1</v>
      </c>
      <c r="M414" s="23" t="s">
        <v>24</v>
      </c>
      <c r="N414" s="25">
        <v>0</v>
      </c>
      <c r="O414" s="26" t="str">
        <f t="shared" si="79"/>
        <v>COIN</v>
      </c>
      <c r="P414" s="26" t="str">
        <f t="shared" si="77"/>
        <v>SHORT</v>
      </c>
      <c r="Q414" s="26" t="str">
        <f t="shared" si="80"/>
        <v>COIN SHORT</v>
      </c>
      <c r="R414" s="26">
        <v>0</v>
      </c>
      <c r="S414" s="26">
        <v>0</v>
      </c>
      <c r="T414" s="26">
        <v>0</v>
      </c>
      <c r="U414" s="26">
        <v>0</v>
      </c>
      <c r="V414" s="23" t="str">
        <f t="shared" si="76"/>
        <v>BINE</v>
      </c>
      <c r="W414" t="str">
        <f t="shared" si="78"/>
        <v>LTC COIN SHORT</v>
      </c>
      <c r="X414" s="88" t="s">
        <v>264</v>
      </c>
    </row>
    <row r="415" spans="1:24" x14ac:dyDescent="0.25">
      <c r="A415">
        <v>456</v>
      </c>
      <c r="B415" s="71">
        <v>44939.000002199071</v>
      </c>
      <c r="C415" s="14" t="s">
        <v>11</v>
      </c>
      <c r="D415" s="23" t="s">
        <v>194</v>
      </c>
      <c r="E415" s="23" t="s">
        <v>192</v>
      </c>
      <c r="F415" s="23">
        <v>-90000</v>
      </c>
      <c r="G415" s="23">
        <v>-37120.713174284101</v>
      </c>
      <c r="H415" s="23">
        <v>0.41245236860315698</v>
      </c>
      <c r="I415" s="23">
        <v>0</v>
      </c>
      <c r="J415" s="23" t="s">
        <v>263</v>
      </c>
      <c r="K415" s="24">
        <v>44939.000002199071</v>
      </c>
      <c r="L415" s="23">
        <v>1</v>
      </c>
      <c r="M415" s="23" t="s">
        <v>192</v>
      </c>
      <c r="N415" s="25">
        <v>0</v>
      </c>
      <c r="O415" s="26" t="str">
        <f t="shared" si="79"/>
        <v>COIN</v>
      </c>
      <c r="P415" s="26" t="str">
        <f t="shared" si="77"/>
        <v>SHORT</v>
      </c>
      <c r="Q415" s="26" t="str">
        <f t="shared" si="80"/>
        <v>COIN SHORT</v>
      </c>
      <c r="R415" s="26">
        <v>0</v>
      </c>
      <c r="S415" s="26">
        <v>0</v>
      </c>
      <c r="T415" s="26">
        <v>0</v>
      </c>
      <c r="U415" s="26">
        <v>0</v>
      </c>
      <c r="V415" s="23" t="str">
        <f t="shared" si="76"/>
        <v>BINE</v>
      </c>
      <c r="W415" t="str">
        <f t="shared" si="78"/>
        <v>MANA COIN SHORT</v>
      </c>
      <c r="X415" s="88" t="s">
        <v>264</v>
      </c>
    </row>
    <row r="416" spans="1:24" x14ac:dyDescent="0.25">
      <c r="A416">
        <v>457</v>
      </c>
      <c r="B416" s="71">
        <v>44939.000002199071</v>
      </c>
      <c r="C416" s="14" t="s">
        <v>11</v>
      </c>
      <c r="D416" s="23" t="s">
        <v>194</v>
      </c>
      <c r="E416" s="23" t="s">
        <v>193</v>
      </c>
      <c r="F416" s="23">
        <v>-100000</v>
      </c>
      <c r="G416" s="23">
        <v>-91628.9114365235</v>
      </c>
      <c r="H416" s="23">
        <v>0.91628911436523497</v>
      </c>
      <c r="I416" s="23">
        <v>0</v>
      </c>
      <c r="J416" s="23" t="s">
        <v>263</v>
      </c>
      <c r="K416" s="24">
        <v>44939.000002199071</v>
      </c>
      <c r="L416" s="23">
        <v>1</v>
      </c>
      <c r="M416" s="23" t="s">
        <v>193</v>
      </c>
      <c r="N416" s="25">
        <v>0</v>
      </c>
      <c r="O416" s="26" t="str">
        <f t="shared" si="79"/>
        <v>COIN</v>
      </c>
      <c r="P416" s="26" t="str">
        <f t="shared" si="77"/>
        <v>SHORT</v>
      </c>
      <c r="Q416" s="26" t="str">
        <f t="shared" si="80"/>
        <v>COIN SHORT</v>
      </c>
      <c r="R416" s="26">
        <v>0</v>
      </c>
      <c r="S416" s="26">
        <v>0</v>
      </c>
      <c r="T416" s="26">
        <v>0</v>
      </c>
      <c r="U416" s="26">
        <v>0</v>
      </c>
      <c r="V416" s="23" t="str">
        <f t="shared" si="76"/>
        <v>BINE</v>
      </c>
      <c r="W416" t="str">
        <f t="shared" si="78"/>
        <v>MATIC COIN SHORT</v>
      </c>
      <c r="X416" s="88" t="s">
        <v>264</v>
      </c>
    </row>
    <row r="417" spans="1:24" x14ac:dyDescent="0.25">
      <c r="A417">
        <v>458</v>
      </c>
      <c r="B417" s="71">
        <v>44939.000002199071</v>
      </c>
      <c r="C417" s="14" t="s">
        <v>11</v>
      </c>
      <c r="D417" s="23" t="s">
        <v>194</v>
      </c>
      <c r="E417" s="23" t="s">
        <v>413</v>
      </c>
      <c r="F417" s="23">
        <v>-14</v>
      </c>
      <c r="G417" s="23">
        <v>-9136.0593104937107</v>
      </c>
      <c r="H417" s="23">
        <v>652.57566503526505</v>
      </c>
      <c r="I417" s="23">
        <v>0</v>
      </c>
      <c r="J417" s="23" t="s">
        <v>263</v>
      </c>
      <c r="K417" s="24">
        <v>44939.000002199071</v>
      </c>
      <c r="L417" s="23">
        <v>1</v>
      </c>
      <c r="M417" s="23" t="s">
        <v>413</v>
      </c>
      <c r="N417" s="25">
        <v>0</v>
      </c>
      <c r="O417" s="26" t="str">
        <f t="shared" si="79"/>
        <v>COIN</v>
      </c>
      <c r="P417" s="26" t="str">
        <f t="shared" si="77"/>
        <v>SHORT</v>
      </c>
      <c r="Q417" s="26" t="str">
        <f t="shared" si="80"/>
        <v>COIN SHORT</v>
      </c>
      <c r="R417" s="26">
        <v>0</v>
      </c>
      <c r="S417" s="26">
        <v>0</v>
      </c>
      <c r="T417" s="26">
        <v>0</v>
      </c>
      <c r="U417" s="26">
        <v>0</v>
      </c>
      <c r="V417" s="23" t="str">
        <f t="shared" si="76"/>
        <v>BINE</v>
      </c>
      <c r="W417" t="str">
        <f t="shared" si="78"/>
        <v>MKR COIN SHORT</v>
      </c>
      <c r="X417" s="88" t="s">
        <v>264</v>
      </c>
    </row>
    <row r="418" spans="1:24" x14ac:dyDescent="0.25">
      <c r="A418">
        <v>459</v>
      </c>
      <c r="B418" s="71">
        <v>44939.000002199071</v>
      </c>
      <c r="C418" s="14" t="s">
        <v>11</v>
      </c>
      <c r="D418" s="23" t="s">
        <v>194</v>
      </c>
      <c r="E418" s="23" t="s">
        <v>37</v>
      </c>
      <c r="F418" s="23">
        <v>-6000000000</v>
      </c>
      <c r="G418" s="23">
        <v>-56828.300043576302</v>
      </c>
      <c r="H418" s="23">
        <v>9.4713833405960602E-6</v>
      </c>
      <c r="I418" s="23">
        <v>0</v>
      </c>
      <c r="J418" s="23" t="s">
        <v>263</v>
      </c>
      <c r="K418" s="24">
        <v>44939.000002199071</v>
      </c>
      <c r="L418" s="23">
        <v>1</v>
      </c>
      <c r="M418" s="23" t="s">
        <v>37</v>
      </c>
      <c r="N418" s="25">
        <v>0</v>
      </c>
      <c r="O418" s="26" t="str">
        <f t="shared" si="79"/>
        <v>COIN</v>
      </c>
      <c r="P418" s="26" t="str">
        <f t="shared" si="77"/>
        <v>SHORT</v>
      </c>
      <c r="Q418" s="26" t="str">
        <f>O418&amp;" "&amp;P418</f>
        <v>COIN SHORT</v>
      </c>
      <c r="R418" s="26">
        <v>0</v>
      </c>
      <c r="S418" s="26">
        <v>0</v>
      </c>
      <c r="T418" s="26">
        <v>0</v>
      </c>
      <c r="U418" s="26">
        <v>0</v>
      </c>
      <c r="V418" s="23" t="str">
        <f t="shared" si="76"/>
        <v>BINE</v>
      </c>
      <c r="W418" t="str">
        <f t="shared" si="78"/>
        <v>SHIB COIN SHORT</v>
      </c>
      <c r="X418" s="88" t="s">
        <v>264</v>
      </c>
    </row>
    <row r="419" spans="1:24" x14ac:dyDescent="0.25">
      <c r="A419">
        <v>460</v>
      </c>
      <c r="B419" s="71">
        <v>44939.000002199071</v>
      </c>
      <c r="C419" s="14" t="s">
        <v>11</v>
      </c>
      <c r="D419" s="23" t="s">
        <v>194</v>
      </c>
      <c r="E419" s="23" t="s">
        <v>154</v>
      </c>
      <c r="F419" s="23">
        <v>-8500</v>
      </c>
      <c r="G419" s="23">
        <v>-141261.87566910699</v>
      </c>
      <c r="H419" s="23">
        <v>16.6190441963655</v>
      </c>
      <c r="I419" s="23">
        <v>0</v>
      </c>
      <c r="J419" s="23" t="s">
        <v>263</v>
      </c>
      <c r="K419" s="24">
        <v>44939.000002199071</v>
      </c>
      <c r="L419" s="23">
        <v>1</v>
      </c>
      <c r="M419" s="23" t="s">
        <v>154</v>
      </c>
      <c r="N419" s="25">
        <v>0</v>
      </c>
      <c r="O419" s="26" t="str">
        <f t="shared" si="79"/>
        <v>COIN</v>
      </c>
      <c r="P419" s="26" t="str">
        <f t="shared" si="77"/>
        <v>SHORT</v>
      </c>
      <c r="Q419" s="26" t="str">
        <f>O419&amp;" "&amp;P419</f>
        <v>COIN SHORT</v>
      </c>
      <c r="R419" s="26">
        <v>0</v>
      </c>
      <c r="S419" s="26">
        <v>0</v>
      </c>
      <c r="T419" s="26">
        <v>0</v>
      </c>
      <c r="U419" s="26">
        <v>0</v>
      </c>
      <c r="V419" s="23" t="str">
        <f t="shared" si="76"/>
        <v>BINE</v>
      </c>
      <c r="W419" t="str">
        <f t="shared" si="78"/>
        <v>SOL COIN SHORT</v>
      </c>
      <c r="X419" s="88" t="s">
        <v>264</v>
      </c>
    </row>
    <row r="420" spans="1:24" x14ac:dyDescent="0.25">
      <c r="A420">
        <v>461</v>
      </c>
      <c r="B420" s="71">
        <v>44939.000002199071</v>
      </c>
      <c r="C420" s="14" t="s">
        <v>11</v>
      </c>
      <c r="D420" s="23" t="s">
        <v>194</v>
      </c>
      <c r="E420" s="23" t="s">
        <v>414</v>
      </c>
      <c r="F420" s="23">
        <v>-43200</v>
      </c>
      <c r="G420" s="23">
        <v>-49148.189927110499</v>
      </c>
      <c r="H420" s="23">
        <v>1.1376895816460699</v>
      </c>
      <c r="I420" s="23">
        <v>0</v>
      </c>
      <c r="J420" s="23" t="s">
        <v>263</v>
      </c>
      <c r="K420" s="24">
        <v>44939.000002199071</v>
      </c>
      <c r="L420" s="23">
        <v>1</v>
      </c>
      <c r="M420" s="23" t="s">
        <v>414</v>
      </c>
      <c r="N420" s="25">
        <v>0</v>
      </c>
      <c r="O420" s="26" t="str">
        <f t="shared" si="79"/>
        <v>COIN</v>
      </c>
      <c r="P420" s="26" t="str">
        <f t="shared" si="77"/>
        <v>SHORT</v>
      </c>
      <c r="Q420" s="26" t="str">
        <f>O420&amp;" "&amp;P420</f>
        <v>COIN SHORT</v>
      </c>
      <c r="R420" s="26">
        <v>0</v>
      </c>
      <c r="S420" s="26">
        <v>0</v>
      </c>
      <c r="T420" s="26">
        <v>0</v>
      </c>
      <c r="U420" s="26">
        <v>0</v>
      </c>
      <c r="V420" s="23" t="str">
        <f t="shared" si="76"/>
        <v>BINE</v>
      </c>
      <c r="W420" t="str">
        <f t="shared" si="78"/>
        <v>SUSHI COIN SHORT</v>
      </c>
      <c r="X420" s="88" t="s">
        <v>264</v>
      </c>
    </row>
    <row r="421" spans="1:24" x14ac:dyDescent="0.25">
      <c r="A421">
        <v>462</v>
      </c>
      <c r="B421" s="71">
        <v>44939.000002199071</v>
      </c>
      <c r="C421" s="14" t="s">
        <v>11</v>
      </c>
      <c r="D421" s="23" t="s">
        <v>194</v>
      </c>
      <c r="E421" s="23" t="s">
        <v>159</v>
      </c>
      <c r="F421" s="23">
        <v>-12000</v>
      </c>
      <c r="G421" s="23">
        <v>-74080.575384932905</v>
      </c>
      <c r="H421" s="23">
        <v>6.1733812820777398</v>
      </c>
      <c r="I421" s="23">
        <v>0</v>
      </c>
      <c r="J421" s="23" t="s">
        <v>263</v>
      </c>
      <c r="K421" s="24">
        <v>44939.000002199071</v>
      </c>
      <c r="L421" s="23">
        <v>1</v>
      </c>
      <c r="M421" s="23" t="s">
        <v>159</v>
      </c>
      <c r="N421" s="25">
        <v>0</v>
      </c>
      <c r="O421" s="26" t="str">
        <f t="shared" si="79"/>
        <v>COIN</v>
      </c>
      <c r="P421" s="26" t="str">
        <f t="shared" si="77"/>
        <v>SHORT</v>
      </c>
      <c r="Q421" s="26" t="str">
        <f t="shared" ref="Q421:Q442" si="81">O421&amp;" "&amp;P421</f>
        <v>COIN SHORT</v>
      </c>
      <c r="R421" s="26">
        <v>0</v>
      </c>
      <c r="S421" s="26">
        <v>0</v>
      </c>
      <c r="T421" s="26">
        <v>0</v>
      </c>
      <c r="U421" s="26">
        <v>0</v>
      </c>
      <c r="V421" s="23" t="str">
        <f t="shared" si="76"/>
        <v>BINE</v>
      </c>
      <c r="W421" t="str">
        <f t="shared" si="78"/>
        <v>UNI COIN SHORT</v>
      </c>
      <c r="X421" s="88" t="s">
        <v>264</v>
      </c>
    </row>
    <row r="422" spans="1:24" x14ac:dyDescent="0.25">
      <c r="A422">
        <v>463</v>
      </c>
      <c r="B422" s="71">
        <v>44939.000002199071</v>
      </c>
      <c r="C422" s="14" t="s">
        <v>11</v>
      </c>
      <c r="D422" s="23" t="s">
        <v>194</v>
      </c>
      <c r="E422" s="23" t="s">
        <v>196</v>
      </c>
      <c r="F422" s="23">
        <v>-100</v>
      </c>
      <c r="G422" s="23">
        <v>-1.8842311113447501</v>
      </c>
      <c r="H422" s="23">
        <v>1.8842311113447498E-2</v>
      </c>
      <c r="I422" s="23">
        <v>0</v>
      </c>
      <c r="J422" s="23" t="s">
        <v>263</v>
      </c>
      <c r="K422" s="24">
        <v>44939.000002199071</v>
      </c>
      <c r="L422" s="23">
        <v>1</v>
      </c>
      <c r="M422" s="23" t="s">
        <v>196</v>
      </c>
      <c r="N422" s="25">
        <v>0</v>
      </c>
      <c r="O422" s="26" t="str">
        <f t="shared" si="79"/>
        <v>COIN</v>
      </c>
      <c r="P422" s="26" t="str">
        <f t="shared" si="77"/>
        <v>SHORT</v>
      </c>
      <c r="Q422" s="26" t="str">
        <f t="shared" si="81"/>
        <v>COIN SHORT</v>
      </c>
      <c r="R422" s="26">
        <v>0</v>
      </c>
      <c r="S422" s="26">
        <v>0</v>
      </c>
      <c r="T422" s="26">
        <v>0</v>
      </c>
      <c r="U422" s="26">
        <v>0</v>
      </c>
      <c r="V422" s="23" t="str">
        <f t="shared" si="76"/>
        <v>BINE</v>
      </c>
      <c r="W422" t="str">
        <f t="shared" si="78"/>
        <v>VET COIN SHORT</v>
      </c>
      <c r="X422" s="88" t="s">
        <v>264</v>
      </c>
    </row>
    <row r="423" spans="1:24" x14ac:dyDescent="0.25">
      <c r="A423">
        <v>464</v>
      </c>
      <c r="B423" s="71">
        <v>44939.000002199071</v>
      </c>
      <c r="C423" s="14" t="s">
        <v>11</v>
      </c>
      <c r="D423" s="23" t="s">
        <v>194</v>
      </c>
      <c r="E423" s="23" t="s">
        <v>163</v>
      </c>
      <c r="F423" s="23">
        <v>-1000000</v>
      </c>
      <c r="G423" s="23">
        <v>-81643.783905093398</v>
      </c>
      <c r="H423" s="23">
        <v>8.1643783905093401E-2</v>
      </c>
      <c r="I423" s="23">
        <v>0</v>
      </c>
      <c r="J423" s="23" t="s">
        <v>263</v>
      </c>
      <c r="K423" s="24">
        <v>44939.000002199071</v>
      </c>
      <c r="L423" s="23">
        <v>1</v>
      </c>
      <c r="M423" s="23" t="s">
        <v>163</v>
      </c>
      <c r="N423" s="25">
        <v>0</v>
      </c>
      <c r="O423" s="26" t="str">
        <f t="shared" si="79"/>
        <v>COIN</v>
      </c>
      <c r="P423" s="26" t="str">
        <f t="shared" si="77"/>
        <v>SHORT</v>
      </c>
      <c r="Q423" s="26" t="str">
        <f t="shared" si="81"/>
        <v>COIN SHORT</v>
      </c>
      <c r="R423" s="26">
        <v>0</v>
      </c>
      <c r="S423" s="26">
        <v>0</v>
      </c>
      <c r="T423" s="26">
        <v>0</v>
      </c>
      <c r="U423" s="26">
        <v>0</v>
      </c>
      <c r="V423" s="23" t="str">
        <f t="shared" si="76"/>
        <v>BINE</v>
      </c>
      <c r="W423" t="str">
        <f t="shared" si="78"/>
        <v>XLM COIN SHORT</v>
      </c>
      <c r="X423" s="88" t="s">
        <v>264</v>
      </c>
    </row>
    <row r="424" spans="1:24" x14ac:dyDescent="0.25">
      <c r="A424">
        <v>465</v>
      </c>
      <c r="B424" s="71">
        <v>44939.000002199071</v>
      </c>
      <c r="C424" s="14" t="s">
        <v>11</v>
      </c>
      <c r="D424" s="23" t="s">
        <v>194</v>
      </c>
      <c r="E424" s="23" t="s">
        <v>164</v>
      </c>
      <c r="F424" s="23">
        <v>-68160</v>
      </c>
      <c r="G424" s="23">
        <v>-60609.906049069999</v>
      </c>
      <c r="H424" s="23">
        <v>0.88922984226921997</v>
      </c>
      <c r="I424" s="23">
        <v>0</v>
      </c>
      <c r="J424" s="23" t="s">
        <v>263</v>
      </c>
      <c r="K424" s="24">
        <v>44939.000002199071</v>
      </c>
      <c r="L424" s="23">
        <v>1</v>
      </c>
      <c r="M424" s="23" t="s">
        <v>164</v>
      </c>
      <c r="N424" s="25">
        <v>0</v>
      </c>
      <c r="O424" s="26" t="str">
        <f t="shared" si="79"/>
        <v>COIN</v>
      </c>
      <c r="P424" s="26" t="str">
        <f t="shared" si="77"/>
        <v>SHORT</v>
      </c>
      <c r="Q424" s="26" t="str">
        <f t="shared" si="81"/>
        <v>COIN SHORT</v>
      </c>
      <c r="R424" s="26">
        <v>0</v>
      </c>
      <c r="S424" s="26">
        <v>0</v>
      </c>
      <c r="T424" s="26">
        <v>0</v>
      </c>
      <c r="U424" s="26">
        <v>0</v>
      </c>
      <c r="V424" s="23" t="str">
        <f t="shared" si="76"/>
        <v>BINE</v>
      </c>
      <c r="W424" t="str">
        <f t="shared" si="78"/>
        <v>XTZ COIN SHORT</v>
      </c>
      <c r="X424" s="88" t="s">
        <v>264</v>
      </c>
    </row>
    <row r="425" spans="1:24" x14ac:dyDescent="0.25">
      <c r="A425">
        <v>466</v>
      </c>
      <c r="B425" s="71">
        <v>44939.000001585649</v>
      </c>
      <c r="C425" s="14" t="s">
        <v>294</v>
      </c>
      <c r="D425" s="23" t="s">
        <v>865</v>
      </c>
      <c r="E425" s="23" t="s">
        <v>38</v>
      </c>
      <c r="F425" s="23">
        <v>-9993078.3940130007</v>
      </c>
      <c r="G425" s="23">
        <v>-9993998.2487299498</v>
      </c>
      <c r="H425" s="23">
        <v>1.00009204918451</v>
      </c>
      <c r="I425" s="23">
        <v>0</v>
      </c>
      <c r="J425" s="23" t="s">
        <v>263</v>
      </c>
      <c r="K425" s="24">
        <v>44939.000001585649</v>
      </c>
      <c r="L425" s="23">
        <v>1</v>
      </c>
      <c r="M425" s="23" t="s">
        <v>38</v>
      </c>
      <c r="N425" s="25">
        <v>0</v>
      </c>
      <c r="O425" s="26" t="str">
        <f t="shared" si="79"/>
        <v>COIN</v>
      </c>
      <c r="P425" s="26" t="str">
        <f t="shared" si="77"/>
        <v>SHORT</v>
      </c>
      <c r="Q425" s="26" t="str">
        <f t="shared" si="81"/>
        <v>COIN SHORT</v>
      </c>
      <c r="R425" s="26">
        <v>0</v>
      </c>
      <c r="S425" s="26">
        <v>0</v>
      </c>
      <c r="T425" s="26">
        <v>0</v>
      </c>
      <c r="U425" s="26">
        <v>0</v>
      </c>
      <c r="V425" s="23" t="str">
        <f t="shared" si="76"/>
        <v>DEFI</v>
      </c>
      <c r="W425" t="str">
        <f t="shared" si="78"/>
        <v>USDT COIN SHORT</v>
      </c>
      <c r="X425" s="88" t="s">
        <v>264</v>
      </c>
    </row>
    <row r="426" spans="1:24" x14ac:dyDescent="0.25">
      <c r="A426">
        <v>467</v>
      </c>
      <c r="B426" s="71">
        <v>44938</v>
      </c>
      <c r="C426" s="14" t="s">
        <v>101</v>
      </c>
      <c r="D426" s="23" t="s">
        <v>203</v>
      </c>
      <c r="E426" s="23" t="s">
        <v>14</v>
      </c>
      <c r="F426" s="23">
        <v>-3350</v>
      </c>
      <c r="G426" s="23">
        <v>-63213119.985139698</v>
      </c>
      <c r="H426" s="23">
        <v>18869.5880552655</v>
      </c>
      <c r="I426" s="23">
        <v>0</v>
      </c>
      <c r="J426" s="23" t="s">
        <v>195</v>
      </c>
      <c r="K426" s="24">
        <v>44938</v>
      </c>
      <c r="L426" s="23">
        <v>1</v>
      </c>
      <c r="M426" s="23" t="s">
        <v>14</v>
      </c>
      <c r="N426" s="25">
        <v>0</v>
      </c>
      <c r="O426" s="26" t="str">
        <f t="shared" si="79"/>
        <v>COIN</v>
      </c>
      <c r="P426" s="26" t="str">
        <f t="shared" si="77"/>
        <v>SHORT</v>
      </c>
      <c r="Q426" s="26" t="str">
        <f t="shared" si="81"/>
        <v>COIN SHORT</v>
      </c>
      <c r="R426" s="26">
        <v>0</v>
      </c>
      <c r="S426" s="26">
        <v>0</v>
      </c>
      <c r="T426" s="26">
        <v>0</v>
      </c>
      <c r="U426" s="26">
        <v>0</v>
      </c>
      <c r="V426" s="23" t="str">
        <f t="shared" si="76"/>
        <v>LEND</v>
      </c>
      <c r="W426" t="str">
        <f t="shared" si="78"/>
        <v>BTC COIN SHORT</v>
      </c>
      <c r="X426" s="88" t="s">
        <v>264</v>
      </c>
    </row>
    <row r="427" spans="1:24" x14ac:dyDescent="0.25">
      <c r="A427">
        <v>468</v>
      </c>
      <c r="B427" s="71">
        <v>44938</v>
      </c>
      <c r="C427" s="14" t="s">
        <v>101</v>
      </c>
      <c r="D427" s="23" t="s">
        <v>203</v>
      </c>
      <c r="E427" s="23" t="s">
        <v>23</v>
      </c>
      <c r="F427" s="23">
        <v>-4350822.18</v>
      </c>
      <c r="G427" s="23">
        <v>-4308368.9316697801</v>
      </c>
      <c r="H427" s="23">
        <v>0.990242476806943</v>
      </c>
      <c r="I427" s="23">
        <v>0</v>
      </c>
      <c r="J427" s="23" t="s">
        <v>195</v>
      </c>
      <c r="K427" s="24">
        <v>44938</v>
      </c>
      <c r="L427" s="23">
        <v>1</v>
      </c>
      <c r="M427" s="23" t="s">
        <v>23</v>
      </c>
      <c r="N427" s="25">
        <v>0</v>
      </c>
      <c r="O427" s="26" t="str">
        <f t="shared" si="79"/>
        <v>COIN</v>
      </c>
      <c r="P427" s="26" t="str">
        <f t="shared" si="77"/>
        <v>SHORT</v>
      </c>
      <c r="Q427" s="26" t="str">
        <f t="shared" si="81"/>
        <v>COIN SHORT</v>
      </c>
      <c r="R427" s="26">
        <v>0</v>
      </c>
      <c r="S427" s="26">
        <v>0</v>
      </c>
      <c r="T427" s="26">
        <v>0</v>
      </c>
      <c r="U427" s="26">
        <v>0</v>
      </c>
      <c r="V427" s="23" t="str">
        <f t="shared" si="76"/>
        <v>LEND</v>
      </c>
      <c r="W427" t="str">
        <f t="shared" si="78"/>
        <v>EOS COIN SHORT</v>
      </c>
      <c r="X427" s="88" t="s">
        <v>264</v>
      </c>
    </row>
    <row r="428" spans="1:24" x14ac:dyDescent="0.25">
      <c r="A428">
        <v>469</v>
      </c>
      <c r="B428" s="71">
        <v>44938</v>
      </c>
      <c r="C428" s="14" t="s">
        <v>101</v>
      </c>
      <c r="D428" s="23" t="s">
        <v>203</v>
      </c>
      <c r="E428" s="23" t="s">
        <v>15</v>
      </c>
      <c r="F428" s="23">
        <v>-6499.9949999999999</v>
      </c>
      <c r="G428" s="23">
        <v>-9216593.3105303105</v>
      </c>
      <c r="H428" s="23">
        <v>1417.9385231112101</v>
      </c>
      <c r="I428" s="23">
        <v>0</v>
      </c>
      <c r="J428" s="23" t="s">
        <v>195</v>
      </c>
      <c r="K428" s="24">
        <v>44938</v>
      </c>
      <c r="L428" s="23">
        <v>1</v>
      </c>
      <c r="M428" s="23" t="s">
        <v>15</v>
      </c>
      <c r="N428" s="25">
        <v>0</v>
      </c>
      <c r="O428" s="26" t="str">
        <f t="shared" si="79"/>
        <v>COIN</v>
      </c>
      <c r="P428" s="26" t="str">
        <f t="shared" si="77"/>
        <v>SHORT</v>
      </c>
      <c r="Q428" s="26" t="str">
        <f t="shared" si="81"/>
        <v>COIN SHORT</v>
      </c>
      <c r="R428" s="26">
        <v>0</v>
      </c>
      <c r="S428" s="26">
        <v>0</v>
      </c>
      <c r="T428" s="26">
        <v>0</v>
      </c>
      <c r="U428" s="26">
        <v>0</v>
      </c>
      <c r="V428" s="23" t="str">
        <f t="shared" si="76"/>
        <v>LEND</v>
      </c>
      <c r="W428" t="str">
        <f t="shared" si="78"/>
        <v>ETH COIN SHORT</v>
      </c>
      <c r="X428" s="88" t="s">
        <v>264</v>
      </c>
    </row>
    <row r="429" spans="1:24" x14ac:dyDescent="0.25">
      <c r="A429">
        <v>470</v>
      </c>
      <c r="B429" s="71">
        <v>44938</v>
      </c>
      <c r="C429" s="14" t="s">
        <v>170</v>
      </c>
      <c r="D429" s="23" t="s">
        <v>168</v>
      </c>
      <c r="E429" s="23" t="s">
        <v>14</v>
      </c>
      <c r="F429" s="23">
        <v>-1340.01684679</v>
      </c>
      <c r="G429" s="23">
        <v>-25285565.886043198</v>
      </c>
      <c r="H429" s="23">
        <v>18869.5880552655</v>
      </c>
      <c r="I429" s="23">
        <v>0</v>
      </c>
      <c r="J429" s="23" t="s">
        <v>169</v>
      </c>
      <c r="K429" s="24">
        <v>44938</v>
      </c>
      <c r="L429" s="23">
        <v>1</v>
      </c>
      <c r="M429" s="23" t="s">
        <v>14</v>
      </c>
      <c r="N429" s="25">
        <v>0</v>
      </c>
      <c r="O429" s="26" t="str">
        <f t="shared" si="79"/>
        <v>COIN</v>
      </c>
      <c r="P429" s="26" t="str">
        <f t="shared" si="77"/>
        <v>SHORT</v>
      </c>
      <c r="Q429" s="26" t="str">
        <f t="shared" si="81"/>
        <v>COIN SHORT</v>
      </c>
      <c r="R429" s="26">
        <v>0</v>
      </c>
      <c r="S429" s="26">
        <v>0</v>
      </c>
      <c r="T429" s="26">
        <v>0</v>
      </c>
      <c r="U429" s="26">
        <v>0</v>
      </c>
      <c r="V429" s="23" t="str">
        <f t="shared" si="76"/>
        <v>LEND</v>
      </c>
      <c r="W429" t="str">
        <f t="shared" si="78"/>
        <v>BTC COIN SHORT</v>
      </c>
      <c r="X429" s="88" t="s">
        <v>264</v>
      </c>
    </row>
    <row r="430" spans="1:24" x14ac:dyDescent="0.25">
      <c r="A430">
        <v>471</v>
      </c>
      <c r="B430" s="71">
        <v>44938</v>
      </c>
      <c r="C430" s="14" t="s">
        <v>170</v>
      </c>
      <c r="D430" s="23" t="s">
        <v>168</v>
      </c>
      <c r="E430" s="23" t="s">
        <v>15</v>
      </c>
      <c r="F430" s="23">
        <v>-25855</v>
      </c>
      <c r="G430" s="23">
        <v>-36660800.515040502</v>
      </c>
      <c r="H430" s="23">
        <v>1417.9385231112101</v>
      </c>
      <c r="I430" s="23">
        <v>0</v>
      </c>
      <c r="J430" s="23" t="s">
        <v>169</v>
      </c>
      <c r="K430" s="24">
        <v>44938</v>
      </c>
      <c r="L430" s="23">
        <v>1</v>
      </c>
      <c r="M430" s="23" t="s">
        <v>15</v>
      </c>
      <c r="N430" s="25">
        <v>0</v>
      </c>
      <c r="O430" s="26" t="str">
        <f t="shared" si="79"/>
        <v>COIN</v>
      </c>
      <c r="P430" s="26" t="str">
        <f t="shared" si="77"/>
        <v>SHORT</v>
      </c>
      <c r="Q430" s="26" t="str">
        <f t="shared" si="81"/>
        <v>COIN SHORT</v>
      </c>
      <c r="R430" s="26">
        <v>0</v>
      </c>
      <c r="S430" s="26">
        <v>0</v>
      </c>
      <c r="T430" s="26">
        <v>0</v>
      </c>
      <c r="U430" s="26">
        <v>0</v>
      </c>
      <c r="V430" s="23" t="str">
        <f t="shared" si="76"/>
        <v>LEND</v>
      </c>
      <c r="W430" t="str">
        <f t="shared" si="78"/>
        <v>ETH COIN SHORT</v>
      </c>
      <c r="X430" s="88" t="s">
        <v>264</v>
      </c>
    </row>
    <row r="431" spans="1:24" x14ac:dyDescent="0.25">
      <c r="A431">
        <v>472</v>
      </c>
      <c r="B431" s="71">
        <v>44938</v>
      </c>
      <c r="C431" s="14" t="s">
        <v>170</v>
      </c>
      <c r="D431" s="23" t="s">
        <v>168</v>
      </c>
      <c r="E431" s="23" t="s">
        <v>258</v>
      </c>
      <c r="F431" s="23">
        <v>-15000000</v>
      </c>
      <c r="G431" s="23">
        <v>-16268445.245292099</v>
      </c>
      <c r="H431" s="23">
        <v>1.0845630163527999</v>
      </c>
      <c r="I431" s="23">
        <v>0</v>
      </c>
      <c r="J431" s="23" t="s">
        <v>169</v>
      </c>
      <c r="K431" s="24">
        <v>44938</v>
      </c>
      <c r="L431" s="23">
        <v>1</v>
      </c>
      <c r="M431" s="23" t="s">
        <v>258</v>
      </c>
      <c r="N431" s="25">
        <v>0</v>
      </c>
      <c r="O431" s="26" t="str">
        <f t="shared" si="79"/>
        <v>COIN</v>
      </c>
      <c r="P431" s="26" t="str">
        <f t="shared" si="77"/>
        <v>SHORT</v>
      </c>
      <c r="Q431" s="26" t="str">
        <f t="shared" si="81"/>
        <v>COIN SHORT</v>
      </c>
      <c r="R431" s="26">
        <v>0</v>
      </c>
      <c r="S431" s="26">
        <v>0</v>
      </c>
      <c r="T431" s="26">
        <v>0</v>
      </c>
      <c r="U431" s="26">
        <v>0</v>
      </c>
      <c r="V431" s="23" t="str">
        <f t="shared" si="76"/>
        <v>LEND</v>
      </c>
      <c r="W431" t="str">
        <f t="shared" si="78"/>
        <v>EUROC COIN SHORT</v>
      </c>
      <c r="X431" s="88" t="s">
        <v>264</v>
      </c>
    </row>
    <row r="432" spans="1:24" x14ac:dyDescent="0.25">
      <c r="A432">
        <v>473</v>
      </c>
      <c r="B432" s="71">
        <v>44938</v>
      </c>
      <c r="C432" s="14" t="s">
        <v>170</v>
      </c>
      <c r="D432" s="23" t="s">
        <v>168</v>
      </c>
      <c r="E432" s="23" t="s">
        <v>95</v>
      </c>
      <c r="F432" s="23">
        <v>-42800000</v>
      </c>
      <c r="G432" s="23">
        <v>-42800000</v>
      </c>
      <c r="H432" s="23">
        <v>1</v>
      </c>
      <c r="I432" s="23">
        <v>0</v>
      </c>
      <c r="J432" s="23" t="s">
        <v>169</v>
      </c>
      <c r="K432" s="24">
        <v>44938</v>
      </c>
      <c r="L432" s="23">
        <v>1</v>
      </c>
      <c r="M432" s="23" t="s">
        <v>95</v>
      </c>
      <c r="N432" s="25">
        <v>0</v>
      </c>
      <c r="O432" s="26" t="str">
        <f t="shared" si="79"/>
        <v>CASH</v>
      </c>
      <c r="P432" s="26" t="str">
        <f t="shared" si="77"/>
        <v>SHORT</v>
      </c>
      <c r="Q432" s="26" t="str">
        <f t="shared" si="81"/>
        <v>CASH SHORT</v>
      </c>
      <c r="R432" s="26">
        <v>0</v>
      </c>
      <c r="S432" s="26">
        <v>0</v>
      </c>
      <c r="T432" s="26">
        <v>0</v>
      </c>
      <c r="U432" s="26">
        <v>0</v>
      </c>
      <c r="V432" s="23" t="str">
        <f t="shared" si="76"/>
        <v>LEND</v>
      </c>
      <c r="W432" t="str">
        <f t="shared" si="78"/>
        <v>USD CASH SHORT</v>
      </c>
      <c r="X432" s="88" t="s">
        <v>264</v>
      </c>
    </row>
    <row r="433" spans="1:24" x14ac:dyDescent="0.25">
      <c r="A433">
        <v>474</v>
      </c>
      <c r="B433" s="71">
        <v>44938</v>
      </c>
      <c r="C433" s="14" t="s">
        <v>170</v>
      </c>
      <c r="D433" s="23" t="s">
        <v>168</v>
      </c>
      <c r="E433" s="23" t="s">
        <v>92</v>
      </c>
      <c r="F433" s="23">
        <v>-89706000</v>
      </c>
      <c r="G433" s="23">
        <v>-89712472.254475504</v>
      </c>
      <c r="H433" s="23">
        <v>1.0000721496274001</v>
      </c>
      <c r="I433" s="23">
        <v>0</v>
      </c>
      <c r="J433" s="23" t="s">
        <v>169</v>
      </c>
      <c r="K433" s="24">
        <v>44938</v>
      </c>
      <c r="L433" s="23">
        <v>1</v>
      </c>
      <c r="M433" s="23" t="s">
        <v>92</v>
      </c>
      <c r="N433" s="25">
        <v>0</v>
      </c>
      <c r="O433" s="26" t="str">
        <f t="shared" si="79"/>
        <v>COIN</v>
      </c>
      <c r="P433" s="26" t="str">
        <f t="shared" si="77"/>
        <v>SHORT</v>
      </c>
      <c r="Q433" s="26" t="str">
        <f t="shared" si="81"/>
        <v>COIN SHORT</v>
      </c>
      <c r="R433" s="26">
        <v>0</v>
      </c>
      <c r="S433" s="26">
        <v>0</v>
      </c>
      <c r="T433" s="26">
        <v>0</v>
      </c>
      <c r="U433" s="26">
        <v>0</v>
      </c>
      <c r="V433" s="23" t="str">
        <f t="shared" si="76"/>
        <v>LEND</v>
      </c>
      <c r="W433" t="str">
        <f t="shared" si="78"/>
        <v>USDC COIN SHORT</v>
      </c>
      <c r="X433" s="88" t="s">
        <v>264</v>
      </c>
    </row>
    <row r="434" spans="1:24" x14ac:dyDescent="0.25">
      <c r="A434">
        <v>475</v>
      </c>
      <c r="B434" s="71">
        <v>44938</v>
      </c>
      <c r="C434" s="14" t="s">
        <v>170</v>
      </c>
      <c r="D434" s="23" t="s">
        <v>168</v>
      </c>
      <c r="E434" s="23" t="s">
        <v>26</v>
      </c>
      <c r="F434" s="23">
        <v>-20000000</v>
      </c>
      <c r="G434" s="23">
        <v>-479489.59814677201</v>
      </c>
      <c r="H434" s="23">
        <v>2.39744799073386E-2</v>
      </c>
      <c r="I434" s="23">
        <v>0</v>
      </c>
      <c r="J434" s="23" t="s">
        <v>169</v>
      </c>
      <c r="K434" s="24">
        <v>44938</v>
      </c>
      <c r="L434" s="23">
        <v>1</v>
      </c>
      <c r="M434" s="23" t="s">
        <v>26</v>
      </c>
      <c r="N434" s="25">
        <v>0</v>
      </c>
      <c r="O434" s="26" t="str">
        <f t="shared" si="79"/>
        <v>COIN</v>
      </c>
      <c r="P434" s="26" t="str">
        <f t="shared" si="77"/>
        <v>SHORT</v>
      </c>
      <c r="Q434" s="26" t="str">
        <f t="shared" si="81"/>
        <v>COIN SHORT</v>
      </c>
      <c r="R434" s="26">
        <v>0</v>
      </c>
      <c r="S434" s="26">
        <v>0</v>
      </c>
      <c r="T434" s="26">
        <v>0</v>
      </c>
      <c r="U434" s="26">
        <v>0</v>
      </c>
      <c r="V434" s="23" t="str">
        <f t="shared" si="76"/>
        <v>LEND</v>
      </c>
      <c r="W434" t="str">
        <f t="shared" si="78"/>
        <v>ZIL COIN SHORT</v>
      </c>
      <c r="X434" s="88" t="s">
        <v>264</v>
      </c>
    </row>
    <row r="435" spans="1:24" x14ac:dyDescent="0.25">
      <c r="A435">
        <v>476</v>
      </c>
      <c r="B435" s="71">
        <v>44938</v>
      </c>
      <c r="C435" s="14" t="s">
        <v>39</v>
      </c>
      <c r="D435" s="23" t="s">
        <v>204</v>
      </c>
      <c r="E435" s="23" t="s">
        <v>20</v>
      </c>
      <c r="F435" s="23">
        <v>-5000</v>
      </c>
      <c r="G435" s="23">
        <v>-598552.33068706002</v>
      </c>
      <c r="H435" s="23">
        <v>119.710466137412</v>
      </c>
      <c r="I435" s="23">
        <v>0</v>
      </c>
      <c r="J435" s="23" t="s">
        <v>195</v>
      </c>
      <c r="K435" s="24">
        <v>44938</v>
      </c>
      <c r="L435" s="23">
        <v>1</v>
      </c>
      <c r="M435" s="23" t="s">
        <v>20</v>
      </c>
      <c r="N435" s="25">
        <v>0</v>
      </c>
      <c r="O435" s="26" t="str">
        <f t="shared" si="79"/>
        <v>COIN</v>
      </c>
      <c r="P435" s="26" t="str">
        <f t="shared" si="77"/>
        <v>SHORT</v>
      </c>
      <c r="Q435" s="26" t="str">
        <f t="shared" si="81"/>
        <v>COIN SHORT</v>
      </c>
      <c r="R435" s="26">
        <v>0</v>
      </c>
      <c r="S435" s="26">
        <v>0</v>
      </c>
      <c r="T435" s="26">
        <v>0</v>
      </c>
      <c r="U435" s="26">
        <v>0</v>
      </c>
      <c r="V435" s="23" t="str">
        <f t="shared" si="76"/>
        <v>LEND</v>
      </c>
      <c r="W435" t="str">
        <f t="shared" si="78"/>
        <v>BCH COIN SHORT</v>
      </c>
      <c r="X435" s="88" t="s">
        <v>264</v>
      </c>
    </row>
    <row r="436" spans="1:24" x14ac:dyDescent="0.25">
      <c r="A436">
        <v>477</v>
      </c>
      <c r="B436" s="71">
        <v>44938</v>
      </c>
      <c r="C436" s="14" t="s">
        <v>39</v>
      </c>
      <c r="D436" s="23" t="s">
        <v>204</v>
      </c>
      <c r="E436" s="23" t="s">
        <v>22</v>
      </c>
      <c r="F436" s="23">
        <v>-40000</v>
      </c>
      <c r="G436" s="23">
        <v>-209179.11756295999</v>
      </c>
      <c r="H436" s="23">
        <v>5.2294779390740098</v>
      </c>
      <c r="I436" s="23">
        <v>0</v>
      </c>
      <c r="J436" s="23" t="s">
        <v>195</v>
      </c>
      <c r="K436" s="24">
        <v>44938</v>
      </c>
      <c r="L436" s="23">
        <v>1</v>
      </c>
      <c r="M436" s="23" t="s">
        <v>22</v>
      </c>
      <c r="N436" s="25">
        <v>0</v>
      </c>
      <c r="O436" s="26" t="str">
        <f t="shared" si="79"/>
        <v>COIN</v>
      </c>
      <c r="P436" s="26" t="str">
        <f t="shared" si="77"/>
        <v>SHORT</v>
      </c>
      <c r="Q436" s="26" t="str">
        <f t="shared" si="81"/>
        <v>COIN SHORT</v>
      </c>
      <c r="R436" s="26">
        <v>0</v>
      </c>
      <c r="S436" s="26">
        <v>0</v>
      </c>
      <c r="T436" s="26">
        <v>0</v>
      </c>
      <c r="U436" s="26">
        <v>0</v>
      </c>
      <c r="V436" s="23" t="str">
        <f t="shared" si="76"/>
        <v>LEND</v>
      </c>
      <c r="W436" t="str">
        <f t="shared" si="78"/>
        <v>DOT COIN SHORT</v>
      </c>
      <c r="X436" s="88" t="s">
        <v>264</v>
      </c>
    </row>
    <row r="437" spans="1:24" x14ac:dyDescent="0.25">
      <c r="A437">
        <v>478</v>
      </c>
      <c r="B437" s="71">
        <v>44938</v>
      </c>
      <c r="C437" s="14" t="s">
        <v>39</v>
      </c>
      <c r="D437" s="23" t="s">
        <v>204</v>
      </c>
      <c r="E437" s="23" t="s">
        <v>23</v>
      </c>
      <c r="F437" s="23">
        <v>-160000</v>
      </c>
      <c r="G437" s="23">
        <v>-158438.79628911</v>
      </c>
      <c r="H437" s="23">
        <v>0.990242476806942</v>
      </c>
      <c r="I437" s="23">
        <v>0</v>
      </c>
      <c r="J437" s="23" t="s">
        <v>195</v>
      </c>
      <c r="K437" s="24">
        <v>44938</v>
      </c>
      <c r="L437" s="23">
        <v>1</v>
      </c>
      <c r="M437" s="23" t="s">
        <v>23</v>
      </c>
      <c r="N437" s="25">
        <v>0</v>
      </c>
      <c r="O437" s="26" t="str">
        <f t="shared" si="79"/>
        <v>COIN</v>
      </c>
      <c r="P437" s="26" t="str">
        <f t="shared" si="77"/>
        <v>SHORT</v>
      </c>
      <c r="Q437" s="26" t="str">
        <f t="shared" si="81"/>
        <v>COIN SHORT</v>
      </c>
      <c r="R437" s="26">
        <v>0</v>
      </c>
      <c r="S437" s="26">
        <v>0</v>
      </c>
      <c r="T437" s="26">
        <v>0</v>
      </c>
      <c r="U437" s="26">
        <v>0</v>
      </c>
      <c r="V437" s="23" t="str">
        <f t="shared" si="76"/>
        <v>LEND</v>
      </c>
      <c r="W437" t="str">
        <f t="shared" si="78"/>
        <v>EOS COIN SHORT</v>
      </c>
      <c r="X437" s="88" t="s">
        <v>264</v>
      </c>
    </row>
    <row r="438" spans="1:24" x14ac:dyDescent="0.25">
      <c r="A438">
        <v>479</v>
      </c>
      <c r="B438" s="71">
        <v>44938</v>
      </c>
      <c r="C438" s="14" t="s">
        <v>39</v>
      </c>
      <c r="D438" s="23" t="s">
        <v>204</v>
      </c>
      <c r="E438" s="23" t="s">
        <v>29</v>
      </c>
      <c r="F438" s="23">
        <v>-108000</v>
      </c>
      <c r="G438" s="23">
        <v>-2259117.88751635</v>
      </c>
      <c r="H438" s="23">
        <v>20.917758217744002</v>
      </c>
      <c r="I438" s="23">
        <v>0</v>
      </c>
      <c r="J438" s="23" t="s">
        <v>195</v>
      </c>
      <c r="K438" s="24">
        <v>44938</v>
      </c>
      <c r="L438" s="23">
        <v>1</v>
      </c>
      <c r="M438" s="23" t="s">
        <v>29</v>
      </c>
      <c r="N438" s="25">
        <v>0</v>
      </c>
      <c r="O438" s="26" t="str">
        <f t="shared" si="79"/>
        <v>COIN</v>
      </c>
      <c r="P438" s="26" t="str">
        <f t="shared" si="77"/>
        <v>SHORT</v>
      </c>
      <c r="Q438" s="26" t="str">
        <f t="shared" si="81"/>
        <v>COIN SHORT</v>
      </c>
      <c r="R438" s="26">
        <v>0</v>
      </c>
      <c r="S438" s="26">
        <v>0</v>
      </c>
      <c r="T438" s="26">
        <v>0</v>
      </c>
      <c r="U438" s="26">
        <v>0</v>
      </c>
      <c r="V438" s="23" t="str">
        <f t="shared" si="76"/>
        <v>LEND</v>
      </c>
      <c r="W438" t="str">
        <f t="shared" si="78"/>
        <v>ETC COIN SHORT</v>
      </c>
      <c r="X438" s="88" t="s">
        <v>264</v>
      </c>
    </row>
    <row r="439" spans="1:24" x14ac:dyDescent="0.25">
      <c r="A439">
        <v>480</v>
      </c>
      <c r="B439" s="71">
        <v>44938</v>
      </c>
      <c r="C439" s="14" t="s">
        <v>39</v>
      </c>
      <c r="D439" s="23" t="s">
        <v>204</v>
      </c>
      <c r="E439" s="23" t="s">
        <v>15</v>
      </c>
      <c r="F439" s="23">
        <v>-4600</v>
      </c>
      <c r="G439" s="23">
        <v>-6522517.2063116096</v>
      </c>
      <c r="H439" s="23">
        <v>1417.9385231112101</v>
      </c>
      <c r="I439" s="23">
        <v>0</v>
      </c>
      <c r="J439" s="23" t="s">
        <v>195</v>
      </c>
      <c r="K439" s="24">
        <v>44938</v>
      </c>
      <c r="L439" s="23">
        <v>1</v>
      </c>
      <c r="M439" s="23" t="s">
        <v>15</v>
      </c>
      <c r="N439" s="25">
        <v>0</v>
      </c>
      <c r="O439" s="26" t="str">
        <f t="shared" si="79"/>
        <v>COIN</v>
      </c>
      <c r="P439" s="26" t="str">
        <f t="shared" si="77"/>
        <v>SHORT</v>
      </c>
      <c r="Q439" s="26" t="str">
        <f t="shared" si="81"/>
        <v>COIN SHORT</v>
      </c>
      <c r="R439" s="26">
        <v>0</v>
      </c>
      <c r="S439" s="26">
        <v>0</v>
      </c>
      <c r="T439" s="26">
        <v>0</v>
      </c>
      <c r="U439" s="26">
        <v>0</v>
      </c>
      <c r="V439" s="23" t="str">
        <f t="shared" si="76"/>
        <v>LEND</v>
      </c>
      <c r="W439" t="str">
        <f t="shared" si="78"/>
        <v>ETH COIN SHORT</v>
      </c>
      <c r="X439" s="88" t="s">
        <v>264</v>
      </c>
    </row>
    <row r="440" spans="1:24" x14ac:dyDescent="0.25">
      <c r="A440">
        <v>481</v>
      </c>
      <c r="B440" s="71">
        <v>44938</v>
      </c>
      <c r="C440" s="14" t="s">
        <v>39</v>
      </c>
      <c r="D440" s="23" t="s">
        <v>204</v>
      </c>
      <c r="E440" s="23" t="s">
        <v>27</v>
      </c>
      <c r="F440" s="23">
        <v>-17000</v>
      </c>
      <c r="G440" s="23">
        <v>-108482.636391443</v>
      </c>
      <c r="H440" s="23">
        <v>6.38133155243787</v>
      </c>
      <c r="I440" s="23">
        <v>0</v>
      </c>
      <c r="J440" s="23" t="s">
        <v>195</v>
      </c>
      <c r="K440" s="24">
        <v>44938</v>
      </c>
      <c r="L440" s="23">
        <v>1</v>
      </c>
      <c r="M440" s="23" t="s">
        <v>27</v>
      </c>
      <c r="N440" s="25">
        <v>0</v>
      </c>
      <c r="O440" s="26" t="str">
        <f t="shared" si="79"/>
        <v>COIN</v>
      </c>
      <c r="P440" s="26" t="str">
        <f t="shared" si="77"/>
        <v>SHORT</v>
      </c>
      <c r="Q440" s="26" t="str">
        <f t="shared" si="81"/>
        <v>COIN SHORT</v>
      </c>
      <c r="R440" s="26">
        <v>0</v>
      </c>
      <c r="S440" s="26">
        <v>0</v>
      </c>
      <c r="T440" s="26">
        <v>0</v>
      </c>
      <c r="U440" s="26">
        <v>0</v>
      </c>
      <c r="V440" s="23" t="str">
        <f t="shared" si="76"/>
        <v>LEND</v>
      </c>
      <c r="W440" t="str">
        <f t="shared" si="78"/>
        <v>LINK COIN SHORT</v>
      </c>
      <c r="X440" s="88" t="s">
        <v>264</v>
      </c>
    </row>
    <row r="441" spans="1:24" x14ac:dyDescent="0.25">
      <c r="A441">
        <v>482</v>
      </c>
      <c r="B441" s="71">
        <v>44938</v>
      </c>
      <c r="C441" s="14" t="s">
        <v>39</v>
      </c>
      <c r="D441" s="23" t="s">
        <v>204</v>
      </c>
      <c r="E441" s="23" t="s">
        <v>24</v>
      </c>
      <c r="F441" s="23">
        <v>-11800</v>
      </c>
      <c r="G441" s="23">
        <v>-1014377.90751892</v>
      </c>
      <c r="H441" s="23">
        <v>85.964229450756093</v>
      </c>
      <c r="I441" s="23">
        <v>0</v>
      </c>
      <c r="J441" s="23" t="s">
        <v>195</v>
      </c>
      <c r="K441" s="24">
        <v>44938</v>
      </c>
      <c r="L441" s="23">
        <v>1</v>
      </c>
      <c r="M441" s="23" t="s">
        <v>24</v>
      </c>
      <c r="N441" s="25">
        <v>0</v>
      </c>
      <c r="O441" s="26" t="str">
        <f t="shared" si="79"/>
        <v>COIN</v>
      </c>
      <c r="P441" s="26" t="str">
        <f t="shared" si="77"/>
        <v>SHORT</v>
      </c>
      <c r="Q441" s="26" t="str">
        <f t="shared" si="81"/>
        <v>COIN SHORT</v>
      </c>
      <c r="R441" s="26">
        <v>0</v>
      </c>
      <c r="S441" s="26">
        <v>0</v>
      </c>
      <c r="T441" s="26">
        <v>0</v>
      </c>
      <c r="U441" s="26">
        <v>0</v>
      </c>
      <c r="V441" s="23" t="str">
        <f t="shared" si="76"/>
        <v>LEND</v>
      </c>
      <c r="W441" t="str">
        <f t="shared" si="78"/>
        <v>LTC COIN SHORT</v>
      </c>
      <c r="X441" s="88" t="s">
        <v>264</v>
      </c>
    </row>
    <row r="442" spans="1:24" x14ac:dyDescent="0.25">
      <c r="A442">
        <v>483</v>
      </c>
      <c r="B442" s="71">
        <v>44938</v>
      </c>
      <c r="C442" s="14" t="s">
        <v>209</v>
      </c>
      <c r="D442" s="23" t="s">
        <v>207</v>
      </c>
      <c r="E442" s="23" t="s">
        <v>89</v>
      </c>
      <c r="F442" s="23">
        <v>-2600208</v>
      </c>
      <c r="G442" s="23">
        <v>-190645.51339292701</v>
      </c>
      <c r="H442" s="23">
        <v>7.3319331912265404E-2</v>
      </c>
      <c r="I442" s="23">
        <v>0</v>
      </c>
      <c r="J442" s="23" t="s">
        <v>208</v>
      </c>
      <c r="K442" s="24">
        <v>44938</v>
      </c>
      <c r="L442" s="23">
        <v>1</v>
      </c>
      <c r="M442" s="23" t="s">
        <v>89</v>
      </c>
      <c r="N442" s="25">
        <v>0</v>
      </c>
      <c r="O442" s="26" t="str">
        <f t="shared" si="79"/>
        <v>COIN</v>
      </c>
      <c r="P442" s="26" t="str">
        <f t="shared" si="77"/>
        <v>SHORT</v>
      </c>
      <c r="Q442" s="26" t="str">
        <f t="shared" si="81"/>
        <v>COIN SHORT</v>
      </c>
      <c r="R442" s="26">
        <v>0</v>
      </c>
      <c r="S442" s="26">
        <v>0</v>
      </c>
      <c r="T442" s="26">
        <v>0</v>
      </c>
      <c r="U442" s="26">
        <v>0</v>
      </c>
      <c r="V442" s="23" t="str">
        <f t="shared" si="76"/>
        <v>LEND</v>
      </c>
      <c r="W442" t="str">
        <f t="shared" si="78"/>
        <v>OXT COIN SHORT</v>
      </c>
      <c r="X442" s="88" t="s">
        <v>264</v>
      </c>
    </row>
    <row r="443" spans="1:24" x14ac:dyDescent="0.25">
      <c r="A443">
        <v>484</v>
      </c>
      <c r="B443" s="71">
        <v>44938</v>
      </c>
      <c r="C443" s="14" t="s">
        <v>209</v>
      </c>
      <c r="D443" s="23" t="s">
        <v>207</v>
      </c>
      <c r="E443" s="23" t="s">
        <v>92</v>
      </c>
      <c r="F443" s="23">
        <v>-1000000</v>
      </c>
      <c r="G443" s="23">
        <v>-1000072.1496274</v>
      </c>
      <c r="H443" s="23">
        <v>1.0000721496274001</v>
      </c>
      <c r="I443" s="23">
        <v>0</v>
      </c>
      <c r="J443" s="23" t="s">
        <v>208</v>
      </c>
      <c r="K443" s="24">
        <v>44938</v>
      </c>
      <c r="L443" s="23">
        <v>1</v>
      </c>
      <c r="M443" s="23" t="s">
        <v>92</v>
      </c>
      <c r="N443" s="25">
        <v>0</v>
      </c>
      <c r="O443" s="26" t="str">
        <f t="shared" si="79"/>
        <v>COIN</v>
      </c>
      <c r="P443" s="26" t="str">
        <f t="shared" si="77"/>
        <v>SHORT</v>
      </c>
      <c r="Q443" s="26" t="str">
        <f t="shared" ref="Q443:Q499" si="82">O443&amp;" "&amp;P443</f>
        <v>COIN SHORT</v>
      </c>
      <c r="R443" s="26">
        <v>0</v>
      </c>
      <c r="S443" s="26">
        <v>0</v>
      </c>
      <c r="T443" s="26">
        <v>0</v>
      </c>
      <c r="U443" s="26">
        <v>0</v>
      </c>
      <c r="V443" s="23" t="str">
        <f t="shared" si="76"/>
        <v>LEND</v>
      </c>
      <c r="W443" t="str">
        <f t="shared" si="78"/>
        <v>USDC COIN SHORT</v>
      </c>
      <c r="X443" s="88" t="s">
        <v>264</v>
      </c>
    </row>
    <row r="444" spans="1:24" x14ac:dyDescent="0.25">
      <c r="A444">
        <v>485</v>
      </c>
      <c r="B444" s="71">
        <v>44938</v>
      </c>
      <c r="C444" s="14" t="s">
        <v>211</v>
      </c>
      <c r="D444" s="23" t="s">
        <v>210</v>
      </c>
      <c r="E444" s="23" t="s">
        <v>99</v>
      </c>
      <c r="F444" s="23">
        <v>-201.17</v>
      </c>
      <c r="G444" s="23">
        <v>-75.478409104803205</v>
      </c>
      <c r="H444" s="23">
        <v>0.37519714224190098</v>
      </c>
      <c r="I444" s="23">
        <v>0</v>
      </c>
      <c r="J444" s="23" t="s">
        <v>208</v>
      </c>
      <c r="K444" s="24">
        <v>44938</v>
      </c>
      <c r="L444" s="23">
        <v>1</v>
      </c>
      <c r="M444" s="23" t="s">
        <v>99</v>
      </c>
      <c r="N444" s="25">
        <v>0</v>
      </c>
      <c r="O444" s="26" t="str">
        <f t="shared" si="79"/>
        <v>COIN</v>
      </c>
      <c r="P444" s="26" t="str">
        <f t="shared" si="77"/>
        <v>SHORT</v>
      </c>
      <c r="Q444" s="26" t="str">
        <f t="shared" si="82"/>
        <v>COIN SHORT</v>
      </c>
      <c r="R444" s="26">
        <v>0</v>
      </c>
      <c r="S444" s="26">
        <v>0</v>
      </c>
      <c r="T444" s="26">
        <v>0</v>
      </c>
      <c r="U444" s="26">
        <v>0</v>
      </c>
      <c r="V444" s="23" t="str">
        <f t="shared" si="76"/>
        <v>LEND</v>
      </c>
      <c r="W444" t="str">
        <f t="shared" si="78"/>
        <v>XRP COIN SHORT</v>
      </c>
      <c r="X444" s="88" t="s">
        <v>264</v>
      </c>
    </row>
    <row r="445" spans="1:24" x14ac:dyDescent="0.25">
      <c r="A445">
        <v>486</v>
      </c>
      <c r="B445" s="71">
        <v>44939.000005208334</v>
      </c>
      <c r="C445" s="14" t="s">
        <v>45</v>
      </c>
      <c r="D445" s="23" t="s">
        <v>213</v>
      </c>
      <c r="E445" s="23" t="s">
        <v>20</v>
      </c>
      <c r="F445" s="23">
        <v>-12.89958137</v>
      </c>
      <c r="G445" s="23">
        <v>-1544.21489878017</v>
      </c>
      <c r="H445" s="23">
        <v>119.710466137412</v>
      </c>
      <c r="I445" s="23">
        <v>0</v>
      </c>
      <c r="J445" s="23" t="s">
        <v>263</v>
      </c>
      <c r="K445" s="24">
        <v>44939.000005208334</v>
      </c>
      <c r="L445" s="23">
        <v>1</v>
      </c>
      <c r="M445" s="23" t="s">
        <v>20</v>
      </c>
      <c r="N445" s="25">
        <v>0</v>
      </c>
      <c r="O445" s="26" t="str">
        <f t="shared" si="79"/>
        <v>COIN</v>
      </c>
      <c r="P445" s="26" t="str">
        <f t="shared" si="77"/>
        <v>SHORT</v>
      </c>
      <c r="Q445" s="26" t="str">
        <f t="shared" si="82"/>
        <v>COIN SHORT</v>
      </c>
      <c r="R445" s="26">
        <v>0</v>
      </c>
      <c r="S445" s="26">
        <v>0</v>
      </c>
      <c r="T445" s="26">
        <v>0</v>
      </c>
      <c r="U445" s="26">
        <v>0</v>
      </c>
      <c r="V445" s="23" t="str">
        <f t="shared" si="76"/>
        <v>OKEX</v>
      </c>
      <c r="W445" t="str">
        <f t="shared" si="78"/>
        <v>BCH COIN SHORT</v>
      </c>
      <c r="X445" s="88" t="s">
        <v>264</v>
      </c>
    </row>
    <row r="446" spans="1:24" x14ac:dyDescent="0.25">
      <c r="A446">
        <v>487</v>
      </c>
      <c r="B446" s="71">
        <v>44939.000005208334</v>
      </c>
      <c r="C446" s="14" t="s">
        <v>45</v>
      </c>
      <c r="D446" s="23" t="s">
        <v>213</v>
      </c>
      <c r="E446" s="23" t="s">
        <v>23</v>
      </c>
      <c r="F446" s="23">
        <v>-22178.1698817</v>
      </c>
      <c r="G446" s="23">
        <v>-21961.7658746997</v>
      </c>
      <c r="H446" s="23">
        <v>0.990242476806942</v>
      </c>
      <c r="I446" s="23">
        <v>0</v>
      </c>
      <c r="J446" s="23" t="s">
        <v>263</v>
      </c>
      <c r="K446" s="24">
        <v>44939.000005208334</v>
      </c>
      <c r="L446" s="23">
        <v>1</v>
      </c>
      <c r="M446" s="23" t="s">
        <v>23</v>
      </c>
      <c r="N446" s="25">
        <v>0</v>
      </c>
      <c r="O446" s="26" t="str">
        <f t="shared" si="79"/>
        <v>COIN</v>
      </c>
      <c r="P446" s="26" t="str">
        <f t="shared" si="77"/>
        <v>SHORT</v>
      </c>
      <c r="Q446" s="26" t="str">
        <f t="shared" si="82"/>
        <v>COIN SHORT</v>
      </c>
      <c r="R446" s="26">
        <v>0</v>
      </c>
      <c r="S446" s="26">
        <v>0</v>
      </c>
      <c r="T446" s="26">
        <v>0</v>
      </c>
      <c r="U446" s="26">
        <v>0</v>
      </c>
      <c r="V446" s="23" t="str">
        <f t="shared" si="76"/>
        <v>OKEX</v>
      </c>
      <c r="W446" t="str">
        <f t="shared" si="78"/>
        <v>EOS COIN SHORT</v>
      </c>
      <c r="X446" s="88" t="s">
        <v>264</v>
      </c>
    </row>
    <row r="447" spans="1:24" x14ac:dyDescent="0.25">
      <c r="A447">
        <v>488</v>
      </c>
      <c r="B447" s="71">
        <v>44939.000005208334</v>
      </c>
      <c r="C447" s="14" t="s">
        <v>45</v>
      </c>
      <c r="D447" s="23" t="s">
        <v>213</v>
      </c>
      <c r="E447" s="23" t="s">
        <v>30</v>
      </c>
      <c r="F447" s="23">
        <v>-3.6961340000000002E-2</v>
      </c>
      <c r="G447" s="23">
        <v>-0.142421836203701</v>
      </c>
      <c r="H447" s="23">
        <v>3.8532649574853499</v>
      </c>
      <c r="I447" s="23">
        <v>0</v>
      </c>
      <c r="J447" s="23" t="s">
        <v>263</v>
      </c>
      <c r="K447" s="24">
        <v>44939.000005208334</v>
      </c>
      <c r="L447" s="23">
        <v>1</v>
      </c>
      <c r="M447" s="23" t="s">
        <v>30</v>
      </c>
      <c r="N447" s="25">
        <v>0</v>
      </c>
      <c r="O447" s="26" t="str">
        <f t="shared" si="79"/>
        <v>COIN</v>
      </c>
      <c r="P447" s="26" t="str">
        <f t="shared" si="77"/>
        <v>SHORT</v>
      </c>
      <c r="Q447" s="26" t="str">
        <f t="shared" si="82"/>
        <v>COIN SHORT</v>
      </c>
      <c r="R447" s="26">
        <v>0</v>
      </c>
      <c r="S447" s="26">
        <v>0</v>
      </c>
      <c r="T447" s="26">
        <v>0</v>
      </c>
      <c r="U447" s="26">
        <v>0</v>
      </c>
      <c r="V447" s="23" t="str">
        <f t="shared" si="76"/>
        <v>OKEX</v>
      </c>
      <c r="W447" t="str">
        <f t="shared" si="78"/>
        <v>FIL COIN SHORT</v>
      </c>
      <c r="X447" s="88" t="s">
        <v>264</v>
      </c>
    </row>
    <row r="448" spans="1:24" x14ac:dyDescent="0.25">
      <c r="A448">
        <v>489</v>
      </c>
      <c r="B448" s="71">
        <v>44939.000005208334</v>
      </c>
      <c r="C448" s="14" t="s">
        <v>45</v>
      </c>
      <c r="D448" s="23" t="s">
        <v>213</v>
      </c>
      <c r="E448" s="23" t="s">
        <v>24</v>
      </c>
      <c r="F448" s="23">
        <v>-304.03511947999999</v>
      </c>
      <c r="G448" s="23">
        <v>-26136.144772066698</v>
      </c>
      <c r="H448" s="23">
        <v>85.964229450756093</v>
      </c>
      <c r="I448" s="23">
        <v>0</v>
      </c>
      <c r="J448" s="23" t="s">
        <v>263</v>
      </c>
      <c r="K448" s="24">
        <v>44939.000005208334</v>
      </c>
      <c r="L448" s="23">
        <v>1</v>
      </c>
      <c r="M448" s="23" t="s">
        <v>24</v>
      </c>
      <c r="N448" s="25">
        <v>0</v>
      </c>
      <c r="O448" s="26" t="str">
        <f t="shared" si="79"/>
        <v>COIN</v>
      </c>
      <c r="P448" s="26" t="str">
        <f t="shared" si="77"/>
        <v>SHORT</v>
      </c>
      <c r="Q448" s="26" t="str">
        <f t="shared" si="82"/>
        <v>COIN SHORT</v>
      </c>
      <c r="R448" s="26">
        <v>0</v>
      </c>
      <c r="S448" s="26">
        <v>0</v>
      </c>
      <c r="T448" s="26">
        <v>0</v>
      </c>
      <c r="U448" s="26">
        <v>0</v>
      </c>
      <c r="V448" s="23" t="str">
        <f t="shared" si="76"/>
        <v>OKEX</v>
      </c>
      <c r="W448" t="str">
        <f t="shared" si="78"/>
        <v>LTC COIN SHORT</v>
      </c>
      <c r="X448" s="88" t="s">
        <v>264</v>
      </c>
    </row>
    <row r="449" spans="1:24" x14ac:dyDescent="0.25">
      <c r="A449">
        <v>490</v>
      </c>
      <c r="B449" s="71">
        <v>44939.000005208334</v>
      </c>
      <c r="C449" s="14" t="s">
        <v>45</v>
      </c>
      <c r="D449" s="23" t="s">
        <v>213</v>
      </c>
      <c r="E449" s="23" t="s">
        <v>99</v>
      </c>
      <c r="F449" s="23">
        <v>-1352.6511590499999</v>
      </c>
      <c r="G449" s="23">
        <v>-507.51084932575498</v>
      </c>
      <c r="H449" s="23">
        <v>0.37519714224190098</v>
      </c>
      <c r="I449" s="23">
        <v>0</v>
      </c>
      <c r="J449" s="23" t="s">
        <v>263</v>
      </c>
      <c r="K449" s="24">
        <v>44939.000005208334</v>
      </c>
      <c r="L449" s="23">
        <v>1</v>
      </c>
      <c r="M449" s="23" t="s">
        <v>99</v>
      </c>
      <c r="N449" s="25">
        <v>0</v>
      </c>
      <c r="O449" s="26" t="str">
        <f t="shared" si="79"/>
        <v>COIN</v>
      </c>
      <c r="P449" s="26" t="str">
        <f t="shared" si="77"/>
        <v>SHORT</v>
      </c>
      <c r="Q449" s="26" t="str">
        <f t="shared" si="82"/>
        <v>COIN SHORT</v>
      </c>
      <c r="R449" s="26">
        <v>0</v>
      </c>
      <c r="S449" s="26">
        <v>0</v>
      </c>
      <c r="T449" s="26">
        <v>0</v>
      </c>
      <c r="U449" s="26">
        <v>0</v>
      </c>
      <c r="V449" s="23" t="str">
        <f t="shared" si="76"/>
        <v>OKEX</v>
      </c>
      <c r="W449" t="str">
        <f t="shared" si="78"/>
        <v>XRP COIN SHORT</v>
      </c>
      <c r="X449" s="88" t="s">
        <v>264</v>
      </c>
    </row>
    <row r="450" spans="1:24" x14ac:dyDescent="0.25">
      <c r="A450">
        <v>491</v>
      </c>
      <c r="B450" s="71">
        <v>44939.000000775464</v>
      </c>
      <c r="C450" s="14" t="s">
        <v>184</v>
      </c>
      <c r="D450" s="23" t="s">
        <v>214</v>
      </c>
      <c r="E450" s="23" t="s">
        <v>38</v>
      </c>
      <c r="F450" s="23">
        <v>-2376627.8714167802</v>
      </c>
      <c r="G450" s="23">
        <v>-2376846.6380742299</v>
      </c>
      <c r="H450" s="23">
        <v>1.00009204918451</v>
      </c>
      <c r="I450" s="23">
        <v>0</v>
      </c>
      <c r="J450" s="23" t="s">
        <v>263</v>
      </c>
      <c r="K450" s="24">
        <v>44939.000000775464</v>
      </c>
      <c r="L450" s="23">
        <v>1</v>
      </c>
      <c r="M450" s="23" t="s">
        <v>38</v>
      </c>
      <c r="N450" s="25">
        <v>0</v>
      </c>
      <c r="O450" s="26" t="str">
        <f t="shared" si="79"/>
        <v>COIN</v>
      </c>
      <c r="P450" s="26" t="str">
        <f t="shared" si="77"/>
        <v>SHORT</v>
      </c>
      <c r="Q450" s="26" t="str">
        <f t="shared" si="82"/>
        <v>COIN SHORT</v>
      </c>
      <c r="R450" s="26">
        <v>0</v>
      </c>
      <c r="S450" s="26">
        <v>0</v>
      </c>
      <c r="T450" s="26">
        <v>0</v>
      </c>
      <c r="U450" s="26">
        <v>0</v>
      </c>
      <c r="V450" s="23" t="str">
        <f t="shared" ref="V450:V499" si="83">IF($C450="","",IF(ISERROR(SEARCH("-",$D450)),$D450,LEFT($D450,SEARCH("-",$D450)-1)))</f>
        <v>WOOX</v>
      </c>
      <c r="W450" t="str">
        <f t="shared" si="78"/>
        <v>USDT COIN SHORT</v>
      </c>
      <c r="X450" s="88" t="s">
        <v>264</v>
      </c>
    </row>
    <row r="451" spans="1:24" x14ac:dyDescent="0.25">
      <c r="A451">
        <v>492</v>
      </c>
      <c r="B451" s="71">
        <v>44939.000003356479</v>
      </c>
      <c r="C451" s="14" t="s">
        <v>427</v>
      </c>
      <c r="D451" s="23" t="s">
        <v>427</v>
      </c>
      <c r="E451" s="23" t="s">
        <v>95</v>
      </c>
      <c r="F451" s="23">
        <v>79941.919999999998</v>
      </c>
      <c r="G451" s="23">
        <v>79941.919999999998</v>
      </c>
      <c r="H451" s="23">
        <v>1</v>
      </c>
      <c r="I451" s="23">
        <v>0</v>
      </c>
      <c r="J451" s="23" t="s">
        <v>309</v>
      </c>
      <c r="K451" s="24">
        <v>44939.000003356479</v>
      </c>
      <c r="L451" s="23">
        <v>1</v>
      </c>
      <c r="M451" s="23" t="s">
        <v>95</v>
      </c>
      <c r="N451" s="25">
        <v>0</v>
      </c>
      <c r="O451" s="26" t="str">
        <f t="shared" si="79"/>
        <v>CASH</v>
      </c>
      <c r="P451" s="26" t="str">
        <f t="shared" ref="P451:P499" si="84">IF($C451="","",IF($J451="CME FUTURE","HEDGE",IF($G451&gt;0,"LONG","SHORT")))</f>
        <v>LONG</v>
      </c>
      <c r="Q451" s="26" t="str">
        <f t="shared" si="82"/>
        <v>CASH LONG</v>
      </c>
      <c r="R451" s="26">
        <v>0</v>
      </c>
      <c r="S451" s="26">
        <v>0</v>
      </c>
      <c r="T451" s="26">
        <v>0</v>
      </c>
      <c r="U451" s="26">
        <v>0</v>
      </c>
      <c r="V451" s="23" t="str">
        <f t="shared" si="83"/>
        <v>WEDBUSH</v>
      </c>
      <c r="W451" t="str">
        <f t="shared" si="78"/>
        <v>USD CASH LONG</v>
      </c>
      <c r="X451" s="88" t="s">
        <v>264</v>
      </c>
    </row>
    <row r="452" spans="1:24" x14ac:dyDescent="0.25">
      <c r="A452">
        <v>493</v>
      </c>
      <c r="B452" s="71">
        <v>44939.000003356479</v>
      </c>
      <c r="C452" s="14" t="s">
        <v>259</v>
      </c>
      <c r="D452" s="23" t="s">
        <v>259</v>
      </c>
      <c r="E452" s="23" t="s">
        <v>95</v>
      </c>
      <c r="F452" s="23">
        <v>830007.48</v>
      </c>
      <c r="G452" s="23">
        <v>830007.48</v>
      </c>
      <c r="H452" s="23">
        <v>1</v>
      </c>
      <c r="I452" s="23">
        <v>0</v>
      </c>
      <c r="J452" s="23" t="s">
        <v>85</v>
      </c>
      <c r="K452" s="24">
        <v>44939.000003356479</v>
      </c>
      <c r="L452" s="23">
        <v>1</v>
      </c>
      <c r="M452" s="23" t="s">
        <v>95</v>
      </c>
      <c r="N452" s="25">
        <v>0</v>
      </c>
      <c r="O452" s="26" t="str">
        <f t="shared" si="79"/>
        <v>CASH</v>
      </c>
      <c r="P452" s="26" t="str">
        <f t="shared" si="84"/>
        <v>LONG</v>
      </c>
      <c r="Q452" s="26" t="str">
        <f t="shared" si="82"/>
        <v>CASH LONG</v>
      </c>
      <c r="R452" s="26">
        <v>0</v>
      </c>
      <c r="S452" s="26">
        <v>0</v>
      </c>
      <c r="T452" s="26">
        <v>0</v>
      </c>
      <c r="U452" s="26">
        <v>0</v>
      </c>
      <c r="V452" s="23" t="str">
        <f t="shared" si="83"/>
        <v>CASH</v>
      </c>
      <c r="W452" t="str">
        <f t="shared" si="78"/>
        <v>USD CASH LONG</v>
      </c>
      <c r="X452" s="88" t="s">
        <v>264</v>
      </c>
    </row>
    <row r="453" spans="1:24" x14ac:dyDescent="0.25">
      <c r="A453">
        <v>494</v>
      </c>
      <c r="B453" s="71">
        <v>44939.000003356479</v>
      </c>
      <c r="C453" s="14" t="s">
        <v>265</v>
      </c>
      <c r="D453" s="23" t="s">
        <v>237</v>
      </c>
      <c r="E453" s="23" t="s">
        <v>95</v>
      </c>
      <c r="F453" s="23">
        <v>27324183.52</v>
      </c>
      <c r="G453" s="23">
        <v>27324183.52</v>
      </c>
      <c r="H453" s="23">
        <v>1</v>
      </c>
      <c r="I453" s="23">
        <v>0</v>
      </c>
      <c r="J453" s="23" t="s">
        <v>309</v>
      </c>
      <c r="K453" s="24">
        <v>44939.000003356479</v>
      </c>
      <c r="L453" s="23">
        <v>1</v>
      </c>
      <c r="M453" s="23" t="s">
        <v>95</v>
      </c>
      <c r="N453" s="25">
        <v>0</v>
      </c>
      <c r="O453" s="26" t="str">
        <f t="shared" si="79"/>
        <v>CASH</v>
      </c>
      <c r="P453" s="26" t="str">
        <f t="shared" si="84"/>
        <v>LONG</v>
      </c>
      <c r="Q453" s="26" t="str">
        <f t="shared" si="82"/>
        <v>CASH LONG</v>
      </c>
      <c r="R453" s="26">
        <v>0</v>
      </c>
      <c r="S453" s="26">
        <v>0</v>
      </c>
      <c r="T453" s="26">
        <v>0</v>
      </c>
      <c r="U453" s="26">
        <v>0</v>
      </c>
      <c r="V453" s="23" t="str">
        <f t="shared" si="83"/>
        <v>ED&amp;F Man Capital</v>
      </c>
      <c r="W453" t="str">
        <f t="shared" si="78"/>
        <v>USD CASH LONG</v>
      </c>
      <c r="X453" s="88" t="s">
        <v>264</v>
      </c>
    </row>
    <row r="454" spans="1:24" x14ac:dyDescent="0.25">
      <c r="B454" s="71"/>
      <c r="C454" s="14"/>
      <c r="D454" s="23"/>
      <c r="E454" s="23"/>
      <c r="F454" s="23"/>
      <c r="G454" s="23"/>
      <c r="H454" s="23"/>
      <c r="I454" s="23"/>
      <c r="J454" s="23"/>
      <c r="K454" s="24"/>
      <c r="L454" s="23"/>
      <c r="M454" s="23"/>
      <c r="N454" s="25">
        <v>0</v>
      </c>
      <c r="O454" s="26" t="str">
        <f t="shared" si="79"/>
        <v/>
      </c>
      <c r="P454" s="26" t="str">
        <f t="shared" si="84"/>
        <v/>
      </c>
      <c r="Q454" s="26" t="str">
        <f t="shared" si="82"/>
        <v xml:space="preserve"> </v>
      </c>
      <c r="R454" s="26">
        <v>0</v>
      </c>
      <c r="S454" s="26">
        <v>0</v>
      </c>
      <c r="T454" s="26">
        <v>0</v>
      </c>
      <c r="U454" s="26">
        <v>0</v>
      </c>
      <c r="V454" s="23" t="str">
        <f t="shared" si="83"/>
        <v/>
      </c>
      <c r="W454" t="str">
        <f t="shared" ref="W454:W499" si="85">IF($C454="","",$M454&amp;" "&amp;$Q454)</f>
        <v/>
      </c>
      <c r="X454" s="88" t="s">
        <v>264</v>
      </c>
    </row>
    <row r="455" spans="1:24" x14ac:dyDescent="0.25">
      <c r="B455" s="71"/>
      <c r="C455" s="14"/>
      <c r="D455" s="23"/>
      <c r="E455" s="23"/>
      <c r="F455" s="23"/>
      <c r="G455" s="23"/>
      <c r="H455" s="23"/>
      <c r="I455" s="23"/>
      <c r="J455" s="23"/>
      <c r="K455" s="24"/>
      <c r="L455" s="23"/>
      <c r="M455" s="23"/>
      <c r="N455" s="25">
        <v>0</v>
      </c>
      <c r="O455" s="26" t="str">
        <f t="shared" si="79"/>
        <v/>
      </c>
      <c r="P455" s="26" t="str">
        <f t="shared" si="84"/>
        <v/>
      </c>
      <c r="Q455" s="26" t="str">
        <f t="shared" si="82"/>
        <v xml:space="preserve"> </v>
      </c>
      <c r="R455" s="26">
        <v>0</v>
      </c>
      <c r="S455" s="26">
        <v>0</v>
      </c>
      <c r="T455" s="26">
        <v>0</v>
      </c>
      <c r="U455" s="26">
        <v>0</v>
      </c>
      <c r="V455" s="23" t="str">
        <f t="shared" si="83"/>
        <v/>
      </c>
      <c r="W455" t="str">
        <f t="shared" si="85"/>
        <v/>
      </c>
      <c r="X455" s="88" t="s">
        <v>264</v>
      </c>
    </row>
    <row r="456" spans="1:24" x14ac:dyDescent="0.25">
      <c r="B456" s="71"/>
      <c r="C456" s="14"/>
      <c r="D456" s="23"/>
      <c r="E456" s="23"/>
      <c r="F456" s="23"/>
      <c r="G456" s="23"/>
      <c r="H456" s="23"/>
      <c r="I456" s="23"/>
      <c r="J456" s="23"/>
      <c r="K456" s="24"/>
      <c r="L456" s="23"/>
      <c r="M456" s="23"/>
      <c r="N456" s="25">
        <v>0</v>
      </c>
      <c r="O456" s="26" t="str">
        <f t="shared" si="79"/>
        <v/>
      </c>
      <c r="P456" s="26" t="str">
        <f t="shared" si="84"/>
        <v/>
      </c>
      <c r="Q456" s="26" t="str">
        <f t="shared" si="82"/>
        <v xml:space="preserve"> </v>
      </c>
      <c r="R456" s="26">
        <v>0</v>
      </c>
      <c r="S456" s="26">
        <v>0</v>
      </c>
      <c r="T456" s="26">
        <v>0</v>
      </c>
      <c r="U456" s="26">
        <v>0</v>
      </c>
      <c r="V456" s="23" t="str">
        <f t="shared" si="83"/>
        <v/>
      </c>
      <c r="W456" t="str">
        <f t="shared" si="85"/>
        <v/>
      </c>
      <c r="X456" s="88" t="s">
        <v>264</v>
      </c>
    </row>
    <row r="457" spans="1:24" x14ac:dyDescent="0.25">
      <c r="B457" s="71"/>
      <c r="C457" s="14"/>
      <c r="D457" s="23"/>
      <c r="E457" s="23"/>
      <c r="F457" s="23"/>
      <c r="G457" s="23"/>
      <c r="H457" s="23"/>
      <c r="I457" s="23"/>
      <c r="J457" s="23"/>
      <c r="K457" s="24"/>
      <c r="L457" s="23"/>
      <c r="M457" s="23"/>
      <c r="N457" s="25">
        <v>0</v>
      </c>
      <c r="O457" s="26" t="str">
        <f t="shared" si="79"/>
        <v/>
      </c>
      <c r="P457" s="26" t="str">
        <f t="shared" si="84"/>
        <v/>
      </c>
      <c r="Q457" s="26" t="str">
        <f t="shared" si="82"/>
        <v xml:space="preserve"> </v>
      </c>
      <c r="R457" s="26">
        <v>0</v>
      </c>
      <c r="S457" s="26">
        <v>0</v>
      </c>
      <c r="T457" s="26">
        <v>0</v>
      </c>
      <c r="U457" s="26">
        <v>0</v>
      </c>
      <c r="V457" s="23" t="str">
        <f t="shared" si="83"/>
        <v/>
      </c>
      <c r="W457" t="str">
        <f t="shared" si="85"/>
        <v/>
      </c>
      <c r="X457" s="88" t="s">
        <v>264</v>
      </c>
    </row>
    <row r="458" spans="1:24" x14ac:dyDescent="0.25">
      <c r="B458" s="71"/>
      <c r="C458" s="14"/>
      <c r="D458" s="23"/>
      <c r="E458" s="23"/>
      <c r="F458" s="23"/>
      <c r="G458" s="23"/>
      <c r="H458" s="23"/>
      <c r="I458" s="23"/>
      <c r="J458" s="23"/>
      <c r="K458" s="24"/>
      <c r="L458" s="23"/>
      <c r="M458" s="23"/>
      <c r="N458" s="25">
        <v>0</v>
      </c>
      <c r="O458" s="26" t="str">
        <f t="shared" si="79"/>
        <v/>
      </c>
      <c r="P458" s="26" t="str">
        <f t="shared" si="84"/>
        <v/>
      </c>
      <c r="Q458" s="26" t="str">
        <f t="shared" si="82"/>
        <v xml:space="preserve"> </v>
      </c>
      <c r="R458" s="26">
        <v>0</v>
      </c>
      <c r="S458" s="26">
        <v>0</v>
      </c>
      <c r="T458" s="26">
        <v>0</v>
      </c>
      <c r="U458" s="26">
        <v>0</v>
      </c>
      <c r="V458" s="23" t="str">
        <f t="shared" si="83"/>
        <v/>
      </c>
      <c r="W458" t="str">
        <f t="shared" si="85"/>
        <v/>
      </c>
      <c r="X458" s="88" t="s">
        <v>264</v>
      </c>
    </row>
    <row r="459" spans="1:24" x14ac:dyDescent="0.25">
      <c r="B459" s="71"/>
      <c r="C459" s="14"/>
      <c r="D459" s="23"/>
      <c r="E459" s="23"/>
      <c r="F459" s="23"/>
      <c r="G459" s="23"/>
      <c r="H459" s="23"/>
      <c r="I459" s="23"/>
      <c r="J459" s="23"/>
      <c r="K459" s="24"/>
      <c r="L459" s="23"/>
      <c r="M459" s="23"/>
      <c r="N459" s="25">
        <v>0</v>
      </c>
      <c r="O459" s="26" t="str">
        <f t="shared" si="79"/>
        <v/>
      </c>
      <c r="P459" s="26" t="str">
        <f t="shared" si="84"/>
        <v/>
      </c>
      <c r="Q459" s="26" t="str">
        <f t="shared" si="82"/>
        <v xml:space="preserve"> </v>
      </c>
      <c r="R459" s="26">
        <v>0</v>
      </c>
      <c r="S459" s="26">
        <v>0</v>
      </c>
      <c r="T459" s="26">
        <v>0</v>
      </c>
      <c r="U459" s="26">
        <v>0</v>
      </c>
      <c r="V459" s="23" t="str">
        <f t="shared" si="83"/>
        <v/>
      </c>
      <c r="W459" t="str">
        <f t="shared" si="85"/>
        <v/>
      </c>
      <c r="X459" s="88" t="s">
        <v>264</v>
      </c>
    </row>
    <row r="460" spans="1:24" x14ac:dyDescent="0.25">
      <c r="B460" s="71"/>
      <c r="C460" s="14"/>
      <c r="D460" s="23"/>
      <c r="E460" s="23"/>
      <c r="F460" s="23"/>
      <c r="G460" s="23"/>
      <c r="H460" s="23"/>
      <c r="I460" s="23"/>
      <c r="J460" s="23"/>
      <c r="K460" s="24"/>
      <c r="L460" s="23"/>
      <c r="M460" s="23"/>
      <c r="N460" s="25">
        <v>0</v>
      </c>
      <c r="O460" s="26" t="str">
        <f t="shared" si="79"/>
        <v/>
      </c>
      <c r="P460" s="26" t="str">
        <f t="shared" si="84"/>
        <v/>
      </c>
      <c r="Q460" s="26" t="str">
        <f t="shared" si="82"/>
        <v xml:space="preserve"> </v>
      </c>
      <c r="R460" s="26">
        <v>0</v>
      </c>
      <c r="S460" s="26">
        <v>0</v>
      </c>
      <c r="T460" s="26">
        <v>0</v>
      </c>
      <c r="U460" s="26">
        <v>0</v>
      </c>
      <c r="V460" s="23" t="str">
        <f t="shared" si="83"/>
        <v/>
      </c>
      <c r="W460" t="str">
        <f t="shared" si="85"/>
        <v/>
      </c>
      <c r="X460" s="88" t="s">
        <v>264</v>
      </c>
    </row>
    <row r="461" spans="1:24" x14ac:dyDescent="0.25">
      <c r="B461" s="71"/>
      <c r="C461" s="14"/>
      <c r="D461" s="23"/>
      <c r="E461" s="23"/>
      <c r="F461" s="23"/>
      <c r="G461" s="23"/>
      <c r="H461" s="23"/>
      <c r="I461" s="23"/>
      <c r="J461" s="23"/>
      <c r="K461" s="24"/>
      <c r="L461" s="23"/>
      <c r="M461" s="23"/>
      <c r="N461" s="25">
        <v>0</v>
      </c>
      <c r="O461" s="26" t="str">
        <f t="shared" si="79"/>
        <v/>
      </c>
      <c r="P461" s="26" t="str">
        <f t="shared" si="84"/>
        <v/>
      </c>
      <c r="Q461" s="26" t="str">
        <f t="shared" si="82"/>
        <v xml:space="preserve"> </v>
      </c>
      <c r="R461" s="26">
        <v>0</v>
      </c>
      <c r="S461" s="26">
        <v>0</v>
      </c>
      <c r="T461" s="26">
        <v>0</v>
      </c>
      <c r="U461" s="26">
        <v>0</v>
      </c>
      <c r="V461" s="23" t="str">
        <f t="shared" si="83"/>
        <v/>
      </c>
      <c r="W461" t="str">
        <f t="shared" si="85"/>
        <v/>
      </c>
      <c r="X461" s="88" t="s">
        <v>264</v>
      </c>
    </row>
    <row r="462" spans="1:24" x14ac:dyDescent="0.25">
      <c r="B462" s="71"/>
      <c r="C462" s="14"/>
      <c r="D462" s="23"/>
      <c r="E462" s="23"/>
      <c r="F462" s="23"/>
      <c r="G462" s="23"/>
      <c r="H462" s="23"/>
      <c r="I462" s="23"/>
      <c r="J462" s="23"/>
      <c r="K462" s="24"/>
      <c r="L462" s="23"/>
      <c r="M462" s="23"/>
      <c r="N462" s="25">
        <v>0</v>
      </c>
      <c r="O462" s="26" t="str">
        <f t="shared" si="79"/>
        <v/>
      </c>
      <c r="P462" s="26" t="str">
        <f t="shared" si="84"/>
        <v/>
      </c>
      <c r="Q462" s="26" t="str">
        <f t="shared" si="82"/>
        <v xml:space="preserve"> </v>
      </c>
      <c r="R462" s="26">
        <v>0</v>
      </c>
      <c r="S462" s="26">
        <v>0</v>
      </c>
      <c r="T462" s="26">
        <v>0</v>
      </c>
      <c r="U462" s="26">
        <v>0</v>
      </c>
      <c r="V462" s="23" t="str">
        <f t="shared" si="83"/>
        <v/>
      </c>
      <c r="W462" t="str">
        <f t="shared" si="85"/>
        <v/>
      </c>
      <c r="X462" s="88" t="s">
        <v>264</v>
      </c>
    </row>
    <row r="463" spans="1:24" x14ac:dyDescent="0.25">
      <c r="B463" s="71"/>
      <c r="C463" s="14"/>
      <c r="D463" s="23"/>
      <c r="E463" s="23"/>
      <c r="F463" s="23"/>
      <c r="G463" s="23"/>
      <c r="H463" s="23"/>
      <c r="I463" s="23"/>
      <c r="J463" s="23"/>
      <c r="K463" s="24"/>
      <c r="L463" s="23"/>
      <c r="M463" s="23"/>
      <c r="N463" s="25">
        <v>0</v>
      </c>
      <c r="O463" s="26" t="str">
        <f t="shared" ref="O463:O499" si="86">IF($C463="","",IF(OR($E463="USD",$E463="EUR"),"CASH","COIN"))</f>
        <v/>
      </c>
      <c r="P463" s="26" t="str">
        <f t="shared" si="84"/>
        <v/>
      </c>
      <c r="Q463" s="26" t="str">
        <f t="shared" si="82"/>
        <v xml:space="preserve"> </v>
      </c>
      <c r="R463" s="26">
        <v>0</v>
      </c>
      <c r="S463" s="26">
        <v>0</v>
      </c>
      <c r="T463" s="26">
        <v>0</v>
      </c>
      <c r="U463" s="26">
        <v>0</v>
      </c>
      <c r="V463" s="23" t="str">
        <f t="shared" si="83"/>
        <v/>
      </c>
      <c r="W463" t="str">
        <f t="shared" si="85"/>
        <v/>
      </c>
      <c r="X463" s="88" t="s">
        <v>264</v>
      </c>
    </row>
    <row r="464" spans="1:24" x14ac:dyDescent="0.25">
      <c r="B464" s="71"/>
      <c r="C464" s="14"/>
      <c r="D464" s="23"/>
      <c r="E464" s="23"/>
      <c r="F464" s="23"/>
      <c r="G464" s="23"/>
      <c r="H464" s="23"/>
      <c r="I464" s="23"/>
      <c r="J464" s="23"/>
      <c r="K464" s="24"/>
      <c r="L464" s="23"/>
      <c r="M464" s="23"/>
      <c r="N464" s="25">
        <v>0</v>
      </c>
      <c r="O464" s="26" t="str">
        <f t="shared" si="86"/>
        <v/>
      </c>
      <c r="P464" s="26" t="str">
        <f t="shared" si="84"/>
        <v/>
      </c>
      <c r="Q464" s="26" t="str">
        <f t="shared" si="82"/>
        <v xml:space="preserve"> </v>
      </c>
      <c r="R464" s="26">
        <v>0</v>
      </c>
      <c r="S464" s="26">
        <v>0</v>
      </c>
      <c r="T464" s="26">
        <v>0</v>
      </c>
      <c r="U464" s="26">
        <v>0</v>
      </c>
      <c r="V464" s="23" t="str">
        <f t="shared" si="83"/>
        <v/>
      </c>
      <c r="W464" t="str">
        <f t="shared" si="85"/>
        <v/>
      </c>
      <c r="X464" s="88" t="s">
        <v>264</v>
      </c>
    </row>
    <row r="465" spans="2:24" x14ac:dyDescent="0.25">
      <c r="B465" s="71"/>
      <c r="C465" s="14"/>
      <c r="D465" s="23"/>
      <c r="E465" s="23"/>
      <c r="F465" s="23"/>
      <c r="G465" s="23"/>
      <c r="H465" s="23"/>
      <c r="I465" s="23"/>
      <c r="J465" s="23"/>
      <c r="K465" s="24"/>
      <c r="L465" s="23"/>
      <c r="M465" s="23"/>
      <c r="N465" s="25">
        <v>0</v>
      </c>
      <c r="O465" s="26" t="str">
        <f t="shared" si="86"/>
        <v/>
      </c>
      <c r="P465" s="26" t="str">
        <f t="shared" si="84"/>
        <v/>
      </c>
      <c r="Q465" s="26" t="str">
        <f t="shared" si="82"/>
        <v xml:space="preserve"> </v>
      </c>
      <c r="R465" s="26">
        <v>0</v>
      </c>
      <c r="S465" s="26">
        <v>0</v>
      </c>
      <c r="T465" s="26">
        <v>0</v>
      </c>
      <c r="U465" s="26">
        <v>0</v>
      </c>
      <c r="V465" s="23" t="str">
        <f t="shared" si="83"/>
        <v/>
      </c>
      <c r="W465" t="str">
        <f t="shared" si="85"/>
        <v/>
      </c>
      <c r="X465" s="88" t="s">
        <v>264</v>
      </c>
    </row>
    <row r="466" spans="2:24" x14ac:dyDescent="0.25">
      <c r="B466" s="71"/>
      <c r="C466" s="14"/>
      <c r="D466" s="23"/>
      <c r="E466" s="23"/>
      <c r="F466" s="23"/>
      <c r="G466" s="23"/>
      <c r="H466" s="23"/>
      <c r="I466" s="23"/>
      <c r="J466" s="23"/>
      <c r="K466" s="24"/>
      <c r="L466" s="23"/>
      <c r="M466" s="23"/>
      <c r="N466" s="25">
        <v>0</v>
      </c>
      <c r="O466" s="26" t="str">
        <f t="shared" si="86"/>
        <v/>
      </c>
      <c r="P466" s="26" t="str">
        <f t="shared" si="84"/>
        <v/>
      </c>
      <c r="Q466" s="26" t="str">
        <f t="shared" si="82"/>
        <v xml:space="preserve"> </v>
      </c>
      <c r="R466" s="26">
        <v>0</v>
      </c>
      <c r="S466" s="26">
        <v>0</v>
      </c>
      <c r="T466" s="26">
        <v>0</v>
      </c>
      <c r="U466" s="26">
        <v>0</v>
      </c>
      <c r="V466" s="23" t="str">
        <f t="shared" si="83"/>
        <v/>
      </c>
      <c r="W466" t="str">
        <f t="shared" si="85"/>
        <v/>
      </c>
      <c r="X466" s="88" t="s">
        <v>264</v>
      </c>
    </row>
    <row r="467" spans="2:24" x14ac:dyDescent="0.25">
      <c r="B467" s="71"/>
      <c r="C467" s="14"/>
      <c r="D467" s="23"/>
      <c r="E467" s="23"/>
      <c r="F467" s="23"/>
      <c r="G467" s="23"/>
      <c r="H467" s="23"/>
      <c r="I467" s="23"/>
      <c r="J467" s="23"/>
      <c r="K467" s="24"/>
      <c r="L467" s="23"/>
      <c r="M467" s="23"/>
      <c r="N467" s="25">
        <v>0</v>
      </c>
      <c r="O467" s="26" t="str">
        <f t="shared" si="86"/>
        <v/>
      </c>
      <c r="P467" s="26" t="str">
        <f t="shared" si="84"/>
        <v/>
      </c>
      <c r="Q467" s="26" t="str">
        <f t="shared" si="82"/>
        <v xml:space="preserve"> </v>
      </c>
      <c r="R467" s="26">
        <v>0</v>
      </c>
      <c r="S467" s="26">
        <v>0</v>
      </c>
      <c r="T467" s="26">
        <v>0</v>
      </c>
      <c r="U467" s="26">
        <v>0</v>
      </c>
      <c r="V467" s="23" t="str">
        <f t="shared" si="83"/>
        <v/>
      </c>
      <c r="W467" t="str">
        <f t="shared" si="85"/>
        <v/>
      </c>
      <c r="X467" s="88" t="s">
        <v>264</v>
      </c>
    </row>
    <row r="468" spans="2:24" x14ac:dyDescent="0.25">
      <c r="B468" s="71"/>
      <c r="C468" s="14"/>
      <c r="D468" s="23"/>
      <c r="E468" s="23"/>
      <c r="F468" s="23"/>
      <c r="G468" s="23"/>
      <c r="H468" s="23"/>
      <c r="I468" s="23"/>
      <c r="J468" s="23"/>
      <c r="K468" s="24"/>
      <c r="L468" s="23"/>
      <c r="M468" s="23"/>
      <c r="N468" s="25">
        <v>0</v>
      </c>
      <c r="O468" s="26" t="str">
        <f t="shared" si="86"/>
        <v/>
      </c>
      <c r="P468" s="26" t="str">
        <f t="shared" si="84"/>
        <v/>
      </c>
      <c r="Q468" s="26" t="str">
        <f t="shared" si="82"/>
        <v xml:space="preserve"> </v>
      </c>
      <c r="R468" s="26">
        <v>0</v>
      </c>
      <c r="S468" s="26">
        <v>0</v>
      </c>
      <c r="T468" s="26">
        <v>0</v>
      </c>
      <c r="U468" s="26">
        <v>0</v>
      </c>
      <c r="V468" s="23" t="str">
        <f t="shared" si="83"/>
        <v/>
      </c>
      <c r="W468" t="str">
        <f t="shared" si="85"/>
        <v/>
      </c>
      <c r="X468" s="88" t="s">
        <v>264</v>
      </c>
    </row>
    <row r="469" spans="2:24" x14ac:dyDescent="0.25">
      <c r="B469" s="71"/>
      <c r="C469" s="14"/>
      <c r="D469" s="23"/>
      <c r="E469" s="23"/>
      <c r="F469" s="23"/>
      <c r="G469" s="23"/>
      <c r="H469" s="23"/>
      <c r="I469" s="23"/>
      <c r="J469" s="23"/>
      <c r="K469" s="24"/>
      <c r="L469" s="23"/>
      <c r="M469" s="23"/>
      <c r="N469" s="25">
        <v>0</v>
      </c>
      <c r="O469" s="26" t="str">
        <f t="shared" si="86"/>
        <v/>
      </c>
      <c r="P469" s="26" t="str">
        <f t="shared" si="84"/>
        <v/>
      </c>
      <c r="Q469" s="26" t="str">
        <f t="shared" si="82"/>
        <v xml:space="preserve"> </v>
      </c>
      <c r="R469" s="26">
        <v>0</v>
      </c>
      <c r="S469" s="26">
        <v>0</v>
      </c>
      <c r="T469" s="26">
        <v>0</v>
      </c>
      <c r="U469" s="26">
        <v>0</v>
      </c>
      <c r="V469" s="23" t="str">
        <f t="shared" si="83"/>
        <v/>
      </c>
      <c r="W469" t="str">
        <f t="shared" si="85"/>
        <v/>
      </c>
      <c r="X469" s="88" t="s">
        <v>264</v>
      </c>
    </row>
    <row r="470" spans="2:24" x14ac:dyDescent="0.25">
      <c r="B470" s="71"/>
      <c r="C470" s="14"/>
      <c r="D470" s="23"/>
      <c r="E470" s="23"/>
      <c r="F470" s="23"/>
      <c r="G470" s="23"/>
      <c r="H470" s="23"/>
      <c r="I470" s="23"/>
      <c r="J470" s="23"/>
      <c r="K470" s="24"/>
      <c r="L470" s="23"/>
      <c r="M470" s="23"/>
      <c r="N470" s="25">
        <v>0</v>
      </c>
      <c r="O470" s="26" t="str">
        <f t="shared" si="86"/>
        <v/>
      </c>
      <c r="P470" s="26" t="str">
        <f t="shared" si="84"/>
        <v/>
      </c>
      <c r="Q470" s="26" t="str">
        <f t="shared" si="82"/>
        <v xml:space="preserve"> </v>
      </c>
      <c r="R470" s="26">
        <v>0</v>
      </c>
      <c r="S470" s="26">
        <v>0</v>
      </c>
      <c r="T470" s="26">
        <v>0</v>
      </c>
      <c r="U470" s="26">
        <v>0</v>
      </c>
      <c r="V470" s="23" t="str">
        <f t="shared" si="83"/>
        <v/>
      </c>
      <c r="W470" t="str">
        <f t="shared" si="85"/>
        <v/>
      </c>
      <c r="X470" s="88" t="s">
        <v>264</v>
      </c>
    </row>
    <row r="471" spans="2:24" x14ac:dyDescent="0.25">
      <c r="B471" s="71"/>
      <c r="C471" s="14"/>
      <c r="D471" s="23"/>
      <c r="E471" s="23"/>
      <c r="F471" s="23"/>
      <c r="G471" s="23"/>
      <c r="H471" s="23"/>
      <c r="I471" s="23"/>
      <c r="J471" s="23"/>
      <c r="K471" s="24"/>
      <c r="L471" s="23"/>
      <c r="M471" s="23"/>
      <c r="N471" s="25">
        <v>0</v>
      </c>
      <c r="O471" s="26" t="str">
        <f t="shared" si="86"/>
        <v/>
      </c>
      <c r="P471" s="26" t="str">
        <f t="shared" si="84"/>
        <v/>
      </c>
      <c r="Q471" s="26" t="str">
        <f t="shared" si="82"/>
        <v xml:space="preserve"> </v>
      </c>
      <c r="R471" s="26">
        <v>0</v>
      </c>
      <c r="S471" s="26">
        <v>0</v>
      </c>
      <c r="T471" s="26">
        <v>0</v>
      </c>
      <c r="U471" s="26">
        <v>0</v>
      </c>
      <c r="V471" s="23" t="str">
        <f t="shared" si="83"/>
        <v/>
      </c>
      <c r="W471" t="str">
        <f t="shared" si="85"/>
        <v/>
      </c>
      <c r="X471" s="88" t="s">
        <v>264</v>
      </c>
    </row>
    <row r="472" spans="2:24" x14ac:dyDescent="0.25">
      <c r="B472" s="71"/>
      <c r="C472" s="14"/>
      <c r="D472" s="23"/>
      <c r="E472" s="23"/>
      <c r="F472" s="23"/>
      <c r="G472" s="23"/>
      <c r="H472" s="23"/>
      <c r="I472" s="23"/>
      <c r="J472" s="23"/>
      <c r="K472" s="24"/>
      <c r="L472" s="23"/>
      <c r="M472" s="23"/>
      <c r="N472" s="25">
        <v>0</v>
      </c>
      <c r="O472" s="26" t="str">
        <f t="shared" si="86"/>
        <v/>
      </c>
      <c r="P472" s="26" t="str">
        <f t="shared" si="84"/>
        <v/>
      </c>
      <c r="Q472" s="26" t="str">
        <f t="shared" si="82"/>
        <v xml:space="preserve"> </v>
      </c>
      <c r="R472" s="26">
        <v>0</v>
      </c>
      <c r="S472" s="26">
        <v>0</v>
      </c>
      <c r="T472" s="26">
        <v>0</v>
      </c>
      <c r="U472" s="26">
        <v>0</v>
      </c>
      <c r="V472" s="23" t="str">
        <f t="shared" si="83"/>
        <v/>
      </c>
      <c r="W472" t="str">
        <f t="shared" si="85"/>
        <v/>
      </c>
      <c r="X472" s="88" t="s">
        <v>264</v>
      </c>
    </row>
    <row r="473" spans="2:24" x14ac:dyDescent="0.25">
      <c r="B473" s="71"/>
      <c r="C473" s="14"/>
      <c r="D473" s="23"/>
      <c r="E473" s="23"/>
      <c r="F473" s="23"/>
      <c r="G473" s="23"/>
      <c r="H473" s="23"/>
      <c r="I473" s="23"/>
      <c r="J473" s="23"/>
      <c r="K473" s="24"/>
      <c r="L473" s="23"/>
      <c r="M473" s="23"/>
      <c r="N473" s="25">
        <v>0</v>
      </c>
      <c r="O473" s="26" t="str">
        <f t="shared" si="86"/>
        <v/>
      </c>
      <c r="P473" s="26" t="str">
        <f t="shared" si="84"/>
        <v/>
      </c>
      <c r="Q473" s="26" t="str">
        <f t="shared" si="82"/>
        <v xml:space="preserve"> </v>
      </c>
      <c r="R473" s="26">
        <v>0</v>
      </c>
      <c r="S473" s="26">
        <v>0</v>
      </c>
      <c r="T473" s="26">
        <v>0</v>
      </c>
      <c r="U473" s="26">
        <v>0</v>
      </c>
      <c r="V473" s="23" t="str">
        <f t="shared" si="83"/>
        <v/>
      </c>
      <c r="W473" t="str">
        <f t="shared" si="85"/>
        <v/>
      </c>
      <c r="X473" s="88" t="s">
        <v>264</v>
      </c>
    </row>
    <row r="474" spans="2:24" x14ac:dyDescent="0.25">
      <c r="B474" s="71"/>
      <c r="C474" s="14"/>
      <c r="D474" s="23"/>
      <c r="E474" s="23"/>
      <c r="F474" s="23"/>
      <c r="G474" s="23"/>
      <c r="H474" s="23"/>
      <c r="I474" s="23"/>
      <c r="J474" s="23"/>
      <c r="K474" s="24"/>
      <c r="L474" s="23"/>
      <c r="M474" s="23"/>
      <c r="N474" s="25">
        <v>0</v>
      </c>
      <c r="O474" s="26" t="str">
        <f t="shared" si="86"/>
        <v/>
      </c>
      <c r="P474" s="26" t="str">
        <f t="shared" si="84"/>
        <v/>
      </c>
      <c r="Q474" s="26" t="str">
        <f t="shared" si="82"/>
        <v xml:space="preserve"> </v>
      </c>
      <c r="R474" s="26">
        <v>0</v>
      </c>
      <c r="S474" s="26">
        <v>0</v>
      </c>
      <c r="T474" s="26">
        <v>0</v>
      </c>
      <c r="U474" s="26">
        <v>0</v>
      </c>
      <c r="V474" s="23" t="str">
        <f t="shared" si="83"/>
        <v/>
      </c>
      <c r="W474" t="str">
        <f t="shared" si="85"/>
        <v/>
      </c>
      <c r="X474" s="88" t="s">
        <v>264</v>
      </c>
    </row>
    <row r="475" spans="2:24" x14ac:dyDescent="0.25">
      <c r="B475" s="71"/>
      <c r="C475" s="14"/>
      <c r="D475" s="23"/>
      <c r="E475" s="23"/>
      <c r="F475" s="23"/>
      <c r="G475" s="23"/>
      <c r="H475" s="23"/>
      <c r="I475" s="23"/>
      <c r="J475" s="23"/>
      <c r="K475" s="24"/>
      <c r="L475" s="23"/>
      <c r="M475" s="23"/>
      <c r="N475" s="25">
        <v>0</v>
      </c>
      <c r="O475" s="26" t="str">
        <f t="shared" si="86"/>
        <v/>
      </c>
      <c r="P475" s="26" t="str">
        <f t="shared" si="84"/>
        <v/>
      </c>
      <c r="Q475" s="26" t="str">
        <f t="shared" si="82"/>
        <v xml:space="preserve"> </v>
      </c>
      <c r="R475" s="26">
        <v>0</v>
      </c>
      <c r="S475" s="26">
        <v>0</v>
      </c>
      <c r="T475" s="26">
        <v>0</v>
      </c>
      <c r="U475" s="26">
        <v>0</v>
      </c>
      <c r="V475" s="23" t="str">
        <f t="shared" si="83"/>
        <v/>
      </c>
      <c r="W475" t="str">
        <f t="shared" si="85"/>
        <v/>
      </c>
      <c r="X475" s="88" t="s">
        <v>264</v>
      </c>
    </row>
    <row r="476" spans="2:24" x14ac:dyDescent="0.25">
      <c r="B476" s="71"/>
      <c r="C476" s="14"/>
      <c r="D476" s="23"/>
      <c r="E476" s="23"/>
      <c r="F476" s="23"/>
      <c r="G476" s="23"/>
      <c r="H476" s="23"/>
      <c r="I476" s="23"/>
      <c r="J476" s="23"/>
      <c r="K476" s="24"/>
      <c r="L476" s="23"/>
      <c r="M476" s="23"/>
      <c r="N476" s="25">
        <v>0</v>
      </c>
      <c r="O476" s="26" t="str">
        <f t="shared" si="86"/>
        <v/>
      </c>
      <c r="P476" s="26" t="str">
        <f t="shared" si="84"/>
        <v/>
      </c>
      <c r="Q476" s="26" t="str">
        <f t="shared" si="82"/>
        <v xml:space="preserve"> </v>
      </c>
      <c r="R476" s="26">
        <v>0</v>
      </c>
      <c r="S476" s="26">
        <v>0</v>
      </c>
      <c r="T476" s="26">
        <v>0</v>
      </c>
      <c r="U476" s="26">
        <v>0</v>
      </c>
      <c r="V476" s="23" t="str">
        <f t="shared" si="83"/>
        <v/>
      </c>
      <c r="W476" t="str">
        <f t="shared" si="85"/>
        <v/>
      </c>
      <c r="X476" s="88" t="s">
        <v>264</v>
      </c>
    </row>
    <row r="477" spans="2:24" x14ac:dyDescent="0.25">
      <c r="B477" s="71"/>
      <c r="C477" s="14"/>
      <c r="D477" s="23"/>
      <c r="E477" s="23"/>
      <c r="F477" s="23"/>
      <c r="G477" s="23"/>
      <c r="H477" s="23"/>
      <c r="I477" s="23"/>
      <c r="J477" s="23"/>
      <c r="K477" s="24"/>
      <c r="L477" s="23"/>
      <c r="M477" s="23"/>
      <c r="N477" s="25">
        <v>0</v>
      </c>
      <c r="O477" s="26" t="str">
        <f t="shared" si="86"/>
        <v/>
      </c>
      <c r="P477" s="26" t="str">
        <f t="shared" si="84"/>
        <v/>
      </c>
      <c r="Q477" s="26" t="str">
        <f t="shared" si="82"/>
        <v xml:space="preserve"> </v>
      </c>
      <c r="R477" s="26">
        <v>0</v>
      </c>
      <c r="S477" s="26">
        <v>0</v>
      </c>
      <c r="T477" s="26">
        <v>0</v>
      </c>
      <c r="U477" s="26">
        <v>0</v>
      </c>
      <c r="V477" s="23" t="str">
        <f t="shared" si="83"/>
        <v/>
      </c>
      <c r="W477" t="str">
        <f t="shared" si="85"/>
        <v/>
      </c>
      <c r="X477" s="88" t="s">
        <v>264</v>
      </c>
    </row>
    <row r="478" spans="2:24" x14ac:dyDescent="0.25">
      <c r="B478" s="71"/>
      <c r="C478" s="14"/>
      <c r="D478" s="23"/>
      <c r="E478" s="23"/>
      <c r="F478" s="23"/>
      <c r="G478" s="23"/>
      <c r="H478" s="23"/>
      <c r="I478" s="23"/>
      <c r="J478" s="23"/>
      <c r="K478" s="24"/>
      <c r="L478" s="23"/>
      <c r="M478" s="23"/>
      <c r="N478" s="25">
        <v>0</v>
      </c>
      <c r="O478" s="26" t="str">
        <f t="shared" si="86"/>
        <v/>
      </c>
      <c r="P478" s="26" t="str">
        <f t="shared" si="84"/>
        <v/>
      </c>
      <c r="Q478" s="26" t="str">
        <f t="shared" si="82"/>
        <v xml:space="preserve"> </v>
      </c>
      <c r="R478" s="26">
        <v>0</v>
      </c>
      <c r="S478" s="26">
        <v>0</v>
      </c>
      <c r="T478" s="26">
        <v>0</v>
      </c>
      <c r="U478" s="26">
        <v>0</v>
      </c>
      <c r="V478" s="23" t="str">
        <f t="shared" si="83"/>
        <v/>
      </c>
      <c r="W478" t="str">
        <f t="shared" si="85"/>
        <v/>
      </c>
      <c r="X478" s="88" t="s">
        <v>264</v>
      </c>
    </row>
    <row r="479" spans="2:24" x14ac:dyDescent="0.25">
      <c r="B479" s="71"/>
      <c r="C479" s="14"/>
      <c r="D479" s="23"/>
      <c r="E479" s="23"/>
      <c r="F479" s="23"/>
      <c r="G479" s="23"/>
      <c r="H479" s="23"/>
      <c r="I479" s="23"/>
      <c r="J479" s="23"/>
      <c r="K479" s="24"/>
      <c r="L479" s="23"/>
      <c r="M479" s="23"/>
      <c r="N479" s="25">
        <v>0</v>
      </c>
      <c r="O479" s="26" t="str">
        <f t="shared" si="86"/>
        <v/>
      </c>
      <c r="P479" s="26" t="str">
        <f t="shared" si="84"/>
        <v/>
      </c>
      <c r="Q479" s="26" t="str">
        <f t="shared" si="82"/>
        <v xml:space="preserve"> </v>
      </c>
      <c r="R479" s="26">
        <v>0</v>
      </c>
      <c r="S479" s="26">
        <v>0</v>
      </c>
      <c r="T479" s="26">
        <v>0</v>
      </c>
      <c r="U479" s="26">
        <v>0</v>
      </c>
      <c r="V479" s="23" t="str">
        <f t="shared" si="83"/>
        <v/>
      </c>
      <c r="W479" t="str">
        <f t="shared" si="85"/>
        <v/>
      </c>
      <c r="X479" s="88" t="s">
        <v>264</v>
      </c>
    </row>
    <row r="480" spans="2:24" x14ac:dyDescent="0.25">
      <c r="B480" s="71"/>
      <c r="C480" s="14"/>
      <c r="D480" s="23"/>
      <c r="E480" s="23"/>
      <c r="F480" s="23"/>
      <c r="G480" s="23"/>
      <c r="H480" s="23"/>
      <c r="I480" s="23"/>
      <c r="J480" s="23"/>
      <c r="K480" s="24"/>
      <c r="L480" s="23"/>
      <c r="M480" s="23"/>
      <c r="N480" s="25">
        <v>0</v>
      </c>
      <c r="O480" s="26" t="str">
        <f t="shared" si="86"/>
        <v/>
      </c>
      <c r="P480" s="26" t="str">
        <f t="shared" si="84"/>
        <v/>
      </c>
      <c r="Q480" s="26" t="str">
        <f t="shared" si="82"/>
        <v xml:space="preserve"> </v>
      </c>
      <c r="R480" s="26">
        <v>0</v>
      </c>
      <c r="S480" s="26">
        <v>0</v>
      </c>
      <c r="T480" s="26">
        <v>0</v>
      </c>
      <c r="U480" s="26">
        <v>0</v>
      </c>
      <c r="V480" s="23" t="str">
        <f t="shared" si="83"/>
        <v/>
      </c>
      <c r="W480" t="str">
        <f t="shared" si="85"/>
        <v/>
      </c>
      <c r="X480" s="88" t="s">
        <v>264</v>
      </c>
    </row>
    <row r="481" spans="2:24" x14ac:dyDescent="0.25">
      <c r="B481" s="71"/>
      <c r="C481" s="14"/>
      <c r="D481" s="23"/>
      <c r="E481" s="23"/>
      <c r="F481" s="23"/>
      <c r="G481" s="23"/>
      <c r="H481" s="23"/>
      <c r="I481" s="23"/>
      <c r="J481" s="23"/>
      <c r="K481" s="24"/>
      <c r="L481" s="23"/>
      <c r="M481" s="23"/>
      <c r="N481" s="25">
        <v>0</v>
      </c>
      <c r="O481" s="26" t="str">
        <f t="shared" si="86"/>
        <v/>
      </c>
      <c r="P481" s="26" t="str">
        <f t="shared" si="84"/>
        <v/>
      </c>
      <c r="Q481" s="26" t="str">
        <f t="shared" si="82"/>
        <v xml:space="preserve"> </v>
      </c>
      <c r="R481" s="26">
        <v>0</v>
      </c>
      <c r="S481" s="26">
        <v>0</v>
      </c>
      <c r="T481" s="26">
        <v>0</v>
      </c>
      <c r="U481" s="26">
        <v>0</v>
      </c>
      <c r="V481" s="23" t="str">
        <f t="shared" si="83"/>
        <v/>
      </c>
      <c r="W481" t="str">
        <f t="shared" si="85"/>
        <v/>
      </c>
      <c r="X481" s="88" t="s">
        <v>264</v>
      </c>
    </row>
    <row r="482" spans="2:24" x14ac:dyDescent="0.25">
      <c r="B482" s="71"/>
      <c r="C482" s="14"/>
      <c r="D482" s="23"/>
      <c r="E482" s="23"/>
      <c r="F482" s="23"/>
      <c r="G482" s="23"/>
      <c r="H482" s="23"/>
      <c r="I482" s="23"/>
      <c r="J482" s="23"/>
      <c r="K482" s="24"/>
      <c r="L482" s="23"/>
      <c r="M482" s="23"/>
      <c r="N482" s="25">
        <v>0</v>
      </c>
      <c r="O482" s="26" t="str">
        <f t="shared" si="86"/>
        <v/>
      </c>
      <c r="P482" s="26" t="str">
        <f t="shared" si="84"/>
        <v/>
      </c>
      <c r="Q482" s="26" t="str">
        <f t="shared" si="82"/>
        <v xml:space="preserve"> </v>
      </c>
      <c r="R482" s="26">
        <v>0</v>
      </c>
      <c r="S482" s="26">
        <v>0</v>
      </c>
      <c r="T482" s="26">
        <v>0</v>
      </c>
      <c r="U482" s="26">
        <v>0</v>
      </c>
      <c r="V482" s="23" t="str">
        <f t="shared" si="83"/>
        <v/>
      </c>
      <c r="W482" t="str">
        <f t="shared" si="85"/>
        <v/>
      </c>
      <c r="X482" s="88" t="s">
        <v>264</v>
      </c>
    </row>
    <row r="483" spans="2:24" x14ac:dyDescent="0.25">
      <c r="B483" s="71"/>
      <c r="C483" s="14"/>
      <c r="D483" s="23"/>
      <c r="E483" s="23"/>
      <c r="F483" s="23"/>
      <c r="G483" s="23"/>
      <c r="H483" s="23"/>
      <c r="I483" s="23"/>
      <c r="J483" s="23"/>
      <c r="K483" s="24"/>
      <c r="L483" s="23"/>
      <c r="M483" s="23"/>
      <c r="N483" s="25">
        <v>0</v>
      </c>
      <c r="O483" s="26" t="str">
        <f t="shared" si="86"/>
        <v/>
      </c>
      <c r="P483" s="26" t="str">
        <f t="shared" si="84"/>
        <v/>
      </c>
      <c r="Q483" s="26" t="str">
        <f t="shared" si="82"/>
        <v xml:space="preserve"> </v>
      </c>
      <c r="R483" s="26">
        <v>0</v>
      </c>
      <c r="S483" s="26">
        <v>0</v>
      </c>
      <c r="T483" s="26">
        <v>0</v>
      </c>
      <c r="U483" s="26">
        <v>0</v>
      </c>
      <c r="V483" s="23" t="str">
        <f t="shared" si="83"/>
        <v/>
      </c>
      <c r="W483" t="str">
        <f t="shared" si="85"/>
        <v/>
      </c>
      <c r="X483" s="88" t="s">
        <v>264</v>
      </c>
    </row>
    <row r="484" spans="2:24" x14ac:dyDescent="0.25">
      <c r="B484" s="71"/>
      <c r="C484" s="14"/>
      <c r="D484" s="23"/>
      <c r="E484" s="23"/>
      <c r="F484" s="23"/>
      <c r="G484" s="23"/>
      <c r="H484" s="23"/>
      <c r="I484" s="23"/>
      <c r="J484" s="23"/>
      <c r="K484" s="24"/>
      <c r="L484" s="23"/>
      <c r="M484" s="23"/>
      <c r="N484" s="25">
        <v>0</v>
      </c>
      <c r="O484" s="26" t="str">
        <f t="shared" si="86"/>
        <v/>
      </c>
      <c r="P484" s="26" t="str">
        <f t="shared" si="84"/>
        <v/>
      </c>
      <c r="Q484" s="26" t="str">
        <f t="shared" si="82"/>
        <v xml:space="preserve"> </v>
      </c>
      <c r="R484" s="26">
        <v>0</v>
      </c>
      <c r="S484" s="26">
        <v>0</v>
      </c>
      <c r="T484" s="26">
        <v>0</v>
      </c>
      <c r="U484" s="26">
        <v>0</v>
      </c>
      <c r="V484" s="23" t="str">
        <f t="shared" si="83"/>
        <v/>
      </c>
      <c r="W484" t="str">
        <f t="shared" si="85"/>
        <v/>
      </c>
      <c r="X484" s="88" t="s">
        <v>264</v>
      </c>
    </row>
    <row r="485" spans="2:24" x14ac:dyDescent="0.25">
      <c r="B485" s="71"/>
      <c r="C485" s="14"/>
      <c r="D485" s="23"/>
      <c r="E485" s="23"/>
      <c r="F485" s="23"/>
      <c r="G485" s="23"/>
      <c r="H485" s="23"/>
      <c r="I485" s="23"/>
      <c r="J485" s="23"/>
      <c r="K485" s="24"/>
      <c r="L485" s="23"/>
      <c r="M485" s="23"/>
      <c r="N485" s="25">
        <v>0</v>
      </c>
      <c r="O485" s="26" t="str">
        <f t="shared" si="86"/>
        <v/>
      </c>
      <c r="P485" s="26" t="str">
        <f t="shared" si="84"/>
        <v/>
      </c>
      <c r="Q485" s="26" t="str">
        <f t="shared" si="82"/>
        <v xml:space="preserve"> </v>
      </c>
      <c r="R485" s="26">
        <v>0</v>
      </c>
      <c r="S485" s="26">
        <v>0</v>
      </c>
      <c r="T485" s="26">
        <v>0</v>
      </c>
      <c r="U485" s="26">
        <v>0</v>
      </c>
      <c r="V485" s="23" t="str">
        <f t="shared" si="83"/>
        <v/>
      </c>
      <c r="W485" t="str">
        <f t="shared" si="85"/>
        <v/>
      </c>
      <c r="X485" s="88" t="s">
        <v>264</v>
      </c>
    </row>
    <row r="486" spans="2:24" x14ac:dyDescent="0.25">
      <c r="B486" s="71"/>
      <c r="C486" s="14"/>
      <c r="D486" s="23"/>
      <c r="E486" s="23"/>
      <c r="F486" s="23"/>
      <c r="G486" s="23"/>
      <c r="H486" s="23"/>
      <c r="I486" s="23"/>
      <c r="J486" s="23"/>
      <c r="K486" s="24"/>
      <c r="L486" s="23"/>
      <c r="M486" s="23"/>
      <c r="N486" s="25">
        <v>0</v>
      </c>
      <c r="O486" s="26" t="str">
        <f t="shared" si="86"/>
        <v/>
      </c>
      <c r="P486" s="26" t="str">
        <f t="shared" si="84"/>
        <v/>
      </c>
      <c r="Q486" s="26" t="str">
        <f t="shared" si="82"/>
        <v xml:space="preserve"> </v>
      </c>
      <c r="R486" s="26">
        <v>0</v>
      </c>
      <c r="S486" s="26">
        <v>0</v>
      </c>
      <c r="T486" s="26">
        <v>0</v>
      </c>
      <c r="U486" s="26">
        <v>0</v>
      </c>
      <c r="V486" s="23" t="str">
        <f t="shared" si="83"/>
        <v/>
      </c>
      <c r="W486" t="str">
        <f t="shared" si="85"/>
        <v/>
      </c>
      <c r="X486" s="88" t="s">
        <v>264</v>
      </c>
    </row>
    <row r="487" spans="2:24" x14ac:dyDescent="0.25">
      <c r="B487" s="71"/>
      <c r="C487" s="14"/>
      <c r="D487" s="23"/>
      <c r="E487" s="23"/>
      <c r="F487" s="23"/>
      <c r="G487" s="23"/>
      <c r="H487" s="23"/>
      <c r="I487" s="23"/>
      <c r="J487" s="23"/>
      <c r="K487" s="24"/>
      <c r="L487" s="23"/>
      <c r="M487" s="23"/>
      <c r="N487" s="25">
        <v>0</v>
      </c>
      <c r="O487" s="26" t="str">
        <f t="shared" si="86"/>
        <v/>
      </c>
      <c r="P487" s="26" t="str">
        <f t="shared" si="84"/>
        <v/>
      </c>
      <c r="Q487" s="26" t="str">
        <f t="shared" si="82"/>
        <v xml:space="preserve"> </v>
      </c>
      <c r="R487" s="26">
        <v>0</v>
      </c>
      <c r="S487" s="26">
        <v>0</v>
      </c>
      <c r="T487" s="26">
        <v>0</v>
      </c>
      <c r="U487" s="26">
        <v>0</v>
      </c>
      <c r="V487" s="23" t="str">
        <f t="shared" si="83"/>
        <v/>
      </c>
      <c r="W487" t="str">
        <f t="shared" si="85"/>
        <v/>
      </c>
      <c r="X487" s="88" t="s">
        <v>264</v>
      </c>
    </row>
    <row r="488" spans="2:24" x14ac:dyDescent="0.25">
      <c r="B488" s="71"/>
      <c r="C488" s="14"/>
      <c r="D488" s="23"/>
      <c r="E488" s="23"/>
      <c r="F488" s="23"/>
      <c r="G488" s="23"/>
      <c r="H488" s="23"/>
      <c r="I488" s="23"/>
      <c r="J488" s="23"/>
      <c r="K488" s="24"/>
      <c r="L488" s="23"/>
      <c r="M488" s="23"/>
      <c r="N488" s="25">
        <v>0</v>
      </c>
      <c r="O488" s="26" t="str">
        <f t="shared" si="86"/>
        <v/>
      </c>
      <c r="P488" s="26" t="str">
        <f t="shared" si="84"/>
        <v/>
      </c>
      <c r="Q488" s="26" t="str">
        <f t="shared" si="82"/>
        <v xml:space="preserve"> </v>
      </c>
      <c r="R488" s="26">
        <v>0</v>
      </c>
      <c r="S488" s="26">
        <v>0</v>
      </c>
      <c r="T488" s="26">
        <v>0</v>
      </c>
      <c r="U488" s="26">
        <v>0</v>
      </c>
      <c r="V488" s="23" t="str">
        <f t="shared" si="83"/>
        <v/>
      </c>
      <c r="W488" t="str">
        <f t="shared" si="85"/>
        <v/>
      </c>
      <c r="X488" s="88" t="s">
        <v>264</v>
      </c>
    </row>
    <row r="489" spans="2:24" x14ac:dyDescent="0.25">
      <c r="B489" s="71"/>
      <c r="C489" s="14"/>
      <c r="D489" s="23"/>
      <c r="E489" s="23"/>
      <c r="F489" s="23"/>
      <c r="G489" s="23"/>
      <c r="H489" s="23"/>
      <c r="I489" s="23"/>
      <c r="J489" s="23"/>
      <c r="K489" s="24"/>
      <c r="L489" s="23"/>
      <c r="M489" s="23"/>
      <c r="N489" s="25">
        <v>0</v>
      </c>
      <c r="O489" s="26" t="str">
        <f t="shared" si="86"/>
        <v/>
      </c>
      <c r="P489" s="26" t="str">
        <f t="shared" si="84"/>
        <v/>
      </c>
      <c r="Q489" s="26" t="str">
        <f t="shared" si="82"/>
        <v xml:space="preserve"> </v>
      </c>
      <c r="R489" s="26">
        <v>0</v>
      </c>
      <c r="S489" s="26">
        <v>0</v>
      </c>
      <c r="T489" s="26">
        <v>0</v>
      </c>
      <c r="U489" s="26">
        <v>0</v>
      </c>
      <c r="V489" s="23" t="str">
        <f t="shared" si="83"/>
        <v/>
      </c>
      <c r="W489" t="str">
        <f t="shared" si="85"/>
        <v/>
      </c>
      <c r="X489" s="88" t="s">
        <v>264</v>
      </c>
    </row>
    <row r="490" spans="2:24" x14ac:dyDescent="0.25">
      <c r="B490" s="71"/>
      <c r="C490" s="14"/>
      <c r="D490" s="23"/>
      <c r="E490" s="23"/>
      <c r="F490" s="23"/>
      <c r="G490" s="23"/>
      <c r="H490" s="23"/>
      <c r="I490" s="23"/>
      <c r="J490" s="23"/>
      <c r="K490" s="24"/>
      <c r="L490" s="23"/>
      <c r="M490" s="23"/>
      <c r="N490" s="25">
        <v>0</v>
      </c>
      <c r="O490" s="26" t="str">
        <f t="shared" si="86"/>
        <v/>
      </c>
      <c r="P490" s="26" t="str">
        <f t="shared" si="84"/>
        <v/>
      </c>
      <c r="Q490" s="26" t="str">
        <f t="shared" si="82"/>
        <v xml:space="preserve"> </v>
      </c>
      <c r="R490" s="26">
        <v>0</v>
      </c>
      <c r="S490" s="26">
        <v>0</v>
      </c>
      <c r="T490" s="26">
        <v>0</v>
      </c>
      <c r="U490" s="26">
        <v>0</v>
      </c>
      <c r="V490" s="23" t="str">
        <f t="shared" si="83"/>
        <v/>
      </c>
      <c r="W490" t="str">
        <f t="shared" si="85"/>
        <v/>
      </c>
      <c r="X490" s="88" t="s">
        <v>264</v>
      </c>
    </row>
    <row r="491" spans="2:24" x14ac:dyDescent="0.25">
      <c r="B491" s="71"/>
      <c r="C491" s="14"/>
      <c r="D491" s="23"/>
      <c r="E491" s="23"/>
      <c r="F491" s="23"/>
      <c r="G491" s="23"/>
      <c r="H491" s="23"/>
      <c r="I491" s="23"/>
      <c r="J491" s="23"/>
      <c r="K491" s="24"/>
      <c r="L491" s="23"/>
      <c r="M491" s="23"/>
      <c r="N491" s="25">
        <v>0</v>
      </c>
      <c r="O491" s="26" t="str">
        <f t="shared" si="86"/>
        <v/>
      </c>
      <c r="P491" s="26" t="str">
        <f t="shared" si="84"/>
        <v/>
      </c>
      <c r="Q491" s="26" t="str">
        <f t="shared" si="82"/>
        <v xml:space="preserve"> </v>
      </c>
      <c r="R491" s="26">
        <v>0</v>
      </c>
      <c r="S491" s="26">
        <v>0</v>
      </c>
      <c r="T491" s="26">
        <v>0</v>
      </c>
      <c r="U491" s="26">
        <v>0</v>
      </c>
      <c r="V491" s="23" t="str">
        <f t="shared" si="83"/>
        <v/>
      </c>
      <c r="W491" t="str">
        <f t="shared" si="85"/>
        <v/>
      </c>
      <c r="X491" s="88" t="s">
        <v>264</v>
      </c>
    </row>
    <row r="492" spans="2:24" x14ac:dyDescent="0.25">
      <c r="B492" s="71"/>
      <c r="C492" s="14"/>
      <c r="D492" s="23"/>
      <c r="E492" s="23"/>
      <c r="F492" s="23"/>
      <c r="G492" s="23"/>
      <c r="H492" s="23"/>
      <c r="I492" s="23"/>
      <c r="J492" s="23"/>
      <c r="K492" s="24"/>
      <c r="L492" s="23"/>
      <c r="M492" s="23"/>
      <c r="N492" s="25">
        <v>0</v>
      </c>
      <c r="O492" s="26" t="str">
        <f t="shared" si="86"/>
        <v/>
      </c>
      <c r="P492" s="26" t="str">
        <f t="shared" si="84"/>
        <v/>
      </c>
      <c r="Q492" s="26" t="str">
        <f t="shared" si="82"/>
        <v xml:space="preserve"> </v>
      </c>
      <c r="R492" s="26">
        <v>0</v>
      </c>
      <c r="S492" s="26">
        <v>0</v>
      </c>
      <c r="T492" s="26">
        <v>0</v>
      </c>
      <c r="U492" s="26">
        <v>0</v>
      </c>
      <c r="V492" s="23" t="str">
        <f t="shared" si="83"/>
        <v/>
      </c>
      <c r="W492" t="str">
        <f t="shared" si="85"/>
        <v/>
      </c>
      <c r="X492" s="88" t="s">
        <v>264</v>
      </c>
    </row>
    <row r="493" spans="2:24" x14ac:dyDescent="0.25">
      <c r="B493" s="71"/>
      <c r="C493" s="14"/>
      <c r="D493" s="23"/>
      <c r="E493" s="23"/>
      <c r="F493" s="23"/>
      <c r="G493" s="23"/>
      <c r="H493" s="23"/>
      <c r="I493" s="23"/>
      <c r="J493" s="23"/>
      <c r="K493" s="24"/>
      <c r="L493" s="23"/>
      <c r="M493" s="23"/>
      <c r="N493" s="25">
        <v>0</v>
      </c>
      <c r="O493" s="26" t="str">
        <f t="shared" si="86"/>
        <v/>
      </c>
      <c r="P493" s="26" t="str">
        <f t="shared" si="84"/>
        <v/>
      </c>
      <c r="Q493" s="26" t="str">
        <f t="shared" si="82"/>
        <v xml:space="preserve"> </v>
      </c>
      <c r="R493" s="26">
        <v>0</v>
      </c>
      <c r="S493" s="26">
        <v>0</v>
      </c>
      <c r="T493" s="26">
        <v>0</v>
      </c>
      <c r="U493" s="26">
        <v>0</v>
      </c>
      <c r="V493" s="23" t="str">
        <f t="shared" si="83"/>
        <v/>
      </c>
      <c r="W493" t="str">
        <f t="shared" si="85"/>
        <v/>
      </c>
      <c r="X493" s="88" t="s">
        <v>264</v>
      </c>
    </row>
    <row r="494" spans="2:24" x14ac:dyDescent="0.25">
      <c r="B494" s="71"/>
      <c r="C494" s="14"/>
      <c r="D494" s="23"/>
      <c r="E494" s="23"/>
      <c r="F494" s="23"/>
      <c r="G494" s="23"/>
      <c r="H494" s="23"/>
      <c r="I494" s="23"/>
      <c r="J494" s="23"/>
      <c r="K494" s="24"/>
      <c r="L494" s="23"/>
      <c r="M494" s="23"/>
      <c r="N494" s="25">
        <v>0</v>
      </c>
      <c r="O494" s="26" t="str">
        <f t="shared" si="86"/>
        <v/>
      </c>
      <c r="P494" s="26" t="str">
        <f t="shared" si="84"/>
        <v/>
      </c>
      <c r="Q494" s="26" t="str">
        <f t="shared" si="82"/>
        <v xml:space="preserve"> </v>
      </c>
      <c r="R494" s="26">
        <v>0</v>
      </c>
      <c r="S494" s="26">
        <v>0</v>
      </c>
      <c r="T494" s="26">
        <v>0</v>
      </c>
      <c r="U494" s="26">
        <v>0</v>
      </c>
      <c r="V494" s="23" t="str">
        <f t="shared" si="83"/>
        <v/>
      </c>
      <c r="W494" t="str">
        <f t="shared" si="85"/>
        <v/>
      </c>
      <c r="X494" s="88" t="s">
        <v>264</v>
      </c>
    </row>
    <row r="495" spans="2:24" x14ac:dyDescent="0.25">
      <c r="B495" s="71"/>
      <c r="C495" s="14"/>
      <c r="D495" s="23"/>
      <c r="E495" s="23"/>
      <c r="F495" s="23"/>
      <c r="G495" s="23"/>
      <c r="H495" s="23"/>
      <c r="I495" s="23"/>
      <c r="J495" s="23"/>
      <c r="K495" s="24"/>
      <c r="L495" s="23"/>
      <c r="M495" s="23"/>
      <c r="N495" s="25">
        <v>0</v>
      </c>
      <c r="O495" s="26" t="str">
        <f t="shared" si="86"/>
        <v/>
      </c>
      <c r="P495" s="26" t="str">
        <f t="shared" si="84"/>
        <v/>
      </c>
      <c r="Q495" s="26" t="str">
        <f t="shared" si="82"/>
        <v xml:space="preserve"> </v>
      </c>
      <c r="R495" s="26">
        <v>0</v>
      </c>
      <c r="S495" s="26">
        <v>0</v>
      </c>
      <c r="T495" s="26">
        <v>0</v>
      </c>
      <c r="U495" s="26">
        <v>0</v>
      </c>
      <c r="V495" s="23" t="str">
        <f t="shared" si="83"/>
        <v/>
      </c>
      <c r="W495" t="str">
        <f t="shared" si="85"/>
        <v/>
      </c>
      <c r="X495" s="88" t="s">
        <v>264</v>
      </c>
    </row>
    <row r="496" spans="2:24" x14ac:dyDescent="0.25">
      <c r="B496" s="71"/>
      <c r="C496" s="14"/>
      <c r="D496" s="23"/>
      <c r="E496" s="23"/>
      <c r="F496" s="23"/>
      <c r="G496" s="23"/>
      <c r="H496" s="23"/>
      <c r="I496" s="23"/>
      <c r="J496" s="23"/>
      <c r="K496" s="24"/>
      <c r="L496" s="23"/>
      <c r="M496" s="23"/>
      <c r="N496" s="25">
        <v>0</v>
      </c>
      <c r="O496" s="26" t="str">
        <f t="shared" si="86"/>
        <v/>
      </c>
      <c r="P496" s="26" t="str">
        <f t="shared" si="84"/>
        <v/>
      </c>
      <c r="Q496" s="26" t="str">
        <f t="shared" si="82"/>
        <v xml:space="preserve"> </v>
      </c>
      <c r="R496" s="26">
        <v>0</v>
      </c>
      <c r="S496" s="26">
        <v>0</v>
      </c>
      <c r="T496" s="26">
        <v>0</v>
      </c>
      <c r="U496" s="26">
        <v>0</v>
      </c>
      <c r="V496" s="23" t="str">
        <f t="shared" si="83"/>
        <v/>
      </c>
      <c r="W496" t="str">
        <f t="shared" si="85"/>
        <v/>
      </c>
      <c r="X496" s="88" t="s">
        <v>264</v>
      </c>
    </row>
    <row r="497" spans="2:24" x14ac:dyDescent="0.25">
      <c r="B497" s="71"/>
      <c r="C497" s="14"/>
      <c r="D497" s="23"/>
      <c r="E497" s="23"/>
      <c r="F497" s="23"/>
      <c r="G497" s="23"/>
      <c r="H497" s="23"/>
      <c r="I497" s="23"/>
      <c r="J497" s="23"/>
      <c r="K497" s="24"/>
      <c r="L497" s="23"/>
      <c r="M497" s="23"/>
      <c r="N497" s="25">
        <v>0</v>
      </c>
      <c r="O497" s="26" t="str">
        <f t="shared" si="86"/>
        <v/>
      </c>
      <c r="P497" s="26" t="str">
        <f t="shared" si="84"/>
        <v/>
      </c>
      <c r="Q497" s="26" t="str">
        <f t="shared" si="82"/>
        <v xml:space="preserve"> </v>
      </c>
      <c r="R497" s="26">
        <v>0</v>
      </c>
      <c r="S497" s="26">
        <v>0</v>
      </c>
      <c r="T497" s="26">
        <v>0</v>
      </c>
      <c r="U497" s="26">
        <v>0</v>
      </c>
      <c r="V497" s="23" t="str">
        <f t="shared" si="83"/>
        <v/>
      </c>
      <c r="W497" t="str">
        <f t="shared" si="85"/>
        <v/>
      </c>
      <c r="X497" s="88" t="s">
        <v>264</v>
      </c>
    </row>
    <row r="498" spans="2:24" x14ac:dyDescent="0.25">
      <c r="B498" s="71"/>
      <c r="C498" s="14"/>
      <c r="D498" s="23"/>
      <c r="E498" s="23"/>
      <c r="F498" s="23"/>
      <c r="G498" s="23"/>
      <c r="H498" s="23"/>
      <c r="I498" s="23"/>
      <c r="J498" s="23"/>
      <c r="K498" s="24"/>
      <c r="L498" s="23"/>
      <c r="M498" s="23"/>
      <c r="N498" s="25">
        <v>0</v>
      </c>
      <c r="O498" s="26" t="str">
        <f t="shared" si="86"/>
        <v/>
      </c>
      <c r="P498" s="26" t="str">
        <f t="shared" si="84"/>
        <v/>
      </c>
      <c r="Q498" s="26" t="str">
        <f t="shared" si="82"/>
        <v xml:space="preserve"> </v>
      </c>
      <c r="R498" s="26">
        <v>0</v>
      </c>
      <c r="S498" s="26">
        <v>0</v>
      </c>
      <c r="T498" s="26">
        <v>0</v>
      </c>
      <c r="U498" s="26">
        <v>0</v>
      </c>
      <c r="V498" s="23" t="str">
        <f t="shared" si="83"/>
        <v/>
      </c>
      <c r="W498" t="str">
        <f t="shared" si="85"/>
        <v/>
      </c>
      <c r="X498" s="88" t="s">
        <v>264</v>
      </c>
    </row>
    <row r="499" spans="2:24" x14ac:dyDescent="0.25">
      <c r="B499" s="71"/>
      <c r="C499" s="14"/>
      <c r="D499" s="23"/>
      <c r="E499" s="23"/>
      <c r="F499" s="23"/>
      <c r="G499" s="23"/>
      <c r="H499" s="23"/>
      <c r="I499" s="23"/>
      <c r="J499" s="23"/>
      <c r="K499" s="24"/>
      <c r="L499" s="23"/>
      <c r="M499" s="23"/>
      <c r="N499" s="25">
        <v>0</v>
      </c>
      <c r="O499" s="26" t="str">
        <f t="shared" si="86"/>
        <v/>
      </c>
      <c r="P499" s="26" t="str">
        <f t="shared" si="84"/>
        <v/>
      </c>
      <c r="Q499" s="26" t="str">
        <f t="shared" si="82"/>
        <v xml:space="preserve"> </v>
      </c>
      <c r="R499" s="26">
        <v>0</v>
      </c>
      <c r="S499" s="26">
        <v>0</v>
      </c>
      <c r="T499" s="26">
        <v>0</v>
      </c>
      <c r="U499" s="26">
        <v>0</v>
      </c>
      <c r="V499" s="23" t="str">
        <f t="shared" si="83"/>
        <v/>
      </c>
      <c r="W499" t="str">
        <f t="shared" si="85"/>
        <v/>
      </c>
      <c r="X499" s="88" t="s">
        <v>264</v>
      </c>
    </row>
    <row r="500" spans="2:24" x14ac:dyDescent="0.25">
      <c r="N500" t="s">
        <v>264</v>
      </c>
      <c r="P500" t="str">
        <f t="shared" ref="P500:P513" si="87">IF($C500="","",IF($G500&gt;0,"LONG","SHORT"))</f>
        <v/>
      </c>
      <c r="Q500" t="s">
        <v>264</v>
      </c>
      <c r="R500" t="s">
        <v>264</v>
      </c>
      <c r="S500" t="s">
        <v>264</v>
      </c>
      <c r="T500" t="s">
        <v>264</v>
      </c>
      <c r="U500" t="s">
        <v>264</v>
      </c>
      <c r="V500" t="s">
        <v>264</v>
      </c>
      <c r="W500" t="str">
        <f t="shared" ref="W500:W517" si="88">IF($C500="","",$M500&amp;" "&amp;$Q500)</f>
        <v/>
      </c>
    </row>
    <row r="501" spans="2:24" x14ac:dyDescent="0.25">
      <c r="N501" t="s">
        <v>264</v>
      </c>
      <c r="P501" t="str">
        <f t="shared" si="87"/>
        <v/>
      </c>
      <c r="Q501" t="s">
        <v>264</v>
      </c>
      <c r="R501" t="s">
        <v>264</v>
      </c>
      <c r="S501" t="s">
        <v>264</v>
      </c>
      <c r="T501" t="s">
        <v>264</v>
      </c>
      <c r="U501" t="s">
        <v>264</v>
      </c>
      <c r="V501" t="s">
        <v>264</v>
      </c>
      <c r="W501" t="str">
        <f t="shared" si="88"/>
        <v/>
      </c>
    </row>
    <row r="502" spans="2:24" x14ac:dyDescent="0.25">
      <c r="N502" t="s">
        <v>264</v>
      </c>
      <c r="P502" t="str">
        <f t="shared" si="87"/>
        <v/>
      </c>
      <c r="Q502" t="s">
        <v>264</v>
      </c>
      <c r="R502" t="s">
        <v>264</v>
      </c>
      <c r="S502" t="s">
        <v>264</v>
      </c>
      <c r="T502" t="s">
        <v>264</v>
      </c>
      <c r="U502" t="s">
        <v>264</v>
      </c>
      <c r="V502" t="s">
        <v>264</v>
      </c>
      <c r="W502" t="str">
        <f t="shared" si="88"/>
        <v/>
      </c>
    </row>
    <row r="503" spans="2:24" x14ac:dyDescent="0.25">
      <c r="N503" t="s">
        <v>264</v>
      </c>
      <c r="P503" t="str">
        <f t="shared" si="87"/>
        <v/>
      </c>
      <c r="Q503" t="s">
        <v>264</v>
      </c>
      <c r="R503" t="s">
        <v>264</v>
      </c>
      <c r="S503" t="s">
        <v>264</v>
      </c>
      <c r="T503" t="s">
        <v>264</v>
      </c>
      <c r="U503" t="s">
        <v>264</v>
      </c>
      <c r="V503" t="s">
        <v>264</v>
      </c>
      <c r="W503" t="str">
        <f t="shared" si="88"/>
        <v/>
      </c>
    </row>
    <row r="504" spans="2:24" x14ac:dyDescent="0.25">
      <c r="N504" t="s">
        <v>264</v>
      </c>
      <c r="P504" t="str">
        <f t="shared" si="87"/>
        <v/>
      </c>
      <c r="Q504" t="s">
        <v>264</v>
      </c>
      <c r="R504" t="s">
        <v>264</v>
      </c>
      <c r="S504" t="s">
        <v>264</v>
      </c>
      <c r="T504" t="s">
        <v>264</v>
      </c>
      <c r="U504" t="s">
        <v>264</v>
      </c>
      <c r="V504" t="s">
        <v>264</v>
      </c>
      <c r="W504" t="str">
        <f t="shared" si="88"/>
        <v/>
      </c>
    </row>
    <row r="505" spans="2:24" x14ac:dyDescent="0.25">
      <c r="N505" t="s">
        <v>264</v>
      </c>
      <c r="P505" t="str">
        <f t="shared" si="87"/>
        <v/>
      </c>
      <c r="Q505" t="s">
        <v>264</v>
      </c>
      <c r="R505" t="s">
        <v>264</v>
      </c>
      <c r="S505" t="s">
        <v>264</v>
      </c>
      <c r="T505" t="s">
        <v>264</v>
      </c>
      <c r="U505" t="s">
        <v>264</v>
      </c>
      <c r="V505" t="s">
        <v>264</v>
      </c>
      <c r="W505" t="str">
        <f t="shared" si="88"/>
        <v/>
      </c>
    </row>
    <row r="506" spans="2:24" x14ac:dyDescent="0.25">
      <c r="N506" t="s">
        <v>264</v>
      </c>
      <c r="P506" t="str">
        <f t="shared" si="87"/>
        <v/>
      </c>
      <c r="Q506" t="s">
        <v>264</v>
      </c>
      <c r="R506" t="s">
        <v>264</v>
      </c>
      <c r="S506" t="s">
        <v>264</v>
      </c>
      <c r="T506" t="s">
        <v>264</v>
      </c>
      <c r="U506" t="s">
        <v>264</v>
      </c>
      <c r="V506" t="s">
        <v>264</v>
      </c>
      <c r="W506" t="str">
        <f t="shared" si="88"/>
        <v/>
      </c>
    </row>
    <row r="507" spans="2:24" x14ac:dyDescent="0.25">
      <c r="N507" t="s">
        <v>264</v>
      </c>
      <c r="P507" t="str">
        <f t="shared" si="87"/>
        <v/>
      </c>
      <c r="Q507" t="s">
        <v>264</v>
      </c>
      <c r="R507" t="s">
        <v>264</v>
      </c>
      <c r="S507" t="s">
        <v>264</v>
      </c>
      <c r="T507" t="s">
        <v>264</v>
      </c>
      <c r="U507" t="s">
        <v>264</v>
      </c>
      <c r="V507" t="s">
        <v>264</v>
      </c>
      <c r="W507" t="str">
        <f t="shared" si="88"/>
        <v/>
      </c>
    </row>
    <row r="508" spans="2:24" x14ac:dyDescent="0.25">
      <c r="N508" t="s">
        <v>264</v>
      </c>
      <c r="P508" t="str">
        <f t="shared" si="87"/>
        <v/>
      </c>
      <c r="Q508" t="s">
        <v>264</v>
      </c>
      <c r="R508" t="s">
        <v>264</v>
      </c>
      <c r="S508" t="s">
        <v>264</v>
      </c>
      <c r="T508" t="s">
        <v>264</v>
      </c>
      <c r="U508" t="s">
        <v>264</v>
      </c>
      <c r="V508" t="s">
        <v>264</v>
      </c>
      <c r="W508" t="str">
        <f t="shared" si="88"/>
        <v/>
      </c>
    </row>
    <row r="509" spans="2:24" x14ac:dyDescent="0.25">
      <c r="N509" t="s">
        <v>264</v>
      </c>
      <c r="P509" t="str">
        <f t="shared" si="87"/>
        <v/>
      </c>
      <c r="Q509" t="s">
        <v>264</v>
      </c>
      <c r="R509" t="s">
        <v>264</v>
      </c>
      <c r="S509" t="s">
        <v>264</v>
      </c>
      <c r="T509" t="s">
        <v>264</v>
      </c>
      <c r="U509" t="s">
        <v>264</v>
      </c>
      <c r="V509" t="s">
        <v>264</v>
      </c>
      <c r="W509" t="str">
        <f t="shared" si="88"/>
        <v/>
      </c>
    </row>
    <row r="510" spans="2:24" x14ac:dyDescent="0.25">
      <c r="N510" t="s">
        <v>264</v>
      </c>
      <c r="P510" t="str">
        <f t="shared" si="87"/>
        <v/>
      </c>
      <c r="Q510" t="s">
        <v>264</v>
      </c>
      <c r="R510" t="s">
        <v>264</v>
      </c>
      <c r="S510" t="s">
        <v>264</v>
      </c>
      <c r="T510" t="s">
        <v>264</v>
      </c>
      <c r="U510" t="s">
        <v>264</v>
      </c>
      <c r="V510" t="s">
        <v>264</v>
      </c>
      <c r="W510" t="str">
        <f t="shared" si="88"/>
        <v/>
      </c>
    </row>
    <row r="511" spans="2:24" x14ac:dyDescent="0.25">
      <c r="N511" t="s">
        <v>264</v>
      </c>
      <c r="P511" t="str">
        <f t="shared" si="87"/>
        <v/>
      </c>
      <c r="Q511" t="s">
        <v>264</v>
      </c>
      <c r="R511" t="s">
        <v>264</v>
      </c>
      <c r="S511" t="s">
        <v>264</v>
      </c>
      <c r="T511" t="s">
        <v>264</v>
      </c>
      <c r="U511" t="s">
        <v>264</v>
      </c>
      <c r="V511" t="s">
        <v>264</v>
      </c>
      <c r="W511" t="str">
        <f t="shared" si="88"/>
        <v/>
      </c>
    </row>
    <row r="512" spans="2:24" x14ac:dyDescent="0.25">
      <c r="N512" t="s">
        <v>264</v>
      </c>
      <c r="P512" t="str">
        <f t="shared" si="87"/>
        <v/>
      </c>
      <c r="Q512" t="s">
        <v>264</v>
      </c>
      <c r="R512" t="s">
        <v>264</v>
      </c>
      <c r="S512" t="s">
        <v>264</v>
      </c>
      <c r="T512" t="s">
        <v>264</v>
      </c>
      <c r="U512" t="s">
        <v>264</v>
      </c>
      <c r="V512" t="s">
        <v>264</v>
      </c>
      <c r="W512" t="str">
        <f t="shared" si="88"/>
        <v/>
      </c>
    </row>
    <row r="513" spans="14:23" x14ac:dyDescent="0.25">
      <c r="N513" t="s">
        <v>264</v>
      </c>
      <c r="P513" t="str">
        <f t="shared" si="87"/>
        <v/>
      </c>
      <c r="Q513" t="s">
        <v>264</v>
      </c>
      <c r="R513" t="s">
        <v>264</v>
      </c>
      <c r="S513" t="s">
        <v>264</v>
      </c>
      <c r="T513" t="s">
        <v>264</v>
      </c>
      <c r="U513" t="s">
        <v>264</v>
      </c>
      <c r="V513" t="s">
        <v>264</v>
      </c>
      <c r="W513" t="str">
        <f t="shared" si="88"/>
        <v/>
      </c>
    </row>
    <row r="514" spans="14:23" x14ac:dyDescent="0.25">
      <c r="N514" t="s">
        <v>264</v>
      </c>
      <c r="P514" t="str">
        <f t="shared" ref="P514:P577" si="89">IF($C514="","",IF($G514&gt;0,"LONG","SHORT"))</f>
        <v/>
      </c>
      <c r="Q514" t="s">
        <v>264</v>
      </c>
      <c r="R514" t="s">
        <v>264</v>
      </c>
      <c r="S514" t="s">
        <v>264</v>
      </c>
      <c r="T514" t="s">
        <v>264</v>
      </c>
      <c r="U514" t="s">
        <v>264</v>
      </c>
      <c r="V514" t="s">
        <v>264</v>
      </c>
      <c r="W514" t="str">
        <f t="shared" si="88"/>
        <v/>
      </c>
    </row>
    <row r="515" spans="14:23" x14ac:dyDescent="0.25">
      <c r="N515" t="s">
        <v>264</v>
      </c>
      <c r="P515" t="str">
        <f t="shared" si="89"/>
        <v/>
      </c>
      <c r="Q515" t="s">
        <v>264</v>
      </c>
      <c r="R515" t="s">
        <v>264</v>
      </c>
      <c r="S515" t="s">
        <v>264</v>
      </c>
      <c r="T515" t="s">
        <v>264</v>
      </c>
      <c r="U515" t="s">
        <v>264</v>
      </c>
      <c r="V515" t="s">
        <v>264</v>
      </c>
      <c r="W515" t="str">
        <f t="shared" si="88"/>
        <v/>
      </c>
    </row>
    <row r="516" spans="14:23" x14ac:dyDescent="0.25">
      <c r="N516" t="s">
        <v>264</v>
      </c>
      <c r="P516" t="str">
        <f t="shared" si="89"/>
        <v/>
      </c>
      <c r="Q516" t="s">
        <v>264</v>
      </c>
      <c r="R516" t="s">
        <v>264</v>
      </c>
      <c r="S516" t="s">
        <v>264</v>
      </c>
      <c r="T516" t="s">
        <v>264</v>
      </c>
      <c r="U516" t="s">
        <v>264</v>
      </c>
      <c r="V516" t="s">
        <v>264</v>
      </c>
      <c r="W516" t="str">
        <f t="shared" si="88"/>
        <v/>
      </c>
    </row>
    <row r="517" spans="14:23" x14ac:dyDescent="0.25">
      <c r="N517" t="s">
        <v>264</v>
      </c>
      <c r="P517" t="str">
        <f t="shared" si="89"/>
        <v/>
      </c>
      <c r="Q517" t="s">
        <v>264</v>
      </c>
      <c r="R517" t="s">
        <v>264</v>
      </c>
      <c r="S517" t="s">
        <v>264</v>
      </c>
      <c r="T517" t="s">
        <v>264</v>
      </c>
      <c r="U517" t="s">
        <v>264</v>
      </c>
      <c r="V517" t="s">
        <v>264</v>
      </c>
      <c r="W517" t="str">
        <f t="shared" si="88"/>
        <v/>
      </c>
    </row>
    <row r="518" spans="14:23" x14ac:dyDescent="0.25">
      <c r="N518" t="s">
        <v>264</v>
      </c>
      <c r="P518" t="str">
        <f t="shared" si="89"/>
        <v/>
      </c>
      <c r="Q518" t="s">
        <v>264</v>
      </c>
      <c r="R518" t="s">
        <v>264</v>
      </c>
      <c r="S518" t="s">
        <v>264</v>
      </c>
      <c r="T518" t="s">
        <v>264</v>
      </c>
      <c r="U518" t="s">
        <v>264</v>
      </c>
      <c r="V518" t="s">
        <v>264</v>
      </c>
      <c r="W518" t="str">
        <f t="shared" ref="W518:W581" si="90">IF($C518="","",$M518&amp;" "&amp;$Q518)</f>
        <v/>
      </c>
    </row>
    <row r="519" spans="14:23" x14ac:dyDescent="0.25">
      <c r="N519" t="s">
        <v>264</v>
      </c>
      <c r="P519" t="str">
        <f t="shared" si="89"/>
        <v/>
      </c>
      <c r="Q519" t="s">
        <v>264</v>
      </c>
      <c r="R519" t="s">
        <v>264</v>
      </c>
      <c r="S519" t="s">
        <v>264</v>
      </c>
      <c r="T519" t="s">
        <v>264</v>
      </c>
      <c r="U519" t="s">
        <v>264</v>
      </c>
      <c r="V519" t="s">
        <v>264</v>
      </c>
      <c r="W519" t="str">
        <f t="shared" si="90"/>
        <v/>
      </c>
    </row>
    <row r="520" spans="14:23" x14ac:dyDescent="0.25">
      <c r="N520" t="s">
        <v>264</v>
      </c>
      <c r="P520" t="str">
        <f t="shared" si="89"/>
        <v/>
      </c>
      <c r="Q520" t="s">
        <v>264</v>
      </c>
      <c r="R520" t="s">
        <v>264</v>
      </c>
      <c r="S520" t="s">
        <v>264</v>
      </c>
      <c r="T520" t="s">
        <v>264</v>
      </c>
      <c r="U520" t="s">
        <v>264</v>
      </c>
      <c r="V520" t="s">
        <v>264</v>
      </c>
      <c r="W520" t="str">
        <f t="shared" si="90"/>
        <v/>
      </c>
    </row>
    <row r="521" spans="14:23" x14ac:dyDescent="0.25">
      <c r="N521" t="s">
        <v>264</v>
      </c>
      <c r="P521" t="str">
        <f t="shared" si="89"/>
        <v/>
      </c>
      <c r="Q521" t="s">
        <v>264</v>
      </c>
      <c r="R521" t="s">
        <v>264</v>
      </c>
      <c r="S521" t="s">
        <v>264</v>
      </c>
      <c r="T521" t="s">
        <v>264</v>
      </c>
      <c r="U521" t="s">
        <v>264</v>
      </c>
      <c r="V521" t="s">
        <v>264</v>
      </c>
      <c r="W521" t="str">
        <f t="shared" si="90"/>
        <v/>
      </c>
    </row>
    <row r="522" spans="14:23" x14ac:dyDescent="0.25">
      <c r="N522" t="s">
        <v>264</v>
      </c>
      <c r="P522" t="str">
        <f t="shared" si="89"/>
        <v/>
      </c>
      <c r="Q522" t="s">
        <v>264</v>
      </c>
      <c r="R522" t="s">
        <v>264</v>
      </c>
      <c r="S522" t="s">
        <v>264</v>
      </c>
      <c r="T522" t="s">
        <v>264</v>
      </c>
      <c r="U522" t="s">
        <v>264</v>
      </c>
      <c r="V522" t="s">
        <v>264</v>
      </c>
      <c r="W522" t="str">
        <f t="shared" si="90"/>
        <v/>
      </c>
    </row>
    <row r="523" spans="14:23" x14ac:dyDescent="0.25">
      <c r="N523" t="s">
        <v>264</v>
      </c>
      <c r="P523" t="str">
        <f t="shared" si="89"/>
        <v/>
      </c>
      <c r="Q523" t="s">
        <v>264</v>
      </c>
      <c r="R523" t="s">
        <v>264</v>
      </c>
      <c r="S523" t="s">
        <v>264</v>
      </c>
      <c r="T523" t="s">
        <v>264</v>
      </c>
      <c r="U523" t="s">
        <v>264</v>
      </c>
      <c r="V523" t="s">
        <v>264</v>
      </c>
      <c r="W523" t="str">
        <f t="shared" si="90"/>
        <v/>
      </c>
    </row>
    <row r="524" spans="14:23" x14ac:dyDescent="0.25">
      <c r="N524" t="s">
        <v>264</v>
      </c>
      <c r="P524" t="str">
        <f t="shared" si="89"/>
        <v/>
      </c>
      <c r="Q524" t="s">
        <v>264</v>
      </c>
      <c r="R524" t="s">
        <v>264</v>
      </c>
      <c r="S524" t="s">
        <v>264</v>
      </c>
      <c r="T524" t="s">
        <v>264</v>
      </c>
      <c r="U524" t="s">
        <v>264</v>
      </c>
      <c r="V524" t="s">
        <v>264</v>
      </c>
      <c r="W524" t="str">
        <f t="shared" si="90"/>
        <v/>
      </c>
    </row>
    <row r="525" spans="14:23" x14ac:dyDescent="0.25">
      <c r="N525" t="s">
        <v>264</v>
      </c>
      <c r="P525" t="str">
        <f t="shared" si="89"/>
        <v/>
      </c>
      <c r="Q525" t="s">
        <v>264</v>
      </c>
      <c r="R525" t="s">
        <v>264</v>
      </c>
      <c r="S525" t="s">
        <v>264</v>
      </c>
      <c r="T525" t="s">
        <v>264</v>
      </c>
      <c r="U525" t="s">
        <v>264</v>
      </c>
      <c r="V525" t="s">
        <v>264</v>
      </c>
      <c r="W525" t="str">
        <f t="shared" si="90"/>
        <v/>
      </c>
    </row>
    <row r="526" spans="14:23" x14ac:dyDescent="0.25">
      <c r="N526" t="s">
        <v>264</v>
      </c>
      <c r="P526" t="str">
        <f t="shared" si="89"/>
        <v/>
      </c>
      <c r="Q526" t="s">
        <v>264</v>
      </c>
      <c r="R526" t="s">
        <v>264</v>
      </c>
      <c r="S526" t="s">
        <v>264</v>
      </c>
      <c r="T526" t="s">
        <v>264</v>
      </c>
      <c r="U526" t="s">
        <v>264</v>
      </c>
      <c r="V526" t="s">
        <v>264</v>
      </c>
      <c r="W526" t="str">
        <f t="shared" si="90"/>
        <v/>
      </c>
    </row>
    <row r="527" spans="14:23" x14ac:dyDescent="0.25">
      <c r="N527" t="s">
        <v>264</v>
      </c>
      <c r="P527" t="str">
        <f t="shared" si="89"/>
        <v/>
      </c>
      <c r="Q527" t="s">
        <v>264</v>
      </c>
      <c r="R527" t="s">
        <v>264</v>
      </c>
      <c r="S527" t="s">
        <v>264</v>
      </c>
      <c r="T527" t="s">
        <v>264</v>
      </c>
      <c r="U527" t="s">
        <v>264</v>
      </c>
      <c r="V527" t="s">
        <v>264</v>
      </c>
      <c r="W527" t="str">
        <f t="shared" si="90"/>
        <v/>
      </c>
    </row>
    <row r="528" spans="14:23" x14ac:dyDescent="0.25">
      <c r="N528" t="s">
        <v>264</v>
      </c>
      <c r="P528" t="str">
        <f t="shared" si="89"/>
        <v/>
      </c>
      <c r="Q528" t="s">
        <v>264</v>
      </c>
      <c r="R528" t="s">
        <v>264</v>
      </c>
      <c r="S528" t="s">
        <v>264</v>
      </c>
      <c r="T528" t="s">
        <v>264</v>
      </c>
      <c r="U528" t="s">
        <v>264</v>
      </c>
      <c r="V528" t="s">
        <v>264</v>
      </c>
      <c r="W528" t="str">
        <f t="shared" si="90"/>
        <v/>
      </c>
    </row>
    <row r="529" spans="14:23" x14ac:dyDescent="0.25">
      <c r="N529" t="s">
        <v>264</v>
      </c>
      <c r="P529" t="str">
        <f t="shared" si="89"/>
        <v/>
      </c>
      <c r="Q529" t="s">
        <v>264</v>
      </c>
      <c r="R529" t="s">
        <v>264</v>
      </c>
      <c r="S529" t="s">
        <v>264</v>
      </c>
      <c r="T529" t="s">
        <v>264</v>
      </c>
      <c r="U529" t="s">
        <v>264</v>
      </c>
      <c r="V529" t="s">
        <v>264</v>
      </c>
      <c r="W529" t="str">
        <f t="shared" si="90"/>
        <v/>
      </c>
    </row>
    <row r="530" spans="14:23" x14ac:dyDescent="0.25">
      <c r="N530" t="s">
        <v>264</v>
      </c>
      <c r="P530" t="str">
        <f t="shared" si="89"/>
        <v/>
      </c>
      <c r="Q530" t="s">
        <v>264</v>
      </c>
      <c r="R530" t="s">
        <v>264</v>
      </c>
      <c r="S530" t="s">
        <v>264</v>
      </c>
      <c r="T530" t="s">
        <v>264</v>
      </c>
      <c r="U530" t="s">
        <v>264</v>
      </c>
      <c r="V530" t="s">
        <v>264</v>
      </c>
      <c r="W530" t="str">
        <f t="shared" si="90"/>
        <v/>
      </c>
    </row>
    <row r="531" spans="14:23" x14ac:dyDescent="0.25">
      <c r="N531" t="s">
        <v>264</v>
      </c>
      <c r="P531" t="str">
        <f t="shared" si="89"/>
        <v/>
      </c>
      <c r="Q531" t="s">
        <v>264</v>
      </c>
      <c r="R531" t="s">
        <v>264</v>
      </c>
      <c r="S531" t="s">
        <v>264</v>
      </c>
      <c r="T531" t="s">
        <v>264</v>
      </c>
      <c r="U531" t="s">
        <v>264</v>
      </c>
      <c r="V531" t="s">
        <v>264</v>
      </c>
      <c r="W531" t="str">
        <f t="shared" si="90"/>
        <v/>
      </c>
    </row>
    <row r="532" spans="14:23" x14ac:dyDescent="0.25">
      <c r="N532" t="s">
        <v>264</v>
      </c>
      <c r="P532" t="str">
        <f t="shared" si="89"/>
        <v/>
      </c>
      <c r="Q532" t="s">
        <v>264</v>
      </c>
      <c r="R532" t="s">
        <v>264</v>
      </c>
      <c r="S532" t="s">
        <v>264</v>
      </c>
      <c r="T532" t="s">
        <v>264</v>
      </c>
      <c r="U532" t="s">
        <v>264</v>
      </c>
      <c r="V532" t="s">
        <v>264</v>
      </c>
      <c r="W532" t="str">
        <f t="shared" si="90"/>
        <v/>
      </c>
    </row>
    <row r="533" spans="14:23" x14ac:dyDescent="0.25">
      <c r="N533" t="s">
        <v>264</v>
      </c>
      <c r="P533" t="str">
        <f t="shared" si="89"/>
        <v/>
      </c>
      <c r="Q533" t="s">
        <v>264</v>
      </c>
      <c r="R533" t="s">
        <v>264</v>
      </c>
      <c r="S533" t="s">
        <v>264</v>
      </c>
      <c r="T533" t="s">
        <v>264</v>
      </c>
      <c r="U533" t="s">
        <v>264</v>
      </c>
      <c r="V533" t="s">
        <v>264</v>
      </c>
      <c r="W533" t="str">
        <f t="shared" si="90"/>
        <v/>
      </c>
    </row>
    <row r="534" spans="14:23" x14ac:dyDescent="0.25">
      <c r="N534" t="s">
        <v>264</v>
      </c>
      <c r="P534" t="str">
        <f t="shared" si="89"/>
        <v/>
      </c>
      <c r="Q534" t="s">
        <v>264</v>
      </c>
      <c r="R534" t="s">
        <v>264</v>
      </c>
      <c r="S534" t="s">
        <v>264</v>
      </c>
      <c r="T534" t="s">
        <v>264</v>
      </c>
      <c r="U534" t="s">
        <v>264</v>
      </c>
      <c r="V534" t="s">
        <v>264</v>
      </c>
      <c r="W534" t="str">
        <f t="shared" si="90"/>
        <v/>
      </c>
    </row>
    <row r="535" spans="14:23" x14ac:dyDescent="0.25">
      <c r="N535" t="s">
        <v>264</v>
      </c>
      <c r="P535" t="str">
        <f t="shared" si="89"/>
        <v/>
      </c>
      <c r="Q535" t="s">
        <v>264</v>
      </c>
      <c r="R535" t="s">
        <v>264</v>
      </c>
      <c r="S535" t="s">
        <v>264</v>
      </c>
      <c r="T535" t="s">
        <v>264</v>
      </c>
      <c r="U535" t="s">
        <v>264</v>
      </c>
      <c r="V535" t="s">
        <v>264</v>
      </c>
      <c r="W535" t="str">
        <f t="shared" si="90"/>
        <v/>
      </c>
    </row>
    <row r="536" spans="14:23" x14ac:dyDescent="0.25">
      <c r="N536" t="s">
        <v>264</v>
      </c>
      <c r="P536" t="str">
        <f t="shared" si="89"/>
        <v/>
      </c>
      <c r="Q536" t="s">
        <v>264</v>
      </c>
      <c r="R536" t="s">
        <v>264</v>
      </c>
      <c r="S536" t="s">
        <v>264</v>
      </c>
      <c r="T536" t="s">
        <v>264</v>
      </c>
      <c r="U536" t="s">
        <v>264</v>
      </c>
      <c r="V536" t="s">
        <v>264</v>
      </c>
      <c r="W536" t="str">
        <f t="shared" si="90"/>
        <v/>
      </c>
    </row>
    <row r="537" spans="14:23" x14ac:dyDescent="0.25">
      <c r="N537" t="s">
        <v>264</v>
      </c>
      <c r="P537" t="str">
        <f t="shared" si="89"/>
        <v/>
      </c>
      <c r="Q537" t="s">
        <v>264</v>
      </c>
      <c r="R537" t="s">
        <v>264</v>
      </c>
      <c r="S537" t="s">
        <v>264</v>
      </c>
      <c r="T537" t="s">
        <v>264</v>
      </c>
      <c r="U537" t="s">
        <v>264</v>
      </c>
      <c r="V537" t="s">
        <v>264</v>
      </c>
      <c r="W537" t="str">
        <f t="shared" si="90"/>
        <v/>
      </c>
    </row>
    <row r="538" spans="14:23" x14ac:dyDescent="0.25">
      <c r="N538" t="s">
        <v>264</v>
      </c>
      <c r="P538" t="str">
        <f t="shared" si="89"/>
        <v/>
      </c>
      <c r="Q538" t="s">
        <v>264</v>
      </c>
      <c r="R538" t="s">
        <v>264</v>
      </c>
      <c r="S538" t="s">
        <v>264</v>
      </c>
      <c r="T538" t="s">
        <v>264</v>
      </c>
      <c r="U538" t="s">
        <v>264</v>
      </c>
      <c r="V538" t="s">
        <v>264</v>
      </c>
      <c r="W538" t="str">
        <f t="shared" si="90"/>
        <v/>
      </c>
    </row>
    <row r="539" spans="14:23" x14ac:dyDescent="0.25">
      <c r="N539" t="s">
        <v>264</v>
      </c>
      <c r="P539" t="str">
        <f t="shared" si="89"/>
        <v/>
      </c>
      <c r="Q539" t="s">
        <v>264</v>
      </c>
      <c r="R539" t="s">
        <v>264</v>
      </c>
      <c r="S539" t="s">
        <v>264</v>
      </c>
      <c r="T539" t="s">
        <v>264</v>
      </c>
      <c r="U539" t="s">
        <v>264</v>
      </c>
      <c r="V539" t="s">
        <v>264</v>
      </c>
      <c r="W539" t="str">
        <f t="shared" si="90"/>
        <v/>
      </c>
    </row>
    <row r="540" spans="14:23" x14ac:dyDescent="0.25">
      <c r="N540" t="s">
        <v>264</v>
      </c>
      <c r="P540" t="str">
        <f t="shared" si="89"/>
        <v/>
      </c>
      <c r="Q540" t="s">
        <v>264</v>
      </c>
      <c r="R540" t="s">
        <v>264</v>
      </c>
      <c r="S540" t="s">
        <v>264</v>
      </c>
      <c r="T540" t="s">
        <v>264</v>
      </c>
      <c r="U540" t="s">
        <v>264</v>
      </c>
      <c r="V540" t="s">
        <v>264</v>
      </c>
      <c r="W540" t="str">
        <f t="shared" si="90"/>
        <v/>
      </c>
    </row>
    <row r="541" spans="14:23" x14ac:dyDescent="0.25">
      <c r="N541" t="s">
        <v>264</v>
      </c>
      <c r="P541" t="str">
        <f t="shared" si="89"/>
        <v/>
      </c>
      <c r="Q541" t="s">
        <v>264</v>
      </c>
      <c r="R541" t="s">
        <v>264</v>
      </c>
      <c r="S541" t="s">
        <v>264</v>
      </c>
      <c r="T541" t="s">
        <v>264</v>
      </c>
      <c r="U541" t="s">
        <v>264</v>
      </c>
      <c r="V541" t="s">
        <v>264</v>
      </c>
      <c r="W541" t="str">
        <f t="shared" si="90"/>
        <v/>
      </c>
    </row>
    <row r="542" spans="14:23" x14ac:dyDescent="0.25">
      <c r="N542" t="s">
        <v>264</v>
      </c>
      <c r="P542" t="str">
        <f t="shared" si="89"/>
        <v/>
      </c>
      <c r="Q542" t="s">
        <v>264</v>
      </c>
      <c r="R542" t="s">
        <v>264</v>
      </c>
      <c r="S542" t="s">
        <v>264</v>
      </c>
      <c r="T542" t="s">
        <v>264</v>
      </c>
      <c r="U542" t="s">
        <v>264</v>
      </c>
      <c r="V542" t="s">
        <v>264</v>
      </c>
      <c r="W542" t="str">
        <f t="shared" si="90"/>
        <v/>
      </c>
    </row>
    <row r="543" spans="14:23" x14ac:dyDescent="0.25">
      <c r="N543" t="s">
        <v>264</v>
      </c>
      <c r="P543" t="str">
        <f t="shared" si="89"/>
        <v/>
      </c>
      <c r="Q543" t="s">
        <v>264</v>
      </c>
      <c r="R543" t="s">
        <v>264</v>
      </c>
      <c r="S543" t="s">
        <v>264</v>
      </c>
      <c r="T543" t="s">
        <v>264</v>
      </c>
      <c r="U543" t="s">
        <v>264</v>
      </c>
      <c r="V543" t="s">
        <v>264</v>
      </c>
      <c r="W543" t="str">
        <f t="shared" si="90"/>
        <v/>
      </c>
    </row>
    <row r="544" spans="14:23" x14ac:dyDescent="0.25">
      <c r="N544" t="s">
        <v>264</v>
      </c>
      <c r="P544" t="str">
        <f t="shared" si="89"/>
        <v/>
      </c>
      <c r="Q544" t="s">
        <v>264</v>
      </c>
      <c r="R544" t="s">
        <v>264</v>
      </c>
      <c r="S544" t="s">
        <v>264</v>
      </c>
      <c r="T544" t="s">
        <v>264</v>
      </c>
      <c r="U544" t="s">
        <v>264</v>
      </c>
      <c r="V544" t="s">
        <v>264</v>
      </c>
      <c r="W544" t="str">
        <f t="shared" si="90"/>
        <v/>
      </c>
    </row>
    <row r="545" spans="14:23" x14ac:dyDescent="0.25">
      <c r="N545" t="s">
        <v>264</v>
      </c>
      <c r="P545" t="str">
        <f t="shared" si="89"/>
        <v/>
      </c>
      <c r="Q545" t="s">
        <v>264</v>
      </c>
      <c r="R545" t="s">
        <v>264</v>
      </c>
      <c r="S545" t="s">
        <v>264</v>
      </c>
      <c r="T545" t="s">
        <v>264</v>
      </c>
      <c r="U545" t="s">
        <v>264</v>
      </c>
      <c r="V545" t="s">
        <v>264</v>
      </c>
      <c r="W545" t="str">
        <f t="shared" si="90"/>
        <v/>
      </c>
    </row>
    <row r="546" spans="14:23" x14ac:dyDescent="0.25">
      <c r="N546" t="s">
        <v>264</v>
      </c>
      <c r="P546" t="str">
        <f t="shared" si="89"/>
        <v/>
      </c>
      <c r="Q546" t="s">
        <v>264</v>
      </c>
      <c r="R546" t="s">
        <v>264</v>
      </c>
      <c r="S546" t="s">
        <v>264</v>
      </c>
      <c r="T546" t="s">
        <v>264</v>
      </c>
      <c r="U546" t="s">
        <v>264</v>
      </c>
      <c r="V546" t="s">
        <v>264</v>
      </c>
      <c r="W546" t="str">
        <f t="shared" si="90"/>
        <v/>
      </c>
    </row>
    <row r="547" spans="14:23" x14ac:dyDescent="0.25">
      <c r="N547" t="s">
        <v>264</v>
      </c>
      <c r="P547" t="str">
        <f t="shared" si="89"/>
        <v/>
      </c>
      <c r="Q547" t="s">
        <v>264</v>
      </c>
      <c r="R547" t="s">
        <v>264</v>
      </c>
      <c r="S547" t="s">
        <v>264</v>
      </c>
      <c r="T547" t="s">
        <v>264</v>
      </c>
      <c r="U547" t="s">
        <v>264</v>
      </c>
      <c r="V547" t="s">
        <v>264</v>
      </c>
      <c r="W547" t="str">
        <f t="shared" si="90"/>
        <v/>
      </c>
    </row>
    <row r="548" spans="14:23" x14ac:dyDescent="0.25">
      <c r="N548" t="s">
        <v>264</v>
      </c>
      <c r="P548" t="str">
        <f t="shared" si="89"/>
        <v/>
      </c>
      <c r="Q548" t="s">
        <v>264</v>
      </c>
      <c r="R548" t="s">
        <v>264</v>
      </c>
      <c r="S548" t="s">
        <v>264</v>
      </c>
      <c r="T548" t="s">
        <v>264</v>
      </c>
      <c r="U548" t="s">
        <v>264</v>
      </c>
      <c r="V548" t="s">
        <v>264</v>
      </c>
      <c r="W548" t="str">
        <f t="shared" si="90"/>
        <v/>
      </c>
    </row>
    <row r="549" spans="14:23" x14ac:dyDescent="0.25">
      <c r="N549" t="s">
        <v>264</v>
      </c>
      <c r="P549" t="str">
        <f t="shared" si="89"/>
        <v/>
      </c>
      <c r="Q549" t="s">
        <v>264</v>
      </c>
      <c r="R549" t="s">
        <v>264</v>
      </c>
      <c r="S549" t="s">
        <v>264</v>
      </c>
      <c r="T549" t="s">
        <v>264</v>
      </c>
      <c r="U549" t="s">
        <v>264</v>
      </c>
      <c r="V549" t="s">
        <v>264</v>
      </c>
      <c r="W549" t="str">
        <f t="shared" si="90"/>
        <v/>
      </c>
    </row>
    <row r="550" spans="14:23" x14ac:dyDescent="0.25">
      <c r="N550" t="s">
        <v>264</v>
      </c>
      <c r="P550" t="str">
        <f t="shared" si="89"/>
        <v/>
      </c>
      <c r="Q550" t="s">
        <v>264</v>
      </c>
      <c r="R550" t="s">
        <v>264</v>
      </c>
      <c r="S550" t="s">
        <v>264</v>
      </c>
      <c r="T550" t="s">
        <v>264</v>
      </c>
      <c r="U550" t="s">
        <v>264</v>
      </c>
      <c r="V550" t="s">
        <v>264</v>
      </c>
      <c r="W550" t="str">
        <f t="shared" si="90"/>
        <v/>
      </c>
    </row>
    <row r="551" spans="14:23" x14ac:dyDescent="0.25">
      <c r="N551" t="s">
        <v>264</v>
      </c>
      <c r="P551" t="str">
        <f t="shared" si="89"/>
        <v/>
      </c>
      <c r="Q551" t="s">
        <v>264</v>
      </c>
      <c r="R551" t="s">
        <v>264</v>
      </c>
      <c r="S551" t="s">
        <v>264</v>
      </c>
      <c r="T551" t="s">
        <v>264</v>
      </c>
      <c r="U551" t="s">
        <v>264</v>
      </c>
      <c r="V551" t="s">
        <v>264</v>
      </c>
      <c r="W551" t="str">
        <f t="shared" si="90"/>
        <v/>
      </c>
    </row>
    <row r="552" spans="14:23" x14ac:dyDescent="0.25">
      <c r="N552" t="s">
        <v>264</v>
      </c>
      <c r="P552" t="str">
        <f t="shared" si="89"/>
        <v/>
      </c>
      <c r="Q552" t="s">
        <v>264</v>
      </c>
      <c r="R552" t="s">
        <v>264</v>
      </c>
      <c r="S552" t="s">
        <v>264</v>
      </c>
      <c r="T552" t="s">
        <v>264</v>
      </c>
      <c r="U552" t="s">
        <v>264</v>
      </c>
      <c r="V552" t="s">
        <v>264</v>
      </c>
      <c r="W552" t="str">
        <f t="shared" si="90"/>
        <v/>
      </c>
    </row>
    <row r="553" spans="14:23" x14ac:dyDescent="0.25">
      <c r="N553" t="s">
        <v>264</v>
      </c>
      <c r="P553" t="str">
        <f t="shared" si="89"/>
        <v/>
      </c>
      <c r="Q553" t="s">
        <v>264</v>
      </c>
      <c r="R553" t="s">
        <v>264</v>
      </c>
      <c r="S553" t="s">
        <v>264</v>
      </c>
      <c r="T553" t="s">
        <v>264</v>
      </c>
      <c r="U553" t="s">
        <v>264</v>
      </c>
      <c r="V553" t="s">
        <v>264</v>
      </c>
      <c r="W553" t="str">
        <f t="shared" si="90"/>
        <v/>
      </c>
    </row>
    <row r="554" spans="14:23" x14ac:dyDescent="0.25">
      <c r="N554" t="s">
        <v>264</v>
      </c>
      <c r="P554" t="str">
        <f t="shared" si="89"/>
        <v/>
      </c>
      <c r="Q554" t="s">
        <v>264</v>
      </c>
      <c r="R554" t="s">
        <v>264</v>
      </c>
      <c r="S554" t="s">
        <v>264</v>
      </c>
      <c r="T554" t="s">
        <v>264</v>
      </c>
      <c r="U554" t="s">
        <v>264</v>
      </c>
      <c r="V554" t="s">
        <v>264</v>
      </c>
      <c r="W554" t="str">
        <f t="shared" si="90"/>
        <v/>
      </c>
    </row>
    <row r="555" spans="14:23" x14ac:dyDescent="0.25">
      <c r="N555" t="s">
        <v>264</v>
      </c>
      <c r="P555" t="str">
        <f t="shared" si="89"/>
        <v/>
      </c>
      <c r="Q555" t="s">
        <v>264</v>
      </c>
      <c r="R555" t="s">
        <v>264</v>
      </c>
      <c r="S555" t="s">
        <v>264</v>
      </c>
      <c r="T555" t="s">
        <v>264</v>
      </c>
      <c r="U555" t="s">
        <v>264</v>
      </c>
      <c r="V555" t="s">
        <v>264</v>
      </c>
      <c r="W555" t="str">
        <f t="shared" si="90"/>
        <v/>
      </c>
    </row>
    <row r="556" spans="14:23" x14ac:dyDescent="0.25">
      <c r="N556" t="s">
        <v>264</v>
      </c>
      <c r="P556" t="str">
        <f t="shared" si="89"/>
        <v/>
      </c>
      <c r="Q556" t="s">
        <v>264</v>
      </c>
      <c r="R556" t="s">
        <v>264</v>
      </c>
      <c r="S556" t="s">
        <v>264</v>
      </c>
      <c r="T556" t="s">
        <v>264</v>
      </c>
      <c r="U556" t="s">
        <v>264</v>
      </c>
      <c r="V556" t="s">
        <v>264</v>
      </c>
      <c r="W556" t="str">
        <f t="shared" si="90"/>
        <v/>
      </c>
    </row>
    <row r="557" spans="14:23" x14ac:dyDescent="0.25">
      <c r="N557" t="s">
        <v>264</v>
      </c>
      <c r="P557" t="str">
        <f t="shared" si="89"/>
        <v/>
      </c>
      <c r="Q557" t="s">
        <v>264</v>
      </c>
      <c r="R557" t="s">
        <v>264</v>
      </c>
      <c r="S557" t="s">
        <v>264</v>
      </c>
      <c r="T557" t="s">
        <v>264</v>
      </c>
      <c r="U557" t="s">
        <v>264</v>
      </c>
      <c r="V557" t="s">
        <v>264</v>
      </c>
      <c r="W557" t="str">
        <f t="shared" si="90"/>
        <v/>
      </c>
    </row>
    <row r="558" spans="14:23" x14ac:dyDescent="0.25">
      <c r="N558" t="s">
        <v>264</v>
      </c>
      <c r="P558" t="str">
        <f t="shared" si="89"/>
        <v/>
      </c>
      <c r="Q558" t="s">
        <v>264</v>
      </c>
      <c r="R558" t="s">
        <v>264</v>
      </c>
      <c r="S558" t="s">
        <v>264</v>
      </c>
      <c r="T558" t="s">
        <v>264</v>
      </c>
      <c r="U558" t="s">
        <v>264</v>
      </c>
      <c r="V558" t="s">
        <v>264</v>
      </c>
      <c r="W558" t="str">
        <f t="shared" si="90"/>
        <v/>
      </c>
    </row>
    <row r="559" spans="14:23" x14ac:dyDescent="0.25">
      <c r="P559" t="str">
        <f t="shared" si="89"/>
        <v/>
      </c>
      <c r="W559" t="str">
        <f t="shared" si="90"/>
        <v/>
      </c>
    </row>
    <row r="560" spans="14:23" x14ac:dyDescent="0.25">
      <c r="P560" t="str">
        <f t="shared" si="89"/>
        <v/>
      </c>
      <c r="W560" t="str">
        <f t="shared" si="90"/>
        <v/>
      </c>
    </row>
    <row r="561" spans="16:23" x14ac:dyDescent="0.25">
      <c r="P561" t="str">
        <f t="shared" si="89"/>
        <v/>
      </c>
      <c r="W561" t="str">
        <f t="shared" si="90"/>
        <v/>
      </c>
    </row>
    <row r="562" spans="16:23" x14ac:dyDescent="0.25">
      <c r="P562" t="str">
        <f t="shared" si="89"/>
        <v/>
      </c>
      <c r="W562" t="str">
        <f t="shared" si="90"/>
        <v/>
      </c>
    </row>
    <row r="563" spans="16:23" x14ac:dyDescent="0.25">
      <c r="P563" t="str">
        <f t="shared" si="89"/>
        <v/>
      </c>
      <c r="W563" t="str">
        <f t="shared" si="90"/>
        <v/>
      </c>
    </row>
    <row r="564" spans="16:23" x14ac:dyDescent="0.25">
      <c r="P564" t="str">
        <f t="shared" si="89"/>
        <v/>
      </c>
      <c r="W564" t="str">
        <f t="shared" si="90"/>
        <v/>
      </c>
    </row>
    <row r="565" spans="16:23" x14ac:dyDescent="0.25">
      <c r="P565" t="str">
        <f t="shared" si="89"/>
        <v/>
      </c>
      <c r="W565" t="str">
        <f t="shared" si="90"/>
        <v/>
      </c>
    </row>
    <row r="566" spans="16:23" x14ac:dyDescent="0.25">
      <c r="P566" t="str">
        <f t="shared" si="89"/>
        <v/>
      </c>
      <c r="W566" t="str">
        <f t="shared" si="90"/>
        <v/>
      </c>
    </row>
    <row r="567" spans="16:23" x14ac:dyDescent="0.25">
      <c r="P567" t="str">
        <f t="shared" si="89"/>
        <v/>
      </c>
      <c r="W567" t="str">
        <f t="shared" si="90"/>
        <v/>
      </c>
    </row>
    <row r="568" spans="16:23" x14ac:dyDescent="0.25">
      <c r="P568" t="str">
        <f t="shared" si="89"/>
        <v/>
      </c>
      <c r="W568" t="str">
        <f t="shared" si="90"/>
        <v/>
      </c>
    </row>
    <row r="569" spans="16:23" x14ac:dyDescent="0.25">
      <c r="P569" t="str">
        <f t="shared" si="89"/>
        <v/>
      </c>
      <c r="W569" t="str">
        <f t="shared" si="90"/>
        <v/>
      </c>
    </row>
    <row r="570" spans="16:23" x14ac:dyDescent="0.25">
      <c r="P570" t="str">
        <f t="shared" si="89"/>
        <v/>
      </c>
      <c r="W570" t="str">
        <f t="shared" si="90"/>
        <v/>
      </c>
    </row>
    <row r="571" spans="16:23" x14ac:dyDescent="0.25">
      <c r="P571" t="str">
        <f t="shared" si="89"/>
        <v/>
      </c>
      <c r="W571" t="str">
        <f t="shared" si="90"/>
        <v/>
      </c>
    </row>
    <row r="572" spans="16:23" x14ac:dyDescent="0.25">
      <c r="P572" t="str">
        <f t="shared" si="89"/>
        <v/>
      </c>
      <c r="W572" t="str">
        <f t="shared" si="90"/>
        <v/>
      </c>
    </row>
    <row r="573" spans="16:23" x14ac:dyDescent="0.25">
      <c r="P573" t="str">
        <f t="shared" si="89"/>
        <v/>
      </c>
      <c r="W573" t="str">
        <f t="shared" si="90"/>
        <v/>
      </c>
    </row>
    <row r="574" spans="16:23" x14ac:dyDescent="0.25">
      <c r="P574" t="str">
        <f t="shared" si="89"/>
        <v/>
      </c>
      <c r="W574" t="str">
        <f t="shared" si="90"/>
        <v/>
      </c>
    </row>
    <row r="575" spans="16:23" x14ac:dyDescent="0.25">
      <c r="P575" t="str">
        <f t="shared" si="89"/>
        <v/>
      </c>
      <c r="W575" t="str">
        <f t="shared" si="90"/>
        <v/>
      </c>
    </row>
    <row r="576" spans="16:23" x14ac:dyDescent="0.25">
      <c r="P576" t="str">
        <f t="shared" si="89"/>
        <v/>
      </c>
      <c r="W576" t="str">
        <f t="shared" si="90"/>
        <v/>
      </c>
    </row>
    <row r="577" spans="16:23" x14ac:dyDescent="0.25">
      <c r="P577" t="str">
        <f t="shared" si="89"/>
        <v/>
      </c>
      <c r="W577" t="str">
        <f t="shared" si="90"/>
        <v/>
      </c>
    </row>
    <row r="578" spans="16:23" x14ac:dyDescent="0.25">
      <c r="P578" t="str">
        <f>IF($C578="","",IF($G578&gt;0,"LONG","SHORT"))</f>
        <v/>
      </c>
      <c r="W578" t="str">
        <f t="shared" si="90"/>
        <v/>
      </c>
    </row>
    <row r="579" spans="16:23" x14ac:dyDescent="0.25">
      <c r="P579" t="str">
        <f>IF($C579="","",IF($G579&gt;0,"LONG","SHORT"))</f>
        <v/>
      </c>
      <c r="W579" t="str">
        <f t="shared" si="90"/>
        <v/>
      </c>
    </row>
    <row r="580" spans="16:23" x14ac:dyDescent="0.25">
      <c r="P580" t="str">
        <f>IF($C580="","",IF($G580&gt;0,"LONG","SHORT"))</f>
        <v/>
      </c>
      <c r="W580" t="str">
        <f t="shared" si="90"/>
        <v/>
      </c>
    </row>
    <row r="581" spans="16:23" x14ac:dyDescent="0.25">
      <c r="P581" t="str">
        <f>IF($C581="","",IF($G581&gt;0,"LONG","SHORT"))</f>
        <v/>
      </c>
      <c r="W581" t="str">
        <f t="shared" si="9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64"/>
  <sheetViews>
    <sheetView topLeftCell="A4" zoomScale="86" zoomScaleNormal="86" workbookViewId="0">
      <selection activeCell="M24" sqref="M24"/>
    </sheetView>
  </sheetViews>
  <sheetFormatPr defaultRowHeight="15" x14ac:dyDescent="0.25"/>
  <cols>
    <col min="1" max="1" width="16.28515625" bestFit="1" customWidth="1"/>
    <col min="2" max="2" width="16.85546875" bestFit="1" customWidth="1"/>
    <col min="3" max="3" width="10.5703125" bestFit="1" customWidth="1"/>
    <col min="4" max="4" width="11.7109375" bestFit="1" customWidth="1"/>
    <col min="5" max="7" width="14.5703125" bestFit="1" customWidth="1"/>
    <col min="8" max="8" width="12.7109375" bestFit="1" customWidth="1"/>
    <col min="9" max="9" width="15.5703125" bestFit="1" customWidth="1"/>
    <col min="10" max="10" width="16.85546875" bestFit="1" customWidth="1"/>
    <col min="11" max="11" width="14.5703125" bestFit="1" customWidth="1"/>
    <col min="12" max="12" width="11.7109375" bestFit="1" customWidth="1"/>
    <col min="13" max="13" width="14.5703125" bestFit="1" customWidth="1"/>
    <col min="14" max="14" width="12.7109375" bestFit="1" customWidth="1"/>
    <col min="15" max="15" width="14.5703125" bestFit="1" customWidth="1"/>
    <col min="16" max="16" width="14" bestFit="1" customWidth="1"/>
    <col min="17" max="17" width="14.5703125" bestFit="1" customWidth="1"/>
    <col min="18" max="18" width="14" bestFit="1" customWidth="1"/>
    <col min="19" max="19" width="16.85546875" bestFit="1" customWidth="1"/>
    <col min="20" max="20" width="10.42578125" bestFit="1" customWidth="1"/>
    <col min="21" max="21" width="11.28515625" bestFit="1" customWidth="1"/>
    <col min="22" max="22" width="10.42578125" bestFit="1" customWidth="1"/>
    <col min="23" max="23" width="11.7109375" bestFit="1" customWidth="1"/>
    <col min="25" max="25" width="7.28515625" bestFit="1" customWidth="1"/>
  </cols>
  <sheetData>
    <row r="1" spans="1:21" x14ac:dyDescent="0.25">
      <c r="I1" s="2" t="s">
        <v>0</v>
      </c>
      <c r="J1" t="s">
        <v>65</v>
      </c>
      <c r="R1" s="10" t="s">
        <v>66</v>
      </c>
    </row>
    <row r="3" spans="1:21" x14ac:dyDescent="0.25">
      <c r="I3" s="2" t="s">
        <v>58</v>
      </c>
      <c r="J3" s="2" t="s">
        <v>54</v>
      </c>
    </row>
    <row r="4" spans="1:21" x14ac:dyDescent="0.25">
      <c r="A4" s="2" t="s">
        <v>58</v>
      </c>
      <c r="B4" s="2" t="s">
        <v>54</v>
      </c>
      <c r="J4" t="s">
        <v>17</v>
      </c>
      <c r="K4" t="s">
        <v>13</v>
      </c>
      <c r="M4" t="s">
        <v>280</v>
      </c>
      <c r="O4" t="s">
        <v>56</v>
      </c>
      <c r="R4" s="2" t="s">
        <v>66</v>
      </c>
      <c r="S4" s="2" t="s">
        <v>54</v>
      </c>
    </row>
    <row r="5" spans="1:21" x14ac:dyDescent="0.25">
      <c r="A5" s="2" t="s">
        <v>57</v>
      </c>
      <c r="B5" t="s">
        <v>11</v>
      </c>
      <c r="C5" t="s">
        <v>32</v>
      </c>
      <c r="D5" t="s">
        <v>39</v>
      </c>
      <c r="E5" t="s">
        <v>45</v>
      </c>
      <c r="F5" t="s">
        <v>265</v>
      </c>
      <c r="G5" t="s">
        <v>56</v>
      </c>
      <c r="I5" s="2" t="s">
        <v>57</v>
      </c>
      <c r="J5" t="s">
        <v>55</v>
      </c>
      <c r="K5" t="s">
        <v>277</v>
      </c>
      <c r="L5" t="s">
        <v>949</v>
      </c>
      <c r="M5" t="s">
        <v>312</v>
      </c>
      <c r="N5" t="s">
        <v>425</v>
      </c>
      <c r="R5" s="2" t="s">
        <v>57</v>
      </c>
      <c r="S5" t="s">
        <v>55</v>
      </c>
      <c r="T5" t="s">
        <v>277</v>
      </c>
      <c r="U5" t="s">
        <v>312</v>
      </c>
    </row>
    <row r="6" spans="1:21" x14ac:dyDescent="0.25">
      <c r="A6" s="3" t="s">
        <v>19</v>
      </c>
      <c r="B6" s="8">
        <v>46674</v>
      </c>
      <c r="C6" s="8"/>
      <c r="D6" s="8"/>
      <c r="E6" s="8">
        <v>13585.760202444</v>
      </c>
      <c r="F6" s="8"/>
      <c r="G6" s="8">
        <v>60259.760202443998</v>
      </c>
      <c r="I6" s="3" t="s">
        <v>35</v>
      </c>
      <c r="J6" s="8">
        <v>-5050.9440650939996</v>
      </c>
      <c r="K6" s="8"/>
      <c r="L6" s="8"/>
      <c r="M6" s="8"/>
      <c r="N6" s="8"/>
      <c r="O6" s="8">
        <v>-5050.9440650939996</v>
      </c>
      <c r="R6" s="3" t="s">
        <v>35</v>
      </c>
      <c r="S6" s="6">
        <v>11.840000153</v>
      </c>
      <c r="T6" s="6"/>
      <c r="U6" s="6"/>
    </row>
    <row r="7" spans="1:21" x14ac:dyDescent="0.25">
      <c r="A7" s="3" t="s">
        <v>35</v>
      </c>
      <c r="B7" s="8"/>
      <c r="C7" s="8">
        <v>-5050.9440650939996</v>
      </c>
      <c r="D7" s="8"/>
      <c r="E7" s="8"/>
      <c r="F7" s="8"/>
      <c r="G7" s="8">
        <v>-5050.9440650939996</v>
      </c>
      <c r="I7" s="3" t="s">
        <v>19</v>
      </c>
      <c r="J7" s="8">
        <v>60259.760202443998</v>
      </c>
      <c r="K7" s="8"/>
      <c r="L7" s="8"/>
      <c r="M7" s="8"/>
      <c r="N7" s="8"/>
      <c r="O7" s="8">
        <v>60259.760202443998</v>
      </c>
      <c r="R7" s="3" t="s">
        <v>19</v>
      </c>
      <c r="S7" s="6">
        <v>7.7844999999999995</v>
      </c>
      <c r="T7" s="6"/>
      <c r="U7" s="6"/>
    </row>
    <row r="8" spans="1:21" x14ac:dyDescent="0.25">
      <c r="A8" s="3" t="s">
        <v>31</v>
      </c>
      <c r="B8" s="8">
        <v>-7406.0761499999999</v>
      </c>
      <c r="C8" s="8"/>
      <c r="D8" s="8"/>
      <c r="E8" s="8"/>
      <c r="F8" s="8"/>
      <c r="G8" s="8">
        <v>-7406.0761499999999</v>
      </c>
      <c r="I8" s="3" t="s">
        <v>20</v>
      </c>
      <c r="J8" s="8">
        <v>-106367.432730634</v>
      </c>
      <c r="K8" s="8"/>
      <c r="L8" s="8"/>
      <c r="M8" s="8"/>
      <c r="N8" s="8"/>
      <c r="O8" s="8">
        <v>-106367.432730634</v>
      </c>
      <c r="R8" s="3" t="s">
        <v>20</v>
      </c>
      <c r="S8" s="6">
        <v>116.40873369000001</v>
      </c>
      <c r="T8" s="6"/>
      <c r="U8" s="6"/>
    </row>
    <row r="9" spans="1:21" x14ac:dyDescent="0.25">
      <c r="A9" s="3" t="s">
        <v>150</v>
      </c>
      <c r="B9" s="8">
        <v>-28512</v>
      </c>
      <c r="C9" s="8"/>
      <c r="D9" s="8"/>
      <c r="E9" s="8"/>
      <c r="F9" s="8"/>
      <c r="G9" s="8">
        <v>-28512</v>
      </c>
      <c r="I9" s="3" t="s">
        <v>14</v>
      </c>
      <c r="J9" s="8">
        <v>92141896.654233456</v>
      </c>
      <c r="K9" s="8">
        <v>-25029802.694719873</v>
      </c>
      <c r="L9" s="8">
        <v>-803776.79844260204</v>
      </c>
      <c r="M9" s="8">
        <v>-76236900</v>
      </c>
      <c r="N9" s="8">
        <v>382600</v>
      </c>
      <c r="O9" s="8">
        <v>-9545982.8389290273</v>
      </c>
      <c r="R9" s="3" t="s">
        <v>14</v>
      </c>
      <c r="S9" s="6">
        <v>18099.68844931875</v>
      </c>
      <c r="T9" s="6">
        <v>18206.5100498875</v>
      </c>
      <c r="U9" s="6">
        <v>19155</v>
      </c>
    </row>
    <row r="10" spans="1:21" x14ac:dyDescent="0.25">
      <c r="A10" s="3" t="s">
        <v>26</v>
      </c>
      <c r="B10" s="8">
        <v>-88413.518760000006</v>
      </c>
      <c r="C10" s="8"/>
      <c r="D10" s="8"/>
      <c r="E10" s="8"/>
      <c r="F10" s="8"/>
      <c r="G10" s="8">
        <v>-88413.518760000006</v>
      </c>
      <c r="I10" s="3" t="s">
        <v>31</v>
      </c>
      <c r="J10" s="8">
        <v>-7406.0761499999999</v>
      </c>
      <c r="K10" s="8"/>
      <c r="L10" s="8"/>
      <c r="M10" s="8"/>
      <c r="N10" s="8"/>
      <c r="O10" s="8">
        <v>-7406.0761499999999</v>
      </c>
      <c r="R10" s="3" t="s">
        <v>31</v>
      </c>
      <c r="S10" s="6">
        <v>36.85</v>
      </c>
      <c r="T10" s="6"/>
      <c r="U10" s="6"/>
    </row>
    <row r="11" spans="1:21" x14ac:dyDescent="0.25">
      <c r="A11" s="3" t="s">
        <v>20</v>
      </c>
      <c r="B11" s="8">
        <v>-106367.432730634</v>
      </c>
      <c r="C11" s="8"/>
      <c r="D11" s="8"/>
      <c r="E11" s="8"/>
      <c r="F11" s="8"/>
      <c r="G11" s="8">
        <v>-106367.432730634</v>
      </c>
      <c r="I11" s="3" t="s">
        <v>23</v>
      </c>
      <c r="J11" s="8">
        <v>-526718.09513001004</v>
      </c>
      <c r="K11" s="8"/>
      <c r="L11" s="8"/>
      <c r="M11" s="8"/>
      <c r="N11" s="8"/>
      <c r="O11" s="8">
        <v>-526718.09513001004</v>
      </c>
      <c r="R11" s="3" t="s">
        <v>23</v>
      </c>
      <c r="S11" s="6">
        <v>0.95723808999999993</v>
      </c>
      <c r="T11" s="6"/>
      <c r="U11" s="6"/>
    </row>
    <row r="12" spans="1:21" x14ac:dyDescent="0.25">
      <c r="A12" s="3" t="s">
        <v>24</v>
      </c>
      <c r="B12" s="8">
        <v>-203475.01912000001</v>
      </c>
      <c r="C12" s="8"/>
      <c r="D12" s="8"/>
      <c r="E12" s="8"/>
      <c r="F12" s="8"/>
      <c r="G12" s="8">
        <v>-203475.01912000001</v>
      </c>
      <c r="I12" s="3" t="s">
        <v>15</v>
      </c>
      <c r="J12" s="8">
        <v>18210613.102495998</v>
      </c>
      <c r="K12" s="8">
        <v>-17076057.910499774</v>
      </c>
      <c r="L12" s="8">
        <v>100017.916490383</v>
      </c>
      <c r="M12" s="8">
        <v>-19183950</v>
      </c>
      <c r="N12" s="8">
        <v>1215500</v>
      </c>
      <c r="O12" s="8">
        <v>-16733876.891513392</v>
      </c>
      <c r="R12" s="3" t="s">
        <v>15</v>
      </c>
      <c r="S12" s="6">
        <v>1386.4650000000001</v>
      </c>
      <c r="T12" s="6">
        <v>1394.4823781475</v>
      </c>
      <c r="U12" s="6">
        <v>1437</v>
      </c>
    </row>
    <row r="13" spans="1:21" x14ac:dyDescent="0.25">
      <c r="A13" s="3" t="s">
        <v>27</v>
      </c>
      <c r="B13" s="8">
        <v>-299592.34933527501</v>
      </c>
      <c r="C13" s="8"/>
      <c r="D13" s="8"/>
      <c r="E13" s="8">
        <v>-138289.408</v>
      </c>
      <c r="F13" s="8"/>
      <c r="G13" s="8">
        <v>-437881.757335275</v>
      </c>
      <c r="I13" s="3" t="s">
        <v>27</v>
      </c>
      <c r="J13" s="8">
        <v>-437881.757335275</v>
      </c>
      <c r="K13" s="8"/>
      <c r="L13" s="8"/>
      <c r="M13" s="8"/>
      <c r="N13" s="8"/>
      <c r="O13" s="8">
        <v>-437881.757335275</v>
      </c>
      <c r="R13" s="3" t="s">
        <v>27</v>
      </c>
      <c r="S13" s="6">
        <v>6.2032083300000007</v>
      </c>
      <c r="T13" s="6"/>
      <c r="U13" s="6"/>
    </row>
    <row r="14" spans="1:21" x14ac:dyDescent="0.25">
      <c r="A14" s="3" t="s">
        <v>23</v>
      </c>
      <c r="B14" s="8">
        <v>-505167.59513000998</v>
      </c>
      <c r="C14" s="8"/>
      <c r="D14" s="8"/>
      <c r="E14" s="8">
        <v>-21550.5</v>
      </c>
      <c r="F14" s="8"/>
      <c r="G14" s="8">
        <v>-526718.09513001004</v>
      </c>
      <c r="I14" s="3" t="s">
        <v>24</v>
      </c>
      <c r="J14" s="8">
        <v>-203475.01912000001</v>
      </c>
      <c r="K14" s="8"/>
      <c r="L14" s="8"/>
      <c r="M14" s="8"/>
      <c r="N14" s="8"/>
      <c r="O14" s="8">
        <v>-203475.01912000001</v>
      </c>
      <c r="R14" s="3" t="s">
        <v>24</v>
      </c>
      <c r="S14" s="6">
        <v>83.24</v>
      </c>
      <c r="T14" s="6"/>
      <c r="U14" s="6"/>
    </row>
    <row r="15" spans="1:21" x14ac:dyDescent="0.25">
      <c r="A15" s="3" t="s">
        <v>37</v>
      </c>
      <c r="B15" s="8"/>
      <c r="C15" s="8"/>
      <c r="D15" s="8"/>
      <c r="E15" s="8">
        <v>-827969.7</v>
      </c>
      <c r="F15" s="8"/>
      <c r="G15" s="8">
        <v>-827969.7</v>
      </c>
      <c r="I15" s="3" t="s">
        <v>37</v>
      </c>
      <c r="J15" s="8">
        <v>-827969.7</v>
      </c>
      <c r="K15" s="8"/>
      <c r="L15" s="8"/>
      <c r="M15" s="8"/>
      <c r="N15" s="8"/>
      <c r="O15" s="8">
        <v>-827969.7</v>
      </c>
      <c r="R15" s="3" t="s">
        <v>37</v>
      </c>
      <c r="S15" s="6">
        <v>9.3000000000000007E-6</v>
      </c>
      <c r="T15" s="6"/>
      <c r="U15" s="6"/>
    </row>
    <row r="16" spans="1:21" x14ac:dyDescent="0.25">
      <c r="A16" s="3" t="s">
        <v>14</v>
      </c>
      <c r="B16" s="8">
        <v>57223332.267467998</v>
      </c>
      <c r="C16" s="8">
        <v>-25561.317002344</v>
      </c>
      <c r="D16" s="8">
        <v>-327414.57059999998</v>
      </c>
      <c r="E16" s="8">
        <v>9437960.7812053263</v>
      </c>
      <c r="F16" s="8">
        <v>-75854300</v>
      </c>
      <c r="G16" s="8">
        <v>-9545982.8389290199</v>
      </c>
      <c r="I16" s="3" t="s">
        <v>26</v>
      </c>
      <c r="J16" s="8">
        <v>-88413.518760000006</v>
      </c>
      <c r="K16" s="8"/>
      <c r="L16" s="8"/>
      <c r="M16" s="8"/>
      <c r="N16" s="8"/>
      <c r="O16" s="8">
        <v>-88413.518760000006</v>
      </c>
      <c r="R16" s="3" t="s">
        <v>26</v>
      </c>
      <c r="S16" s="6">
        <v>2.2759999999999999E-2</v>
      </c>
      <c r="T16" s="6"/>
      <c r="U16" s="6"/>
    </row>
    <row r="17" spans="1:21" x14ac:dyDescent="0.25">
      <c r="A17" s="3" t="s">
        <v>15</v>
      </c>
      <c r="B17" s="8">
        <v>-7305176.1932350192</v>
      </c>
      <c r="C17" s="8"/>
      <c r="D17" s="8">
        <v>-2058.7683999999999</v>
      </c>
      <c r="E17" s="8">
        <v>8541808.070121631</v>
      </c>
      <c r="F17" s="8">
        <v>-17968450</v>
      </c>
      <c r="G17" s="8">
        <v>-16733876.891513389</v>
      </c>
      <c r="I17" s="3" t="s">
        <v>56</v>
      </c>
      <c r="J17" s="8">
        <v>108209486.97364089</v>
      </c>
      <c r="K17" s="8">
        <v>-42105860.605219647</v>
      </c>
      <c r="L17" s="8">
        <v>-703758.88195221906</v>
      </c>
      <c r="M17" s="8">
        <v>-95420850</v>
      </c>
      <c r="N17" s="8">
        <v>1598100</v>
      </c>
      <c r="O17" s="8">
        <v>-28422882.513530988</v>
      </c>
      <c r="R17" s="3" t="s">
        <v>150</v>
      </c>
      <c r="S17" s="6">
        <v>1.1879999999999999</v>
      </c>
      <c r="T17" s="6"/>
      <c r="U17" s="6"/>
    </row>
    <row r="18" spans="1:21" x14ac:dyDescent="0.25">
      <c r="A18" s="3" t="s">
        <v>56</v>
      </c>
      <c r="B18" s="8">
        <v>48725896.083007053</v>
      </c>
      <c r="C18" s="8">
        <v>-30612.261067437998</v>
      </c>
      <c r="D18" s="8">
        <v>-329473.33899999998</v>
      </c>
      <c r="E18" s="8">
        <v>17005545.003529403</v>
      </c>
      <c r="F18" s="8">
        <v>-93822750</v>
      </c>
      <c r="G18" s="8">
        <v>-28451394.513530977</v>
      </c>
    </row>
    <row r="27" spans="1:21" x14ac:dyDescent="0.25">
      <c r="I27" s="2" t="s">
        <v>0</v>
      </c>
      <c r="J27" t="s">
        <v>65</v>
      </c>
      <c r="S27" s="7"/>
      <c r="T27" s="7"/>
      <c r="U27" s="7"/>
    </row>
    <row r="28" spans="1:21" x14ac:dyDescent="0.25">
      <c r="S28" s="7"/>
      <c r="T28" s="7"/>
      <c r="U28" s="7"/>
    </row>
    <row r="29" spans="1:21" x14ac:dyDescent="0.25">
      <c r="A29" s="2" t="s">
        <v>58</v>
      </c>
      <c r="B29" s="2" t="s">
        <v>54</v>
      </c>
      <c r="I29" s="2" t="s">
        <v>58</v>
      </c>
      <c r="J29" s="2" t="s">
        <v>54</v>
      </c>
      <c r="U29" s="7"/>
    </row>
    <row r="30" spans="1:21" x14ac:dyDescent="0.25">
      <c r="A30" s="2" t="s">
        <v>57</v>
      </c>
      <c r="B30" t="s">
        <v>11</v>
      </c>
      <c r="C30" t="s">
        <v>32</v>
      </c>
      <c r="D30" t="s">
        <v>39</v>
      </c>
      <c r="E30" t="s">
        <v>45</v>
      </c>
      <c r="F30" t="s">
        <v>265</v>
      </c>
      <c r="G30" t="s">
        <v>56</v>
      </c>
      <c r="I30" s="2" t="s">
        <v>57</v>
      </c>
      <c r="J30" t="s">
        <v>55</v>
      </c>
      <c r="K30" t="s">
        <v>277</v>
      </c>
      <c r="L30" t="s">
        <v>312</v>
      </c>
      <c r="M30" t="s">
        <v>949</v>
      </c>
      <c r="N30" t="s">
        <v>425</v>
      </c>
      <c r="O30" t="s">
        <v>56</v>
      </c>
      <c r="U30" s="7"/>
    </row>
    <row r="31" spans="1:21" x14ac:dyDescent="0.25">
      <c r="A31" s="3" t="s">
        <v>19</v>
      </c>
      <c r="B31" s="8">
        <v>46674</v>
      </c>
      <c r="C31" s="8"/>
      <c r="D31" s="8"/>
      <c r="E31" s="8">
        <v>13585.760202444</v>
      </c>
      <c r="F31" s="8"/>
      <c r="G31" s="8">
        <v>60259.760202443998</v>
      </c>
      <c r="I31" s="3" t="s">
        <v>19</v>
      </c>
      <c r="J31" s="8">
        <v>60259.760202443998</v>
      </c>
      <c r="K31" s="8"/>
      <c r="L31" s="8"/>
      <c r="M31" s="8"/>
      <c r="N31" s="8"/>
      <c r="O31" s="8">
        <v>60259.760202443998</v>
      </c>
      <c r="U31" s="7"/>
    </row>
    <row r="32" spans="1:21" x14ac:dyDescent="0.25">
      <c r="A32" s="3" t="s">
        <v>35</v>
      </c>
      <c r="B32" s="8"/>
      <c r="C32" s="8">
        <v>-5050.9440650939996</v>
      </c>
      <c r="D32" s="8"/>
      <c r="E32" s="8"/>
      <c r="F32" s="8"/>
      <c r="G32" s="8">
        <v>-5050.9440650939996</v>
      </c>
      <c r="I32" s="3" t="s">
        <v>35</v>
      </c>
      <c r="J32" s="8">
        <v>-5050.9440650939996</v>
      </c>
      <c r="K32" s="8"/>
      <c r="L32" s="8"/>
      <c r="M32" s="8"/>
      <c r="N32" s="8"/>
      <c r="O32" s="8">
        <v>-5050.9440650939996</v>
      </c>
      <c r="U32" s="7"/>
    </row>
    <row r="33" spans="1:21" x14ac:dyDescent="0.25">
      <c r="A33" s="3" t="s">
        <v>31</v>
      </c>
      <c r="B33" s="8">
        <v>-7406.0761499999999</v>
      </c>
      <c r="C33" s="8"/>
      <c r="D33" s="8"/>
      <c r="E33" s="8"/>
      <c r="F33" s="8"/>
      <c r="G33" s="8">
        <v>-7406.0761499999999</v>
      </c>
      <c r="I33" s="3" t="s">
        <v>31</v>
      </c>
      <c r="J33" s="8">
        <v>-7406.0761499999999</v>
      </c>
      <c r="K33" s="8"/>
      <c r="L33" s="8"/>
      <c r="M33" s="8"/>
      <c r="N33" s="8"/>
      <c r="O33" s="8">
        <v>-7406.0761499999999</v>
      </c>
      <c r="U33" s="7"/>
    </row>
    <row r="34" spans="1:21" x14ac:dyDescent="0.25">
      <c r="A34" s="3" t="s">
        <v>150</v>
      </c>
      <c r="B34" s="8">
        <v>-28512</v>
      </c>
      <c r="C34" s="8"/>
      <c r="D34" s="8"/>
      <c r="E34" s="8"/>
      <c r="F34" s="8"/>
      <c r="G34" s="8">
        <v>-28512</v>
      </c>
      <c r="I34" s="3" t="s">
        <v>150</v>
      </c>
      <c r="J34" s="8">
        <v>-28512</v>
      </c>
      <c r="K34" s="8"/>
      <c r="L34" s="8"/>
      <c r="M34" s="8"/>
      <c r="N34" s="8"/>
      <c r="O34" s="8">
        <v>-28512</v>
      </c>
      <c r="U34" s="7"/>
    </row>
    <row r="35" spans="1:21" x14ac:dyDescent="0.25">
      <c r="A35" s="4" t="s">
        <v>17</v>
      </c>
      <c r="B35" s="8">
        <v>-28512</v>
      </c>
      <c r="C35" s="8"/>
      <c r="D35" s="8"/>
      <c r="E35" s="8"/>
      <c r="F35" s="8"/>
      <c r="G35" s="8">
        <v>-28512</v>
      </c>
      <c r="I35" s="4" t="s">
        <v>17</v>
      </c>
      <c r="J35" s="8"/>
      <c r="K35" s="8"/>
      <c r="L35" s="8"/>
      <c r="M35" s="8"/>
      <c r="N35" s="8"/>
      <c r="O35" s="8"/>
      <c r="U35" s="7"/>
    </row>
    <row r="36" spans="1:21" x14ac:dyDescent="0.25">
      <c r="A36" s="3" t="s">
        <v>26</v>
      </c>
      <c r="B36" s="8">
        <v>-88413.518760000006</v>
      </c>
      <c r="C36" s="8"/>
      <c r="D36" s="8"/>
      <c r="E36" s="8"/>
      <c r="F36" s="8"/>
      <c r="G36" s="8">
        <v>-88413.518760000006</v>
      </c>
      <c r="I36" s="27" t="s">
        <v>859</v>
      </c>
      <c r="J36" s="8">
        <v>-28512</v>
      </c>
      <c r="K36" s="8"/>
      <c r="L36" s="8"/>
      <c r="M36" s="8"/>
      <c r="N36" s="8"/>
      <c r="O36" s="8">
        <v>-28512</v>
      </c>
      <c r="U36" s="7"/>
    </row>
    <row r="37" spans="1:21" x14ac:dyDescent="0.25">
      <c r="A37" s="3" t="s">
        <v>20</v>
      </c>
      <c r="B37" s="8">
        <v>-106367.432730634</v>
      </c>
      <c r="C37" s="8"/>
      <c r="D37" s="8"/>
      <c r="E37" s="8"/>
      <c r="F37" s="8"/>
      <c r="G37" s="8">
        <v>-106367.432730634</v>
      </c>
      <c r="I37" s="3" t="s">
        <v>26</v>
      </c>
      <c r="J37" s="8">
        <v>-88413.518760000006</v>
      </c>
      <c r="K37" s="8"/>
      <c r="L37" s="8"/>
      <c r="M37" s="8"/>
      <c r="N37" s="8"/>
      <c r="O37" s="8">
        <v>-88413.518760000006</v>
      </c>
      <c r="U37" s="7"/>
    </row>
    <row r="38" spans="1:21" x14ac:dyDescent="0.25">
      <c r="A38" s="3" t="s">
        <v>24</v>
      </c>
      <c r="B38" s="8">
        <v>-203475.01912000001</v>
      </c>
      <c r="C38" s="8"/>
      <c r="D38" s="8"/>
      <c r="E38" s="8"/>
      <c r="F38" s="8"/>
      <c r="G38" s="8">
        <v>-203475.01912000001</v>
      </c>
      <c r="I38" s="3" t="s">
        <v>20</v>
      </c>
      <c r="J38" s="8">
        <v>-106367.432730634</v>
      </c>
      <c r="K38" s="8"/>
      <c r="L38" s="8"/>
      <c r="M38" s="8"/>
      <c r="N38" s="8"/>
      <c r="O38" s="8">
        <v>-106367.432730634</v>
      </c>
      <c r="U38" s="7"/>
    </row>
    <row r="39" spans="1:21" x14ac:dyDescent="0.25">
      <c r="A39" s="3" t="s">
        <v>27</v>
      </c>
      <c r="B39" s="8">
        <v>-299592.34933527501</v>
      </c>
      <c r="C39" s="8"/>
      <c r="D39" s="8"/>
      <c r="E39" s="8">
        <v>-138289.408</v>
      </c>
      <c r="F39" s="8"/>
      <c r="G39" s="8">
        <v>-437881.757335275</v>
      </c>
      <c r="I39" s="3" t="s">
        <v>24</v>
      </c>
      <c r="J39" s="8">
        <v>-203475.01912000001</v>
      </c>
      <c r="K39" s="8"/>
      <c r="L39" s="8"/>
      <c r="M39" s="8"/>
      <c r="N39" s="8"/>
      <c r="O39" s="8">
        <v>-203475.01912000001</v>
      </c>
      <c r="U39" s="7"/>
    </row>
    <row r="40" spans="1:21" x14ac:dyDescent="0.25">
      <c r="A40" s="3" t="s">
        <v>23</v>
      </c>
      <c r="B40" s="8">
        <v>-505167.59513000998</v>
      </c>
      <c r="C40" s="8"/>
      <c r="D40" s="8"/>
      <c r="E40" s="8">
        <v>-21550.5</v>
      </c>
      <c r="F40" s="8"/>
      <c r="G40" s="8">
        <v>-526718.09513001004</v>
      </c>
      <c r="I40" s="3" t="s">
        <v>27</v>
      </c>
      <c r="J40" s="8">
        <v>-437881.757335275</v>
      </c>
      <c r="K40" s="8"/>
      <c r="L40" s="8"/>
      <c r="M40" s="8"/>
      <c r="N40" s="8"/>
      <c r="O40" s="8">
        <v>-437881.757335275</v>
      </c>
      <c r="U40" s="7"/>
    </row>
    <row r="41" spans="1:21" x14ac:dyDescent="0.25">
      <c r="A41" s="3" t="s">
        <v>37</v>
      </c>
      <c r="B41" s="8"/>
      <c r="C41" s="8"/>
      <c r="D41" s="8"/>
      <c r="E41" s="8">
        <v>-827969.7</v>
      </c>
      <c r="F41" s="8"/>
      <c r="G41" s="8">
        <v>-827969.7</v>
      </c>
      <c r="I41" s="3" t="s">
        <v>23</v>
      </c>
      <c r="J41" s="8">
        <v>-526718.09513001004</v>
      </c>
      <c r="K41" s="8"/>
      <c r="L41" s="8"/>
      <c r="M41" s="8"/>
      <c r="N41" s="8"/>
      <c r="O41" s="8">
        <v>-526718.09513001004</v>
      </c>
      <c r="U41" s="7"/>
    </row>
    <row r="42" spans="1:21" x14ac:dyDescent="0.25">
      <c r="A42" s="3" t="s">
        <v>14</v>
      </c>
      <c r="B42" s="8">
        <v>57223332.267467998</v>
      </c>
      <c r="C42" s="8">
        <v>-25561.317002344</v>
      </c>
      <c r="D42" s="8">
        <v>-327414.57059999998</v>
      </c>
      <c r="E42" s="8">
        <v>9437960.7812053263</v>
      </c>
      <c r="F42" s="8">
        <v>-75854300</v>
      </c>
      <c r="G42" s="8">
        <v>-9545982.8389290273</v>
      </c>
      <c r="I42" s="3" t="s">
        <v>37</v>
      </c>
      <c r="J42" s="8">
        <v>-827969.7</v>
      </c>
      <c r="K42" s="8"/>
      <c r="L42" s="8"/>
      <c r="M42" s="8"/>
      <c r="N42" s="8"/>
      <c r="O42" s="8">
        <v>-827969.7</v>
      </c>
      <c r="U42" s="7"/>
    </row>
    <row r="43" spans="1:21" x14ac:dyDescent="0.25">
      <c r="A43" s="4" t="s">
        <v>280</v>
      </c>
      <c r="B43" s="8"/>
      <c r="C43" s="8"/>
      <c r="D43" s="8"/>
      <c r="E43" s="8"/>
      <c r="F43" s="8">
        <v>-75854300</v>
      </c>
      <c r="G43" s="8">
        <v>-75854300</v>
      </c>
      <c r="I43" s="3" t="s">
        <v>14</v>
      </c>
      <c r="J43" s="8">
        <v>92141896.654233456</v>
      </c>
      <c r="K43" s="8">
        <v>-25029802.694719873</v>
      </c>
      <c r="L43" s="8">
        <v>-76236900</v>
      </c>
      <c r="M43" s="8">
        <v>-803776.79844260204</v>
      </c>
      <c r="N43" s="8">
        <v>382600</v>
      </c>
      <c r="O43" s="8">
        <v>-9545982.8389290292</v>
      </c>
      <c r="U43" s="7"/>
    </row>
    <row r="44" spans="1:21" x14ac:dyDescent="0.25">
      <c r="A44" s="4" t="s">
        <v>13</v>
      </c>
      <c r="B44" s="8">
        <v>-15716899.507737599</v>
      </c>
      <c r="C44" s="8"/>
      <c r="D44" s="8"/>
      <c r="E44" s="8">
        <v>-10116679.985424876</v>
      </c>
      <c r="F44" s="8"/>
      <c r="G44" s="8">
        <v>-25833579.493162476</v>
      </c>
      <c r="I44" s="4" t="s">
        <v>280</v>
      </c>
      <c r="J44" s="8"/>
      <c r="K44" s="8"/>
      <c r="L44" s="8"/>
      <c r="M44" s="8"/>
      <c r="N44" s="8"/>
      <c r="O44" s="8"/>
      <c r="U44" s="7"/>
    </row>
    <row r="45" spans="1:21" x14ac:dyDescent="0.25">
      <c r="A45" s="4" t="s">
        <v>17</v>
      </c>
      <c r="B45" s="8">
        <v>72940231.775205597</v>
      </c>
      <c r="C45" s="8">
        <v>-25561.317002344</v>
      </c>
      <c r="D45" s="8">
        <v>-327414.57059999998</v>
      </c>
      <c r="E45" s="8">
        <v>19554640.766630203</v>
      </c>
      <c r="F45" s="8"/>
      <c r="G45" s="8">
        <v>92141896.654233456</v>
      </c>
      <c r="I45" s="27" t="s">
        <v>959</v>
      </c>
      <c r="J45" s="8"/>
      <c r="K45" s="8"/>
      <c r="L45" s="8">
        <v>-76236900</v>
      </c>
      <c r="M45" s="8"/>
      <c r="N45" s="8"/>
      <c r="O45" s="8">
        <v>-76236900</v>
      </c>
      <c r="U45" s="7"/>
    </row>
    <row r="46" spans="1:21" x14ac:dyDescent="0.25">
      <c r="A46" s="3" t="s">
        <v>15</v>
      </c>
      <c r="B46" s="8">
        <v>-7305176.1932350192</v>
      </c>
      <c r="C46" s="8"/>
      <c r="D46" s="8">
        <v>-2058.7683999999999</v>
      </c>
      <c r="E46" s="8">
        <v>8541808.070121631</v>
      </c>
      <c r="F46" s="8">
        <v>-17968450</v>
      </c>
      <c r="G46" s="8">
        <v>-16733876.891513392</v>
      </c>
      <c r="I46" s="27" t="s">
        <v>967</v>
      </c>
      <c r="J46" s="8"/>
      <c r="K46" s="8"/>
      <c r="L46" s="8"/>
      <c r="M46" s="8"/>
      <c r="N46" s="8">
        <v>382600</v>
      </c>
      <c r="O46" s="8">
        <v>382600</v>
      </c>
    </row>
    <row r="47" spans="1:21" x14ac:dyDescent="0.25">
      <c r="A47" s="4" t="s">
        <v>280</v>
      </c>
      <c r="B47" s="8"/>
      <c r="C47" s="8"/>
      <c r="D47" s="8"/>
      <c r="E47" s="8"/>
      <c r="F47" s="8">
        <v>-17968450</v>
      </c>
      <c r="G47" s="8">
        <v>-17968450</v>
      </c>
      <c r="I47" s="4" t="s">
        <v>13</v>
      </c>
      <c r="J47" s="8"/>
      <c r="K47" s="8"/>
      <c r="L47" s="8"/>
      <c r="M47" s="8"/>
      <c r="N47" s="8"/>
      <c r="O47" s="8"/>
    </row>
    <row r="48" spans="1:21" x14ac:dyDescent="0.25">
      <c r="A48" s="4" t="s">
        <v>13</v>
      </c>
      <c r="B48" s="8">
        <v>-11582960.41725502</v>
      </c>
      <c r="C48" s="8"/>
      <c r="D48" s="8"/>
      <c r="E48" s="8">
        <v>-5393079.5767543688</v>
      </c>
      <c r="F48" s="8"/>
      <c r="G48" s="8">
        <v>-16976039.99400939</v>
      </c>
      <c r="I48" s="27" t="s">
        <v>938</v>
      </c>
      <c r="J48" s="8"/>
      <c r="K48" s="8">
        <v>-10451200</v>
      </c>
      <c r="L48" s="8"/>
      <c r="M48" s="8"/>
      <c r="N48" s="8"/>
      <c r="O48" s="8">
        <v>-10451200</v>
      </c>
    </row>
    <row r="49" spans="1:15" x14ac:dyDescent="0.25">
      <c r="A49" s="4" t="s">
        <v>17</v>
      </c>
      <c r="B49" s="8">
        <v>4277784.2240200005</v>
      </c>
      <c r="C49" s="8"/>
      <c r="D49" s="8">
        <v>-2058.7683999999999</v>
      </c>
      <c r="E49" s="8">
        <v>13934887.646876</v>
      </c>
      <c r="F49" s="8"/>
      <c r="G49" s="8">
        <v>18210613.102495998</v>
      </c>
      <c r="I49" s="27" t="s">
        <v>943</v>
      </c>
      <c r="J49" s="8"/>
      <c r="K49" s="8">
        <v>-9145400</v>
      </c>
      <c r="L49" s="8"/>
      <c r="M49" s="8"/>
      <c r="N49" s="8"/>
      <c r="O49" s="8">
        <v>-9145400</v>
      </c>
    </row>
    <row r="50" spans="1:15" x14ac:dyDescent="0.25">
      <c r="A50" s="3" t="s">
        <v>56</v>
      </c>
      <c r="B50" s="8">
        <v>48725896.083007053</v>
      </c>
      <c r="C50" s="8">
        <v>-30612.261067437998</v>
      </c>
      <c r="D50" s="8">
        <v>-329473.33899999998</v>
      </c>
      <c r="E50" s="8">
        <v>17005545.003529403</v>
      </c>
      <c r="F50" s="8">
        <v>-93822750</v>
      </c>
      <c r="G50" s="8">
        <v>-28451394.513530988</v>
      </c>
      <c r="I50" s="27" t="s">
        <v>945</v>
      </c>
      <c r="J50" s="8"/>
      <c r="K50" s="8">
        <v>-582403.18698227406</v>
      </c>
      <c r="L50" s="8"/>
      <c r="M50" s="8"/>
      <c r="N50" s="8"/>
      <c r="O50" s="8">
        <v>-582403.18698227406</v>
      </c>
    </row>
    <row r="51" spans="1:15" x14ac:dyDescent="0.25">
      <c r="I51" s="27" t="s">
        <v>939</v>
      </c>
      <c r="J51" s="8"/>
      <c r="K51" s="8"/>
      <c r="L51" s="8"/>
      <c r="M51" s="8">
        <v>-414900</v>
      </c>
      <c r="N51" s="8"/>
      <c r="O51" s="8">
        <v>-414900</v>
      </c>
    </row>
    <row r="52" spans="1:15" x14ac:dyDescent="0.25">
      <c r="I52" s="27" t="s">
        <v>941</v>
      </c>
      <c r="J52" s="8"/>
      <c r="K52" s="8">
        <v>-4850799.5077376002</v>
      </c>
      <c r="L52" s="8"/>
      <c r="M52" s="8"/>
      <c r="N52" s="8"/>
      <c r="O52" s="8">
        <v>-4850799.5077376002</v>
      </c>
    </row>
    <row r="53" spans="1:15" x14ac:dyDescent="0.25">
      <c r="I53" s="27" t="s">
        <v>944</v>
      </c>
      <c r="J53" s="8"/>
      <c r="K53" s="8"/>
      <c r="L53" s="8"/>
      <c r="M53" s="8">
        <v>-319200</v>
      </c>
      <c r="N53" s="8"/>
      <c r="O53" s="8">
        <v>-319200</v>
      </c>
    </row>
    <row r="54" spans="1:15" x14ac:dyDescent="0.25">
      <c r="I54" s="27" t="s">
        <v>946</v>
      </c>
      <c r="J54" s="8"/>
      <c r="K54" s="8"/>
      <c r="L54" s="8"/>
      <c r="M54" s="8">
        <v>-69676.798442601998</v>
      </c>
      <c r="N54" s="8"/>
      <c r="O54" s="8">
        <v>-69676.798442601998</v>
      </c>
    </row>
    <row r="55" spans="1:15" x14ac:dyDescent="0.25">
      <c r="I55" s="4" t="s">
        <v>17</v>
      </c>
      <c r="J55" s="8"/>
      <c r="K55" s="8"/>
      <c r="L55" s="8"/>
      <c r="M55" s="8"/>
      <c r="N55" s="8"/>
      <c r="O55" s="8"/>
    </row>
    <row r="56" spans="1:15" x14ac:dyDescent="0.25">
      <c r="I56" s="27" t="s">
        <v>16</v>
      </c>
      <c r="J56" s="8">
        <v>14737600</v>
      </c>
      <c r="K56" s="8"/>
      <c r="L56" s="8"/>
      <c r="M56" s="8"/>
      <c r="N56" s="8"/>
      <c r="O56" s="8">
        <v>14737600</v>
      </c>
    </row>
    <row r="57" spans="1:15" x14ac:dyDescent="0.25">
      <c r="I57" s="27" t="s">
        <v>21</v>
      </c>
      <c r="J57" s="8">
        <v>58202631.775205597</v>
      </c>
      <c r="K57" s="8"/>
      <c r="L57" s="8"/>
      <c r="M57" s="8"/>
      <c r="N57" s="8"/>
      <c r="O57" s="8">
        <v>58202631.775205597</v>
      </c>
    </row>
    <row r="58" spans="1:15" x14ac:dyDescent="0.25">
      <c r="I58" s="27" t="s">
        <v>34</v>
      </c>
      <c r="J58" s="8">
        <v>-25561.317002344</v>
      </c>
      <c r="K58" s="8"/>
      <c r="L58" s="8"/>
      <c r="M58" s="8"/>
      <c r="N58" s="8"/>
      <c r="O58" s="8">
        <v>-25561.317002344</v>
      </c>
    </row>
    <row r="59" spans="1:15" x14ac:dyDescent="0.25">
      <c r="I59" s="27" t="s">
        <v>936</v>
      </c>
      <c r="J59" s="8">
        <v>-339100</v>
      </c>
      <c r="K59" s="8"/>
      <c r="L59" s="8"/>
      <c r="M59" s="8"/>
      <c r="N59" s="8"/>
      <c r="O59" s="8">
        <v>-339100</v>
      </c>
    </row>
    <row r="60" spans="1:15" x14ac:dyDescent="0.25">
      <c r="I60" s="27" t="s">
        <v>434</v>
      </c>
      <c r="J60" s="8">
        <v>11685.429400000001</v>
      </c>
      <c r="K60" s="8"/>
      <c r="L60" s="8"/>
      <c r="M60" s="8"/>
      <c r="N60" s="8"/>
      <c r="O60" s="8">
        <v>11685.429400000001</v>
      </c>
    </row>
    <row r="61" spans="1:15" x14ac:dyDescent="0.25">
      <c r="I61" s="27" t="s">
        <v>49</v>
      </c>
      <c r="J61" s="8">
        <v>5176800</v>
      </c>
      <c r="K61" s="8"/>
      <c r="L61" s="8"/>
      <c r="M61" s="8"/>
      <c r="N61" s="8"/>
      <c r="O61" s="8">
        <v>5176800</v>
      </c>
    </row>
    <row r="62" spans="1:15" x14ac:dyDescent="0.25">
      <c r="I62" s="27" t="s">
        <v>47</v>
      </c>
      <c r="J62" s="8">
        <v>14377840.766630201</v>
      </c>
      <c r="K62" s="8"/>
      <c r="L62" s="8"/>
      <c r="M62" s="8"/>
      <c r="N62" s="8"/>
      <c r="O62" s="8">
        <v>14377840.766630201</v>
      </c>
    </row>
    <row r="63" spans="1:15" x14ac:dyDescent="0.25">
      <c r="I63" s="3" t="s">
        <v>15</v>
      </c>
      <c r="J63" s="8">
        <v>18210613.102495998</v>
      </c>
      <c r="K63" s="8">
        <v>-17076057.910499774</v>
      </c>
      <c r="L63" s="8">
        <v>-19183950</v>
      </c>
      <c r="M63" s="8">
        <v>100017.916490383</v>
      </c>
      <c r="N63" s="8">
        <v>1215500</v>
      </c>
      <c r="O63" s="8">
        <v>-16733876.891513392</v>
      </c>
    </row>
    <row r="64" spans="1:15" x14ac:dyDescent="0.25">
      <c r="I64" s="3" t="s">
        <v>56</v>
      </c>
      <c r="J64" s="8">
        <v>108180974.97364089</v>
      </c>
      <c r="K64" s="8">
        <v>-42105860.605219647</v>
      </c>
      <c r="L64" s="8">
        <v>-95420850</v>
      </c>
      <c r="M64" s="8">
        <v>-703758.88195221906</v>
      </c>
      <c r="N64" s="8">
        <v>1598100</v>
      </c>
      <c r="O64" s="8">
        <v>-28451394.513530992</v>
      </c>
    </row>
  </sheetData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C70-1FFD-475A-A3AC-91C6E9920952}">
  <sheetPr codeName="Sheet5"/>
  <dimension ref="A1:FY241"/>
  <sheetViews>
    <sheetView tabSelected="1" zoomScale="80" zoomScaleNormal="80" workbookViewId="0"/>
  </sheetViews>
  <sheetFormatPr defaultRowHeight="15" x14ac:dyDescent="0.25"/>
  <cols>
    <col min="1" max="1" width="12" bestFit="1" customWidth="1"/>
    <col min="2" max="2" width="13.5703125" bestFit="1" customWidth="1"/>
    <col min="3" max="3" width="16.7109375" bestFit="1" customWidth="1"/>
    <col min="4" max="4" width="13" bestFit="1" customWidth="1"/>
    <col min="5" max="6" width="14.28515625" bestFit="1" customWidth="1"/>
    <col min="7" max="7" width="13.42578125" bestFit="1" customWidth="1"/>
    <col min="8" max="8" width="14.5703125" bestFit="1" customWidth="1"/>
    <col min="9" max="9" width="12.7109375" bestFit="1" customWidth="1"/>
    <col min="10" max="10" width="14.28515625" bestFit="1" customWidth="1"/>
    <col min="11" max="11" width="14.5703125" bestFit="1" customWidth="1"/>
    <col min="12" max="12" width="14.28515625" bestFit="1" customWidth="1"/>
    <col min="13" max="13" width="15.28515625" bestFit="1" customWidth="1"/>
    <col min="14" max="14" width="14.5703125" customWidth="1"/>
    <col min="15" max="15" width="4.85546875" customWidth="1"/>
    <col min="16" max="17" width="12" customWidth="1"/>
    <col min="18" max="21" width="17.140625" customWidth="1"/>
    <col min="22" max="24" width="16.42578125" customWidth="1"/>
    <col min="25" max="26" width="14.28515625" bestFit="1" customWidth="1"/>
    <col min="27" max="27" width="14.5703125" bestFit="1" customWidth="1"/>
    <col min="28" max="29" width="14.42578125" customWidth="1"/>
    <col min="30" max="30" width="22.140625" bestFit="1" customWidth="1"/>
    <col min="31" max="31" width="20.28515625" bestFit="1" customWidth="1"/>
    <col min="32" max="32" width="20.5703125" bestFit="1" customWidth="1"/>
    <col min="33" max="33" width="21.5703125" bestFit="1" customWidth="1"/>
    <col min="34" max="34" width="21.7109375" bestFit="1" customWidth="1"/>
    <col min="35" max="35" width="20.28515625" bestFit="1" customWidth="1"/>
    <col min="36" max="36" width="21.42578125" bestFit="1" customWidth="1"/>
    <col min="37" max="37" width="22" bestFit="1" customWidth="1"/>
    <col min="38" max="38" width="21.5703125" bestFit="1" customWidth="1"/>
    <col min="39" max="39" width="20.5703125" bestFit="1" customWidth="1"/>
    <col min="40" max="40" width="21.5703125" bestFit="1" customWidth="1"/>
    <col min="41" max="41" width="22.140625" bestFit="1" customWidth="1"/>
    <col min="42" max="42" width="21" bestFit="1" customWidth="1"/>
    <col min="43" max="43" width="22.28515625" bestFit="1" customWidth="1"/>
    <col min="44" max="45" width="14.28515625" bestFit="1" customWidth="1"/>
    <col min="46" max="46" width="10.28515625" bestFit="1" customWidth="1"/>
    <col min="47" max="47" width="10.7109375" bestFit="1" customWidth="1"/>
    <col min="48" max="48" width="17.85546875" bestFit="1" customWidth="1"/>
    <col min="49" max="49" width="9.140625" bestFit="1" customWidth="1"/>
    <col min="50" max="50" width="12.42578125" bestFit="1" customWidth="1"/>
    <col min="51" max="51" width="15.28515625" bestFit="1" customWidth="1"/>
    <col min="52" max="52" width="9.140625" bestFit="1" customWidth="1"/>
    <col min="53" max="53" width="12.42578125" bestFit="1" customWidth="1"/>
    <col min="54" max="54" width="15.28515625" bestFit="1" customWidth="1"/>
    <col min="55" max="55" width="21.5703125" bestFit="1" customWidth="1"/>
    <col min="56" max="56" width="22.140625" bestFit="1" customWidth="1"/>
    <col min="57" max="57" width="21" bestFit="1" customWidth="1"/>
    <col min="58" max="58" width="22.28515625" bestFit="1" customWidth="1"/>
    <col min="59" max="60" width="14.28515625" bestFit="1" customWidth="1"/>
    <col min="61" max="61" width="10.28515625" bestFit="1" customWidth="1"/>
    <col min="62" max="62" width="10.7109375" bestFit="1" customWidth="1"/>
    <col min="63" max="63" width="17.85546875" bestFit="1" customWidth="1"/>
    <col min="64" max="64" width="9.140625" bestFit="1" customWidth="1"/>
    <col min="65" max="65" width="12.42578125" bestFit="1" customWidth="1"/>
    <col min="66" max="66" width="15.28515625" bestFit="1" customWidth="1"/>
    <col min="67" max="67" width="14.28515625" bestFit="1" customWidth="1"/>
    <col min="68" max="68" width="10.28515625" bestFit="1" customWidth="1"/>
    <col min="69" max="69" width="10.7109375" bestFit="1" customWidth="1"/>
    <col min="70" max="70" width="17.85546875" bestFit="1" customWidth="1"/>
    <col min="71" max="71" width="9.140625" bestFit="1" customWidth="1"/>
    <col min="72" max="72" width="12.42578125" bestFit="1" customWidth="1"/>
    <col min="73" max="73" width="15.28515625" bestFit="1" customWidth="1"/>
    <col min="74" max="74" width="22.140625" bestFit="1" customWidth="1"/>
    <col min="75" max="75" width="21" bestFit="1" customWidth="1"/>
    <col min="76" max="76" width="22.28515625" bestFit="1" customWidth="1"/>
    <col min="77" max="78" width="14.28515625" bestFit="1" customWidth="1"/>
    <col min="79" max="79" width="10.28515625" bestFit="1" customWidth="1"/>
    <col min="80" max="80" width="10.7109375" bestFit="1" customWidth="1"/>
    <col min="81" max="81" width="17.85546875" bestFit="1" customWidth="1"/>
    <col min="82" max="82" width="9.140625" bestFit="1" customWidth="1"/>
    <col min="83" max="83" width="12.42578125" bestFit="1" customWidth="1"/>
    <col min="84" max="85" width="15.28515625" bestFit="1" customWidth="1"/>
    <col min="86" max="86" width="12.42578125" bestFit="1" customWidth="1"/>
    <col min="87" max="87" width="15.28515625" bestFit="1" customWidth="1"/>
    <col min="88" max="88" width="10.5703125" bestFit="1" customWidth="1"/>
    <col min="89" max="89" width="13.7109375" bestFit="1" customWidth="1"/>
    <col min="90" max="90" width="10.5703125" bestFit="1" customWidth="1"/>
    <col min="91" max="93" width="13.7109375" bestFit="1" customWidth="1"/>
    <col min="94" max="95" width="21.5703125" bestFit="1" customWidth="1"/>
    <col min="96" max="96" width="22.7109375" bestFit="1" customWidth="1"/>
    <col min="97" max="97" width="21.7109375" bestFit="1" customWidth="1"/>
    <col min="98" max="98" width="22.85546875" bestFit="1" customWidth="1"/>
    <col min="99" max="99" width="11" bestFit="1" customWidth="1"/>
    <col min="100" max="100" width="11.28515625" bestFit="1" customWidth="1"/>
    <col min="101" max="101" width="21.7109375" bestFit="1" customWidth="1"/>
    <col min="102" max="102" width="22.85546875" bestFit="1" customWidth="1"/>
    <col min="103" max="103" width="22" bestFit="1" customWidth="1"/>
    <col min="104" max="105" width="23.140625" bestFit="1" customWidth="1"/>
    <col min="106" max="106" width="13.7109375" bestFit="1" customWidth="1"/>
    <col min="107" max="107" width="12.7109375" bestFit="1" customWidth="1"/>
    <col min="108" max="110" width="13.7109375" bestFit="1" customWidth="1"/>
    <col min="111" max="111" width="15.7109375" bestFit="1" customWidth="1"/>
    <col min="112" max="116" width="13.7109375" bestFit="1" customWidth="1"/>
    <col min="117" max="117" width="11.5703125" bestFit="1" customWidth="1"/>
    <col min="118" max="122" width="13.7109375" bestFit="1" customWidth="1"/>
    <col min="123" max="123" width="12.7109375" bestFit="1" customWidth="1"/>
    <col min="124" max="140" width="13.7109375" bestFit="1" customWidth="1"/>
    <col min="141" max="141" width="19.28515625" bestFit="1" customWidth="1"/>
    <col min="142" max="142" width="20.140625" bestFit="1" customWidth="1"/>
    <col min="143" max="143" width="20.28515625" bestFit="1" customWidth="1"/>
    <col min="144" max="146" width="13" bestFit="1" customWidth="1"/>
    <col min="147" max="147" width="13.7109375" bestFit="1" customWidth="1"/>
    <col min="148" max="148" width="13" bestFit="1" customWidth="1"/>
    <col min="149" max="149" width="11.5703125" bestFit="1" customWidth="1"/>
    <col min="150" max="150" width="13" bestFit="1" customWidth="1"/>
    <col min="151" max="152" width="13.7109375" bestFit="1" customWidth="1"/>
    <col min="153" max="153" width="12.7109375" bestFit="1" customWidth="1"/>
    <col min="154" max="155" width="13.7109375" bestFit="1" customWidth="1"/>
    <col min="156" max="156" width="13" bestFit="1" customWidth="1"/>
    <col min="157" max="157" width="13.7109375" bestFit="1" customWidth="1"/>
    <col min="158" max="158" width="24.42578125" bestFit="1" customWidth="1"/>
    <col min="159" max="159" width="22.140625" bestFit="1" customWidth="1"/>
    <col min="160" max="160" width="20.28515625" bestFit="1" customWidth="1"/>
    <col min="161" max="161" width="20.5703125" bestFit="1" customWidth="1"/>
    <col min="162" max="162" width="21.5703125" bestFit="1" customWidth="1"/>
    <col min="163" max="163" width="21.7109375" bestFit="1" customWidth="1"/>
    <col min="164" max="164" width="20.28515625" bestFit="1" customWidth="1"/>
    <col min="165" max="165" width="21.42578125" bestFit="1" customWidth="1"/>
    <col min="166" max="166" width="22" bestFit="1" customWidth="1"/>
    <col min="167" max="167" width="21.5703125" bestFit="1" customWidth="1"/>
    <col min="168" max="168" width="20.5703125" bestFit="1" customWidth="1"/>
    <col min="169" max="169" width="21.5703125" bestFit="1" customWidth="1"/>
    <col min="170" max="170" width="22.140625" bestFit="1" customWidth="1"/>
    <col min="171" max="171" width="21" bestFit="1" customWidth="1"/>
    <col min="172" max="172" width="22.28515625" bestFit="1" customWidth="1"/>
    <col min="173" max="173" width="13.7109375" bestFit="1" customWidth="1"/>
    <col min="174" max="174" width="14.28515625" bestFit="1" customWidth="1"/>
    <col min="175" max="176" width="13.7109375" bestFit="1" customWidth="1"/>
    <col min="177" max="177" width="17.85546875" bestFit="1" customWidth="1"/>
    <col min="179" max="179" width="12.42578125" bestFit="1" customWidth="1"/>
    <col min="180" max="180" width="13.7109375" bestFit="1" customWidth="1"/>
  </cols>
  <sheetData>
    <row r="1" spans="1:180" ht="15.75" x14ac:dyDescent="0.25">
      <c r="A1" s="61"/>
      <c r="B1" s="61"/>
      <c r="C1" s="172" t="s">
        <v>423</v>
      </c>
      <c r="D1" s="173"/>
      <c r="E1" s="173"/>
      <c r="F1" s="173"/>
      <c r="G1" s="173"/>
      <c r="H1" s="173"/>
      <c r="I1" s="174"/>
      <c r="R1" s="172" t="s">
        <v>423</v>
      </c>
      <c r="S1" s="173"/>
      <c r="T1" s="173"/>
      <c r="U1" s="173"/>
      <c r="V1" s="173"/>
      <c r="W1" s="173"/>
      <c r="X1" s="174"/>
    </row>
    <row r="2" spans="1:180" ht="15.75" x14ac:dyDescent="0.25">
      <c r="A2" s="62"/>
      <c r="B2" s="62"/>
      <c r="C2" s="60" t="s">
        <v>424</v>
      </c>
      <c r="D2" s="60" t="s">
        <v>249</v>
      </c>
      <c r="E2" s="175" t="s">
        <v>421</v>
      </c>
      <c r="F2" s="176"/>
      <c r="G2" s="172" t="s">
        <v>422</v>
      </c>
      <c r="H2" s="173"/>
      <c r="I2" s="174"/>
      <c r="R2" s="60" t="s">
        <v>796</v>
      </c>
      <c r="S2" s="60" t="s">
        <v>249</v>
      </c>
      <c r="T2" s="175" t="s">
        <v>421</v>
      </c>
      <c r="U2" s="176"/>
      <c r="V2" s="172" t="s">
        <v>422</v>
      </c>
      <c r="W2" s="173"/>
      <c r="X2" s="174"/>
    </row>
    <row r="3" spans="1:180" x14ac:dyDescent="0.25">
      <c r="AE3" s="89" t="s">
        <v>829</v>
      </c>
    </row>
    <row r="4" spans="1:180" x14ac:dyDescent="0.25">
      <c r="A4" s="61" t="s">
        <v>262</v>
      </c>
      <c r="B4" s="61"/>
      <c r="C4" s="33" t="s">
        <v>169</v>
      </c>
      <c r="D4" s="33" t="s">
        <v>208</v>
      </c>
      <c r="E4" s="33" t="s">
        <v>263</v>
      </c>
      <c r="F4" s="33" t="s">
        <v>195</v>
      </c>
      <c r="G4" s="33" t="s">
        <v>309</v>
      </c>
      <c r="H4" s="33" t="s">
        <v>85</v>
      </c>
      <c r="I4" s="33" t="s">
        <v>253</v>
      </c>
      <c r="J4" s="33" t="s">
        <v>13</v>
      </c>
      <c r="K4" s="33" t="s">
        <v>17</v>
      </c>
      <c r="L4" s="33" t="s">
        <v>280</v>
      </c>
      <c r="M4" s="33" t="s">
        <v>56</v>
      </c>
      <c r="N4" s="33" t="s">
        <v>827</v>
      </c>
      <c r="P4" s="61" t="s">
        <v>262</v>
      </c>
      <c r="Q4" s="61"/>
      <c r="R4" s="33" t="s">
        <v>169</v>
      </c>
      <c r="S4" s="33" t="s">
        <v>208</v>
      </c>
      <c r="T4" s="33" t="s">
        <v>263</v>
      </c>
      <c r="U4" s="33" t="s">
        <v>195</v>
      </c>
      <c r="V4" s="33" t="s">
        <v>309</v>
      </c>
      <c r="W4" s="33" t="s">
        <v>85</v>
      </c>
      <c r="X4" s="33" t="s">
        <v>253</v>
      </c>
      <c r="Y4" s="33" t="s">
        <v>13</v>
      </c>
      <c r="Z4" s="33" t="s">
        <v>17</v>
      </c>
      <c r="AA4" s="33" t="s">
        <v>280</v>
      </c>
      <c r="AB4" s="33" t="s">
        <v>56</v>
      </c>
      <c r="AC4" s="33" t="s">
        <v>827</v>
      </c>
      <c r="AE4" s="89" t="s">
        <v>95</v>
      </c>
      <c r="AF4" s="89" t="s">
        <v>38</v>
      </c>
      <c r="AG4" s="89" t="s">
        <v>92</v>
      </c>
      <c r="AH4" s="89"/>
      <c r="AI4" s="89"/>
    </row>
    <row r="5" spans="1:180" x14ac:dyDescent="0.25">
      <c r="A5" s="93">
        <f t="array" ref="A5:N5">LatestGrandTotal</f>
        <v>44938.916666666664</v>
      </c>
      <c r="B5" s="93" t="str">
        <v>Grand Total</v>
      </c>
      <c r="C5" s="92">
        <v>-211206773.49899808</v>
      </c>
      <c r="D5" s="92">
        <v>-1190793.1414294317</v>
      </c>
      <c r="E5" s="92">
        <v>-14331689.698353291</v>
      </c>
      <c r="F5" s="92">
        <v>-87608748.109617233</v>
      </c>
      <c r="G5" s="92">
        <v>27404125.440000001</v>
      </c>
      <c r="H5" s="92">
        <v>321500409.04357004</v>
      </c>
      <c r="I5" s="92">
        <v>-132609.41215560102</v>
      </c>
      <c r="J5" s="92">
        <v>-42809619.487171866</v>
      </c>
      <c r="K5" s="92">
        <v>108180974.97364092</v>
      </c>
      <c r="L5" s="92">
        <v>-93822750</v>
      </c>
      <c r="M5" s="92">
        <v>5982526.1094854213</v>
      </c>
      <c r="N5" s="149">
        <v>-7416390.7725393139</v>
      </c>
      <c r="P5" s="93">
        <f>A12</f>
        <v>44938.916666666664</v>
      </c>
      <c r="Q5" s="93" t="s">
        <v>56</v>
      </c>
      <c r="R5" s="92">
        <f>VLOOKUP("Grand Total",'Exchange-Positions'!$A:$M,MATCH(R$4,'Exchange-Positions'!$8:$8,0),FALSE)</f>
        <v>-211206773.49899808</v>
      </c>
      <c r="S5" s="92">
        <f>VLOOKUP("Grand Total",'Exchange-Positions'!$A:$M,MATCH(S$4,'Exchange-Positions'!$8:$8,0),FALSE)</f>
        <v>-1190793.1414294317</v>
      </c>
      <c r="T5" s="92">
        <f>VLOOKUP("Grand Total",'Exchange-Positions'!$A:$M,MATCH(T$4,'Exchange-Positions'!$8:$8,0),FALSE)</f>
        <v>-14331689.698353291</v>
      </c>
      <c r="U5" s="92">
        <f>VLOOKUP("Grand Total",'Exchange-Positions'!$A:$M,MATCH(U$4,'Exchange-Positions'!$8:$8,0),FALSE)</f>
        <v>-87608748.109617233</v>
      </c>
      <c r="V5" s="92">
        <f>VLOOKUP("Grand Total",'Exchange-Positions'!$A:$M,MATCH(V$4,'Exchange-Positions'!$8:$8,0),FALSE)</f>
        <v>27404125.440000001</v>
      </c>
      <c r="W5" s="92">
        <f>VLOOKUP("Grand Total",'Exchange-Positions'!$A:$M,MATCH(W$4,'Exchange-Positions'!$8:$8,0),FALSE)</f>
        <v>321500409.04357004</v>
      </c>
      <c r="X5" s="92">
        <f>VLOOKUP("Grand Total",'Exchange-Positions'!$A:$M,MATCH(X$4,'Exchange-Positions'!$8:$8,0),FALSE)</f>
        <v>-132609.41215560102</v>
      </c>
      <c r="Y5" s="92">
        <f>IF(ISERROR(VLOOKUP("Grand Total",'Exchange-Positions'!$A:$M,MATCH(Y$4,'Exchange-Positions'!$8:$8,0),FALSE)),0,VLOOKUP("Grand Total",'Exchange-Positions'!$A:$M,MATCH(Y$4,'Exchange-Positions'!$8:$8,0),FALSE))</f>
        <v>-42809619.487171866</v>
      </c>
      <c r="Z5" s="92">
        <f>VLOOKUP("Grand Total",'Exchange-Positions'!$A:$M,MATCH(Z$4,'Exchange-Positions'!$8:$8,0),FALSE)</f>
        <v>108180974.97364092</v>
      </c>
      <c r="AA5" s="92">
        <f>VLOOKUP("Grand Total",'Exchange-Positions'!$A:$M,MATCH(AA$4,'Exchange-Positions'!$8:$8,0),FALSE)</f>
        <v>-93822750</v>
      </c>
      <c r="AB5" s="92">
        <f>VLOOKUP("Grand Total",'Exchange-Positions'!$A:$M,MATCH(AB$4,'Exchange-Positions'!$8:$8,0),FALSE)</f>
        <v>5982526.1094854213</v>
      </c>
      <c r="AC5" s="92">
        <f>AB5-SUM($AE$5:$AI$5)</f>
        <v>-7416390.7725393139</v>
      </c>
      <c r="AE5" s="92">
        <f>IF(AE$4="","",SUMIF(Summary_Exchange_Balances_00UTC!$E:$E,"="&amp;AE$4,Summary_Exchange_Balances_00UTC!$I:$I))</f>
        <v>50544676.376692511</v>
      </c>
      <c r="AF5" s="92">
        <f>IF(AF$4="","",SUMIF(Summary_Exchange_Balances_00UTC!$E:$E,"="&amp;AF$4,Summary_Exchange_Balances_00UTC!$I:$I))</f>
        <v>22870871.379113588</v>
      </c>
      <c r="AG5" s="92">
        <f>IF(AG$4="","",SUMIF(Summary_Exchange_Balances_00UTC!$E:$E,"="&amp;AG$4,Summary_Exchange_Balances_00UTC!$I:$I))</f>
        <v>-60016630.873781368</v>
      </c>
      <c r="AH5" s="92" t="str">
        <f>IF(AH$4="","",SUMIF('asset_&amp;_open_positions'!$M:$M,"="&amp;AH$4,'asset_&amp;_open_positions'!$G:$G))</f>
        <v/>
      </c>
      <c r="AI5" s="92" t="str">
        <f>IF(AI$4="","",SUMIF('asset_&amp;_open_positions'!$M:$M,"="&amp;AI$4,'asset_&amp;_open_positions'!$G:$G))</f>
        <v/>
      </c>
      <c r="AJ5" s="149"/>
      <c r="AK5" s="149"/>
      <c r="AL5" s="149"/>
      <c r="AM5" s="8"/>
      <c r="AN5" s="8"/>
      <c r="AO5" s="8"/>
    </row>
    <row r="6" spans="1:180" x14ac:dyDescent="0.25">
      <c r="A6" s="93" cm="1">
        <f t="array" aca="1" ref="A6:N6" ca="1">OFFSET(LatestGrandTotal,1,0)</f>
        <v>44937.916666666664</v>
      </c>
      <c r="B6" s="93" t="str">
        <f ca="1"/>
        <v>Grand Total</v>
      </c>
      <c r="C6" s="92">
        <f ca="1"/>
        <v>-209013371.61921322</v>
      </c>
      <c r="D6" s="92">
        <f ca="1"/>
        <v>-1188094.2562488294</v>
      </c>
      <c r="E6" s="92">
        <f ca="1"/>
        <v>-12322228.614571042</v>
      </c>
      <c r="F6" s="92">
        <f ca="1"/>
        <v>-83968154.837490618</v>
      </c>
      <c r="G6" s="92">
        <f ca="1"/>
        <v>32174093.66</v>
      </c>
      <c r="H6" s="92">
        <f ca="1"/>
        <v>311801096.98312604</v>
      </c>
      <c r="I6" s="92">
        <f ca="1"/>
        <v>-789116.96420287399</v>
      </c>
      <c r="J6" s="92">
        <f ca="1"/>
        <v>-33947681.271153793</v>
      </c>
      <c r="K6" s="92">
        <f ca="1"/>
        <v>77912101.847092524</v>
      </c>
      <c r="L6" s="92">
        <f ca="1"/>
        <v>-42709075</v>
      </c>
      <c r="M6" s="92">
        <f ca="1"/>
        <v>37949569.927338324</v>
      </c>
      <c r="N6" s="149">
        <f ca="1"/>
        <v>23041137.442679331</v>
      </c>
      <c r="P6" s="93">
        <v>44937.916666666664</v>
      </c>
      <c r="Q6" s="93" t="s">
        <v>56</v>
      </c>
      <c r="R6" s="92">
        <v>-209013371.61921322</v>
      </c>
      <c r="S6" s="92">
        <v>-1188094.2562488294</v>
      </c>
      <c r="T6" s="92">
        <v>-12322228.614571042</v>
      </c>
      <c r="U6" s="92">
        <v>-83968154.837490618</v>
      </c>
      <c r="V6" s="92">
        <v>32174093.66</v>
      </c>
      <c r="W6" s="92">
        <v>311801096.98312604</v>
      </c>
      <c r="X6" s="92">
        <v>-789116.96420287399</v>
      </c>
      <c r="Y6" s="92">
        <v>-33947681.271153793</v>
      </c>
      <c r="Z6" s="92">
        <v>77912101.847092524</v>
      </c>
      <c r="AA6" s="92">
        <v>-42709075</v>
      </c>
      <c r="AB6" s="92">
        <v>37949569.927338324</v>
      </c>
      <c r="AC6" s="92">
        <v>23041137.442679331</v>
      </c>
      <c r="AE6" s="92">
        <v>43043798.681792505</v>
      </c>
      <c r="AF6" s="92">
        <v>33121688.25979507</v>
      </c>
      <c r="AG6" s="92">
        <v>-61257054.456928574</v>
      </c>
      <c r="AH6" s="92" t="s">
        <v>264</v>
      </c>
      <c r="AI6" s="92" t="s">
        <v>264</v>
      </c>
      <c r="AK6" s="8"/>
      <c r="AL6" s="8"/>
      <c r="AM6" s="8"/>
      <c r="AN6" s="8"/>
      <c r="AO6" s="8"/>
      <c r="FX6" s="8"/>
    </row>
    <row r="7" spans="1:180" x14ac:dyDescent="0.25">
      <c r="A7" s="94"/>
      <c r="B7" s="94" t="s">
        <v>462</v>
      </c>
      <c r="C7" s="95">
        <f ca="1">C5-C6</f>
        <v>-2193401.8797848523</v>
      </c>
      <c r="D7" s="95">
        <f t="shared" ref="D7:N7" ca="1" si="0">D5-D6</f>
        <v>-2698.8851806023158</v>
      </c>
      <c r="E7" s="95">
        <f t="shared" ca="1" si="0"/>
        <v>-2009461.0837822482</v>
      </c>
      <c r="F7" s="95">
        <f t="shared" ca="1" si="0"/>
        <v>-3640593.272126615</v>
      </c>
      <c r="G7" s="95">
        <f t="shared" ca="1" si="0"/>
        <v>-4769968.2199999988</v>
      </c>
      <c r="H7" s="95">
        <f t="shared" ca="1" si="0"/>
        <v>9699312.0604439974</v>
      </c>
      <c r="I7" s="95">
        <f t="shared" ca="1" si="0"/>
        <v>656507.55204727291</v>
      </c>
      <c r="J7" s="95">
        <f t="shared" ca="1" si="0"/>
        <v>-8861938.2160180733</v>
      </c>
      <c r="K7" s="95">
        <f t="shared" ca="1" si="0"/>
        <v>30268873.126548395</v>
      </c>
      <c r="L7" s="95">
        <f t="shared" ca="1" si="0"/>
        <v>-51113675</v>
      </c>
      <c r="M7" s="95">
        <f t="shared" ca="1" si="0"/>
        <v>-31967043.817852903</v>
      </c>
      <c r="N7" s="95">
        <f t="shared" ca="1" si="0"/>
        <v>-30457528.215218645</v>
      </c>
      <c r="P7" s="93">
        <v>44936.916666666664</v>
      </c>
      <c r="Q7" s="93" t="s">
        <v>56</v>
      </c>
      <c r="R7" s="92">
        <v>-207016912.360311</v>
      </c>
      <c r="S7" s="92">
        <v>-1187653.0055518576</v>
      </c>
      <c r="T7" s="92">
        <v>-11877920.748469161</v>
      </c>
      <c r="U7" s="92">
        <v>-81532708.199871436</v>
      </c>
      <c r="V7" s="92">
        <v>32147682.380000003</v>
      </c>
      <c r="W7" s="92">
        <v>305954913.39706403</v>
      </c>
      <c r="X7" s="92">
        <v>-1097138.0326673563</v>
      </c>
      <c r="Y7" s="92">
        <v>-33873762.187452599</v>
      </c>
      <c r="Z7" s="92">
        <v>57510424.928544506</v>
      </c>
      <c r="AA7" s="92">
        <v>-39448375</v>
      </c>
      <c r="AB7" s="92">
        <v>19578551.171285264</v>
      </c>
      <c r="AC7" s="92">
        <v>-6262269.1575021744</v>
      </c>
      <c r="AE7" s="92">
        <v>52788342.139792502</v>
      </c>
      <c r="AF7" s="92">
        <v>39494155.454997391</v>
      </c>
      <c r="AG7" s="92">
        <v>-66441677.266002454</v>
      </c>
      <c r="AH7" s="92" t="s">
        <v>264</v>
      </c>
      <c r="AI7" s="92" t="s">
        <v>264</v>
      </c>
      <c r="AK7" s="8"/>
      <c r="AL7" s="8"/>
      <c r="AM7" s="8"/>
      <c r="AN7" s="8"/>
      <c r="AO7" s="8"/>
      <c r="FX7" s="8"/>
    </row>
    <row r="8" spans="1:180" x14ac:dyDescent="0.25">
      <c r="B8" s="169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P8" s="93">
        <v>44935.916666666664</v>
      </c>
      <c r="Q8" s="93" t="s">
        <v>56</v>
      </c>
      <c r="R8" s="92">
        <v>-206263805.6672712</v>
      </c>
      <c r="S8" s="92">
        <v>-1185517.2323158516</v>
      </c>
      <c r="T8" s="92">
        <v>-14654544.329830969</v>
      </c>
      <c r="U8" s="92">
        <v>-80480810.419847399</v>
      </c>
      <c r="V8" s="92">
        <v>32518545.640000001</v>
      </c>
      <c r="W8" s="92">
        <v>306443905.69678795</v>
      </c>
      <c r="X8" s="92">
        <v>-1091773.1327862251</v>
      </c>
      <c r="Y8" s="92">
        <v>-31394069.350830968</v>
      </c>
      <c r="Z8" s="92">
        <v>23880115.962190032</v>
      </c>
      <c r="AA8" s="92">
        <v>-12954625</v>
      </c>
      <c r="AB8" s="92">
        <v>14817422.16609541</v>
      </c>
      <c r="AC8" s="92">
        <v>-11053457.449068416</v>
      </c>
      <c r="AE8" s="92">
        <v>50747257.305992499</v>
      </c>
      <c r="AF8" s="92">
        <v>30549259.678311538</v>
      </c>
      <c r="AG8" s="92">
        <v>-55425637.369140215</v>
      </c>
      <c r="AH8" s="92" t="s">
        <v>264</v>
      </c>
      <c r="AI8" s="92" t="s">
        <v>264</v>
      </c>
      <c r="AK8" s="8"/>
      <c r="AL8" s="8"/>
      <c r="AM8" s="8"/>
      <c r="AN8" s="8"/>
      <c r="AO8" s="8"/>
      <c r="FX8" s="8"/>
    </row>
    <row r="9" spans="1:180" x14ac:dyDescent="0.25">
      <c r="B9" s="171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  <c r="N9" s="149"/>
      <c r="P9" s="93">
        <v>44934.916666666664</v>
      </c>
      <c r="Q9" s="93" t="s">
        <v>56</v>
      </c>
      <c r="R9" s="92">
        <v>-205085284.22467563</v>
      </c>
      <c r="S9" s="92">
        <v>-1182568.3603219131</v>
      </c>
      <c r="T9" s="92">
        <v>-11896970.56737902</v>
      </c>
      <c r="U9" s="92">
        <v>-79568687.571120456</v>
      </c>
      <c r="V9" s="92">
        <v>31855976.920000002</v>
      </c>
      <c r="W9" s="92">
        <v>302299144.01305962</v>
      </c>
      <c r="X9" s="92">
        <v>-708148.32909413241</v>
      </c>
      <c r="Y9" s="92">
        <v>-29252992.034667969</v>
      </c>
      <c r="Z9" s="92">
        <v>6811650.6412549084</v>
      </c>
      <c r="AA9" s="92">
        <v>16670775</v>
      </c>
      <c r="AB9" s="92">
        <v>29942895.487055391</v>
      </c>
      <c r="AC9" s="92">
        <v>23075819.954166397</v>
      </c>
      <c r="AE9" s="92">
        <v>20390222.854592502</v>
      </c>
      <c r="AF9" s="92">
        <v>42690969.725257196</v>
      </c>
      <c r="AG9" s="92">
        <v>-56214117.046960704</v>
      </c>
      <c r="AH9" s="92" t="s">
        <v>264</v>
      </c>
      <c r="AI9" s="92" t="s">
        <v>264</v>
      </c>
      <c r="AK9" s="8"/>
      <c r="AL9" s="8"/>
      <c r="AM9" s="8"/>
      <c r="AN9" s="8"/>
      <c r="AO9" s="8"/>
      <c r="FX9" s="8"/>
    </row>
    <row r="10" spans="1:180" x14ac:dyDescent="0.25">
      <c r="P10" s="93">
        <v>44933.916666666664</v>
      </c>
      <c r="Q10" s="93" t="s">
        <v>56</v>
      </c>
      <c r="R10" s="92">
        <v>-204192268.83150059</v>
      </c>
      <c r="S10" s="92">
        <v>-1177629.9329878835</v>
      </c>
      <c r="T10" s="92">
        <v>-12729843.36663929</v>
      </c>
      <c r="U10" s="92">
        <v>-78705171.54238905</v>
      </c>
      <c r="V10" s="92">
        <v>31855976.920000002</v>
      </c>
      <c r="W10" s="92">
        <v>304083967.58714384</v>
      </c>
      <c r="X10" s="92">
        <v>-223332.60326008452</v>
      </c>
      <c r="Y10" s="92">
        <v>-29573963.84607669</v>
      </c>
      <c r="Z10" s="92">
        <v>6863889.3413193468</v>
      </c>
      <c r="AA10" s="92">
        <v>16670775</v>
      </c>
      <c r="AB10" s="92">
        <v>32872398.725609645</v>
      </c>
      <c r="AC10" s="92">
        <v>5888111.1302788109</v>
      </c>
      <c r="AE10" s="92">
        <v>40916871.462192498</v>
      </c>
      <c r="AF10" s="92">
        <v>42277616.281667762</v>
      </c>
      <c r="AG10" s="92">
        <v>-56210200.148529425</v>
      </c>
      <c r="AH10" s="92" t="s">
        <v>264</v>
      </c>
      <c r="AI10" s="92" t="s">
        <v>264</v>
      </c>
      <c r="AK10" s="8"/>
      <c r="AL10" s="8"/>
      <c r="AM10" s="8"/>
      <c r="AN10" s="8"/>
      <c r="AO10" s="8"/>
      <c r="FX10" s="8"/>
    </row>
    <row r="11" spans="1:180" x14ac:dyDescent="0.25">
      <c r="A11" s="97" t="s">
        <v>262</v>
      </c>
      <c r="B11" s="2" t="s">
        <v>461</v>
      </c>
      <c r="C11" s="2" t="s">
        <v>54</v>
      </c>
      <c r="P11" s="93">
        <v>44932.916666666664</v>
      </c>
      <c r="Q11" s="93" t="s">
        <v>56</v>
      </c>
      <c r="R11" s="92">
        <v>-204332507.58395314</v>
      </c>
      <c r="S11" s="92">
        <v>-1178444.9692540788</v>
      </c>
      <c r="T11" s="92">
        <v>-12504005.841619443</v>
      </c>
      <c r="U11" s="92">
        <v>-78813918.676579669</v>
      </c>
      <c r="V11" s="92">
        <v>31855976.920000002</v>
      </c>
      <c r="W11" s="92">
        <v>304157980.38005215</v>
      </c>
      <c r="X11" s="92">
        <v>-322662.32981103391</v>
      </c>
      <c r="Y11" s="92">
        <v>-26833257.915276289</v>
      </c>
      <c r="Z11" s="92">
        <v>-34383239.68539919</v>
      </c>
      <c r="AA11" s="92">
        <v>16670775</v>
      </c>
      <c r="AB11" s="92">
        <v>-5683304.7018406717</v>
      </c>
      <c r="AC11" s="92">
        <v>-22866824.443150189</v>
      </c>
      <c r="AE11" s="92">
        <v>29221702.008792493</v>
      </c>
      <c r="AF11" s="92">
        <v>44190476.906150147</v>
      </c>
      <c r="AG11" s="92">
        <v>-56228659.173633121</v>
      </c>
      <c r="AH11" s="92" t="s">
        <v>264</v>
      </c>
      <c r="AI11" s="92" t="s">
        <v>264</v>
      </c>
      <c r="AK11" s="8"/>
      <c r="AL11" s="8"/>
      <c r="AM11" s="8"/>
      <c r="AN11" s="8"/>
      <c r="AO11" s="8"/>
      <c r="FX11" s="8"/>
    </row>
    <row r="12" spans="1:180" x14ac:dyDescent="0.25">
      <c r="A12" s="62">
        <f>'asset_&amp;_open_positions'!$B$2</f>
        <v>44938.916666666664</v>
      </c>
      <c r="B12" s="2" t="s">
        <v>270</v>
      </c>
      <c r="C12" t="s">
        <v>169</v>
      </c>
      <c r="D12" t="s">
        <v>208</v>
      </c>
      <c r="E12" t="s">
        <v>263</v>
      </c>
      <c r="F12" t="s">
        <v>195</v>
      </c>
      <c r="G12" t="s">
        <v>309</v>
      </c>
      <c r="H12" t="s">
        <v>85</v>
      </c>
      <c r="I12" t="s">
        <v>253</v>
      </c>
      <c r="J12" t="s">
        <v>13</v>
      </c>
      <c r="K12" t="s">
        <v>17</v>
      </c>
      <c r="L12" t="s">
        <v>280</v>
      </c>
      <c r="M12" t="s">
        <v>56</v>
      </c>
      <c r="P12" s="93">
        <v>44931.916666666664</v>
      </c>
      <c r="Q12" s="93" t="s">
        <v>56</v>
      </c>
      <c r="R12" s="92">
        <v>-203574405.36145717</v>
      </c>
      <c r="S12" s="92">
        <v>-1178259.4251021715</v>
      </c>
      <c r="T12" s="92">
        <v>-11703353.80027716</v>
      </c>
      <c r="U12" s="92">
        <v>-77933619.478622377</v>
      </c>
      <c r="V12" s="92">
        <v>31321147.940000001</v>
      </c>
      <c r="W12" s="92">
        <v>296621706.88269383</v>
      </c>
      <c r="X12" s="92">
        <v>-56818.239549539459</v>
      </c>
      <c r="Y12" s="92">
        <v>-25131423.542123564</v>
      </c>
      <c r="Z12" s="92">
        <v>-25464088.363041021</v>
      </c>
      <c r="AA12" s="92">
        <v>48078700</v>
      </c>
      <c r="AB12" s="92">
        <v>30979586.612520918</v>
      </c>
      <c r="AC12" s="92">
        <v>5573640.8662991673</v>
      </c>
      <c r="AE12" s="92">
        <v>43774040.618492499</v>
      </c>
      <c r="AF12" s="92">
        <v>39573697.153437965</v>
      </c>
      <c r="AG12" s="92">
        <v>-57941792.025708705</v>
      </c>
      <c r="AH12" s="92" t="s">
        <v>264</v>
      </c>
      <c r="AI12" s="92" t="s">
        <v>264</v>
      </c>
      <c r="AK12" s="8"/>
      <c r="AL12" s="8"/>
      <c r="AM12" s="8"/>
      <c r="AN12" s="8"/>
      <c r="AO12" s="8"/>
      <c r="FX12" s="8"/>
    </row>
    <row r="13" spans="1:180" x14ac:dyDescent="0.25">
      <c r="B13" s="96" t="s">
        <v>11</v>
      </c>
      <c r="C13" s="186"/>
      <c r="D13" s="186"/>
      <c r="E13" s="186">
        <v>-1910695.032732401</v>
      </c>
      <c r="F13" s="186"/>
      <c r="G13" s="186"/>
      <c r="H13" s="186">
        <v>92059123.202502161</v>
      </c>
      <c r="I13" s="186">
        <v>315885.36621927103</v>
      </c>
      <c r="J13" s="186">
        <v>-27299859.924992621</v>
      </c>
      <c r="K13" s="186">
        <v>76025756.007999703</v>
      </c>
      <c r="L13" s="186"/>
      <c r="M13" s="186">
        <v>139190209.61899611</v>
      </c>
      <c r="N13" s="8"/>
      <c r="P13" s="93">
        <v>44930.916666666664</v>
      </c>
      <c r="Q13" s="93" t="s">
        <v>56</v>
      </c>
      <c r="R13" s="92">
        <v>-203819937.55058381</v>
      </c>
      <c r="S13" s="92">
        <v>-1180431.5047403954</v>
      </c>
      <c r="T13" s="92">
        <v>-11766321.610834949</v>
      </c>
      <c r="U13" s="92">
        <v>-78285193.207735702</v>
      </c>
      <c r="V13" s="92">
        <v>31126773.140000001</v>
      </c>
      <c r="W13" s="92">
        <v>297428616.62702835</v>
      </c>
      <c r="X13" s="92">
        <v>-201526.44441954696</v>
      </c>
      <c r="Y13" s="92">
        <v>-21649783.545962133</v>
      </c>
      <c r="Z13" s="92">
        <v>-44037598.790786102</v>
      </c>
      <c r="AA13" s="92">
        <v>45552050</v>
      </c>
      <c r="AB13" s="92">
        <v>13166647.111965768</v>
      </c>
      <c r="AC13" s="92">
        <v>-8131051.9536449686</v>
      </c>
      <c r="AE13" s="92">
        <v>41176782.379292503</v>
      </c>
      <c r="AF13" s="92">
        <v>38015016.12358544</v>
      </c>
      <c r="AG13" s="92">
        <v>-57894099.437267214</v>
      </c>
      <c r="AH13" s="92" t="s">
        <v>264</v>
      </c>
      <c r="AI13" s="92" t="s">
        <v>264</v>
      </c>
      <c r="AK13" s="8"/>
      <c r="AL13" s="8"/>
      <c r="AM13" s="8"/>
      <c r="AN13" s="8"/>
      <c r="AO13" s="8"/>
      <c r="FX13" s="8"/>
    </row>
    <row r="14" spans="1:180" x14ac:dyDescent="0.25">
      <c r="B14" s="96" t="s">
        <v>217</v>
      </c>
      <c r="C14" s="186"/>
      <c r="D14" s="186"/>
      <c r="E14" s="186"/>
      <c r="F14" s="186"/>
      <c r="G14" s="186"/>
      <c r="H14" s="186">
        <v>179.40416360735975</v>
      </c>
      <c r="I14" s="186"/>
      <c r="J14" s="186"/>
      <c r="K14" s="186"/>
      <c r="L14" s="186"/>
      <c r="M14" s="186">
        <v>179.40416360735975</v>
      </c>
      <c r="N14" s="8"/>
      <c r="P14" s="93">
        <v>44929.916666666664</v>
      </c>
      <c r="Q14" s="93" t="s">
        <v>56</v>
      </c>
      <c r="R14" s="92">
        <v>-202470305.78499216</v>
      </c>
      <c r="S14" s="92">
        <v>-1180062.2332723378</v>
      </c>
      <c r="T14" s="92">
        <v>-11723112.957848318</v>
      </c>
      <c r="U14" s="92">
        <v>-76715927.358379066</v>
      </c>
      <c r="V14" s="92">
        <v>26438708.66</v>
      </c>
      <c r="W14" s="92">
        <v>298468223.34892392</v>
      </c>
      <c r="X14" s="92">
        <v>65117.275402307452</v>
      </c>
      <c r="Y14" s="92">
        <v>-7645245.1319557624</v>
      </c>
      <c r="Z14" s="92">
        <v>-50866769.312103622</v>
      </c>
      <c r="AA14" s="92">
        <v>91842725</v>
      </c>
      <c r="AB14" s="92">
        <v>66213351.50577496</v>
      </c>
      <c r="AC14" s="92">
        <v>36143790.665423423</v>
      </c>
      <c r="AE14" s="92">
        <v>36979860.473892495</v>
      </c>
      <c r="AF14" s="92">
        <v>47413721.958255731</v>
      </c>
      <c r="AG14" s="92">
        <v>-54324021.591796681</v>
      </c>
      <c r="AH14" s="92" t="s">
        <v>264</v>
      </c>
      <c r="AI14" s="92" t="s">
        <v>264</v>
      </c>
      <c r="AK14" s="8"/>
      <c r="AL14" s="8"/>
      <c r="AM14" s="8"/>
      <c r="AN14" s="8"/>
      <c r="AO14" s="8"/>
      <c r="FX14" s="8"/>
    </row>
    <row r="15" spans="1:180" x14ac:dyDescent="0.25">
      <c r="B15" s="96" t="s">
        <v>97</v>
      </c>
      <c r="C15" s="186"/>
      <c r="D15" s="186"/>
      <c r="E15" s="186"/>
      <c r="F15" s="186"/>
      <c r="G15" s="186"/>
      <c r="H15" s="186">
        <v>161247.87995042282</v>
      </c>
      <c r="I15" s="186"/>
      <c r="J15" s="186"/>
      <c r="K15" s="186"/>
      <c r="L15" s="186"/>
      <c r="M15" s="186">
        <v>161247.87995042282</v>
      </c>
      <c r="N15" s="8"/>
      <c r="P15" s="93">
        <v>44928.916666666664</v>
      </c>
      <c r="Q15" s="93" t="s">
        <v>56</v>
      </c>
      <c r="R15" s="92">
        <v>-202630435.89179751</v>
      </c>
      <c r="S15" s="92">
        <v>-1178394.7491296032</v>
      </c>
      <c r="T15" s="92">
        <v>-11675892.125142956</v>
      </c>
      <c r="U15" s="92">
        <v>-76763871.497414961</v>
      </c>
      <c r="V15" s="92">
        <v>26654410.360000003</v>
      </c>
      <c r="W15" s="92">
        <v>295718595.47255719</v>
      </c>
      <c r="X15" s="92">
        <v>186466.86893267589</v>
      </c>
      <c r="Y15" s="92">
        <v>241820.34165306855</v>
      </c>
      <c r="Z15" s="92">
        <v>-3490655.8141344232</v>
      </c>
      <c r="AA15" s="92">
        <v>67744000</v>
      </c>
      <c r="AB15" s="92">
        <v>94806042.965523437</v>
      </c>
      <c r="AC15" s="92">
        <v>63902445.340121731</v>
      </c>
      <c r="AE15" s="92">
        <v>36225284.071492508</v>
      </c>
      <c r="AF15" s="92">
        <v>48846428.49703227</v>
      </c>
      <c r="AG15" s="92">
        <v>-54168114.943123072</v>
      </c>
      <c r="AH15" s="92" t="s">
        <v>264</v>
      </c>
      <c r="AI15" s="92" t="s">
        <v>264</v>
      </c>
      <c r="AK15" s="8"/>
      <c r="AL15" s="8"/>
      <c r="AM15" s="8"/>
      <c r="AN15" s="8"/>
      <c r="AO15" s="8"/>
      <c r="FX15" s="8"/>
    </row>
    <row r="16" spans="1:180" x14ac:dyDescent="0.25">
      <c r="B16" s="96" t="s">
        <v>101</v>
      </c>
      <c r="C16" s="186"/>
      <c r="D16" s="186"/>
      <c r="E16" s="186"/>
      <c r="F16" s="186">
        <v>-76738082.227339789</v>
      </c>
      <c r="G16" s="186"/>
      <c r="H16" s="186">
        <v>122857697.68533443</v>
      </c>
      <c r="I16" s="186"/>
      <c r="J16" s="186"/>
      <c r="K16" s="186"/>
      <c r="L16" s="186"/>
      <c r="M16" s="186">
        <v>46119615.45799464</v>
      </c>
      <c r="N16" s="8"/>
      <c r="P16" s="93">
        <v>44927.916666666664</v>
      </c>
      <c r="Q16" s="93" t="s">
        <v>56</v>
      </c>
      <c r="R16" s="92">
        <v>-202232305.41023153</v>
      </c>
      <c r="S16" s="92">
        <v>-1174192.0653682598</v>
      </c>
      <c r="T16" s="92">
        <v>-11669883.014571492</v>
      </c>
      <c r="U16" s="92">
        <v>-76281432.333615497</v>
      </c>
      <c r="V16" s="92">
        <v>26654410.360000003</v>
      </c>
      <c r="W16" s="92">
        <v>294710014.66205454</v>
      </c>
      <c r="X16" s="92">
        <v>176996.57669761815</v>
      </c>
      <c r="Y16" s="92">
        <v>0</v>
      </c>
      <c r="Z16" s="92">
        <v>-2458462.1896765884</v>
      </c>
      <c r="AA16" s="92">
        <v>67744000</v>
      </c>
      <c r="AB16" s="92">
        <v>95469146.585288927</v>
      </c>
      <c r="AC16" s="92">
        <v>81656386.713497505</v>
      </c>
      <c r="AE16" s="92">
        <v>16103417.061892498</v>
      </c>
      <c r="AF16" s="92">
        <v>51894740.036931202</v>
      </c>
      <c r="AG16" s="92">
        <v>-54185397.227032274</v>
      </c>
      <c r="AH16" s="92" t="s">
        <v>264</v>
      </c>
      <c r="AI16" s="92" t="s">
        <v>264</v>
      </c>
      <c r="AK16" s="8"/>
      <c r="AL16" s="8"/>
      <c r="AM16" s="8"/>
      <c r="AN16" s="8"/>
      <c r="AO16" s="8"/>
      <c r="FX16" s="8"/>
    </row>
    <row r="17" spans="2:180" x14ac:dyDescent="0.25">
      <c r="B17" s="96" t="s">
        <v>259</v>
      </c>
      <c r="C17" s="186"/>
      <c r="D17" s="186"/>
      <c r="E17" s="186"/>
      <c r="F17" s="186"/>
      <c r="G17" s="186"/>
      <c r="H17" s="186">
        <v>830007.48</v>
      </c>
      <c r="I17" s="186"/>
      <c r="J17" s="186"/>
      <c r="K17" s="186"/>
      <c r="L17" s="186"/>
      <c r="M17" s="186">
        <v>830007.48</v>
      </c>
      <c r="N17" s="8"/>
      <c r="P17" s="93">
        <v>44926.916666666664</v>
      </c>
      <c r="Q17" s="93" t="s">
        <v>56</v>
      </c>
      <c r="R17" s="92">
        <v>-201999601.34651747</v>
      </c>
      <c r="S17" s="92">
        <v>-1175579.6430386498</v>
      </c>
      <c r="T17" s="92">
        <v>-11677383.591209957</v>
      </c>
      <c r="U17" s="92">
        <v>-75881561.62948516</v>
      </c>
      <c r="V17" s="92">
        <v>26654410.360000003</v>
      </c>
      <c r="W17" s="92">
        <v>297843068.86337954</v>
      </c>
      <c r="X17" s="92">
        <v>180028.69460814513</v>
      </c>
      <c r="Y17" s="92">
        <v>0</v>
      </c>
      <c r="Z17" s="92">
        <v>-10096546.319208037</v>
      </c>
      <c r="AA17" s="92">
        <v>67744000</v>
      </c>
      <c r="AB17" s="92">
        <v>91590835.388528392</v>
      </c>
      <c r="AC17" s="92">
        <v>50436193.598504521</v>
      </c>
      <c r="AE17" s="92">
        <v>21953132.682292502</v>
      </c>
      <c r="AF17" s="92">
        <v>53392506.619197987</v>
      </c>
      <c r="AG17" s="92">
        <v>-34190997.511466615</v>
      </c>
      <c r="AH17" s="92" t="s">
        <v>264</v>
      </c>
      <c r="AI17" s="92" t="s">
        <v>264</v>
      </c>
      <c r="AK17" s="8"/>
      <c r="AL17" s="8"/>
      <c r="AM17" s="8"/>
      <c r="AN17" s="8"/>
      <c r="AO17" s="8"/>
      <c r="FX17" s="8"/>
    </row>
    <row r="18" spans="2:180" x14ac:dyDescent="0.25">
      <c r="B18" s="96" t="s">
        <v>294</v>
      </c>
      <c r="C18" s="186"/>
      <c r="D18" s="186"/>
      <c r="E18" s="186">
        <v>-9993998.2487299498</v>
      </c>
      <c r="F18" s="186"/>
      <c r="G18" s="186"/>
      <c r="H18" s="186">
        <v>14761908.972518019</v>
      </c>
      <c r="I18" s="186"/>
      <c r="J18" s="186"/>
      <c r="K18" s="186"/>
      <c r="L18" s="186"/>
      <c r="M18" s="186">
        <v>4767910.7237880696</v>
      </c>
      <c r="N18" s="8"/>
      <c r="P18" s="93">
        <v>44925.916666666664</v>
      </c>
      <c r="Q18" s="93" t="s">
        <v>56</v>
      </c>
      <c r="R18" s="92">
        <v>-202119031.90230456</v>
      </c>
      <c r="S18" s="92">
        <v>-1174088.4561408556</v>
      </c>
      <c r="T18" s="92">
        <v>-16034911.422264416</v>
      </c>
      <c r="U18" s="92">
        <v>-76052383.339231968</v>
      </c>
      <c r="V18" s="92">
        <v>26654410.360000003</v>
      </c>
      <c r="W18" s="92">
        <v>304066870.36522096</v>
      </c>
      <c r="X18" s="92">
        <v>151327.32443244502</v>
      </c>
      <c r="Y18" s="92">
        <v>0</v>
      </c>
      <c r="Z18" s="92">
        <v>-8164543.6257227184</v>
      </c>
      <c r="AA18" s="92">
        <v>67744000</v>
      </c>
      <c r="AB18" s="92">
        <v>95071649.30398877</v>
      </c>
      <c r="AC18" s="92">
        <v>68645670.457918465</v>
      </c>
      <c r="AE18" s="92">
        <v>10137934.993192501</v>
      </c>
      <c r="AF18" s="92">
        <v>56708520.830291115</v>
      </c>
      <c r="AG18" s="92">
        <v>-40420476.977413312</v>
      </c>
      <c r="AH18" s="92" t="s">
        <v>264</v>
      </c>
      <c r="AI18" s="92" t="s">
        <v>264</v>
      </c>
      <c r="AK18" s="8"/>
      <c r="AL18" s="8"/>
      <c r="AM18" s="8"/>
      <c r="AN18" s="8"/>
      <c r="AO18" s="8"/>
      <c r="FX18" s="8"/>
    </row>
    <row r="19" spans="2:180" x14ac:dyDescent="0.25">
      <c r="B19" s="96" t="s">
        <v>32</v>
      </c>
      <c r="C19" s="186"/>
      <c r="D19" s="186"/>
      <c r="E19" s="186"/>
      <c r="F19" s="186"/>
      <c r="G19" s="186"/>
      <c r="H19" s="186">
        <v>15673.2151290496</v>
      </c>
      <c r="I19" s="186"/>
      <c r="J19" s="186"/>
      <c r="K19" s="186">
        <v>-30612.261067437998</v>
      </c>
      <c r="L19" s="186"/>
      <c r="M19" s="186">
        <v>-14939.045938388397</v>
      </c>
      <c r="N19" s="8"/>
      <c r="P19" s="93">
        <v>44924.916666666664</v>
      </c>
      <c r="Q19" s="93" t="s">
        <v>56</v>
      </c>
      <c r="R19" s="92">
        <v>-202178053.16782939</v>
      </c>
      <c r="S19" s="92">
        <v>-1178104.0373560197</v>
      </c>
      <c r="T19" s="92">
        <v>-14049850.083062656</v>
      </c>
      <c r="U19" s="92">
        <v>-76240781.183160961</v>
      </c>
      <c r="V19" s="92">
        <v>26654410.360000003</v>
      </c>
      <c r="W19" s="92">
        <v>300800530.82296008</v>
      </c>
      <c r="X19" s="92">
        <v>192985.86059545539</v>
      </c>
      <c r="Y19" s="92">
        <v>-3440532.2786552198</v>
      </c>
      <c r="Z19" s="92">
        <v>-20694048.695892952</v>
      </c>
      <c r="AA19" s="92">
        <v>67744000</v>
      </c>
      <c r="AB19" s="92">
        <v>77610557.597598389</v>
      </c>
      <c r="AC19" s="92">
        <v>54639184.984466687</v>
      </c>
      <c r="AE19" s="92">
        <v>24794776.737092499</v>
      </c>
      <c r="AF19" s="92">
        <v>46656409.625417501</v>
      </c>
      <c r="AG19" s="92">
        <v>-48479813.749378294</v>
      </c>
      <c r="AH19" s="92" t="s">
        <v>264</v>
      </c>
      <c r="AI19" s="92" t="s">
        <v>264</v>
      </c>
      <c r="AK19" s="8"/>
      <c r="AL19" s="8"/>
      <c r="AM19" s="8"/>
      <c r="AN19" s="8"/>
      <c r="AO19" s="8"/>
      <c r="FX19" s="8"/>
    </row>
    <row r="20" spans="2:180" x14ac:dyDescent="0.25">
      <c r="B20" s="96" t="s">
        <v>265</v>
      </c>
      <c r="C20" s="186"/>
      <c r="D20" s="186"/>
      <c r="E20" s="186"/>
      <c r="F20" s="186"/>
      <c r="G20" s="186">
        <v>27324183.52</v>
      </c>
      <c r="H20" s="186"/>
      <c r="I20" s="186"/>
      <c r="J20" s="186"/>
      <c r="K20" s="186"/>
      <c r="L20" s="186">
        <v>-93822750</v>
      </c>
      <c r="M20" s="186">
        <v>-66498566.480000004</v>
      </c>
      <c r="N20" s="8"/>
      <c r="P20" s="93">
        <v>44923.916666666664</v>
      </c>
      <c r="Q20" s="93" t="s">
        <v>56</v>
      </c>
      <c r="R20" s="92">
        <v>-201749784.16230062</v>
      </c>
      <c r="S20" s="92">
        <v>-1181448.3313848847</v>
      </c>
      <c r="T20" s="92">
        <v>-16809664.022634272</v>
      </c>
      <c r="U20" s="92">
        <v>-75768049.848133519</v>
      </c>
      <c r="V20" s="92">
        <v>36622885.940000005</v>
      </c>
      <c r="W20" s="92">
        <v>293176839.16377801</v>
      </c>
      <c r="X20" s="92">
        <v>1573680.9929341159</v>
      </c>
      <c r="Y20" s="92">
        <v>-26729415.391564742</v>
      </c>
      <c r="Z20" s="92">
        <v>-55778519.560603693</v>
      </c>
      <c r="AA20" s="92">
        <v>67744000</v>
      </c>
      <c r="AB20" s="92">
        <v>21100524.780090407</v>
      </c>
      <c r="AC20" s="92">
        <v>-9802574.7428408861</v>
      </c>
      <c r="AE20" s="92">
        <v>46826428.473392509</v>
      </c>
      <c r="AF20" s="92">
        <v>35862197.642055348</v>
      </c>
      <c r="AG20" s="92">
        <v>-51785526.592516556</v>
      </c>
      <c r="AH20" s="92" t="s">
        <v>264</v>
      </c>
      <c r="AI20" s="92" t="s">
        <v>264</v>
      </c>
      <c r="AK20" s="8"/>
      <c r="AL20" s="8"/>
      <c r="AM20" s="8"/>
      <c r="AN20" s="8"/>
      <c r="AO20" s="8"/>
      <c r="FX20" s="8"/>
    </row>
    <row r="21" spans="2:180" x14ac:dyDescent="0.25">
      <c r="B21" s="96" t="s">
        <v>186</v>
      </c>
      <c r="C21" s="186"/>
      <c r="D21" s="186"/>
      <c r="E21" s="186"/>
      <c r="F21" s="186"/>
      <c r="G21" s="186"/>
      <c r="H21" s="186">
        <v>27548625.98421951</v>
      </c>
      <c r="I21" s="186"/>
      <c r="J21" s="186"/>
      <c r="K21" s="186"/>
      <c r="L21" s="186"/>
      <c r="M21" s="186">
        <v>27548625.98421951</v>
      </c>
      <c r="N21" s="8"/>
      <c r="P21" s="93">
        <v>44922.916666666664</v>
      </c>
      <c r="Q21" s="93" t="s">
        <v>56</v>
      </c>
      <c r="R21" s="92">
        <v>-202658892.62911278</v>
      </c>
      <c r="S21" s="92">
        <v>-1185819.2791439304</v>
      </c>
      <c r="T21" s="92">
        <v>-16258238.099520639</v>
      </c>
      <c r="U21" s="92">
        <v>-76815910.519344166</v>
      </c>
      <c r="V21" s="92">
        <v>42365037.32</v>
      </c>
      <c r="W21" s="92">
        <v>286329593.34031349</v>
      </c>
      <c r="X21" s="92">
        <v>1740989.863239361</v>
      </c>
      <c r="Y21" s="92">
        <v>-38660498.252763785</v>
      </c>
      <c r="Z21" s="92">
        <v>-71042466.186670482</v>
      </c>
      <c r="AA21" s="92">
        <v>118446450</v>
      </c>
      <c r="AB21" s="92">
        <v>42260245.55699715</v>
      </c>
      <c r="AC21" s="92">
        <v>9014426.9055880979</v>
      </c>
      <c r="AE21" s="92">
        <v>58599133.603492513</v>
      </c>
      <c r="AF21" s="92">
        <v>31811731.049039774</v>
      </c>
      <c r="AG21" s="92">
        <v>-57165046.001123227</v>
      </c>
      <c r="AH21" s="92" t="s">
        <v>264</v>
      </c>
      <c r="AI21" s="92" t="s">
        <v>264</v>
      </c>
      <c r="AK21" s="8"/>
      <c r="AL21" s="8"/>
      <c r="AM21" s="8"/>
      <c r="AN21" s="8"/>
      <c r="AO21" s="8"/>
      <c r="FX21" s="8"/>
    </row>
    <row r="22" spans="2:180" x14ac:dyDescent="0.25">
      <c r="B22" s="96" t="s">
        <v>170</v>
      </c>
      <c r="C22" s="186">
        <v>-211206773.49899808</v>
      </c>
      <c r="D22" s="186"/>
      <c r="E22" s="186"/>
      <c r="F22" s="186"/>
      <c r="G22" s="186"/>
      <c r="H22" s="186">
        <v>13290222.596196052</v>
      </c>
      <c r="I22" s="186"/>
      <c r="J22" s="186"/>
      <c r="K22" s="186"/>
      <c r="L22" s="186"/>
      <c r="M22" s="186">
        <v>-197916550.90280202</v>
      </c>
      <c r="N22" s="8"/>
      <c r="P22" s="93">
        <v>44921.916666666664</v>
      </c>
      <c r="Q22" s="93" t="s">
        <v>56</v>
      </c>
      <c r="R22" s="92">
        <v>-203268414.29258418</v>
      </c>
      <c r="S22" s="92">
        <v>-1186523.7234941467</v>
      </c>
      <c r="T22" s="92">
        <v>-14788816.980037382</v>
      </c>
      <c r="U22" s="92">
        <v>-77697001.679786384</v>
      </c>
      <c r="V22" s="92">
        <v>43317090.800000004</v>
      </c>
      <c r="W22" s="92">
        <v>286384556.66017473</v>
      </c>
      <c r="X22" s="92">
        <v>428665.14935376775</v>
      </c>
      <c r="Y22" s="92">
        <v>-36588669.635732241</v>
      </c>
      <c r="Z22" s="92">
        <v>-81591927.692620993</v>
      </c>
      <c r="AA22" s="92">
        <v>115823150</v>
      </c>
      <c r="AB22" s="92">
        <v>30832108.605273187</v>
      </c>
      <c r="AC22" s="92">
        <v>6256803.6368437484</v>
      </c>
      <c r="AE22" s="92">
        <v>45506573.214392498</v>
      </c>
      <c r="AF22" s="92">
        <v>36219022.703029647</v>
      </c>
      <c r="AG22" s="92">
        <v>-57150290.948992707</v>
      </c>
      <c r="AH22" s="92" t="s">
        <v>264</v>
      </c>
      <c r="AI22" s="92" t="s">
        <v>264</v>
      </c>
      <c r="AK22" s="8"/>
      <c r="AL22" s="8"/>
      <c r="AM22" s="8"/>
      <c r="AN22" s="8"/>
      <c r="AO22" s="8"/>
      <c r="FX22" s="8"/>
    </row>
    <row r="23" spans="2:180" x14ac:dyDescent="0.25">
      <c r="B23" s="96" t="s">
        <v>295</v>
      </c>
      <c r="C23" s="186"/>
      <c r="D23" s="186"/>
      <c r="E23" s="186"/>
      <c r="F23" s="186"/>
      <c r="G23" s="186"/>
      <c r="H23" s="186">
        <v>20739.331650465319</v>
      </c>
      <c r="I23" s="186"/>
      <c r="J23" s="186"/>
      <c r="K23" s="186"/>
      <c r="L23" s="186"/>
      <c r="M23" s="186">
        <v>20739.331650465319</v>
      </c>
      <c r="N23" s="8"/>
      <c r="P23" s="93">
        <v>44920.916666666664</v>
      </c>
      <c r="Q23" s="93" t="s">
        <v>56</v>
      </c>
      <c r="R23" s="92">
        <v>-202879296.4799822</v>
      </c>
      <c r="S23" s="92">
        <v>-1184823.0527704428</v>
      </c>
      <c r="T23" s="92">
        <v>-14926670.373762032</v>
      </c>
      <c r="U23" s="92">
        <v>-77263466.451453984</v>
      </c>
      <c r="V23" s="92">
        <v>43317090.800000004</v>
      </c>
      <c r="W23" s="92">
        <v>285822492.26321137</v>
      </c>
      <c r="X23" s="92">
        <v>1054305.0099063795</v>
      </c>
      <c r="Y23" s="92">
        <v>-33658241.277494639</v>
      </c>
      <c r="Z23" s="92">
        <v>-80500540.363146454</v>
      </c>
      <c r="AA23" s="92">
        <v>115823150</v>
      </c>
      <c r="AB23" s="92">
        <v>35604000.074508019</v>
      </c>
      <c r="AC23" s="92">
        <v>1953231.9140152633</v>
      </c>
      <c r="AE23" s="92">
        <v>53903181.185892507</v>
      </c>
      <c r="AF23" s="92">
        <v>36895500.461692601</v>
      </c>
      <c r="AG23" s="92">
        <v>-57147913.487092353</v>
      </c>
      <c r="AH23" s="92" t="s">
        <v>264</v>
      </c>
      <c r="AI23" s="92" t="s">
        <v>264</v>
      </c>
      <c r="AK23" s="8"/>
      <c r="AL23" s="8"/>
      <c r="AM23" s="8"/>
      <c r="AN23" s="8"/>
      <c r="AO23" s="8"/>
      <c r="FX23" s="8"/>
    </row>
    <row r="24" spans="2:180" x14ac:dyDescent="0.25">
      <c r="B24" s="96" t="s">
        <v>39</v>
      </c>
      <c r="C24" s="186"/>
      <c r="D24" s="186"/>
      <c r="E24" s="186"/>
      <c r="F24" s="186">
        <v>-10870665.882277451</v>
      </c>
      <c r="G24" s="186"/>
      <c r="H24" s="186">
        <v>13676003.691400941</v>
      </c>
      <c r="I24" s="186">
        <v>-13204.142262542602</v>
      </c>
      <c r="J24" s="186"/>
      <c r="K24" s="186">
        <v>-329473.33899999998</v>
      </c>
      <c r="L24" s="186"/>
      <c r="M24" s="186">
        <v>2462660.3278609472</v>
      </c>
      <c r="N24" s="8"/>
      <c r="P24" s="93">
        <v>44919.916666666664</v>
      </c>
      <c r="Q24" s="93" t="s">
        <v>56</v>
      </c>
      <c r="R24" s="92">
        <v>-202990619.54566792</v>
      </c>
      <c r="S24" s="92">
        <v>-1189009.6407448833</v>
      </c>
      <c r="T24" s="92">
        <v>-15629585.659241319</v>
      </c>
      <c r="U24" s="92">
        <v>-77307614.127912655</v>
      </c>
      <c r="V24" s="92">
        <v>43317090.800000004</v>
      </c>
      <c r="W24" s="92">
        <v>286575761.11814523</v>
      </c>
      <c r="X24" s="92">
        <v>1006748.3086679992</v>
      </c>
      <c r="Y24" s="92">
        <v>-32719359.414824337</v>
      </c>
      <c r="Z24" s="92">
        <v>-84543912.909668118</v>
      </c>
      <c r="AA24" s="92">
        <v>115823150</v>
      </c>
      <c r="AB24" s="92">
        <v>32342648.928753987</v>
      </c>
      <c r="AC24" s="92">
        <v>-4087513.5339499637</v>
      </c>
      <c r="AE24" s="92">
        <v>56966110.877392501</v>
      </c>
      <c r="AF24" s="92">
        <v>36597843.291425601</v>
      </c>
      <c r="AG24" s="92">
        <v>-57133791.706114151</v>
      </c>
      <c r="AH24" s="92" t="s">
        <v>264</v>
      </c>
      <c r="AI24" s="92" t="s">
        <v>264</v>
      </c>
      <c r="AK24" s="8"/>
      <c r="AL24" s="8"/>
      <c r="AM24" s="8"/>
      <c r="AN24" s="8"/>
      <c r="AO24" s="8"/>
      <c r="FX24" s="8"/>
    </row>
    <row r="25" spans="2:180" x14ac:dyDescent="0.25">
      <c r="B25" s="96" t="s">
        <v>167</v>
      </c>
      <c r="C25" s="186"/>
      <c r="D25" s="186"/>
      <c r="E25" s="186"/>
      <c r="F25" s="186"/>
      <c r="G25" s="186"/>
      <c r="H25" s="186">
        <v>180954.97713932805</v>
      </c>
      <c r="I25" s="186"/>
      <c r="J25" s="186"/>
      <c r="K25" s="186"/>
      <c r="L25" s="186"/>
      <c r="M25" s="186">
        <v>180954.97713932805</v>
      </c>
      <c r="N25" s="8"/>
      <c r="P25" s="93">
        <v>44918.916666666664</v>
      </c>
      <c r="Q25" s="93" t="s">
        <v>56</v>
      </c>
      <c r="R25" s="92">
        <v>-202897751.94778514</v>
      </c>
      <c r="S25" s="92">
        <v>-1186815.7936595711</v>
      </c>
      <c r="T25" s="92">
        <v>-14955919.703569749</v>
      </c>
      <c r="U25" s="92">
        <v>-77145070.657300338</v>
      </c>
      <c r="V25" s="92">
        <v>43317090.800000004</v>
      </c>
      <c r="W25" s="92">
        <v>284432427.93256384</v>
      </c>
      <c r="X25" s="92">
        <v>1229113.0619547272</v>
      </c>
      <c r="Y25" s="92">
        <v>-32318141.536192793</v>
      </c>
      <c r="Z25" s="92">
        <v>-90354458.19497633</v>
      </c>
      <c r="AA25" s="92">
        <v>115823150</v>
      </c>
      <c r="AB25" s="92">
        <v>25943623.961034592</v>
      </c>
      <c r="AC25" s="92">
        <v>-11415788.553666379</v>
      </c>
      <c r="AE25" s="92">
        <v>59352928.822692499</v>
      </c>
      <c r="AF25" s="92">
        <v>35140312.787687823</v>
      </c>
      <c r="AG25" s="92">
        <v>-57133829.09567935</v>
      </c>
      <c r="AH25" s="92" t="s">
        <v>264</v>
      </c>
      <c r="AI25" s="92" t="s">
        <v>264</v>
      </c>
      <c r="AK25" s="8"/>
      <c r="AL25" s="8"/>
      <c r="AM25" s="8"/>
      <c r="AN25" s="8"/>
      <c r="AO25" s="8"/>
      <c r="FX25" s="8"/>
    </row>
    <row r="26" spans="2:180" x14ac:dyDescent="0.25">
      <c r="B26" s="96" t="s">
        <v>172</v>
      </c>
      <c r="C26" s="186"/>
      <c r="D26" s="186"/>
      <c r="E26" s="186"/>
      <c r="F26" s="186"/>
      <c r="G26" s="186"/>
      <c r="H26" s="186">
        <v>0.71159926155560904</v>
      </c>
      <c r="I26" s="186"/>
      <c r="J26" s="186"/>
      <c r="K26" s="186"/>
      <c r="L26" s="186"/>
      <c r="M26" s="186">
        <v>0.71159926155560904</v>
      </c>
      <c r="N26" s="8"/>
      <c r="P26" s="93">
        <v>44917.916666666664</v>
      </c>
      <c r="Q26" s="93" t="s">
        <v>56</v>
      </c>
      <c r="R26" s="92">
        <v>-202847748.59196144</v>
      </c>
      <c r="S26" s="92">
        <v>-1184962.9102048071</v>
      </c>
      <c r="T26" s="92">
        <v>-14997686.585818533</v>
      </c>
      <c r="U26" s="92">
        <v>-77254401.081990913</v>
      </c>
      <c r="V26" s="92">
        <v>36896316.440000005</v>
      </c>
      <c r="W26" s="92">
        <v>291046122.26153612</v>
      </c>
      <c r="X26" s="92">
        <v>573676.18303706031</v>
      </c>
      <c r="Y26" s="92">
        <v>-31354623.06336271</v>
      </c>
      <c r="Z26" s="92">
        <v>-90401914.174367055</v>
      </c>
      <c r="AA26" s="92">
        <v>137664175</v>
      </c>
      <c r="AB26" s="92">
        <v>48138953.476867735</v>
      </c>
      <c r="AC26" s="92">
        <v>23224901.765479572</v>
      </c>
      <c r="AE26" s="92">
        <v>43237215.371292502</v>
      </c>
      <c r="AF26" s="92">
        <v>32622857.783291016</v>
      </c>
      <c r="AG26" s="92">
        <v>-50946021.44319535</v>
      </c>
      <c r="AH26" s="92" t="s">
        <v>264</v>
      </c>
      <c r="AI26" s="92" t="s">
        <v>264</v>
      </c>
      <c r="AK26" s="8"/>
      <c r="AL26" s="8"/>
      <c r="AM26" s="8"/>
      <c r="AN26" s="8"/>
      <c r="AO26" s="8"/>
      <c r="FX26" s="8"/>
    </row>
    <row r="27" spans="2:180" x14ac:dyDescent="0.25">
      <c r="B27" s="96" t="s">
        <v>173</v>
      </c>
      <c r="C27" s="186"/>
      <c r="D27" s="186"/>
      <c r="E27" s="186"/>
      <c r="F27" s="186"/>
      <c r="G27" s="186"/>
      <c r="H27" s="186">
        <v>10138.725630000001</v>
      </c>
      <c r="I27" s="186"/>
      <c r="J27" s="186"/>
      <c r="K27" s="186"/>
      <c r="L27" s="186"/>
      <c r="M27" s="186">
        <v>10138.725630000001</v>
      </c>
      <c r="N27" s="8"/>
      <c r="P27" s="93">
        <v>44916.916666666664</v>
      </c>
      <c r="Q27" s="93" t="s">
        <v>56</v>
      </c>
      <c r="R27" s="92">
        <v>-202698051.84029892</v>
      </c>
      <c r="S27" s="92">
        <v>-1186417.1752263186</v>
      </c>
      <c r="T27" s="92">
        <v>-15105982.360031269</v>
      </c>
      <c r="U27" s="92">
        <v>-77164373.743679181</v>
      </c>
      <c r="V27" s="92">
        <v>36133462.380000003</v>
      </c>
      <c r="W27" s="92">
        <v>289172944.12762719</v>
      </c>
      <c r="X27" s="92">
        <v>1259286.4237385015</v>
      </c>
      <c r="Y27" s="92">
        <v>-28796835.58631108</v>
      </c>
      <c r="Z27" s="92">
        <v>-81848736.571825892</v>
      </c>
      <c r="AA27" s="92">
        <v>110985325</v>
      </c>
      <c r="AB27" s="92">
        <v>30750620.653993096</v>
      </c>
      <c r="AC27" s="92">
        <v>-21484.33007035777</v>
      </c>
      <c r="AE27" s="92">
        <v>46385034.277192496</v>
      </c>
      <c r="AF27" s="92">
        <v>33986177.140636928</v>
      </c>
      <c r="AG27" s="92">
        <v>-49599106.43376597</v>
      </c>
      <c r="AH27" s="92" t="s">
        <v>264</v>
      </c>
      <c r="AI27" s="92" t="s">
        <v>264</v>
      </c>
      <c r="AK27" s="8"/>
      <c r="FX27" s="8"/>
    </row>
    <row r="28" spans="2:180" x14ac:dyDescent="0.25">
      <c r="B28" s="96" t="s">
        <v>45</v>
      </c>
      <c r="C28" s="186"/>
      <c r="D28" s="186"/>
      <c r="E28" s="186">
        <v>-50149.778816708531</v>
      </c>
      <c r="F28" s="186"/>
      <c r="G28" s="186"/>
      <c r="H28" s="186">
        <v>30239101.164951336</v>
      </c>
      <c r="I28" s="186">
        <v>-435290.63611232943</v>
      </c>
      <c r="J28" s="186">
        <v>-15509759.562179245</v>
      </c>
      <c r="K28" s="186">
        <v>32515304.565708648</v>
      </c>
      <c r="L28" s="186"/>
      <c r="M28" s="186">
        <v>46759205.753551707</v>
      </c>
      <c r="N28" s="8"/>
      <c r="P28" s="93">
        <v>44915.916666666664</v>
      </c>
      <c r="Q28" s="93" t="s">
        <v>56</v>
      </c>
      <c r="R28" s="92">
        <v>-202978513.49674541</v>
      </c>
      <c r="S28" s="92">
        <v>-1188879.7841108176</v>
      </c>
      <c r="T28" s="92">
        <v>-15168375.9571958</v>
      </c>
      <c r="U28" s="92">
        <v>-77464719.589643091</v>
      </c>
      <c r="V28" s="92">
        <v>42601428.899999999</v>
      </c>
      <c r="W28" s="92">
        <v>285094433.70763767</v>
      </c>
      <c r="X28" s="92">
        <v>835468.7059161755</v>
      </c>
      <c r="Y28" s="92">
        <v>-27974120.438969214</v>
      </c>
      <c r="Z28" s="92">
        <v>-84012818.265754834</v>
      </c>
      <c r="AA28" s="92">
        <v>107386800</v>
      </c>
      <c r="AB28" s="92">
        <v>27130703.78113468</v>
      </c>
      <c r="AC28" s="92">
        <v>-7068789.3075300902</v>
      </c>
      <c r="AE28" s="92">
        <v>57288271.653092496</v>
      </c>
      <c r="AF28" s="92">
        <v>33486986.96144855</v>
      </c>
      <c r="AG28" s="92">
        <v>-56575765.525876284</v>
      </c>
      <c r="AH28" s="92" t="s">
        <v>264</v>
      </c>
      <c r="AI28" s="92" t="s">
        <v>264</v>
      </c>
      <c r="AK28" s="8"/>
      <c r="FX28" s="8"/>
    </row>
    <row r="29" spans="2:180" x14ac:dyDescent="0.25">
      <c r="B29" s="96" t="s">
        <v>209</v>
      </c>
      <c r="C29" s="186"/>
      <c r="D29" s="186">
        <v>-1190717.663020327</v>
      </c>
      <c r="E29" s="186"/>
      <c r="F29" s="186"/>
      <c r="G29" s="186"/>
      <c r="H29" s="186"/>
      <c r="I29" s="186"/>
      <c r="J29" s="186"/>
      <c r="K29" s="186"/>
      <c r="L29" s="186"/>
      <c r="M29" s="186">
        <v>-1190717.663020327</v>
      </c>
      <c r="N29" s="8"/>
      <c r="P29" s="93">
        <v>44914.916666666664</v>
      </c>
      <c r="Q29" s="93" t="s">
        <v>56</v>
      </c>
      <c r="R29" s="92">
        <v>-200974514.2043983</v>
      </c>
      <c r="S29" s="92">
        <v>-1182135.4296851396</v>
      </c>
      <c r="T29" s="92">
        <v>-15346611.044516798</v>
      </c>
      <c r="U29" s="92">
        <v>-75003179.177594259</v>
      </c>
      <c r="V29" s="92">
        <v>32312483.200000003</v>
      </c>
      <c r="W29" s="92">
        <v>287595163.12680477</v>
      </c>
      <c r="X29" s="92">
        <v>3745469.983031116</v>
      </c>
      <c r="Y29" s="92">
        <v>-27398896.372286562</v>
      </c>
      <c r="Z29" s="92">
        <v>-97504592.2794009</v>
      </c>
      <c r="AA29" s="92">
        <v>141210075</v>
      </c>
      <c r="AB29" s="92">
        <v>47453262.801953949</v>
      </c>
      <c r="AC29" s="92">
        <v>5944228.4081981257</v>
      </c>
      <c r="AE29" s="92">
        <v>61690641.412492499</v>
      </c>
      <c r="AF29" s="92">
        <v>36929711.201223858</v>
      </c>
      <c r="AG29" s="92">
        <v>-57111318.219960541</v>
      </c>
      <c r="AH29" s="92" t="s">
        <v>264</v>
      </c>
      <c r="AI29" s="92" t="s">
        <v>264</v>
      </c>
      <c r="AK29" s="8"/>
      <c r="FX29" s="8"/>
    </row>
    <row r="30" spans="2:180" x14ac:dyDescent="0.25">
      <c r="B30" s="96" t="s">
        <v>176</v>
      </c>
      <c r="C30" s="186"/>
      <c r="D30" s="186"/>
      <c r="E30" s="186"/>
      <c r="F30" s="186"/>
      <c r="G30" s="186"/>
      <c r="H30" s="186">
        <v>1.0427770482510064</v>
      </c>
      <c r="I30" s="186"/>
      <c r="J30" s="186"/>
      <c r="K30" s="186"/>
      <c r="L30" s="186"/>
      <c r="M30" s="186">
        <v>1.0427770482510064</v>
      </c>
      <c r="N30" s="8"/>
      <c r="P30" s="93">
        <v>44913.916666666664</v>
      </c>
      <c r="Q30" s="93" t="s">
        <v>56</v>
      </c>
      <c r="R30" s="92">
        <v>-212380803.77422994</v>
      </c>
      <c r="S30" s="92">
        <v>-1191644.6979850775</v>
      </c>
      <c r="T30" s="92">
        <v>-14987589.206845842</v>
      </c>
      <c r="U30" s="92">
        <v>-76564537.248991206</v>
      </c>
      <c r="V30" s="92">
        <v>25582980.850000001</v>
      </c>
      <c r="W30" s="92">
        <v>308850092.37490606</v>
      </c>
      <c r="X30" s="92">
        <v>2450277.3538956372</v>
      </c>
      <c r="Y30" s="92">
        <v>-26443785.248464976</v>
      </c>
      <c r="Z30" s="92">
        <v>-85006800.49592483</v>
      </c>
      <c r="AA30" s="92">
        <v>128171450</v>
      </c>
      <c r="AB30" s="92">
        <v>48479639.906359814</v>
      </c>
      <c r="AC30" s="92">
        <v>-10412640.601078779</v>
      </c>
      <c r="AE30" s="92">
        <v>70989701.557492495</v>
      </c>
      <c r="AF30" s="92">
        <v>37983685.888717778</v>
      </c>
      <c r="AG30" s="92">
        <v>-50081106.938771673</v>
      </c>
      <c r="AH30" s="92" t="s">
        <v>264</v>
      </c>
      <c r="AI30" s="92" t="s">
        <v>264</v>
      </c>
      <c r="AK30" s="8"/>
      <c r="FX30" s="8"/>
    </row>
    <row r="31" spans="2:180" x14ac:dyDescent="0.25">
      <c r="B31" s="96" t="s">
        <v>211</v>
      </c>
      <c r="C31" s="186"/>
      <c r="D31" s="186">
        <v>-75.478409104803205</v>
      </c>
      <c r="E31" s="186"/>
      <c r="F31" s="186"/>
      <c r="G31" s="186"/>
      <c r="H31" s="186"/>
      <c r="I31" s="186"/>
      <c r="J31" s="186"/>
      <c r="K31" s="186"/>
      <c r="L31" s="186"/>
      <c r="M31" s="186">
        <v>-75.478409104803205</v>
      </c>
      <c r="N31" s="8"/>
      <c r="P31" s="93">
        <v>44912.916666666664</v>
      </c>
      <c r="Q31" s="93" t="s">
        <v>56</v>
      </c>
      <c r="R31" s="92">
        <v>-211568731.00996119</v>
      </c>
      <c r="S31" s="92">
        <v>-1193624.2476734128</v>
      </c>
      <c r="T31" s="92">
        <v>-15016890.793123394</v>
      </c>
      <c r="U31" s="92">
        <v>-76791512.546191618</v>
      </c>
      <c r="V31" s="92">
        <v>25582980.850000001</v>
      </c>
      <c r="W31" s="92">
        <v>308128119.23842716</v>
      </c>
      <c r="X31" s="92">
        <v>2207362.7153714481</v>
      </c>
      <c r="Y31" s="92">
        <v>-27017065.105334103</v>
      </c>
      <c r="Z31" s="92">
        <v>-87595544.408657193</v>
      </c>
      <c r="AA31" s="92">
        <v>128171450</v>
      </c>
      <c r="AB31" s="92">
        <v>44906544.692857727</v>
      </c>
      <c r="AC31" s="92">
        <v>-7423856.188848272</v>
      </c>
      <c r="AE31" s="92">
        <v>65820874.924092509</v>
      </c>
      <c r="AF31" s="92">
        <v>36602549.641929038</v>
      </c>
      <c r="AG31" s="92">
        <v>-50093023.684315547</v>
      </c>
      <c r="AH31" s="92" t="s">
        <v>264</v>
      </c>
      <c r="AI31" s="92" t="s">
        <v>264</v>
      </c>
      <c r="AK31" s="8"/>
      <c r="FX31" s="8"/>
    </row>
    <row r="32" spans="2:180" x14ac:dyDescent="0.25">
      <c r="B32" s="96" t="s">
        <v>182</v>
      </c>
      <c r="C32" s="186"/>
      <c r="D32" s="186"/>
      <c r="E32" s="186"/>
      <c r="F32" s="186"/>
      <c r="G32" s="186"/>
      <c r="H32" s="186">
        <v>27668.2027522961</v>
      </c>
      <c r="I32" s="186"/>
      <c r="J32" s="186"/>
      <c r="K32" s="186"/>
      <c r="L32" s="186"/>
      <c r="M32" s="186">
        <v>27668.2027522961</v>
      </c>
      <c r="N32" s="8"/>
      <c r="P32" s="93">
        <v>44911.916666666664</v>
      </c>
      <c r="Q32" s="93" t="s">
        <v>56</v>
      </c>
      <c r="R32" s="92">
        <v>-210867503.10585669</v>
      </c>
      <c r="S32" s="92">
        <v>-1195088.603822886</v>
      </c>
      <c r="T32" s="92">
        <v>-21371145.659061439</v>
      </c>
      <c r="U32" s="92">
        <v>-75966241.702881128</v>
      </c>
      <c r="V32" s="92">
        <v>25582980.850000001</v>
      </c>
      <c r="W32" s="92">
        <v>312452416.32274562</v>
      </c>
      <c r="X32" s="92">
        <v>4168476.7933019726</v>
      </c>
      <c r="Y32" s="92">
        <v>-32508401.899199132</v>
      </c>
      <c r="Z32" s="92">
        <v>-61038878.893491</v>
      </c>
      <c r="AA32" s="92">
        <v>128171450</v>
      </c>
      <c r="AB32" s="92">
        <v>67428064.101735249</v>
      </c>
      <c r="AC32" s="92">
        <v>-5882546.8726201952</v>
      </c>
      <c r="AE32" s="92">
        <v>100884862.9439925</v>
      </c>
      <c r="AF32" s="92">
        <v>22518793.830769796</v>
      </c>
      <c r="AG32" s="92">
        <v>-50093045.800406843</v>
      </c>
      <c r="AH32" s="92" t="s">
        <v>264</v>
      </c>
      <c r="AI32" s="92" t="s">
        <v>264</v>
      </c>
      <c r="FX32" s="8"/>
    </row>
    <row r="33" spans="1:180" x14ac:dyDescent="0.25">
      <c r="B33" s="96" t="s">
        <v>184</v>
      </c>
      <c r="C33" s="186"/>
      <c r="D33" s="186"/>
      <c r="E33" s="186">
        <v>-2376846.6380742299</v>
      </c>
      <c r="F33" s="186"/>
      <c r="G33" s="186"/>
      <c r="H33" s="186">
        <v>5821114.775656092</v>
      </c>
      <c r="I33" s="186"/>
      <c r="J33" s="186"/>
      <c r="K33" s="186"/>
      <c r="L33" s="186"/>
      <c r="M33" s="186">
        <v>3444268.137581862</v>
      </c>
      <c r="N33" s="8"/>
      <c r="P33" s="93">
        <v>44910.916666666664</v>
      </c>
      <c r="Q33" s="93" t="s">
        <v>56</v>
      </c>
      <c r="R33" s="92">
        <v>-214566143.02499443</v>
      </c>
      <c r="S33" s="92">
        <v>-1210292.6696549128</v>
      </c>
      <c r="T33" s="92">
        <v>-15375735.488199519</v>
      </c>
      <c r="U33" s="92">
        <v>-80202806.609531328</v>
      </c>
      <c r="V33" s="92">
        <v>29487832.330000002</v>
      </c>
      <c r="W33" s="92">
        <v>311091293.46950591</v>
      </c>
      <c r="X33" s="92">
        <v>1643494.728994586</v>
      </c>
      <c r="Y33" s="92">
        <v>-37408984.691479973</v>
      </c>
      <c r="Z33" s="92">
        <v>-43074501.491297133</v>
      </c>
      <c r="AA33" s="92">
        <v>81102250</v>
      </c>
      <c r="AB33" s="92">
        <v>31486406.55334321</v>
      </c>
      <c r="AC33" s="92">
        <v>-8946945.5797137208</v>
      </c>
      <c r="AE33" s="92">
        <v>76325493.844692484</v>
      </c>
      <c r="AF33" s="92">
        <v>28504722.040021133</v>
      </c>
      <c r="AG33" s="92">
        <v>-64396863.751656689</v>
      </c>
      <c r="AH33" s="92" t="s">
        <v>264</v>
      </c>
      <c r="AI33" s="92" t="s">
        <v>264</v>
      </c>
      <c r="AK33" s="8"/>
      <c r="FX33" s="8"/>
    </row>
    <row r="34" spans="1:180" x14ac:dyDescent="0.25">
      <c r="B34" s="96" t="s">
        <v>427</v>
      </c>
      <c r="C34" s="186"/>
      <c r="D34" s="186"/>
      <c r="E34" s="186"/>
      <c r="F34" s="186"/>
      <c r="G34" s="186">
        <v>79941.919999999998</v>
      </c>
      <c r="H34" s="186"/>
      <c r="I34" s="186"/>
      <c r="J34" s="186"/>
      <c r="K34" s="186"/>
      <c r="L34" s="186"/>
      <c r="M34" s="186">
        <v>79941.919999999998</v>
      </c>
      <c r="N34" s="8"/>
      <c r="P34" s="93">
        <v>44909.916666666664</v>
      </c>
      <c r="Q34" s="93" t="s">
        <v>56</v>
      </c>
      <c r="R34" s="92">
        <v>-205533686.17089412</v>
      </c>
      <c r="S34" s="92">
        <v>-1211136.6107189455</v>
      </c>
      <c r="T34" s="92">
        <v>-19164466.01251927</v>
      </c>
      <c r="U34" s="92">
        <v>-82415875.476928547</v>
      </c>
      <c r="V34" s="92">
        <v>30794092.210000001</v>
      </c>
      <c r="W34" s="92">
        <v>309087977.73097795</v>
      </c>
      <c r="X34" s="92">
        <v>384801.37466881482</v>
      </c>
      <c r="Y34" s="92">
        <v>-27609657.098856796</v>
      </c>
      <c r="Z34" s="92">
        <v>-38994153.683895983</v>
      </c>
      <c r="AA34" s="92">
        <v>34995150</v>
      </c>
      <c r="AB34" s="92">
        <v>333046.26183315326</v>
      </c>
      <c r="AC34" s="92">
        <v>-22457690.729209341</v>
      </c>
      <c r="AE34" s="92">
        <v>65734741.365592502</v>
      </c>
      <c r="AF34" s="92">
        <v>13178864.845137885</v>
      </c>
      <c r="AG34" s="92">
        <v>-56122869.219687894</v>
      </c>
      <c r="AH34" s="92" t="s">
        <v>264</v>
      </c>
      <c r="AI34" s="92" t="s">
        <v>264</v>
      </c>
      <c r="FX34" s="8"/>
    </row>
    <row r="35" spans="1:180" x14ac:dyDescent="0.25">
      <c r="B35" s="96" t="s">
        <v>56</v>
      </c>
      <c r="C35" s="186">
        <v>-211206773.49899808</v>
      </c>
      <c r="D35" s="186">
        <v>-1190793.1414294317</v>
      </c>
      <c r="E35" s="186">
        <v>-14331689.698353291</v>
      </c>
      <c r="F35" s="186">
        <v>-87608748.109617233</v>
      </c>
      <c r="G35" s="186">
        <v>27404125.440000001</v>
      </c>
      <c r="H35" s="186">
        <v>321500409.04357004</v>
      </c>
      <c r="I35" s="186">
        <v>-132609.41215560102</v>
      </c>
      <c r="J35" s="186">
        <v>-42809619.487171866</v>
      </c>
      <c r="K35" s="186">
        <v>108180974.97364092</v>
      </c>
      <c r="L35" s="186">
        <v>-93822750</v>
      </c>
      <c r="M35" s="186">
        <v>5982526.1094854213</v>
      </c>
      <c r="N35" s="8"/>
      <c r="P35" s="93">
        <v>44908.916666666664</v>
      </c>
      <c r="Q35" s="93" t="s">
        <v>56</v>
      </c>
      <c r="R35" s="92">
        <v>-205575718.13812998</v>
      </c>
      <c r="S35" s="92">
        <v>-1211220.0197529485</v>
      </c>
      <c r="T35" s="92">
        <v>-12546273.550818056</v>
      </c>
      <c r="U35" s="92">
        <v>-82600334.935782343</v>
      </c>
      <c r="V35" s="92">
        <v>30295771.610000003</v>
      </c>
      <c r="W35" s="92">
        <v>302757987.88009256</v>
      </c>
      <c r="X35" s="92">
        <v>79609.727003996493</v>
      </c>
      <c r="Y35" s="92">
        <v>-8105791.828279526</v>
      </c>
      <c r="Z35" s="92">
        <v>-34850778.339258939</v>
      </c>
      <c r="AA35" s="92">
        <v>48108900</v>
      </c>
      <c r="AB35" s="92">
        <v>36352152.405074686</v>
      </c>
      <c r="AC35" s="92">
        <v>12535285.5637661</v>
      </c>
      <c r="AE35" s="92">
        <v>57448425.659692511</v>
      </c>
      <c r="AF35" s="92">
        <v>20404571.417934872</v>
      </c>
      <c r="AG35" s="92">
        <v>-54036130.236318804</v>
      </c>
      <c r="AH35" s="92" t="s">
        <v>264</v>
      </c>
      <c r="AI35" s="92" t="s">
        <v>264</v>
      </c>
      <c r="FX35" s="8"/>
    </row>
    <row r="36" spans="1:180" x14ac:dyDescent="0.25">
      <c r="N36" s="8"/>
      <c r="P36" s="93">
        <v>44907.916666666664</v>
      </c>
      <c r="Q36" s="93" t="s">
        <v>56</v>
      </c>
      <c r="R36" s="92">
        <v>-203141628.3371948</v>
      </c>
      <c r="S36" s="92">
        <v>-1210834.3776766146</v>
      </c>
      <c r="T36" s="92">
        <v>-6782233.4027501633</v>
      </c>
      <c r="U36" s="92">
        <v>-79968654.262516797</v>
      </c>
      <c r="V36" s="92">
        <v>39348094.210000001</v>
      </c>
      <c r="W36" s="92">
        <v>291855015.57700211</v>
      </c>
      <c r="X36" s="92">
        <v>89940.650064125075</v>
      </c>
      <c r="Y36" s="92">
        <v>1317001.5178749133</v>
      </c>
      <c r="Z36" s="92">
        <v>-19821321.270394642</v>
      </c>
      <c r="AA36" s="92">
        <v>31814250</v>
      </c>
      <c r="AB36" s="92">
        <v>53499630.304408096</v>
      </c>
      <c r="AC36" s="92">
        <v>-5466339.2220258415</v>
      </c>
      <c r="AE36" s="92">
        <v>75801598.997292504</v>
      </c>
      <c r="AF36" s="92">
        <v>35553101.202319339</v>
      </c>
      <c r="AG36" s="92">
        <v>-52388730.673177905</v>
      </c>
      <c r="AH36" s="92" t="s">
        <v>264</v>
      </c>
      <c r="AI36" s="92" t="s">
        <v>264</v>
      </c>
      <c r="FX36" s="8"/>
    </row>
    <row r="37" spans="1:180" x14ac:dyDescent="0.25">
      <c r="N37" s="8"/>
      <c r="P37" s="93">
        <v>44906.916666666664</v>
      </c>
      <c r="Q37" s="93" t="s">
        <v>56</v>
      </c>
      <c r="R37" s="92">
        <v>-202727436.72694242</v>
      </c>
      <c r="S37" s="92">
        <v>-1216412.3077018466</v>
      </c>
      <c r="T37" s="92">
        <v>-6254286.9976810208</v>
      </c>
      <c r="U37" s="92">
        <v>-79654294.047785729</v>
      </c>
      <c r="V37" s="92">
        <v>39171081.07</v>
      </c>
      <c r="W37" s="92">
        <v>289230170.35565174</v>
      </c>
      <c r="X37" s="92">
        <v>413259.32959217764</v>
      </c>
      <c r="Y37" s="92">
        <v>2218187.5022644708</v>
      </c>
      <c r="Z37" s="92">
        <v>-30578302.405809734</v>
      </c>
      <c r="AA37" s="92">
        <v>44307200</v>
      </c>
      <c r="AB37" s="92">
        <v>54909165.771587633</v>
      </c>
      <c r="AC37" s="92">
        <v>-12584934.439935811</v>
      </c>
      <c r="AE37" s="92">
        <v>85691257.887392491</v>
      </c>
      <c r="AF37" s="92">
        <v>37713671.199557818</v>
      </c>
      <c r="AG37" s="92">
        <v>-55910828.875426866</v>
      </c>
      <c r="AH37" s="92" t="s">
        <v>264</v>
      </c>
      <c r="AI37" s="92" t="s">
        <v>264</v>
      </c>
      <c r="FX37" s="8"/>
    </row>
    <row r="38" spans="1:180" x14ac:dyDescent="0.25">
      <c r="N38" s="8"/>
      <c r="P38" s="93">
        <v>44905.916666666664</v>
      </c>
      <c r="Q38" s="93" t="s">
        <v>56</v>
      </c>
      <c r="R38" s="92">
        <v>-202829124.61346349</v>
      </c>
      <c r="S38" s="92">
        <v>-1216842.9253521571</v>
      </c>
      <c r="T38" s="92">
        <v>-7021698.6218052749</v>
      </c>
      <c r="U38" s="92">
        <v>-79935060.856568977</v>
      </c>
      <c r="V38" s="92">
        <v>39171081.07</v>
      </c>
      <c r="W38" s="92">
        <v>290334214.74913687</v>
      </c>
      <c r="X38" s="92">
        <v>393418.10164619109</v>
      </c>
      <c r="Y38" s="92">
        <v>1973107.5220439797</v>
      </c>
      <c r="Z38" s="92">
        <v>-34287671.676241741</v>
      </c>
      <c r="AA38" s="92">
        <v>44307200</v>
      </c>
      <c r="AB38" s="92">
        <v>50888622.749395467</v>
      </c>
      <c r="AC38" s="92">
        <v>-17463591.131631278</v>
      </c>
      <c r="AE38" s="92">
        <v>85712382.300292492</v>
      </c>
      <c r="AF38" s="92">
        <v>38555137.114913069</v>
      </c>
      <c r="AG38" s="92">
        <v>-55915305.534178823</v>
      </c>
      <c r="AH38" s="92" t="s">
        <v>264</v>
      </c>
      <c r="AI38" s="92" t="s">
        <v>264</v>
      </c>
      <c r="FX38" s="8"/>
    </row>
    <row r="39" spans="1:180" x14ac:dyDescent="0.25">
      <c r="A39" s="97" t="s">
        <v>262</v>
      </c>
      <c r="B39" s="89" t="s">
        <v>461</v>
      </c>
      <c r="C39" s="89" t="s">
        <v>54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"/>
      <c r="P39" s="93">
        <v>44904.916666666664</v>
      </c>
      <c r="Q39" s="93" t="s">
        <v>56</v>
      </c>
      <c r="R39" s="92">
        <v>-202777378.44364104</v>
      </c>
      <c r="S39" s="92">
        <v>-1217934.5620066565</v>
      </c>
      <c r="T39" s="92">
        <v>-7274245.1437977217</v>
      </c>
      <c r="U39" s="92">
        <v>-79928640.827797428</v>
      </c>
      <c r="V39" s="92">
        <v>39171081.07</v>
      </c>
      <c r="W39" s="92">
        <v>290517366.62395757</v>
      </c>
      <c r="X39" s="92">
        <v>408369.69462038192</v>
      </c>
      <c r="Y39" s="92">
        <v>2659435.2150975252</v>
      </c>
      <c r="Z39" s="92">
        <v>-19797634.917358965</v>
      </c>
      <c r="AA39" s="92">
        <v>44307200</v>
      </c>
      <c r="AB39" s="92">
        <v>66067618.709073693</v>
      </c>
      <c r="AC39" s="92">
        <v>-1422954.8432824314</v>
      </c>
      <c r="AE39" s="92">
        <v>84769681.245892495</v>
      </c>
      <c r="AF39" s="92">
        <v>38634465.316651039</v>
      </c>
      <c r="AG39" s="92">
        <v>-55913573.010187425</v>
      </c>
      <c r="AH39" s="92" t="s">
        <v>264</v>
      </c>
      <c r="AI39" s="92" t="s">
        <v>264</v>
      </c>
      <c r="FX39" s="8"/>
    </row>
    <row r="40" spans="1:180" x14ac:dyDescent="0.25">
      <c r="A40" s="62">
        <v>44937.916666666664</v>
      </c>
      <c r="B40" s="33" t="s">
        <v>270</v>
      </c>
      <c r="C40" s="33" t="s">
        <v>169</v>
      </c>
      <c r="D40" s="33" t="s">
        <v>208</v>
      </c>
      <c r="E40" s="33" t="s">
        <v>263</v>
      </c>
      <c r="F40" s="33" t="s">
        <v>195</v>
      </c>
      <c r="G40" s="33" t="s">
        <v>309</v>
      </c>
      <c r="H40" s="33" t="s">
        <v>85</v>
      </c>
      <c r="I40" s="33" t="s">
        <v>253</v>
      </c>
      <c r="J40" s="33" t="s">
        <v>13</v>
      </c>
      <c r="K40" s="33" t="s">
        <v>17</v>
      </c>
      <c r="L40" s="33" t="s">
        <v>280</v>
      </c>
      <c r="M40" s="33" t="s">
        <v>56</v>
      </c>
      <c r="N40" s="8"/>
      <c r="P40" s="93">
        <v>44903.916666666664</v>
      </c>
      <c r="Q40" s="93" t="s">
        <v>56</v>
      </c>
      <c r="R40" s="92">
        <v>-203445799.34103248</v>
      </c>
      <c r="S40" s="92">
        <v>-1217048.3013517286</v>
      </c>
      <c r="T40" s="92">
        <v>-8136600.424700561</v>
      </c>
      <c r="U40" s="92">
        <v>-80330536.42277585</v>
      </c>
      <c r="V40" s="92">
        <v>39527509.210000001</v>
      </c>
      <c r="W40" s="92">
        <v>312612196.39828932</v>
      </c>
      <c r="X40" s="92">
        <v>127154.95208777933</v>
      </c>
      <c r="Y40" s="92">
        <v>5605901.9716402302</v>
      </c>
      <c r="Z40" s="92">
        <v>-27139757.066696502</v>
      </c>
      <c r="AA40" s="92">
        <v>19916725</v>
      </c>
      <c r="AB40" s="92">
        <v>57519745.975460202</v>
      </c>
      <c r="AC40" s="92">
        <v>-18088599.762253359</v>
      </c>
      <c r="AE40" s="92">
        <v>70553281.609692514</v>
      </c>
      <c r="AF40" s="92">
        <v>59281655.618237644</v>
      </c>
      <c r="AG40" s="92">
        <v>-54226591.490216598</v>
      </c>
      <c r="AH40" s="92" t="s">
        <v>264</v>
      </c>
      <c r="AI40" s="92" t="s">
        <v>264</v>
      </c>
      <c r="FX40" s="8"/>
    </row>
    <row r="41" spans="1:180" x14ac:dyDescent="0.25">
      <c r="B41" s="96" t="s">
        <v>11</v>
      </c>
      <c r="C41" s="186"/>
      <c r="D41" s="186"/>
      <c r="E41" s="186">
        <v>-1884912.0808558373</v>
      </c>
      <c r="F41" s="186"/>
      <c r="G41" s="186"/>
      <c r="H41" s="186">
        <v>84811950.59571965</v>
      </c>
      <c r="I41" s="186">
        <v>-455735.47740034951</v>
      </c>
      <c r="J41" s="186">
        <v>-24666735.043581162</v>
      </c>
      <c r="K41" s="186">
        <v>63871761.440153755</v>
      </c>
      <c r="L41" s="186"/>
      <c r="M41" s="186">
        <v>121676329.43403608</v>
      </c>
      <c r="N41" s="8"/>
      <c r="P41" s="93">
        <v>44902.916666666664</v>
      </c>
      <c r="Q41" s="93" t="s">
        <v>56</v>
      </c>
      <c r="R41" s="92">
        <v>-201463970.67796692</v>
      </c>
      <c r="S41" s="92">
        <v>-1212888.2174451593</v>
      </c>
      <c r="T41" s="92">
        <v>-5824455.8775396515</v>
      </c>
      <c r="U41" s="92">
        <v>-98358329.356688306</v>
      </c>
      <c r="V41" s="92">
        <v>38161902.810000002</v>
      </c>
      <c r="W41" s="92">
        <v>305755855.28750974</v>
      </c>
      <c r="X41" s="92">
        <v>646372.34736177721</v>
      </c>
      <c r="Y41" s="92">
        <v>5018984.8627329208</v>
      </c>
      <c r="Z41" s="92">
        <v>-33795525.836397789</v>
      </c>
      <c r="AA41" s="92">
        <v>60353400</v>
      </c>
      <c r="AB41" s="92">
        <v>69281345.341566533</v>
      </c>
      <c r="AC41" s="92">
        <v>-2297830.15224953</v>
      </c>
      <c r="AE41" s="92">
        <v>86408440.488692507</v>
      </c>
      <c r="AF41" s="92">
        <v>41100223.617593564</v>
      </c>
      <c r="AG41" s="92">
        <v>-55929488.612470016</v>
      </c>
      <c r="AH41" s="92" t="s">
        <v>264</v>
      </c>
      <c r="AI41" s="92" t="s">
        <v>264</v>
      </c>
      <c r="FX41" s="8"/>
    </row>
    <row r="42" spans="1:180" x14ac:dyDescent="0.25">
      <c r="B42" s="96" t="s">
        <v>217</v>
      </c>
      <c r="C42" s="186"/>
      <c r="D42" s="186"/>
      <c r="E42" s="186"/>
      <c r="F42" s="186"/>
      <c r="G42" s="186"/>
      <c r="H42" s="186">
        <v>171.32566446302621</v>
      </c>
      <c r="I42" s="186"/>
      <c r="J42" s="186"/>
      <c r="K42" s="186"/>
      <c r="L42" s="186"/>
      <c r="M42" s="186">
        <v>171.32566446302621</v>
      </c>
      <c r="N42" s="8"/>
      <c r="P42" s="93">
        <v>44901.916666666664</v>
      </c>
      <c r="Q42" s="93" t="s">
        <v>56</v>
      </c>
      <c r="R42" s="92">
        <v>-202669320.02529919</v>
      </c>
      <c r="S42" s="92">
        <v>-1218053.5241540836</v>
      </c>
      <c r="T42" s="92">
        <v>-6576566.840041331</v>
      </c>
      <c r="U42" s="92">
        <v>-99623610.640096977</v>
      </c>
      <c r="V42" s="92">
        <v>38697201.609999999</v>
      </c>
      <c r="W42" s="92">
        <v>309512204.35836285</v>
      </c>
      <c r="X42" s="92">
        <v>249022.25660771495</v>
      </c>
      <c r="Y42" s="92">
        <v>4595377.678956409</v>
      </c>
      <c r="Z42" s="92">
        <v>-42287816.613840982</v>
      </c>
      <c r="AA42" s="92">
        <v>61979150</v>
      </c>
      <c r="AB42" s="92">
        <v>62657588.260494441</v>
      </c>
      <c r="AC42" s="92">
        <v>1788893.4664799571</v>
      </c>
      <c r="AE42" s="92">
        <v>74224052.480492488</v>
      </c>
      <c r="AF42" s="92">
        <v>42578201.495683908</v>
      </c>
      <c r="AG42" s="92">
        <v>-55933559.182161912</v>
      </c>
      <c r="AH42" s="92" t="s">
        <v>264</v>
      </c>
      <c r="AI42" s="92" t="s">
        <v>264</v>
      </c>
      <c r="FX42" s="8"/>
    </row>
    <row r="43" spans="1:180" x14ac:dyDescent="0.25">
      <c r="B43" s="96" t="s">
        <v>97</v>
      </c>
      <c r="C43" s="186"/>
      <c r="D43" s="186"/>
      <c r="E43" s="186"/>
      <c r="F43" s="186"/>
      <c r="G43" s="186"/>
      <c r="H43" s="186">
        <v>161112.0071598237</v>
      </c>
      <c r="I43" s="186"/>
      <c r="J43" s="186"/>
      <c r="K43" s="186"/>
      <c r="L43" s="186"/>
      <c r="M43" s="186">
        <v>161112.0071598237</v>
      </c>
      <c r="N43" s="8"/>
      <c r="P43" s="93">
        <v>44900.916666666664</v>
      </c>
      <c r="Q43" s="93" t="s">
        <v>56</v>
      </c>
      <c r="R43" s="92">
        <v>-202324055.17127675</v>
      </c>
      <c r="S43" s="92">
        <v>-1215662.8548244501</v>
      </c>
      <c r="T43" s="92">
        <v>-6775307.9929701956</v>
      </c>
      <c r="U43" s="92">
        <v>-98952687.847298771</v>
      </c>
      <c r="V43" s="92">
        <v>38372217.630000003</v>
      </c>
      <c r="W43" s="92">
        <v>309556922.80022401</v>
      </c>
      <c r="X43" s="92">
        <v>687098.099653285</v>
      </c>
      <c r="Y43" s="92">
        <v>2710442.4972678423</v>
      </c>
      <c r="Z43" s="92">
        <v>-21970083.454896964</v>
      </c>
      <c r="AA43" s="92">
        <v>68291125</v>
      </c>
      <c r="AB43" s="92">
        <v>88380008.705877975</v>
      </c>
      <c r="AC43" s="92">
        <v>6899364.6753168255</v>
      </c>
      <c r="AE43" s="92">
        <v>97880674.236592501</v>
      </c>
      <c r="AF43" s="92">
        <v>39163350.529799148</v>
      </c>
      <c r="AG43" s="92">
        <v>-55563380.735830478</v>
      </c>
      <c r="AH43" s="92" t="s">
        <v>264</v>
      </c>
      <c r="AI43" s="92" t="s">
        <v>264</v>
      </c>
      <c r="FX43" s="8"/>
    </row>
    <row r="44" spans="1:180" x14ac:dyDescent="0.25">
      <c r="B44" s="96" t="s">
        <v>101</v>
      </c>
      <c r="C44" s="186"/>
      <c r="D44" s="186"/>
      <c r="E44" s="186"/>
      <c r="F44" s="186">
        <v>-73358134.531796023</v>
      </c>
      <c r="G44" s="186"/>
      <c r="H44" s="186">
        <v>121264785.9541329</v>
      </c>
      <c r="I44" s="186"/>
      <c r="J44" s="186"/>
      <c r="K44" s="186"/>
      <c r="L44" s="186"/>
      <c r="M44" s="186">
        <v>47906651.422336876</v>
      </c>
      <c r="N44" s="8"/>
      <c r="P44" s="93">
        <v>44899.916666666664</v>
      </c>
      <c r="Q44" s="93" t="s">
        <v>56</v>
      </c>
      <c r="R44" s="92">
        <v>-209161907.34479925</v>
      </c>
      <c r="S44" s="92">
        <v>-1217215.2469893673</v>
      </c>
      <c r="T44" s="92">
        <v>-11134626.953913318</v>
      </c>
      <c r="U44" s="92">
        <v>-99686430.566493794</v>
      </c>
      <c r="V44" s="92">
        <v>39251800.789999999</v>
      </c>
      <c r="W44" s="92">
        <v>312552685.00828582</v>
      </c>
      <c r="X44" s="92">
        <v>450783.12698962551</v>
      </c>
      <c r="Y44" s="92">
        <v>19953239.562874682</v>
      </c>
      <c r="Z44" s="92">
        <v>-30108275.109949321</v>
      </c>
      <c r="AA44" s="92">
        <v>32825475</v>
      </c>
      <c r="AB44" s="92">
        <v>53725528.266005076</v>
      </c>
      <c r="AC44" s="92">
        <v>-1584781.1964210868</v>
      </c>
      <c r="AE44" s="92">
        <v>62534047.08879251</v>
      </c>
      <c r="AF44" s="92">
        <v>47446562.780067734</v>
      </c>
      <c r="AG44" s="92">
        <v>-54670300.406434081</v>
      </c>
      <c r="AH44" s="92" t="s">
        <v>264</v>
      </c>
      <c r="AI44" s="92" t="s">
        <v>264</v>
      </c>
      <c r="FX44" s="8"/>
    </row>
    <row r="45" spans="1:180" x14ac:dyDescent="0.25">
      <c r="B45" s="96" t="s">
        <v>259</v>
      </c>
      <c r="C45" s="186"/>
      <c r="D45" s="186"/>
      <c r="E45" s="186"/>
      <c r="F45" s="186"/>
      <c r="G45" s="186"/>
      <c r="H45" s="186">
        <v>830007.48</v>
      </c>
      <c r="I45" s="186"/>
      <c r="J45" s="186"/>
      <c r="K45" s="186"/>
      <c r="L45" s="186"/>
      <c r="M45" s="186">
        <v>830007.48</v>
      </c>
      <c r="N45" s="8"/>
      <c r="P45" s="93">
        <v>44898.916666666664</v>
      </c>
      <c r="Q45" s="93" t="s">
        <v>56</v>
      </c>
      <c r="R45" s="92">
        <v>-207954907.41815981</v>
      </c>
      <c r="S45" s="92">
        <v>-1218306.8320610037</v>
      </c>
      <c r="T45" s="92">
        <v>-5024745.5336466637</v>
      </c>
      <c r="U45" s="92">
        <v>-98451049.738785595</v>
      </c>
      <c r="V45" s="92">
        <v>39251800.789999999</v>
      </c>
      <c r="W45" s="92">
        <v>304376012.09463048</v>
      </c>
      <c r="X45" s="92">
        <v>561850.51488827984</v>
      </c>
      <c r="Y45" s="92">
        <v>23796391.192781691</v>
      </c>
      <c r="Z45" s="92">
        <v>-26506977.891181141</v>
      </c>
      <c r="AA45" s="92">
        <v>32825475</v>
      </c>
      <c r="AB45" s="92">
        <v>61655542.178466223</v>
      </c>
      <c r="AC45" s="92">
        <v>-14965477.991127379</v>
      </c>
      <c r="AE45" s="92">
        <v>85343128.174992502</v>
      </c>
      <c r="AF45" s="92">
        <v>45944850.292182162</v>
      </c>
      <c r="AG45" s="92">
        <v>-54666958.297581054</v>
      </c>
      <c r="AH45" s="92" t="s">
        <v>264</v>
      </c>
      <c r="AI45" s="92" t="s">
        <v>264</v>
      </c>
      <c r="FX45" s="8"/>
    </row>
    <row r="46" spans="1:180" x14ac:dyDescent="0.25">
      <c r="B46" s="96" t="s">
        <v>294</v>
      </c>
      <c r="C46" s="186"/>
      <c r="D46" s="186"/>
      <c r="E46" s="186">
        <v>-9992355.3370650895</v>
      </c>
      <c r="F46" s="186"/>
      <c r="G46" s="186"/>
      <c r="H46" s="186">
        <v>14726238.046289872</v>
      </c>
      <c r="I46" s="186"/>
      <c r="J46" s="186"/>
      <c r="K46" s="186"/>
      <c r="L46" s="186"/>
      <c r="M46" s="186">
        <v>4733882.7092247829</v>
      </c>
      <c r="N46" s="8"/>
      <c r="P46" s="93">
        <v>44897.916666666664</v>
      </c>
      <c r="Q46" s="93" t="s">
        <v>56</v>
      </c>
      <c r="R46" s="92">
        <v>-209430414.36938924</v>
      </c>
      <c r="S46" s="92">
        <v>-1215141.9932919771</v>
      </c>
      <c r="T46" s="92">
        <v>-8506468.5736684762</v>
      </c>
      <c r="U46" s="92">
        <v>-99843629.013954192</v>
      </c>
      <c r="V46" s="92">
        <v>39251800.789999999</v>
      </c>
      <c r="W46" s="92">
        <v>309986024.8598026</v>
      </c>
      <c r="X46" s="92">
        <v>609786.59138487058</v>
      </c>
      <c r="Y46" s="92">
        <v>24267973.067719091</v>
      </c>
      <c r="Z46" s="92">
        <v>-39364194.479316399</v>
      </c>
      <c r="AA46" s="92">
        <v>32825475</v>
      </c>
      <c r="AB46" s="92">
        <v>48581211.879286215</v>
      </c>
      <c r="AC46" s="92">
        <v>-9612378.8235948607</v>
      </c>
      <c r="AE46" s="92">
        <v>60749746.307192512</v>
      </c>
      <c r="AF46" s="92">
        <v>52115985.612383291</v>
      </c>
      <c r="AG46" s="92">
        <v>-54672141.216694735</v>
      </c>
      <c r="AH46" s="92" t="s">
        <v>264</v>
      </c>
      <c r="AI46" s="92" t="s">
        <v>264</v>
      </c>
      <c r="FX46" s="8"/>
    </row>
    <row r="47" spans="1:180" x14ac:dyDescent="0.25">
      <c r="B47" s="96" t="s">
        <v>32</v>
      </c>
      <c r="C47" s="186"/>
      <c r="D47" s="186"/>
      <c r="E47" s="186"/>
      <c r="F47" s="186"/>
      <c r="G47" s="186"/>
      <c r="H47" s="186">
        <v>17159.550121332999</v>
      </c>
      <c r="I47" s="186"/>
      <c r="J47" s="186"/>
      <c r="K47" s="186">
        <v>-29224.020080679002</v>
      </c>
      <c r="L47" s="186"/>
      <c r="M47" s="186">
        <v>-12064.469959346003</v>
      </c>
      <c r="N47" s="8"/>
      <c r="P47" s="93">
        <v>44896.916666666664</v>
      </c>
      <c r="Q47" s="93" t="s">
        <v>56</v>
      </c>
      <c r="R47" s="92">
        <v>-226285677.655339</v>
      </c>
      <c r="S47" s="92">
        <v>-1213066.8442464541</v>
      </c>
      <c r="T47" s="92">
        <v>-7368174.560338797</v>
      </c>
      <c r="U47" s="92">
        <v>-99140067.194777161</v>
      </c>
      <c r="V47" s="92">
        <v>42505254.690000005</v>
      </c>
      <c r="W47" s="92">
        <v>321335009.29683244</v>
      </c>
      <c r="X47" s="92">
        <v>635660.38590619364</v>
      </c>
      <c r="Y47" s="92">
        <v>24576437.080732137</v>
      </c>
      <c r="Z47" s="92">
        <v>-47547619.159247503</v>
      </c>
      <c r="AA47" s="92">
        <v>52898025</v>
      </c>
      <c r="AB47" s="92">
        <v>60395781.039521731</v>
      </c>
      <c r="AC47" s="92">
        <v>-3794036.4519682601</v>
      </c>
      <c r="AE47" s="92">
        <v>76409431.157492504</v>
      </c>
      <c r="AF47" s="92">
        <v>54868219.154191516</v>
      </c>
      <c r="AG47" s="92">
        <v>-67087832.820194021</v>
      </c>
      <c r="AH47" s="92" t="s">
        <v>264</v>
      </c>
      <c r="AI47" s="92" t="s">
        <v>264</v>
      </c>
      <c r="FX47" s="8"/>
    </row>
    <row r="48" spans="1:180" x14ac:dyDescent="0.25">
      <c r="B48" s="96" t="s">
        <v>265</v>
      </c>
      <c r="C48" s="186"/>
      <c r="D48" s="186"/>
      <c r="E48" s="186"/>
      <c r="F48" s="186"/>
      <c r="G48" s="186">
        <v>32094151.739999998</v>
      </c>
      <c r="H48" s="186"/>
      <c r="I48" s="186"/>
      <c r="J48" s="186"/>
      <c r="K48" s="186"/>
      <c r="L48" s="186">
        <v>-42709075</v>
      </c>
      <c r="M48" s="186">
        <v>-10614923.260000002</v>
      </c>
      <c r="N48" s="8"/>
      <c r="FX48" s="8"/>
    </row>
    <row r="49" spans="2:181" x14ac:dyDescent="0.25">
      <c r="B49" s="96" t="s">
        <v>186</v>
      </c>
      <c r="C49" s="186"/>
      <c r="D49" s="186"/>
      <c r="E49" s="186"/>
      <c r="F49" s="186"/>
      <c r="G49" s="186"/>
      <c r="H49" s="186">
        <v>32652999.842057932</v>
      </c>
      <c r="I49" s="186"/>
      <c r="J49" s="186"/>
      <c r="K49" s="186"/>
      <c r="L49" s="186"/>
      <c r="M49" s="186">
        <v>32652999.842057932</v>
      </c>
      <c r="N49" s="8"/>
      <c r="AC49" s="8"/>
      <c r="FX49" s="8"/>
    </row>
    <row r="50" spans="2:181" x14ac:dyDescent="0.25">
      <c r="B50" s="96" t="s">
        <v>170</v>
      </c>
      <c r="C50" s="186">
        <v>-209013371.61921322</v>
      </c>
      <c r="D50" s="186"/>
      <c r="E50" s="186"/>
      <c r="F50" s="186"/>
      <c r="G50" s="186"/>
      <c r="H50" s="186">
        <v>13183585.13522521</v>
      </c>
      <c r="I50" s="186"/>
      <c r="J50" s="186"/>
      <c r="K50" s="186"/>
      <c r="L50" s="186"/>
      <c r="M50" s="186">
        <v>-195829786.48398802</v>
      </c>
      <c r="N50" s="8"/>
      <c r="FX50" s="8"/>
    </row>
    <row r="51" spans="2:181" x14ac:dyDescent="0.25">
      <c r="B51" s="96" t="s">
        <v>295</v>
      </c>
      <c r="C51" s="186"/>
      <c r="D51" s="186"/>
      <c r="E51" s="186"/>
      <c r="F51" s="186"/>
      <c r="G51" s="186"/>
      <c r="H51" s="186">
        <v>20675.000230173195</v>
      </c>
      <c r="I51" s="186"/>
      <c r="J51" s="186"/>
      <c r="K51" s="186"/>
      <c r="L51" s="186"/>
      <c r="M51" s="186">
        <v>20675.000230173195</v>
      </c>
      <c r="N51" s="8"/>
      <c r="FY51" s="8"/>
    </row>
    <row r="52" spans="2:181" x14ac:dyDescent="0.25">
      <c r="B52" s="96" t="s">
        <v>39</v>
      </c>
      <c r="C52" s="186"/>
      <c r="D52" s="186"/>
      <c r="E52" s="186"/>
      <c r="F52" s="186">
        <v>-10610020.305694601</v>
      </c>
      <c r="G52" s="186"/>
      <c r="H52" s="186">
        <v>13415236.81106717</v>
      </c>
      <c r="I52" s="186">
        <v>-23606.433398917277</v>
      </c>
      <c r="J52" s="186"/>
      <c r="K52" s="186">
        <v>-583651.51210000005</v>
      </c>
      <c r="L52" s="186"/>
      <c r="M52" s="186">
        <v>2197958.5598736517</v>
      </c>
      <c r="N52" s="8"/>
      <c r="FY52" s="8"/>
    </row>
    <row r="53" spans="2:181" x14ac:dyDescent="0.25">
      <c r="B53" s="96" t="s">
        <v>167</v>
      </c>
      <c r="C53" s="186"/>
      <c r="D53" s="186"/>
      <c r="E53" s="186"/>
      <c r="F53" s="186"/>
      <c r="G53" s="186"/>
      <c r="H53" s="186">
        <v>180155.99497192688</v>
      </c>
      <c r="I53" s="186"/>
      <c r="J53" s="186"/>
      <c r="K53" s="186"/>
      <c r="L53" s="186"/>
      <c r="M53" s="186">
        <v>180155.99497192688</v>
      </c>
      <c r="N53" s="8"/>
      <c r="FY53" s="8"/>
    </row>
    <row r="54" spans="2:181" x14ac:dyDescent="0.25">
      <c r="B54" s="96" t="s">
        <v>172</v>
      </c>
      <c r="C54" s="186"/>
      <c r="D54" s="186"/>
      <c r="E54" s="186"/>
      <c r="F54" s="186"/>
      <c r="G54" s="186"/>
      <c r="H54" s="186">
        <v>0.69659635254239105</v>
      </c>
      <c r="I54" s="186"/>
      <c r="J54" s="186"/>
      <c r="K54" s="186"/>
      <c r="L54" s="186"/>
      <c r="M54" s="186">
        <v>0.69659635254239105</v>
      </c>
      <c r="N54" s="8"/>
      <c r="FY54" s="8"/>
    </row>
    <row r="55" spans="2:181" x14ac:dyDescent="0.25">
      <c r="B55" s="96" t="s">
        <v>173</v>
      </c>
      <c r="C55" s="186"/>
      <c r="D55" s="186"/>
      <c r="E55" s="186"/>
      <c r="F55" s="186"/>
      <c r="G55" s="186"/>
      <c r="H55" s="186">
        <v>10139.36563</v>
      </c>
      <c r="I55" s="186"/>
      <c r="J55" s="186"/>
      <c r="K55" s="186"/>
      <c r="L55" s="186"/>
      <c r="M55" s="186">
        <v>10139.36563</v>
      </c>
      <c r="N55" s="8"/>
      <c r="FY55" s="8"/>
    </row>
    <row r="56" spans="2:181" x14ac:dyDescent="0.25">
      <c r="B56" s="96" t="s">
        <v>45</v>
      </c>
      <c r="C56" s="186"/>
      <c r="D56" s="186"/>
      <c r="E56" s="186">
        <v>-171175.47622227017</v>
      </c>
      <c r="F56" s="186"/>
      <c r="G56" s="186"/>
      <c r="H56" s="186">
        <v>26933434.809645422</v>
      </c>
      <c r="I56" s="186">
        <v>-309775.05340360722</v>
      </c>
      <c r="J56" s="186">
        <v>-9280946.227572633</v>
      </c>
      <c r="K56" s="186">
        <v>14653215.939119453</v>
      </c>
      <c r="L56" s="186"/>
      <c r="M56" s="186">
        <v>31824753.99156636</v>
      </c>
      <c r="N56" s="8"/>
      <c r="FY56" s="8"/>
    </row>
    <row r="57" spans="2:181" x14ac:dyDescent="0.25">
      <c r="B57" s="96" t="s">
        <v>209</v>
      </c>
      <c r="C57" s="186"/>
      <c r="D57" s="186">
        <v>-1188018.9868432852</v>
      </c>
      <c r="E57" s="186"/>
      <c r="F57" s="186"/>
      <c r="G57" s="186"/>
      <c r="H57" s="186"/>
      <c r="I57" s="186"/>
      <c r="J57" s="186"/>
      <c r="K57" s="186"/>
      <c r="L57" s="186"/>
      <c r="M57" s="186">
        <v>-1188018.9868432852</v>
      </c>
      <c r="N57" s="8"/>
      <c r="FY57" s="8"/>
    </row>
    <row r="58" spans="2:181" x14ac:dyDescent="0.25">
      <c r="B58" s="96" t="s">
        <v>176</v>
      </c>
      <c r="C58" s="186"/>
      <c r="D58" s="186"/>
      <c r="E58" s="186"/>
      <c r="F58" s="186"/>
      <c r="G58" s="186"/>
      <c r="H58" s="186">
        <v>1.0211975274776108</v>
      </c>
      <c r="I58" s="186"/>
      <c r="J58" s="186"/>
      <c r="K58" s="186"/>
      <c r="L58" s="186"/>
      <c r="M58" s="186">
        <v>1.0211975274776108</v>
      </c>
      <c r="N58" s="8"/>
      <c r="FY58" s="8"/>
    </row>
    <row r="59" spans="2:181" x14ac:dyDescent="0.25">
      <c r="B59" s="96" t="s">
        <v>211</v>
      </c>
      <c r="C59" s="186"/>
      <c r="D59" s="186">
        <v>-75.269405544221101</v>
      </c>
      <c r="E59" s="186"/>
      <c r="F59" s="186"/>
      <c r="G59" s="186"/>
      <c r="H59" s="186"/>
      <c r="I59" s="186"/>
      <c r="J59" s="186"/>
      <c r="K59" s="186"/>
      <c r="L59" s="186"/>
      <c r="M59" s="186">
        <v>-75.269405544221101</v>
      </c>
      <c r="N59" s="8"/>
      <c r="FY59" s="8"/>
    </row>
    <row r="60" spans="2:181" x14ac:dyDescent="0.25">
      <c r="B60" s="96" t="s">
        <v>182</v>
      </c>
      <c r="C60" s="186"/>
      <c r="D60" s="186"/>
      <c r="E60" s="186"/>
      <c r="F60" s="186"/>
      <c r="G60" s="186"/>
      <c r="H60" s="186">
        <v>28420.510837985399</v>
      </c>
      <c r="I60" s="186"/>
      <c r="J60" s="186"/>
      <c r="K60" s="186"/>
      <c r="L60" s="186"/>
      <c r="M60" s="186">
        <v>28420.510837985399</v>
      </c>
      <c r="N60" s="8"/>
      <c r="FY60" s="8"/>
    </row>
    <row r="61" spans="2:181" x14ac:dyDescent="0.25">
      <c r="B61" s="96" t="s">
        <v>184</v>
      </c>
      <c r="C61" s="186"/>
      <c r="D61" s="186"/>
      <c r="E61" s="186">
        <v>-273785.72042784397</v>
      </c>
      <c r="F61" s="186"/>
      <c r="G61" s="186"/>
      <c r="H61" s="186">
        <v>3565022.8365784101</v>
      </c>
      <c r="I61" s="186"/>
      <c r="J61" s="186"/>
      <c r="K61" s="186"/>
      <c r="L61" s="186"/>
      <c r="M61" s="186">
        <v>3291237.1161505664</v>
      </c>
      <c r="N61" s="8"/>
      <c r="FY61" s="8"/>
    </row>
    <row r="62" spans="2:181" x14ac:dyDescent="0.25">
      <c r="B62" s="96" t="s">
        <v>427</v>
      </c>
      <c r="C62" s="186"/>
      <c r="D62" s="186"/>
      <c r="E62" s="186"/>
      <c r="F62" s="186"/>
      <c r="G62" s="186">
        <v>79941.919999999998</v>
      </c>
      <c r="H62" s="186"/>
      <c r="I62" s="186"/>
      <c r="J62" s="186"/>
      <c r="K62" s="186"/>
      <c r="L62" s="186"/>
      <c r="M62" s="186">
        <v>79941.919999999998</v>
      </c>
      <c r="N62" s="8"/>
      <c r="FY62" s="8"/>
    </row>
    <row r="63" spans="2:181" x14ac:dyDescent="0.25">
      <c r="B63" s="90" t="s">
        <v>56</v>
      </c>
      <c r="C63" s="91">
        <v>-209013371.61921322</v>
      </c>
      <c r="D63" s="91">
        <v>-1188094.2562488294</v>
      </c>
      <c r="E63" s="91">
        <v>-12322228.614571042</v>
      </c>
      <c r="F63" s="91">
        <v>-83968154.837490618</v>
      </c>
      <c r="G63" s="91">
        <v>32174093.66</v>
      </c>
      <c r="H63" s="91">
        <v>311801096.98312604</v>
      </c>
      <c r="I63" s="91">
        <v>-789116.96420287399</v>
      </c>
      <c r="J63" s="91">
        <v>-33947681.271153793</v>
      </c>
      <c r="K63" s="91">
        <v>77912101.847092524</v>
      </c>
      <c r="L63" s="91">
        <v>-42709075</v>
      </c>
      <c r="M63" s="91">
        <v>37949569.927338324</v>
      </c>
      <c r="N63" s="8"/>
      <c r="FY63" s="8"/>
    </row>
    <row r="64" spans="2:181" x14ac:dyDescent="0.25">
      <c r="N64" s="8"/>
      <c r="FY64" s="8"/>
    </row>
    <row r="65" spans="30:181" x14ac:dyDescent="0.25">
      <c r="FY65" s="8"/>
    </row>
    <row r="66" spans="30:181" x14ac:dyDescent="0.25">
      <c r="FY66" s="8"/>
    </row>
    <row r="67" spans="30:181" x14ac:dyDescent="0.25">
      <c r="FY67" s="8"/>
    </row>
    <row r="68" spans="30:181" x14ac:dyDescent="0.25">
      <c r="FY68" s="8"/>
    </row>
    <row r="69" spans="30:181" x14ac:dyDescent="0.25">
      <c r="FY69" s="8"/>
    </row>
    <row r="70" spans="30:181" x14ac:dyDescent="0.25">
      <c r="FY70" s="8"/>
    </row>
    <row r="71" spans="30:181" x14ac:dyDescent="0.25">
      <c r="FY71" s="8"/>
    </row>
    <row r="72" spans="30:181" x14ac:dyDescent="0.25">
      <c r="FY72" s="8"/>
    </row>
    <row r="73" spans="30:181" x14ac:dyDescent="0.25">
      <c r="FY73" s="8"/>
    </row>
    <row r="74" spans="30:181" x14ac:dyDescent="0.25">
      <c r="FY74" s="8"/>
    </row>
    <row r="75" spans="30:181" x14ac:dyDescent="0.25">
      <c r="FY75" s="8"/>
    </row>
    <row r="76" spans="30:181" x14ac:dyDescent="0.25">
      <c r="FY76" s="8"/>
    </row>
    <row r="77" spans="30:181" x14ac:dyDescent="0.25">
      <c r="FY77" s="8"/>
    </row>
    <row r="78" spans="30:181" x14ac:dyDescent="0.25">
      <c r="AD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</row>
    <row r="79" spans="30:181" x14ac:dyDescent="0.25">
      <c r="AD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</row>
    <row r="80" spans="30:181" x14ac:dyDescent="0.25">
      <c r="AD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</row>
    <row r="81" spans="30:181" x14ac:dyDescent="0.25">
      <c r="AD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</row>
    <row r="82" spans="30:181" x14ac:dyDescent="0.25">
      <c r="AD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</row>
    <row r="83" spans="30:181" x14ac:dyDescent="0.25">
      <c r="AD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</row>
    <row r="84" spans="30:181" x14ac:dyDescent="0.25">
      <c r="AD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</row>
    <row r="85" spans="30:181" x14ac:dyDescent="0.25">
      <c r="AD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</row>
    <row r="86" spans="30:181" x14ac:dyDescent="0.25">
      <c r="AD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</row>
    <row r="87" spans="30:181" x14ac:dyDescent="0.25">
      <c r="AD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</row>
    <row r="88" spans="30:181" x14ac:dyDescent="0.25">
      <c r="AD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</row>
    <row r="89" spans="30:181" x14ac:dyDescent="0.25">
      <c r="AD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</row>
    <row r="90" spans="30:181" x14ac:dyDescent="0.25">
      <c r="AD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</row>
    <row r="91" spans="30:181" x14ac:dyDescent="0.25">
      <c r="AD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</row>
    <row r="92" spans="30:181" x14ac:dyDescent="0.25">
      <c r="AD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</row>
    <row r="93" spans="30:181" x14ac:dyDescent="0.25">
      <c r="AD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</row>
    <row r="94" spans="30:181" x14ac:dyDescent="0.25">
      <c r="AD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</row>
    <row r="95" spans="30:181" x14ac:dyDescent="0.25">
      <c r="AD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</row>
    <row r="96" spans="30:181" x14ac:dyDescent="0.25">
      <c r="AD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</row>
    <row r="97" spans="30:181" x14ac:dyDescent="0.25">
      <c r="AD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</row>
    <row r="98" spans="30:181" x14ac:dyDescent="0.25">
      <c r="AD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</row>
    <row r="99" spans="30:181" x14ac:dyDescent="0.25">
      <c r="AD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</row>
    <row r="100" spans="30:181" x14ac:dyDescent="0.25">
      <c r="AD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</row>
    <row r="101" spans="30:181" x14ac:dyDescent="0.25">
      <c r="AD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</row>
    <row r="102" spans="30:181" x14ac:dyDescent="0.25">
      <c r="AD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</row>
    <row r="103" spans="30:181" x14ac:dyDescent="0.25">
      <c r="AD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</row>
    <row r="104" spans="30:181" x14ac:dyDescent="0.25">
      <c r="AD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</row>
    <row r="105" spans="30:181" x14ac:dyDescent="0.25">
      <c r="AD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</row>
    <row r="106" spans="30:181" x14ac:dyDescent="0.25">
      <c r="AD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</row>
    <row r="107" spans="30:181" x14ac:dyDescent="0.25">
      <c r="AD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</row>
    <row r="108" spans="30:181" x14ac:dyDescent="0.25">
      <c r="AD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</row>
    <row r="109" spans="30:181" x14ac:dyDescent="0.25">
      <c r="AD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</row>
    <row r="110" spans="30:181" x14ac:dyDescent="0.25">
      <c r="AD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</row>
    <row r="111" spans="30:181" x14ac:dyDescent="0.25">
      <c r="AD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</row>
    <row r="112" spans="30:181" x14ac:dyDescent="0.25">
      <c r="AD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</row>
    <row r="113" spans="30:181" x14ac:dyDescent="0.25">
      <c r="AD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</row>
    <row r="114" spans="30:181" x14ac:dyDescent="0.25">
      <c r="AD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</row>
    <row r="115" spans="30:181" x14ac:dyDescent="0.25">
      <c r="AD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</row>
    <row r="116" spans="30:181" x14ac:dyDescent="0.25">
      <c r="AD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</row>
    <row r="117" spans="30:181" x14ac:dyDescent="0.25">
      <c r="AD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</row>
    <row r="118" spans="30:181" x14ac:dyDescent="0.25">
      <c r="AD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</row>
    <row r="119" spans="30:181" x14ac:dyDescent="0.25">
      <c r="AD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</row>
    <row r="120" spans="30:181" x14ac:dyDescent="0.25"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</row>
    <row r="121" spans="30:181" x14ac:dyDescent="0.25"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</row>
    <row r="122" spans="30:181" x14ac:dyDescent="0.25"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</row>
    <row r="123" spans="30:181" x14ac:dyDescent="0.25"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</row>
    <row r="124" spans="30:181" x14ac:dyDescent="0.25"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</row>
    <row r="125" spans="30:181" x14ac:dyDescent="0.25"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</row>
    <row r="126" spans="30:181" x14ac:dyDescent="0.25"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</row>
    <row r="127" spans="30:181" x14ac:dyDescent="0.25"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</row>
    <row r="128" spans="30:181" x14ac:dyDescent="0.25"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</row>
    <row r="129" spans="30:181" x14ac:dyDescent="0.25"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</row>
    <row r="130" spans="30:181" x14ac:dyDescent="0.25"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</row>
    <row r="131" spans="30:181" x14ac:dyDescent="0.25"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</row>
    <row r="132" spans="30:181" x14ac:dyDescent="0.25"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</row>
    <row r="133" spans="30:181" x14ac:dyDescent="0.25"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</row>
    <row r="134" spans="30:181" x14ac:dyDescent="0.25"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</row>
    <row r="135" spans="30:181" x14ac:dyDescent="0.25"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</row>
    <row r="136" spans="30:181" x14ac:dyDescent="0.25"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</row>
    <row r="137" spans="30:181" x14ac:dyDescent="0.25"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</row>
    <row r="138" spans="30:181" x14ac:dyDescent="0.25"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</row>
    <row r="139" spans="30:181" x14ac:dyDescent="0.25"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</row>
    <row r="140" spans="30:181" x14ac:dyDescent="0.25"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</row>
    <row r="141" spans="30:181" x14ac:dyDescent="0.25"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</row>
    <row r="142" spans="30:181" x14ac:dyDescent="0.25"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</row>
    <row r="143" spans="30:181" x14ac:dyDescent="0.25"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</row>
    <row r="144" spans="30:181" x14ac:dyDescent="0.25"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</row>
    <row r="145" spans="16:181" x14ac:dyDescent="0.25"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</row>
    <row r="146" spans="16:181" x14ac:dyDescent="0.25"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</row>
    <row r="147" spans="16:181" x14ac:dyDescent="0.25"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</row>
    <row r="148" spans="16:181" x14ac:dyDescent="0.25"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</row>
    <row r="149" spans="16:181" x14ac:dyDescent="0.25"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</row>
    <row r="150" spans="16:181" x14ac:dyDescent="0.25"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</row>
    <row r="151" spans="16:181" x14ac:dyDescent="0.25"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</row>
    <row r="152" spans="16:181" x14ac:dyDescent="0.25"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</row>
    <row r="153" spans="16:181" x14ac:dyDescent="0.25"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</row>
    <row r="154" spans="16:181" x14ac:dyDescent="0.25"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</row>
    <row r="155" spans="16:181" x14ac:dyDescent="0.25"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</row>
    <row r="156" spans="16:181" x14ac:dyDescent="0.25"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</row>
    <row r="157" spans="16:181" x14ac:dyDescent="0.25"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</row>
    <row r="158" spans="16:181" x14ac:dyDescent="0.25"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</row>
    <row r="159" spans="16:181" x14ac:dyDescent="0.25"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</row>
    <row r="160" spans="16:181" x14ac:dyDescent="0.25"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</row>
    <row r="161" spans="16:181" x14ac:dyDescent="0.25"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</row>
    <row r="162" spans="16:181" x14ac:dyDescent="0.25"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</row>
    <row r="163" spans="16:181" x14ac:dyDescent="0.25"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E163" s="8"/>
      <c r="AF163" s="8"/>
      <c r="AG163" s="8"/>
      <c r="AH163" s="8"/>
      <c r="AI163" s="8"/>
    </row>
    <row r="164" spans="16:181" x14ac:dyDescent="0.25"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E164" s="8"/>
      <c r="AF164" s="8"/>
      <c r="AG164" s="8"/>
      <c r="AH164" s="8"/>
      <c r="AI164" s="8"/>
    </row>
    <row r="165" spans="16:181" x14ac:dyDescent="0.25"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E165" s="8"/>
      <c r="AF165" s="8"/>
      <c r="AG165" s="8"/>
      <c r="AH165" s="8"/>
      <c r="AI165" s="8"/>
    </row>
    <row r="166" spans="16:181" x14ac:dyDescent="0.25"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E166" s="8"/>
      <c r="AF166" s="8"/>
      <c r="AG166" s="8"/>
      <c r="AH166" s="8"/>
      <c r="AI166" s="8"/>
    </row>
    <row r="167" spans="16:181" x14ac:dyDescent="0.25"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E167" s="8"/>
      <c r="AF167" s="8"/>
      <c r="AG167" s="8"/>
      <c r="AH167" s="8"/>
      <c r="AI167" s="8"/>
    </row>
    <row r="168" spans="16:181" x14ac:dyDescent="0.25"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E168" s="8"/>
      <c r="AF168" s="8"/>
      <c r="AG168" s="8"/>
      <c r="AH168" s="8"/>
      <c r="AI168" s="8"/>
    </row>
    <row r="169" spans="16:181" x14ac:dyDescent="0.25"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E169" s="8"/>
      <c r="AF169" s="8"/>
      <c r="AG169" s="8"/>
      <c r="AH169" s="8"/>
      <c r="AI169" s="8"/>
    </row>
    <row r="170" spans="16:181" x14ac:dyDescent="0.25"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E170" s="8"/>
      <c r="AF170" s="8"/>
      <c r="AG170" s="8"/>
      <c r="AH170" s="8"/>
      <c r="AI170" s="8"/>
    </row>
    <row r="171" spans="16:181" x14ac:dyDescent="0.25"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E171" s="8"/>
      <c r="AF171" s="8"/>
      <c r="AG171" s="8"/>
      <c r="AH171" s="8"/>
      <c r="AI171" s="8"/>
    </row>
    <row r="172" spans="16:181" x14ac:dyDescent="0.25"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E172" s="8"/>
      <c r="AF172" s="8"/>
      <c r="AG172" s="8"/>
      <c r="AH172" s="8"/>
      <c r="AI172" s="8"/>
    </row>
    <row r="173" spans="16:181" x14ac:dyDescent="0.25"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E173" s="8"/>
      <c r="AF173" s="8"/>
      <c r="AG173" s="8"/>
      <c r="AH173" s="8"/>
      <c r="AI173" s="8"/>
    </row>
    <row r="174" spans="16:181" x14ac:dyDescent="0.25"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E174" s="8"/>
      <c r="AF174" s="8"/>
      <c r="AG174" s="8"/>
      <c r="AH174" s="8"/>
      <c r="AI174" s="8"/>
    </row>
    <row r="175" spans="16:181" x14ac:dyDescent="0.25"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E175" s="8"/>
      <c r="AF175" s="8"/>
      <c r="AG175" s="8"/>
      <c r="AH175" s="8"/>
      <c r="AI175" s="8"/>
    </row>
    <row r="176" spans="16:181" x14ac:dyDescent="0.25"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E176" s="8"/>
      <c r="AF176" s="8"/>
      <c r="AG176" s="8"/>
      <c r="AH176" s="8"/>
      <c r="AI176" s="8"/>
    </row>
    <row r="177" spans="16:35" x14ac:dyDescent="0.25"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E177" s="8"/>
      <c r="AF177" s="8"/>
      <c r="AG177" s="8"/>
      <c r="AH177" s="8"/>
      <c r="AI177" s="8"/>
    </row>
    <row r="178" spans="16:35" x14ac:dyDescent="0.25"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E178" s="8"/>
      <c r="AF178" s="8"/>
      <c r="AG178" s="8"/>
      <c r="AH178" s="8"/>
      <c r="AI178" s="8"/>
    </row>
    <row r="179" spans="16:35" x14ac:dyDescent="0.25"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E179" s="8"/>
      <c r="AF179" s="8"/>
      <c r="AG179" s="8"/>
      <c r="AH179" s="8"/>
      <c r="AI179" s="8"/>
    </row>
    <row r="180" spans="16:35" x14ac:dyDescent="0.25"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E180" s="8"/>
      <c r="AF180" s="8"/>
      <c r="AG180" s="8"/>
      <c r="AH180" s="8"/>
      <c r="AI180" s="8"/>
    </row>
    <row r="181" spans="16:35" x14ac:dyDescent="0.25"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E181" s="8"/>
      <c r="AF181" s="8"/>
      <c r="AG181" s="8"/>
      <c r="AH181" s="8"/>
      <c r="AI181" s="8"/>
    </row>
    <row r="182" spans="16:35" x14ac:dyDescent="0.25"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E182" s="8"/>
      <c r="AF182" s="8"/>
      <c r="AG182" s="8"/>
      <c r="AH182" s="8"/>
      <c r="AI182" s="8"/>
    </row>
    <row r="183" spans="16:35" x14ac:dyDescent="0.25"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E183" s="8"/>
      <c r="AF183" s="8"/>
      <c r="AG183" s="8"/>
      <c r="AH183" s="8"/>
      <c r="AI183" s="8"/>
    </row>
    <row r="184" spans="16:35" x14ac:dyDescent="0.25"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E184" s="8"/>
      <c r="AF184" s="8"/>
      <c r="AG184" s="8"/>
      <c r="AH184" s="8"/>
      <c r="AI184" s="8"/>
    </row>
    <row r="185" spans="16:35" x14ac:dyDescent="0.25"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E185" s="8"/>
      <c r="AF185" s="8"/>
      <c r="AG185" s="8"/>
      <c r="AH185" s="8"/>
      <c r="AI185" s="8"/>
    </row>
    <row r="186" spans="16:35" x14ac:dyDescent="0.25"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E186" s="8"/>
      <c r="AF186" s="8"/>
      <c r="AG186" s="8"/>
      <c r="AH186" s="8"/>
      <c r="AI186" s="8"/>
    </row>
    <row r="187" spans="16:35" x14ac:dyDescent="0.25"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E187" s="8"/>
      <c r="AF187" s="8"/>
      <c r="AG187" s="8"/>
      <c r="AH187" s="8"/>
      <c r="AI187" s="8"/>
    </row>
    <row r="188" spans="16:35" x14ac:dyDescent="0.25"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E188" s="8"/>
      <c r="AF188" s="8"/>
      <c r="AG188" s="8"/>
      <c r="AH188" s="8"/>
      <c r="AI188" s="8"/>
    </row>
    <row r="189" spans="16:35" x14ac:dyDescent="0.25"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E189" s="8"/>
      <c r="AF189" s="8"/>
      <c r="AG189" s="8"/>
      <c r="AH189" s="8"/>
      <c r="AI189" s="8"/>
    </row>
    <row r="190" spans="16:35" x14ac:dyDescent="0.25"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E190" s="8"/>
      <c r="AF190" s="8"/>
      <c r="AG190" s="8"/>
      <c r="AH190" s="8"/>
      <c r="AI190" s="8"/>
    </row>
    <row r="191" spans="16:35" x14ac:dyDescent="0.25"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E191" s="8"/>
      <c r="AF191" s="8"/>
      <c r="AG191" s="8"/>
      <c r="AH191" s="8"/>
      <c r="AI191" s="8"/>
    </row>
    <row r="192" spans="16:35" x14ac:dyDescent="0.25"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E192" s="8"/>
      <c r="AF192" s="8"/>
      <c r="AG192" s="8"/>
      <c r="AH192" s="8"/>
      <c r="AI192" s="8"/>
    </row>
    <row r="193" spans="16:35" x14ac:dyDescent="0.25"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E193" s="8"/>
      <c r="AF193" s="8"/>
      <c r="AG193" s="8"/>
      <c r="AH193" s="8"/>
      <c r="AI193" s="8"/>
    </row>
    <row r="194" spans="16:35" x14ac:dyDescent="0.25"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E194" s="8"/>
      <c r="AF194" s="8"/>
      <c r="AG194" s="8"/>
      <c r="AH194" s="8"/>
      <c r="AI194" s="8"/>
    </row>
    <row r="195" spans="16:35" x14ac:dyDescent="0.25"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E195" s="8"/>
      <c r="AF195" s="8"/>
      <c r="AG195" s="8"/>
      <c r="AH195" s="8"/>
      <c r="AI195" s="8"/>
    </row>
    <row r="196" spans="16:35" x14ac:dyDescent="0.25"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E196" s="8"/>
      <c r="AF196" s="8"/>
      <c r="AG196" s="8"/>
      <c r="AH196" s="8"/>
      <c r="AI196" s="8"/>
    </row>
    <row r="197" spans="16:35" x14ac:dyDescent="0.25"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E197" s="8"/>
      <c r="AF197" s="8"/>
      <c r="AG197" s="8"/>
      <c r="AH197" s="8"/>
      <c r="AI197" s="8"/>
    </row>
    <row r="198" spans="16:35" x14ac:dyDescent="0.25"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E198" s="8"/>
      <c r="AF198" s="8"/>
      <c r="AG198" s="8"/>
      <c r="AH198" s="8"/>
      <c r="AI198" s="8"/>
    </row>
    <row r="199" spans="16:35" x14ac:dyDescent="0.25"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E199" s="8"/>
      <c r="AF199" s="8"/>
      <c r="AG199" s="8"/>
      <c r="AH199" s="8"/>
      <c r="AI199" s="8"/>
    </row>
    <row r="200" spans="16:35" x14ac:dyDescent="0.25"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E200" s="8"/>
      <c r="AF200" s="8"/>
      <c r="AG200" s="8"/>
      <c r="AH200" s="8"/>
      <c r="AI200" s="8"/>
    </row>
    <row r="201" spans="16:35" x14ac:dyDescent="0.25"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E201" s="8"/>
      <c r="AF201" s="8"/>
      <c r="AG201" s="8"/>
      <c r="AH201" s="8"/>
      <c r="AI201" s="8"/>
    </row>
    <row r="202" spans="16:35" x14ac:dyDescent="0.25"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E202" s="8"/>
      <c r="AF202" s="8"/>
      <c r="AG202" s="8"/>
      <c r="AH202" s="8"/>
      <c r="AI202" s="8"/>
    </row>
    <row r="203" spans="16:35" x14ac:dyDescent="0.25"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E203" s="8"/>
      <c r="AF203" s="8"/>
      <c r="AG203" s="8"/>
      <c r="AH203" s="8"/>
      <c r="AI203" s="8"/>
    </row>
    <row r="204" spans="16:35" x14ac:dyDescent="0.25"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E204" s="8"/>
      <c r="AF204" s="8"/>
      <c r="AG204" s="8"/>
      <c r="AH204" s="8"/>
      <c r="AI204" s="8"/>
    </row>
    <row r="205" spans="16:35" x14ac:dyDescent="0.25"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</row>
    <row r="206" spans="16:35" x14ac:dyDescent="0.25"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</row>
    <row r="207" spans="16:35" x14ac:dyDescent="0.25"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</row>
    <row r="208" spans="16:35" x14ac:dyDescent="0.25"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</row>
    <row r="209" spans="16:29" x14ac:dyDescent="0.25"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</row>
    <row r="210" spans="16:29" x14ac:dyDescent="0.25"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</row>
    <row r="211" spans="16:29" x14ac:dyDescent="0.25"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</row>
    <row r="212" spans="16:29" x14ac:dyDescent="0.25"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</row>
    <row r="213" spans="16:29" x14ac:dyDescent="0.25"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</row>
    <row r="214" spans="16:29" x14ac:dyDescent="0.25"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</row>
    <row r="215" spans="16:29" x14ac:dyDescent="0.25"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</row>
    <row r="216" spans="16:29" x14ac:dyDescent="0.25"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</row>
    <row r="217" spans="16:29" x14ac:dyDescent="0.25"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</row>
    <row r="218" spans="16:29" x14ac:dyDescent="0.25"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</row>
    <row r="219" spans="16:29" x14ac:dyDescent="0.25"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</row>
    <row r="220" spans="16:29" x14ac:dyDescent="0.25"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</row>
    <row r="221" spans="16:29" x14ac:dyDescent="0.25"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</row>
    <row r="222" spans="16:29" x14ac:dyDescent="0.25"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</row>
    <row r="223" spans="16:29" x14ac:dyDescent="0.25"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</row>
    <row r="224" spans="16:29" x14ac:dyDescent="0.25"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</row>
    <row r="225" spans="16:29" x14ac:dyDescent="0.25"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</row>
    <row r="226" spans="16:29" x14ac:dyDescent="0.25"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</row>
    <row r="227" spans="16:29" x14ac:dyDescent="0.25"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</row>
    <row r="228" spans="16:29" x14ac:dyDescent="0.25"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</row>
    <row r="229" spans="16:29" x14ac:dyDescent="0.25"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</row>
    <row r="230" spans="16:29" x14ac:dyDescent="0.25"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</row>
    <row r="231" spans="16:29" x14ac:dyDescent="0.25"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</row>
    <row r="232" spans="16:29" x14ac:dyDescent="0.25"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</row>
    <row r="233" spans="16:29" x14ac:dyDescent="0.25"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</row>
    <row r="234" spans="16:29" x14ac:dyDescent="0.25"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</row>
    <row r="235" spans="16:29" x14ac:dyDescent="0.25"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</row>
    <row r="236" spans="16:29" x14ac:dyDescent="0.25"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</row>
    <row r="237" spans="16:29" x14ac:dyDescent="0.25"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</row>
    <row r="238" spans="16:29" x14ac:dyDescent="0.25"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</row>
    <row r="239" spans="16:29" x14ac:dyDescent="0.25"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</row>
    <row r="240" spans="16:29" x14ac:dyDescent="0.25"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</row>
    <row r="241" spans="16:28" x14ac:dyDescent="0.25"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</row>
  </sheetData>
  <mergeCells count="6">
    <mergeCell ref="C1:I1"/>
    <mergeCell ref="E2:F2"/>
    <mergeCell ref="G2:I2"/>
    <mergeCell ref="R1:X1"/>
    <mergeCell ref="T2:U2"/>
    <mergeCell ref="V2:X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RunRefreshSpreadsheetData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Button 2">
              <controlPr defaultSize="0" print="0" autoFill="0" autoPict="0" macro="[0]!RunDailyUpdate">
                <anchor moveWithCells="1" sizeWithCells="1">
                  <from>
                    <xdr:col>11</xdr:col>
                    <xdr:colOff>28575</xdr:colOff>
                    <xdr:row>0</xdr:row>
                    <xdr:rowOff>9525</xdr:rowOff>
                  </from>
                  <to>
                    <xdr:col>12</xdr:col>
                    <xdr:colOff>1009650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2098-E239-40C3-B085-9D519F941756}">
  <sheetPr codeName="Sheet6"/>
  <dimension ref="A1:IA178"/>
  <sheetViews>
    <sheetView zoomScale="80" zoomScaleNormal="80" workbookViewId="0">
      <selection activeCell="M55" sqref="M55"/>
    </sheetView>
  </sheetViews>
  <sheetFormatPr defaultRowHeight="15" x14ac:dyDescent="0.25"/>
  <cols>
    <col min="1" max="1" width="18.42578125" bestFit="1" customWidth="1"/>
    <col min="2" max="2" width="16.7109375" bestFit="1" customWidth="1"/>
    <col min="3" max="3" width="13" bestFit="1" customWidth="1"/>
    <col min="4" max="5" width="14.28515625" bestFit="1" customWidth="1"/>
    <col min="6" max="6" width="13.42578125" bestFit="1" customWidth="1"/>
    <col min="7" max="7" width="14.5703125" bestFit="1" customWidth="1"/>
    <col min="8" max="8" width="12.7109375" bestFit="1" customWidth="1"/>
    <col min="9" max="9" width="14.28515625" bestFit="1" customWidth="1"/>
    <col min="10" max="10" width="14.5703125" bestFit="1" customWidth="1"/>
    <col min="11" max="11" width="14.28515625" bestFit="1" customWidth="1"/>
    <col min="12" max="12" width="15.28515625" bestFit="1" customWidth="1"/>
    <col min="13" max="13" width="14.42578125" bestFit="1" customWidth="1"/>
    <col min="14" max="14" width="25.140625" bestFit="1" customWidth="1"/>
    <col min="15" max="15" width="15" bestFit="1" customWidth="1"/>
    <col min="16" max="16" width="12.28515625" bestFit="1" customWidth="1"/>
    <col min="17" max="18" width="12.42578125" bestFit="1" customWidth="1"/>
    <col min="19" max="19" width="12" bestFit="1" customWidth="1"/>
    <col min="20" max="20" width="13" bestFit="1" customWidth="1"/>
    <col min="21" max="21" width="12.28515625" bestFit="1" customWidth="1"/>
    <col min="22" max="23" width="12.42578125" bestFit="1" customWidth="1"/>
    <col min="24" max="24" width="12" bestFit="1" customWidth="1"/>
    <col min="25" max="25" width="12.42578125" bestFit="1" customWidth="1"/>
    <col min="26" max="26" width="2.42578125" customWidth="1"/>
    <col min="27" max="27" width="66.28515625" bestFit="1" customWidth="1"/>
    <col min="28" max="28" width="15" bestFit="1" customWidth="1"/>
    <col min="29" max="29" width="13" bestFit="1" customWidth="1"/>
    <col min="30" max="31" width="12.42578125" bestFit="1" customWidth="1"/>
    <col min="32" max="32" width="17" bestFit="1" customWidth="1"/>
    <col min="33" max="33" width="17.42578125" bestFit="1" customWidth="1"/>
    <col min="34" max="34" width="10.85546875" bestFit="1" customWidth="1"/>
    <col min="35" max="35" width="17" bestFit="1" customWidth="1"/>
    <col min="36" max="36" width="9" bestFit="1" customWidth="1"/>
    <col min="37" max="37" width="11.140625" bestFit="1" customWidth="1"/>
    <col min="38" max="38" width="16.42578125" bestFit="1" customWidth="1"/>
    <col min="39" max="39" width="3.28515625" customWidth="1"/>
    <col min="40" max="40" width="29.7109375" bestFit="1" customWidth="1"/>
    <col min="41" max="41" width="16.7109375" bestFit="1" customWidth="1"/>
    <col min="42" max="42" width="14.5703125" bestFit="1" customWidth="1"/>
    <col min="43" max="43" width="13.85546875" bestFit="1" customWidth="1"/>
    <col min="44" max="44" width="14.28515625" bestFit="1" customWidth="1"/>
    <col min="45" max="45" width="15.28515625" bestFit="1" customWidth="1"/>
    <col min="46" max="46" width="14.28515625" bestFit="1" customWidth="1"/>
    <col min="47" max="47" width="13" bestFit="1" customWidth="1"/>
    <col min="48" max="48" width="15.7109375" bestFit="1" customWidth="1"/>
    <col min="49" max="49" width="14.5703125" bestFit="1" customWidth="1"/>
    <col min="50" max="50" width="14.28515625" bestFit="1" customWidth="1"/>
    <col min="51" max="51" width="15.28515625" bestFit="1" customWidth="1"/>
    <col min="52" max="52" width="10" bestFit="1" customWidth="1"/>
    <col min="53" max="53" width="24.42578125" bestFit="1" customWidth="1"/>
    <col min="54" max="54" width="22.140625" bestFit="1" customWidth="1"/>
    <col min="55" max="55" width="20.28515625" bestFit="1" customWidth="1"/>
    <col min="56" max="56" width="20.5703125" bestFit="1" customWidth="1"/>
    <col min="57" max="57" width="21.5703125" bestFit="1" customWidth="1"/>
    <col min="58" max="58" width="21.7109375" bestFit="1" customWidth="1"/>
    <col min="59" max="59" width="20.28515625" bestFit="1" customWidth="1"/>
    <col min="60" max="60" width="21.42578125" bestFit="1" customWidth="1"/>
    <col min="61" max="61" width="22" bestFit="1" customWidth="1"/>
    <col min="62" max="62" width="21.5703125" bestFit="1" customWidth="1"/>
    <col min="63" max="63" width="20.5703125" bestFit="1" customWidth="1"/>
    <col min="64" max="64" width="21.5703125" bestFit="1" customWidth="1"/>
    <col min="65" max="65" width="22.140625" bestFit="1" customWidth="1"/>
    <col min="66" max="66" width="21" bestFit="1" customWidth="1"/>
    <col min="67" max="67" width="22.28515625" bestFit="1" customWidth="1"/>
    <col min="68" max="69" width="14.28515625" bestFit="1" customWidth="1"/>
    <col min="70" max="70" width="10.28515625" bestFit="1" customWidth="1"/>
    <col min="71" max="71" width="10.7109375" bestFit="1" customWidth="1"/>
    <col min="72" max="72" width="17.85546875" bestFit="1" customWidth="1"/>
    <col min="73" max="73" width="9.140625" bestFit="1" customWidth="1"/>
    <col min="74" max="74" width="12.42578125" bestFit="1" customWidth="1"/>
    <col min="75" max="75" width="15.28515625" bestFit="1" customWidth="1"/>
    <col min="76" max="76" width="10.7109375" bestFit="1" customWidth="1"/>
    <col min="77" max="77" width="13" bestFit="1" customWidth="1"/>
    <col min="78" max="78" width="10.28515625" bestFit="1" customWidth="1"/>
    <col min="79" max="79" width="11.5703125" bestFit="1" customWidth="1"/>
    <col min="80" max="80" width="10.5703125" bestFit="1" customWidth="1"/>
    <col min="81" max="81" width="11" bestFit="1" customWidth="1"/>
    <col min="82" max="82" width="10" bestFit="1" customWidth="1"/>
    <col min="83" max="83" width="24.42578125" bestFit="1" customWidth="1"/>
    <col min="84" max="84" width="22.140625" bestFit="1" customWidth="1"/>
    <col min="85" max="85" width="20.28515625" bestFit="1" customWidth="1"/>
    <col min="86" max="86" width="20.5703125" bestFit="1" customWidth="1"/>
    <col min="87" max="87" width="21.5703125" bestFit="1" customWidth="1"/>
    <col min="88" max="88" width="21.7109375" bestFit="1" customWidth="1"/>
    <col min="89" max="89" width="20.28515625" bestFit="1" customWidth="1"/>
    <col min="90" max="90" width="21.42578125" bestFit="1" customWidth="1"/>
    <col min="91" max="91" width="22" bestFit="1" customWidth="1"/>
    <col min="92" max="92" width="21.5703125" bestFit="1" customWidth="1"/>
    <col min="93" max="93" width="20.5703125" bestFit="1" customWidth="1"/>
    <col min="94" max="94" width="21.5703125" bestFit="1" customWidth="1"/>
    <col min="95" max="95" width="22.140625" bestFit="1" customWidth="1"/>
    <col min="96" max="96" width="21" bestFit="1" customWidth="1"/>
    <col min="97" max="97" width="22.28515625" bestFit="1" customWidth="1"/>
    <col min="98" max="99" width="14.28515625" bestFit="1" customWidth="1"/>
    <col min="100" max="100" width="10.28515625" bestFit="1" customWidth="1"/>
    <col min="101" max="101" width="10.7109375" bestFit="1" customWidth="1"/>
    <col min="102" max="102" width="17.85546875" bestFit="1" customWidth="1"/>
    <col min="103" max="103" width="9.140625" bestFit="1" customWidth="1"/>
    <col min="104" max="104" width="12.42578125" bestFit="1" customWidth="1"/>
    <col min="105" max="105" width="15.28515625" bestFit="1" customWidth="1"/>
    <col min="106" max="106" width="9.140625" bestFit="1" customWidth="1"/>
    <col min="107" max="107" width="12.42578125" bestFit="1" customWidth="1"/>
    <col min="108" max="108" width="15.28515625" bestFit="1" customWidth="1"/>
    <col min="109" max="109" width="21.5703125" bestFit="1" customWidth="1"/>
    <col min="110" max="110" width="22.140625" bestFit="1" customWidth="1"/>
    <col min="111" max="111" width="21" bestFit="1" customWidth="1"/>
    <col min="112" max="112" width="22.28515625" bestFit="1" customWidth="1"/>
    <col min="113" max="114" width="14.28515625" bestFit="1" customWidth="1"/>
    <col min="115" max="115" width="10.28515625" bestFit="1" customWidth="1"/>
    <col min="116" max="116" width="10.7109375" bestFit="1" customWidth="1"/>
    <col min="117" max="117" width="17.85546875" bestFit="1" customWidth="1"/>
    <col min="118" max="118" width="9.140625" bestFit="1" customWidth="1"/>
    <col min="119" max="119" width="12.42578125" bestFit="1" customWidth="1"/>
    <col min="120" max="120" width="15.28515625" bestFit="1" customWidth="1"/>
    <col min="121" max="121" width="14.28515625" bestFit="1" customWidth="1"/>
    <col min="122" max="122" width="10.28515625" bestFit="1" customWidth="1"/>
    <col min="123" max="123" width="10.7109375" bestFit="1" customWidth="1"/>
    <col min="124" max="124" width="17.85546875" bestFit="1" customWidth="1"/>
    <col min="125" max="125" width="9.140625" bestFit="1" customWidth="1"/>
    <col min="126" max="126" width="12.42578125" bestFit="1" customWidth="1"/>
    <col min="127" max="127" width="15.28515625" bestFit="1" customWidth="1"/>
    <col min="128" max="128" width="22.140625" bestFit="1" customWidth="1"/>
    <col min="129" max="129" width="21" bestFit="1" customWidth="1"/>
    <col min="130" max="130" width="22.28515625" bestFit="1" customWidth="1"/>
    <col min="131" max="132" width="14.28515625" bestFit="1" customWidth="1"/>
    <col min="133" max="133" width="10.28515625" bestFit="1" customWidth="1"/>
    <col min="134" max="134" width="10.7109375" bestFit="1" customWidth="1"/>
    <col min="135" max="135" width="17.85546875" bestFit="1" customWidth="1"/>
    <col min="136" max="136" width="9.140625" bestFit="1" customWidth="1"/>
    <col min="137" max="137" width="12.42578125" bestFit="1" customWidth="1"/>
    <col min="138" max="139" width="15.28515625" bestFit="1" customWidth="1"/>
    <col min="140" max="140" width="12.42578125" bestFit="1" customWidth="1"/>
    <col min="141" max="141" width="15.28515625" bestFit="1" customWidth="1"/>
    <col min="142" max="142" width="10.5703125" bestFit="1" customWidth="1"/>
    <col min="143" max="143" width="13.7109375" bestFit="1" customWidth="1"/>
    <col min="144" max="144" width="10.5703125" bestFit="1" customWidth="1"/>
    <col min="145" max="147" width="13.7109375" bestFit="1" customWidth="1"/>
    <col min="148" max="149" width="21.5703125" bestFit="1" customWidth="1"/>
    <col min="150" max="150" width="22.7109375" bestFit="1" customWidth="1"/>
    <col min="151" max="151" width="21.7109375" bestFit="1" customWidth="1"/>
    <col min="152" max="152" width="22.85546875" bestFit="1" customWidth="1"/>
    <col min="153" max="153" width="11" bestFit="1" customWidth="1"/>
    <col min="154" max="154" width="11.28515625" bestFit="1" customWidth="1"/>
    <col min="155" max="155" width="21.7109375" bestFit="1" customWidth="1"/>
    <col min="156" max="156" width="22.85546875" bestFit="1" customWidth="1"/>
    <col min="157" max="157" width="22" bestFit="1" customWidth="1"/>
    <col min="158" max="159" width="23.140625" bestFit="1" customWidth="1"/>
    <col min="160" max="160" width="13.7109375" bestFit="1" customWidth="1"/>
    <col min="161" max="161" width="12.7109375" bestFit="1" customWidth="1"/>
    <col min="162" max="164" width="13.7109375" bestFit="1" customWidth="1"/>
    <col min="165" max="165" width="15.7109375" bestFit="1" customWidth="1"/>
    <col min="166" max="170" width="13.7109375" bestFit="1" customWidth="1"/>
    <col min="171" max="171" width="11.5703125" bestFit="1" customWidth="1"/>
    <col min="172" max="176" width="13.7109375" bestFit="1" customWidth="1"/>
    <col min="177" max="177" width="12.7109375" bestFit="1" customWidth="1"/>
    <col min="178" max="194" width="13.7109375" bestFit="1" customWidth="1"/>
    <col min="195" max="195" width="19.28515625" bestFit="1" customWidth="1"/>
    <col min="196" max="196" width="20.140625" bestFit="1" customWidth="1"/>
    <col min="197" max="197" width="20.28515625" bestFit="1" customWidth="1"/>
    <col min="198" max="200" width="13" bestFit="1" customWidth="1"/>
    <col min="201" max="201" width="13.7109375" bestFit="1" customWidth="1"/>
    <col min="202" max="202" width="13" bestFit="1" customWidth="1"/>
    <col min="203" max="203" width="11.5703125" bestFit="1" customWidth="1"/>
    <col min="204" max="204" width="13" bestFit="1" customWidth="1"/>
    <col min="205" max="206" width="13.7109375" bestFit="1" customWidth="1"/>
    <col min="207" max="207" width="12.7109375" bestFit="1" customWidth="1"/>
    <col min="208" max="209" width="13.7109375" bestFit="1" customWidth="1"/>
    <col min="210" max="210" width="13" bestFit="1" customWidth="1"/>
    <col min="211" max="211" width="13.7109375" bestFit="1" customWidth="1"/>
    <col min="212" max="212" width="24.42578125" bestFit="1" customWidth="1"/>
    <col min="213" max="213" width="22.140625" bestFit="1" customWidth="1"/>
    <col min="214" max="214" width="20.28515625" bestFit="1" customWidth="1"/>
    <col min="215" max="215" width="20.5703125" bestFit="1" customWidth="1"/>
    <col min="216" max="216" width="21.5703125" bestFit="1" customWidth="1"/>
    <col min="217" max="217" width="21.7109375" bestFit="1" customWidth="1"/>
    <col min="218" max="218" width="20.28515625" bestFit="1" customWidth="1"/>
    <col min="219" max="219" width="21.42578125" bestFit="1" customWidth="1"/>
    <col min="220" max="220" width="22" bestFit="1" customWidth="1"/>
    <col min="221" max="221" width="21.5703125" bestFit="1" customWidth="1"/>
    <col min="222" max="222" width="20.5703125" bestFit="1" customWidth="1"/>
    <col min="223" max="223" width="21.5703125" bestFit="1" customWidth="1"/>
    <col min="224" max="224" width="22.140625" bestFit="1" customWidth="1"/>
    <col min="225" max="225" width="21" bestFit="1" customWidth="1"/>
    <col min="226" max="226" width="22.28515625" bestFit="1" customWidth="1"/>
    <col min="227" max="227" width="13.7109375" bestFit="1" customWidth="1"/>
    <col min="228" max="228" width="14.28515625" bestFit="1" customWidth="1"/>
    <col min="229" max="230" width="13.7109375" bestFit="1" customWidth="1"/>
    <col min="231" max="231" width="17.85546875" bestFit="1" customWidth="1"/>
    <col min="233" max="233" width="12.42578125" bestFit="1" customWidth="1"/>
    <col min="234" max="234" width="13.7109375" bestFit="1" customWidth="1"/>
  </cols>
  <sheetData>
    <row r="1" spans="1:235" ht="15.75" x14ac:dyDescent="0.25">
      <c r="A1" s="61" t="s">
        <v>262</v>
      </c>
      <c r="B1" s="172" t="s">
        <v>423</v>
      </c>
      <c r="C1" s="173"/>
      <c r="D1" s="173"/>
      <c r="E1" s="173"/>
      <c r="F1" s="173"/>
      <c r="G1" s="173"/>
      <c r="H1" s="174"/>
    </row>
    <row r="2" spans="1:235" ht="15.75" x14ac:dyDescent="0.25">
      <c r="A2" s="62">
        <f>'asset_&amp;_open_positions'!$B$2</f>
        <v>44938.916666666664</v>
      </c>
      <c r="B2" s="60" t="s">
        <v>424</v>
      </c>
      <c r="C2" s="60" t="s">
        <v>249</v>
      </c>
      <c r="D2" s="175" t="s">
        <v>421</v>
      </c>
      <c r="E2" s="176"/>
      <c r="F2" s="172" t="s">
        <v>422</v>
      </c>
      <c r="G2" s="173"/>
      <c r="H2" s="174"/>
    </row>
    <row r="3" spans="1:235" x14ac:dyDescent="0.25">
      <c r="AN3" s="2" t="s">
        <v>58</v>
      </c>
      <c r="AO3" s="2" t="s">
        <v>54</v>
      </c>
    </row>
    <row r="4" spans="1:235" x14ac:dyDescent="0.25">
      <c r="A4" s="2" t="s">
        <v>1</v>
      </c>
      <c r="B4" t="s">
        <v>65</v>
      </c>
      <c r="AO4" t="s">
        <v>85</v>
      </c>
      <c r="AP4" t="s">
        <v>280</v>
      </c>
      <c r="AQ4" t="s">
        <v>309</v>
      </c>
      <c r="AR4" t="s">
        <v>195</v>
      </c>
      <c r="AS4" t="s">
        <v>169</v>
      </c>
      <c r="AT4" t="s">
        <v>13</v>
      </c>
      <c r="AU4" t="s">
        <v>208</v>
      </c>
      <c r="AV4" t="s">
        <v>263</v>
      </c>
      <c r="AW4" t="s">
        <v>17</v>
      </c>
      <c r="AX4" t="s">
        <v>253</v>
      </c>
      <c r="AY4" t="s">
        <v>56</v>
      </c>
    </row>
    <row r="5" spans="1:235" x14ac:dyDescent="0.25">
      <c r="A5" s="2" t="s">
        <v>62</v>
      </c>
      <c r="B5" t="s">
        <v>65</v>
      </c>
      <c r="N5" s="2" t="s">
        <v>216</v>
      </c>
      <c r="O5" t="s">
        <v>65</v>
      </c>
      <c r="AA5" s="2" t="s">
        <v>216</v>
      </c>
      <c r="AB5" t="s">
        <v>65</v>
      </c>
      <c r="AN5" s="2" t="s">
        <v>57</v>
      </c>
    </row>
    <row r="6" spans="1:235" x14ac:dyDescent="0.25">
      <c r="AM6" s="99"/>
      <c r="AN6" s="3" t="s">
        <v>11</v>
      </c>
      <c r="AO6" s="8">
        <v>92059123.202502161</v>
      </c>
      <c r="AP6" s="8"/>
      <c r="AQ6" s="8"/>
      <c r="AR6" s="8"/>
      <c r="AS6" s="8"/>
      <c r="AT6" s="8">
        <v>-27299859.924992621</v>
      </c>
      <c r="AU6" s="8"/>
      <c r="AV6" s="8">
        <v>-1910695.032732401</v>
      </c>
      <c r="AW6" s="8">
        <v>76025756.007999673</v>
      </c>
      <c r="AX6" s="8">
        <v>315885.36621927103</v>
      </c>
      <c r="AY6" s="8">
        <v>139190209.61899608</v>
      </c>
      <c r="IA6" s="8"/>
    </row>
    <row r="7" spans="1:235" x14ac:dyDescent="0.25">
      <c r="A7" s="2" t="s">
        <v>58</v>
      </c>
      <c r="B7" s="2" t="s">
        <v>54</v>
      </c>
      <c r="N7" s="2" t="s">
        <v>58</v>
      </c>
      <c r="O7" s="2" t="s">
        <v>54</v>
      </c>
      <c r="AA7" s="2" t="s">
        <v>805</v>
      </c>
      <c r="AB7" s="2" t="s">
        <v>54</v>
      </c>
      <c r="AM7" s="99"/>
      <c r="AN7" s="4" t="s">
        <v>83</v>
      </c>
      <c r="AO7" s="8">
        <v>5098326.305746139</v>
      </c>
      <c r="AP7" s="8"/>
      <c r="AQ7" s="8"/>
      <c r="AR7" s="8"/>
      <c r="AS7" s="8"/>
      <c r="AT7" s="8"/>
      <c r="AU7" s="8"/>
      <c r="AV7" s="8"/>
      <c r="AW7" s="8"/>
      <c r="AX7" s="8"/>
      <c r="AY7" s="8">
        <v>5098326.305746139</v>
      </c>
      <c r="IA7" s="8"/>
    </row>
    <row r="8" spans="1:235" x14ac:dyDescent="0.25">
      <c r="A8" s="2" t="s">
        <v>57</v>
      </c>
      <c r="B8" t="s">
        <v>169</v>
      </c>
      <c r="C8" t="s">
        <v>208</v>
      </c>
      <c r="D8" t="s">
        <v>263</v>
      </c>
      <c r="E8" t="s">
        <v>195</v>
      </c>
      <c r="F8" t="s">
        <v>309</v>
      </c>
      <c r="G8" t="s">
        <v>85</v>
      </c>
      <c r="H8" t="s">
        <v>253</v>
      </c>
      <c r="I8" t="s">
        <v>13</v>
      </c>
      <c r="J8" t="s">
        <v>17</v>
      </c>
      <c r="K8" t="s">
        <v>280</v>
      </c>
      <c r="L8" t="s">
        <v>56</v>
      </c>
      <c r="N8" s="2" t="s">
        <v>57</v>
      </c>
      <c r="O8" t="s">
        <v>169</v>
      </c>
      <c r="P8" t="s">
        <v>208</v>
      </c>
      <c r="Q8" t="s">
        <v>263</v>
      </c>
      <c r="R8" t="s">
        <v>195</v>
      </c>
      <c r="S8" t="s">
        <v>309</v>
      </c>
      <c r="T8" t="s">
        <v>85</v>
      </c>
      <c r="U8" t="s">
        <v>253</v>
      </c>
      <c r="V8" t="s">
        <v>13</v>
      </c>
      <c r="W8" t="s">
        <v>17</v>
      </c>
      <c r="X8" t="s">
        <v>280</v>
      </c>
      <c r="Y8" t="s">
        <v>56</v>
      </c>
      <c r="AA8" s="2" t="s">
        <v>57</v>
      </c>
      <c r="AB8" t="s">
        <v>169</v>
      </c>
      <c r="AC8" t="s">
        <v>309</v>
      </c>
      <c r="AD8" t="s">
        <v>195</v>
      </c>
      <c r="AE8" t="s">
        <v>208</v>
      </c>
      <c r="AF8" t="s">
        <v>263</v>
      </c>
      <c r="AG8" t="s">
        <v>85</v>
      </c>
      <c r="AH8" t="s">
        <v>253</v>
      </c>
      <c r="AI8" t="s">
        <v>17</v>
      </c>
      <c r="AJ8" t="s">
        <v>13</v>
      </c>
      <c r="AK8" t="s">
        <v>280</v>
      </c>
      <c r="AL8" t="s">
        <v>56</v>
      </c>
      <c r="AM8" s="99"/>
      <c r="AN8" s="4" t="s">
        <v>12</v>
      </c>
      <c r="AO8" s="8">
        <v>27488840.58152632</v>
      </c>
      <c r="AP8" s="8"/>
      <c r="AQ8" s="8"/>
      <c r="AR8" s="8"/>
      <c r="AS8" s="8"/>
      <c r="AT8" s="8">
        <v>-15659590</v>
      </c>
      <c r="AU8" s="8"/>
      <c r="AV8" s="8"/>
      <c r="AW8" s="8">
        <v>20993940</v>
      </c>
      <c r="AX8" s="8">
        <v>-561769.83386391704</v>
      </c>
      <c r="AY8" s="8">
        <v>32261420.747662403</v>
      </c>
      <c r="IA8" s="8"/>
    </row>
    <row r="9" spans="1:235" x14ac:dyDescent="0.25">
      <c r="A9" s="3" t="s">
        <v>11</v>
      </c>
      <c r="B9" s="186"/>
      <c r="C9" s="186"/>
      <c r="D9" s="186">
        <v>-1910695.032732401</v>
      </c>
      <c r="E9" s="186"/>
      <c r="F9" s="186"/>
      <c r="G9" s="186">
        <v>92059123.202502161</v>
      </c>
      <c r="H9" s="186">
        <v>315885.36621927103</v>
      </c>
      <c r="I9" s="186">
        <v>-27299859.924992621</v>
      </c>
      <c r="J9" s="186">
        <v>76025756.007999703</v>
      </c>
      <c r="K9" s="186"/>
      <c r="L9" s="186">
        <v>139190209.61899611</v>
      </c>
      <c r="N9" s="3" t="s">
        <v>121</v>
      </c>
      <c r="O9" s="8"/>
      <c r="P9" s="8"/>
      <c r="Q9" s="8"/>
      <c r="R9" s="8"/>
      <c r="S9" s="8"/>
      <c r="T9" s="8">
        <v>8.4443300469163998E-2</v>
      </c>
      <c r="U9" s="8"/>
      <c r="V9" s="8"/>
      <c r="W9" s="8"/>
      <c r="X9" s="8"/>
      <c r="Y9" s="8">
        <v>8.4443300469163998E-2</v>
      </c>
      <c r="AA9" s="3" t="s">
        <v>121</v>
      </c>
      <c r="AB9" s="99"/>
      <c r="AC9" s="99"/>
      <c r="AD9" s="99"/>
      <c r="AE9" s="99"/>
      <c r="AF9" s="99"/>
      <c r="AG9" s="99">
        <v>377.09760540000002</v>
      </c>
      <c r="AH9" s="99"/>
      <c r="AI9" s="99"/>
      <c r="AJ9" s="99"/>
      <c r="AK9" s="99"/>
      <c r="AL9" s="99">
        <v>377.09760540000002</v>
      </c>
      <c r="AM9" s="99"/>
      <c r="AN9" s="4" t="s">
        <v>91</v>
      </c>
      <c r="AO9" s="8">
        <v>29222122.652320582</v>
      </c>
      <c r="AP9" s="8"/>
      <c r="AQ9" s="8"/>
      <c r="AR9" s="8"/>
      <c r="AS9" s="8"/>
      <c r="AT9" s="8"/>
      <c r="AU9" s="8"/>
      <c r="AV9" s="8"/>
      <c r="AW9" s="8"/>
      <c r="AX9" s="8"/>
      <c r="AY9" s="8">
        <v>29222122.652320582</v>
      </c>
      <c r="IA9" s="8"/>
    </row>
    <row r="10" spans="1:235" x14ac:dyDescent="0.25">
      <c r="A10" s="3" t="s">
        <v>217</v>
      </c>
      <c r="B10" s="186"/>
      <c r="C10" s="186"/>
      <c r="D10" s="186"/>
      <c r="E10" s="186"/>
      <c r="F10" s="186"/>
      <c r="G10" s="186">
        <v>179.40416360735975</v>
      </c>
      <c r="H10" s="186"/>
      <c r="I10" s="186"/>
      <c r="J10" s="186"/>
      <c r="K10" s="186"/>
      <c r="L10" s="186">
        <v>179.40416360735975</v>
      </c>
      <c r="N10" s="3" t="s">
        <v>116</v>
      </c>
      <c r="O10" s="8"/>
      <c r="P10" s="8"/>
      <c r="Q10" s="8">
        <v>-48372.530842250999</v>
      </c>
      <c r="R10" s="8"/>
      <c r="S10" s="8"/>
      <c r="T10" s="8">
        <v>60632.582299933667</v>
      </c>
      <c r="U10" s="8"/>
      <c r="V10" s="8"/>
      <c r="W10" s="8"/>
      <c r="X10" s="8"/>
      <c r="Y10" s="8">
        <v>12260.051457682668</v>
      </c>
      <c r="AA10" s="3" t="s">
        <v>116</v>
      </c>
      <c r="AB10" s="99"/>
      <c r="AC10" s="99"/>
      <c r="AD10" s="99"/>
      <c r="AE10" s="99"/>
      <c r="AF10" s="99">
        <v>-900</v>
      </c>
      <c r="AG10" s="99">
        <v>1138.17117523</v>
      </c>
      <c r="AH10" s="99"/>
      <c r="AI10" s="99"/>
      <c r="AJ10" s="99"/>
      <c r="AK10" s="99"/>
      <c r="AL10" s="99">
        <v>238.17117523000002</v>
      </c>
      <c r="AM10" s="99"/>
      <c r="AN10" s="4" t="s">
        <v>194</v>
      </c>
      <c r="AO10" s="8"/>
      <c r="AP10" s="8"/>
      <c r="AQ10" s="8"/>
      <c r="AR10" s="8"/>
      <c r="AS10" s="8"/>
      <c r="AT10" s="8"/>
      <c r="AU10" s="8"/>
      <c r="AV10" s="8">
        <v>-1910695.032732401</v>
      </c>
      <c r="AW10" s="8"/>
      <c r="AX10" s="8"/>
      <c r="AY10" s="8">
        <v>-1910695.032732401</v>
      </c>
      <c r="IA10" s="8"/>
    </row>
    <row r="11" spans="1:235" x14ac:dyDescent="0.25">
      <c r="A11" s="3" t="s">
        <v>97</v>
      </c>
      <c r="B11" s="186"/>
      <c r="C11" s="186"/>
      <c r="D11" s="186"/>
      <c r="E11" s="186"/>
      <c r="F11" s="186"/>
      <c r="G11" s="186">
        <v>161247.87995042282</v>
      </c>
      <c r="H11" s="186"/>
      <c r="I11" s="186"/>
      <c r="J11" s="186"/>
      <c r="K11" s="186"/>
      <c r="L11" s="186">
        <v>161247.87995042282</v>
      </c>
      <c r="N11" s="3" t="s">
        <v>84</v>
      </c>
      <c r="O11" s="8"/>
      <c r="P11" s="8"/>
      <c r="Q11" s="8">
        <v>-111770.051044721</v>
      </c>
      <c r="R11" s="8"/>
      <c r="S11" s="8"/>
      <c r="T11" s="8">
        <v>106714.62531055513</v>
      </c>
      <c r="U11" s="8"/>
      <c r="V11" s="8"/>
      <c r="W11" s="8"/>
      <c r="X11" s="8"/>
      <c r="Y11" s="8">
        <v>-5055.4257341658667</v>
      </c>
      <c r="AA11" s="3" t="s">
        <v>84</v>
      </c>
      <c r="AB11" s="99"/>
      <c r="AC11" s="99"/>
      <c r="AD11" s="99"/>
      <c r="AE11" s="99"/>
      <c r="AF11" s="99">
        <v>-450000</v>
      </c>
      <c r="AG11" s="99">
        <v>500100.57440871006</v>
      </c>
      <c r="AH11" s="99"/>
      <c r="AI11" s="99"/>
      <c r="AJ11" s="99"/>
      <c r="AK11" s="99"/>
      <c r="AL11" s="99">
        <v>50100.574408710061</v>
      </c>
      <c r="AM11" s="99"/>
      <c r="AN11" s="4" t="s">
        <v>18</v>
      </c>
      <c r="AO11" s="8">
        <v>29420011.478046048</v>
      </c>
      <c r="AP11" s="8"/>
      <c r="AQ11" s="8"/>
      <c r="AR11" s="8"/>
      <c r="AS11" s="8"/>
      <c r="AT11" s="8">
        <v>-11640269.924992621</v>
      </c>
      <c r="AU11" s="8"/>
      <c r="AV11" s="8"/>
      <c r="AW11" s="8">
        <v>54239276.714494072</v>
      </c>
      <c r="AX11" s="8">
        <v>878162.30266641104</v>
      </c>
      <c r="AY11" s="8">
        <v>72897180.570213914</v>
      </c>
      <c r="IA11" s="8"/>
    </row>
    <row r="12" spans="1:235" x14ac:dyDescent="0.25">
      <c r="A12" s="3" t="s">
        <v>101</v>
      </c>
      <c r="B12" s="186"/>
      <c r="C12" s="186"/>
      <c r="D12" s="186"/>
      <c r="E12" s="186">
        <v>-76738082.227339789</v>
      </c>
      <c r="F12" s="186"/>
      <c r="G12" s="186">
        <v>122857697.68533443</v>
      </c>
      <c r="H12" s="186"/>
      <c r="I12" s="186"/>
      <c r="J12" s="186"/>
      <c r="K12" s="186"/>
      <c r="L12" s="186">
        <v>46119615.45799464</v>
      </c>
      <c r="N12" s="3" t="s">
        <v>122</v>
      </c>
      <c r="O12" s="8"/>
      <c r="P12" s="8"/>
      <c r="Q12" s="8">
        <v>-40940.519092716597</v>
      </c>
      <c r="R12" s="8"/>
      <c r="S12" s="8"/>
      <c r="T12" s="8">
        <v>41715.487718513752</v>
      </c>
      <c r="U12" s="8"/>
      <c r="V12" s="8"/>
      <c r="W12" s="8"/>
      <c r="X12" s="8"/>
      <c r="Y12" s="8">
        <v>774.96862579715525</v>
      </c>
      <c r="AA12" s="3" t="s">
        <v>122</v>
      </c>
      <c r="AB12" s="99"/>
      <c r="AC12" s="99"/>
      <c r="AD12" s="99"/>
      <c r="AE12" s="99"/>
      <c r="AF12" s="99">
        <v>-244800</v>
      </c>
      <c r="AG12" s="99">
        <v>246700.08925225999</v>
      </c>
      <c r="AH12" s="99"/>
      <c r="AI12" s="99"/>
      <c r="AJ12" s="99"/>
      <c r="AK12" s="99"/>
      <c r="AL12" s="99">
        <v>1900.0892522599897</v>
      </c>
      <c r="AM12" s="99"/>
      <c r="AN12" s="4" t="s">
        <v>299</v>
      </c>
      <c r="AO12" s="8">
        <v>829822.18486307794</v>
      </c>
      <c r="AP12" s="8"/>
      <c r="AQ12" s="8"/>
      <c r="AR12" s="8"/>
      <c r="AS12" s="8"/>
      <c r="AT12" s="8"/>
      <c r="AU12" s="8"/>
      <c r="AV12" s="8"/>
      <c r="AW12" s="8">
        <v>792539.29350559402</v>
      </c>
      <c r="AX12" s="8">
        <v>-507.10258322293902</v>
      </c>
      <c r="AY12" s="8">
        <v>1621854.3757854491</v>
      </c>
      <c r="IA12" s="8"/>
    </row>
    <row r="13" spans="1:235" x14ac:dyDescent="0.25">
      <c r="A13" s="3" t="s">
        <v>259</v>
      </c>
      <c r="B13" s="186"/>
      <c r="C13" s="186"/>
      <c r="D13" s="186"/>
      <c r="E13" s="186"/>
      <c r="F13" s="186"/>
      <c r="G13" s="186">
        <v>830007.48</v>
      </c>
      <c r="H13" s="186"/>
      <c r="I13" s="186"/>
      <c r="J13" s="186"/>
      <c r="K13" s="186"/>
      <c r="L13" s="186">
        <v>830007.48</v>
      </c>
      <c r="N13" s="3" t="s">
        <v>123</v>
      </c>
      <c r="O13" s="8"/>
      <c r="P13" s="8"/>
      <c r="Q13" s="8"/>
      <c r="R13" s="8"/>
      <c r="S13" s="8"/>
      <c r="T13" s="8">
        <v>1.36038640688771E-2</v>
      </c>
      <c r="U13" s="8"/>
      <c r="V13" s="8"/>
      <c r="W13" s="8"/>
      <c r="X13" s="8"/>
      <c r="Y13" s="8">
        <v>1.36038640688771E-2</v>
      </c>
      <c r="AA13" s="3" t="s">
        <v>123</v>
      </c>
      <c r="AB13" s="99"/>
      <c r="AC13" s="99"/>
      <c r="AD13" s="99"/>
      <c r="AE13" s="99"/>
      <c r="AF13" s="99"/>
      <c r="AG13" s="99">
        <v>0.53247394999999997</v>
      </c>
      <c r="AH13" s="99"/>
      <c r="AI13" s="99"/>
      <c r="AJ13" s="99"/>
      <c r="AK13" s="99"/>
      <c r="AL13" s="99">
        <v>0.53247394999999997</v>
      </c>
      <c r="AM13" s="99"/>
      <c r="AN13" s="3" t="s">
        <v>217</v>
      </c>
      <c r="AO13" s="8">
        <v>179.40416360735975</v>
      </c>
      <c r="AP13" s="8"/>
      <c r="AQ13" s="8"/>
      <c r="AR13" s="8"/>
      <c r="AS13" s="8"/>
      <c r="AT13" s="8"/>
      <c r="AU13" s="8"/>
      <c r="AV13" s="8"/>
      <c r="AW13" s="8"/>
      <c r="AX13" s="8"/>
      <c r="AY13" s="8">
        <v>179.40416360735975</v>
      </c>
      <c r="IA13" s="8"/>
    </row>
    <row r="14" spans="1:235" x14ac:dyDescent="0.25">
      <c r="A14" s="3" t="s">
        <v>294</v>
      </c>
      <c r="B14" s="186"/>
      <c r="C14" s="186"/>
      <c r="D14" s="186">
        <v>-9993998.2487299498</v>
      </c>
      <c r="E14" s="186"/>
      <c r="F14" s="186"/>
      <c r="G14" s="186">
        <v>14761908.972518019</v>
      </c>
      <c r="H14" s="186"/>
      <c r="I14" s="186"/>
      <c r="J14" s="186"/>
      <c r="K14" s="186"/>
      <c r="L14" s="186">
        <v>4767910.7237880696</v>
      </c>
      <c r="N14" s="3" t="s">
        <v>35</v>
      </c>
      <c r="O14" s="8"/>
      <c r="P14" s="8"/>
      <c r="Q14" s="8"/>
      <c r="R14" s="8"/>
      <c r="S14" s="8"/>
      <c r="T14" s="8">
        <v>3.4610114521184689</v>
      </c>
      <c r="U14" s="8"/>
      <c r="V14" s="8"/>
      <c r="W14" s="8">
        <v>-3885.899487877</v>
      </c>
      <c r="X14" s="8"/>
      <c r="Y14" s="8">
        <v>-3882.4384764248816</v>
      </c>
      <c r="AA14" s="3" t="s">
        <v>35</v>
      </c>
      <c r="AB14" s="99"/>
      <c r="AC14" s="99"/>
      <c r="AD14" s="99"/>
      <c r="AE14" s="99"/>
      <c r="AF14" s="99"/>
      <c r="AG14" s="99">
        <v>0.37945432000000001</v>
      </c>
      <c r="AH14" s="99"/>
      <c r="AI14" s="99">
        <v>-426.6</v>
      </c>
      <c r="AJ14" s="99"/>
      <c r="AK14" s="99"/>
      <c r="AL14" s="99">
        <v>-426.22054568000004</v>
      </c>
      <c r="AM14" s="99"/>
      <c r="AN14" s="4" t="s">
        <v>93</v>
      </c>
      <c r="AO14" s="8">
        <v>179.40416360735975</v>
      </c>
      <c r="AP14" s="8"/>
      <c r="AQ14" s="8"/>
      <c r="AR14" s="8"/>
      <c r="AS14" s="8"/>
      <c r="AT14" s="8"/>
      <c r="AU14" s="8"/>
      <c r="AV14" s="8"/>
      <c r="AW14" s="8"/>
      <c r="AX14" s="8"/>
      <c r="AY14" s="8">
        <v>179.40416360735975</v>
      </c>
      <c r="IA14" s="8"/>
    </row>
    <row r="15" spans="1:235" x14ac:dyDescent="0.25">
      <c r="A15" s="3" t="s">
        <v>32</v>
      </c>
      <c r="B15" s="186"/>
      <c r="C15" s="186"/>
      <c r="D15" s="186"/>
      <c r="E15" s="186"/>
      <c r="F15" s="186"/>
      <c r="G15" s="186">
        <v>15673.2151290496</v>
      </c>
      <c r="H15" s="186"/>
      <c r="I15" s="186"/>
      <c r="J15" s="186">
        <v>-30612.261067437998</v>
      </c>
      <c r="K15" s="186"/>
      <c r="L15" s="186">
        <v>-14939.045938388397</v>
      </c>
      <c r="N15" s="3" t="s">
        <v>187</v>
      </c>
      <c r="O15" s="8"/>
      <c r="P15" s="8"/>
      <c r="Q15" s="8">
        <v>-67217.481836738894</v>
      </c>
      <c r="R15" s="8"/>
      <c r="S15" s="8"/>
      <c r="T15" s="8">
        <v>67801.199141573175</v>
      </c>
      <c r="U15" s="8"/>
      <c r="V15" s="8"/>
      <c r="W15" s="8"/>
      <c r="X15" s="8"/>
      <c r="Y15" s="8">
        <v>583.71730483428109</v>
      </c>
      <c r="AA15" s="3" t="s">
        <v>187</v>
      </c>
      <c r="AB15" s="99"/>
      <c r="AC15" s="99"/>
      <c r="AD15" s="99"/>
      <c r="AE15" s="99"/>
      <c r="AF15" s="99">
        <v>-6000</v>
      </c>
      <c r="AG15" s="99">
        <v>6070.0442286999996</v>
      </c>
      <c r="AH15" s="99"/>
      <c r="AI15" s="99"/>
      <c r="AJ15" s="99"/>
      <c r="AK15" s="99"/>
      <c r="AL15" s="99">
        <v>70.044228699999621</v>
      </c>
      <c r="AM15" s="99"/>
      <c r="AN15" s="3" t="s">
        <v>97</v>
      </c>
      <c r="AO15" s="8">
        <v>161247.87995042282</v>
      </c>
      <c r="AP15" s="8"/>
      <c r="AQ15" s="8"/>
      <c r="AR15" s="8"/>
      <c r="AS15" s="8"/>
      <c r="AT15" s="8"/>
      <c r="AU15" s="8"/>
      <c r="AV15" s="8"/>
      <c r="AW15" s="8"/>
      <c r="AX15" s="8"/>
      <c r="AY15" s="8">
        <v>161247.87995042282</v>
      </c>
      <c r="IA15" s="8"/>
    </row>
    <row r="16" spans="1:235" x14ac:dyDescent="0.25">
      <c r="A16" s="3" t="s">
        <v>265</v>
      </c>
      <c r="B16" s="186"/>
      <c r="C16" s="186"/>
      <c r="D16" s="186"/>
      <c r="E16" s="186"/>
      <c r="F16" s="186">
        <v>27324183.52</v>
      </c>
      <c r="G16" s="186"/>
      <c r="H16" s="186"/>
      <c r="I16" s="186"/>
      <c r="J16" s="186"/>
      <c r="K16" s="186">
        <v>-93822750</v>
      </c>
      <c r="L16" s="186">
        <v>-66498566.480000004</v>
      </c>
      <c r="N16" s="3" t="s">
        <v>19</v>
      </c>
      <c r="O16" s="8"/>
      <c r="P16" s="8"/>
      <c r="Q16" s="8"/>
      <c r="R16" s="8"/>
      <c r="S16" s="8"/>
      <c r="T16" s="8"/>
      <c r="U16" s="8"/>
      <c r="V16" s="8"/>
      <c r="W16" s="8">
        <v>49038.080164241997</v>
      </c>
      <c r="X16" s="8"/>
      <c r="Y16" s="8">
        <v>49038.080164241997</v>
      </c>
      <c r="AA16" s="3" t="s">
        <v>19</v>
      </c>
      <c r="AB16" s="99"/>
      <c r="AC16" s="99"/>
      <c r="AD16" s="99"/>
      <c r="AE16" s="99"/>
      <c r="AF16" s="99"/>
      <c r="AG16" s="99"/>
      <c r="AH16" s="99"/>
      <c r="AI16" s="99">
        <v>7744</v>
      </c>
      <c r="AJ16" s="99"/>
      <c r="AK16" s="99"/>
      <c r="AL16" s="99">
        <v>7744</v>
      </c>
      <c r="AM16" s="99"/>
      <c r="AN16" s="4" t="s">
        <v>97</v>
      </c>
      <c r="AO16" s="8">
        <v>161247.87995042282</v>
      </c>
      <c r="AP16" s="8"/>
      <c r="AQ16" s="8"/>
      <c r="AR16" s="8"/>
      <c r="AS16" s="8"/>
      <c r="AT16" s="8"/>
      <c r="AU16" s="8"/>
      <c r="AV16" s="8"/>
      <c r="AW16" s="8"/>
      <c r="AX16" s="8"/>
      <c r="AY16" s="8">
        <v>161247.87995042282</v>
      </c>
      <c r="IA16" s="8"/>
    </row>
    <row r="17" spans="1:235" x14ac:dyDescent="0.25">
      <c r="A17" s="3" t="s">
        <v>186</v>
      </c>
      <c r="B17" s="186"/>
      <c r="C17" s="186"/>
      <c r="D17" s="186"/>
      <c r="E17" s="186"/>
      <c r="F17" s="186"/>
      <c r="G17" s="186">
        <v>27548625.98421951</v>
      </c>
      <c r="H17" s="186"/>
      <c r="I17" s="186"/>
      <c r="J17" s="186"/>
      <c r="K17" s="186"/>
      <c r="L17" s="186">
        <v>27548625.98421951</v>
      </c>
      <c r="N17" s="3" t="s">
        <v>124</v>
      </c>
      <c r="O17" s="8"/>
      <c r="P17" s="8"/>
      <c r="Q17" s="8">
        <v>-33587.114543646203</v>
      </c>
      <c r="R17" s="8"/>
      <c r="S17" s="8"/>
      <c r="T17" s="8">
        <v>33540.867361521276</v>
      </c>
      <c r="U17" s="8"/>
      <c r="V17" s="8"/>
      <c r="W17" s="8"/>
      <c r="X17" s="8"/>
      <c r="Y17" s="8">
        <v>-46.247182124927349</v>
      </c>
      <c r="AA17" s="3" t="s">
        <v>124</v>
      </c>
      <c r="AB17" s="99"/>
      <c r="AC17" s="99"/>
      <c r="AD17" s="99"/>
      <c r="AE17" s="99"/>
      <c r="AF17" s="99">
        <v>-200000</v>
      </c>
      <c r="AG17" s="99">
        <v>199712.42835378999</v>
      </c>
      <c r="AH17" s="99"/>
      <c r="AI17" s="99"/>
      <c r="AJ17" s="99"/>
      <c r="AK17" s="99"/>
      <c r="AL17" s="99">
        <v>-287.57164621000993</v>
      </c>
      <c r="AM17" s="99"/>
      <c r="AN17" s="3" t="s">
        <v>101</v>
      </c>
      <c r="AO17" s="8">
        <v>122857697.68533443</v>
      </c>
      <c r="AP17" s="8"/>
      <c r="AQ17" s="8"/>
      <c r="AR17" s="8">
        <v>-76738082.227339789</v>
      </c>
      <c r="AS17" s="8"/>
      <c r="AT17" s="8"/>
      <c r="AU17" s="8"/>
      <c r="AV17" s="8"/>
      <c r="AW17" s="8"/>
      <c r="AX17" s="8"/>
      <c r="AY17" s="8">
        <v>46119615.45799464</v>
      </c>
      <c r="IA17" s="8"/>
    </row>
    <row r="18" spans="1:235" x14ac:dyDescent="0.25">
      <c r="A18" s="3" t="s">
        <v>170</v>
      </c>
      <c r="B18" s="186">
        <v>-211206773.49899808</v>
      </c>
      <c r="C18" s="186"/>
      <c r="D18" s="186"/>
      <c r="E18" s="186"/>
      <c r="F18" s="186"/>
      <c r="G18" s="186">
        <v>13290222.596196052</v>
      </c>
      <c r="H18" s="186"/>
      <c r="I18" s="186"/>
      <c r="J18" s="186"/>
      <c r="K18" s="186"/>
      <c r="L18" s="186">
        <v>-197916550.90280202</v>
      </c>
      <c r="N18" s="3" t="s">
        <v>20</v>
      </c>
      <c r="O18" s="8"/>
      <c r="P18" s="8"/>
      <c r="Q18" s="8">
        <v>-8925.9091278838096</v>
      </c>
      <c r="R18" s="8">
        <v>-495883.84043798898</v>
      </c>
      <c r="S18" s="8"/>
      <c r="T18" s="8">
        <v>592411.95330581116</v>
      </c>
      <c r="U18" s="8"/>
      <c r="V18" s="8"/>
      <c r="W18" s="8">
        <v>-91656.114436353004</v>
      </c>
      <c r="X18" s="8"/>
      <c r="Y18" s="8">
        <v>-4053.9106964146195</v>
      </c>
      <c r="AA18" s="3" t="s">
        <v>20</v>
      </c>
      <c r="AB18" s="99"/>
      <c r="AC18" s="99"/>
      <c r="AD18" s="99">
        <v>-5000</v>
      </c>
      <c r="AE18" s="99"/>
      <c r="AF18" s="99">
        <v>-90.993814040000004</v>
      </c>
      <c r="AG18" s="99">
        <v>7331.7101070799999</v>
      </c>
      <c r="AH18" s="99"/>
      <c r="AI18" s="99">
        <v>-2260.8409999999999</v>
      </c>
      <c r="AJ18" s="99"/>
      <c r="AK18" s="99"/>
      <c r="AL18" s="99">
        <v>-20.124706959999912</v>
      </c>
      <c r="AM18" s="99"/>
      <c r="AN18" s="4" t="s">
        <v>100</v>
      </c>
      <c r="AO18" s="8">
        <v>80916836.847143799</v>
      </c>
      <c r="AP18" s="8"/>
      <c r="AQ18" s="8"/>
      <c r="AR18" s="8"/>
      <c r="AS18" s="8"/>
      <c r="AT18" s="8"/>
      <c r="AU18" s="8"/>
      <c r="AV18" s="8"/>
      <c r="AW18" s="8"/>
      <c r="AX18" s="8"/>
      <c r="AY18" s="8">
        <v>80916836.847143799</v>
      </c>
      <c r="IA18" s="8"/>
    </row>
    <row r="19" spans="1:235" x14ac:dyDescent="0.25">
      <c r="A19" s="3" t="s">
        <v>295</v>
      </c>
      <c r="B19" s="186"/>
      <c r="C19" s="186"/>
      <c r="D19" s="186"/>
      <c r="E19" s="186"/>
      <c r="F19" s="186"/>
      <c r="G19" s="186">
        <v>20739.331650465319</v>
      </c>
      <c r="H19" s="186"/>
      <c r="I19" s="186"/>
      <c r="J19" s="186"/>
      <c r="K19" s="186"/>
      <c r="L19" s="186">
        <v>20739.331650465319</v>
      </c>
      <c r="N19" s="3" t="s">
        <v>125</v>
      </c>
      <c r="O19" s="8"/>
      <c r="P19" s="8"/>
      <c r="Q19" s="8"/>
      <c r="R19" s="8"/>
      <c r="S19" s="8"/>
      <c r="T19" s="8">
        <v>7.5202011371236393E-5</v>
      </c>
      <c r="U19" s="8"/>
      <c r="V19" s="8"/>
      <c r="W19" s="8"/>
      <c r="X19" s="8"/>
      <c r="Y19" s="8">
        <v>7.5202011371236393E-5</v>
      </c>
      <c r="AA19" s="3" t="s">
        <v>125</v>
      </c>
      <c r="AB19" s="99"/>
      <c r="AC19" s="99"/>
      <c r="AD19" s="99"/>
      <c r="AE19" s="99"/>
      <c r="AF19" s="99"/>
      <c r="AG19" s="99">
        <v>2.5033500000000001E-3</v>
      </c>
      <c r="AH19" s="99"/>
      <c r="AI19" s="99"/>
      <c r="AJ19" s="99"/>
      <c r="AK19" s="99"/>
      <c r="AL19" s="99">
        <v>2.5033500000000001E-3</v>
      </c>
      <c r="AM19" s="99"/>
      <c r="AN19" s="4" t="s">
        <v>102</v>
      </c>
      <c r="AO19" s="8">
        <v>8929533.6930240039</v>
      </c>
      <c r="AP19" s="8"/>
      <c r="AQ19" s="8"/>
      <c r="AR19" s="8"/>
      <c r="AS19" s="8"/>
      <c r="AT19" s="8"/>
      <c r="AU19" s="8"/>
      <c r="AV19" s="8"/>
      <c r="AW19" s="8"/>
      <c r="AX19" s="8"/>
      <c r="AY19" s="8">
        <v>8929533.6930240039</v>
      </c>
      <c r="IA19" s="8"/>
    </row>
    <row r="20" spans="1:235" x14ac:dyDescent="0.25">
      <c r="A20" s="3" t="s">
        <v>39</v>
      </c>
      <c r="B20" s="186"/>
      <c r="C20" s="186"/>
      <c r="D20" s="186"/>
      <c r="E20" s="186">
        <v>-10870665.882277451</v>
      </c>
      <c r="F20" s="186"/>
      <c r="G20" s="186">
        <v>13676003.691400941</v>
      </c>
      <c r="H20" s="186">
        <v>-13204.142262542602</v>
      </c>
      <c r="I20" s="186"/>
      <c r="J20" s="186">
        <v>-329473.33899999998</v>
      </c>
      <c r="K20" s="186"/>
      <c r="L20" s="186">
        <v>2462660.3278609472</v>
      </c>
      <c r="N20" s="3" t="s">
        <v>126</v>
      </c>
      <c r="O20" s="8"/>
      <c r="P20" s="8"/>
      <c r="Q20" s="8"/>
      <c r="R20" s="8"/>
      <c r="S20" s="8"/>
      <c r="T20" s="8">
        <v>5.9982102037598297</v>
      </c>
      <c r="U20" s="8"/>
      <c r="V20" s="8"/>
      <c r="W20" s="8"/>
      <c r="X20" s="8"/>
      <c r="Y20" s="8">
        <v>5.9982102037598297</v>
      </c>
      <c r="AA20" s="3" t="s">
        <v>126</v>
      </c>
      <c r="AB20" s="99"/>
      <c r="AC20" s="99"/>
      <c r="AD20" s="99"/>
      <c r="AE20" s="99"/>
      <c r="AF20" s="99"/>
      <c r="AG20" s="99">
        <v>115.29838952</v>
      </c>
      <c r="AH20" s="99"/>
      <c r="AI20" s="99"/>
      <c r="AJ20" s="99"/>
      <c r="AK20" s="99"/>
      <c r="AL20" s="99">
        <v>115.29838952</v>
      </c>
      <c r="AM20" s="99"/>
      <c r="AN20" s="4" t="s">
        <v>104</v>
      </c>
      <c r="AO20" s="8">
        <v>30208644.564467799</v>
      </c>
      <c r="AP20" s="8"/>
      <c r="AQ20" s="8"/>
      <c r="AR20" s="8"/>
      <c r="AS20" s="8"/>
      <c r="AT20" s="8"/>
      <c r="AU20" s="8"/>
      <c r="AV20" s="8"/>
      <c r="AW20" s="8"/>
      <c r="AX20" s="8"/>
      <c r="AY20" s="8">
        <v>30208644.564467799</v>
      </c>
      <c r="IA20" s="8"/>
    </row>
    <row r="21" spans="1:235" x14ac:dyDescent="0.25">
      <c r="A21" s="3" t="s">
        <v>167</v>
      </c>
      <c r="B21" s="186"/>
      <c r="C21" s="186"/>
      <c r="D21" s="186"/>
      <c r="E21" s="186"/>
      <c r="F21" s="186"/>
      <c r="G21" s="186">
        <v>180954.97713932805</v>
      </c>
      <c r="H21" s="186"/>
      <c r="I21" s="186"/>
      <c r="J21" s="186"/>
      <c r="K21" s="186"/>
      <c r="L21" s="186">
        <v>180954.97713932805</v>
      </c>
      <c r="N21" s="3" t="s">
        <v>87</v>
      </c>
      <c r="O21" s="8"/>
      <c r="P21" s="8"/>
      <c r="Q21" s="8"/>
      <c r="R21" s="8"/>
      <c r="S21" s="8"/>
      <c r="T21" s="8">
        <v>627414.43230064178</v>
      </c>
      <c r="U21" s="8"/>
      <c r="V21" s="8"/>
      <c r="W21" s="8"/>
      <c r="X21" s="8"/>
      <c r="Y21" s="8">
        <v>627414.43230064178</v>
      </c>
      <c r="AA21" s="3" t="s">
        <v>87</v>
      </c>
      <c r="AB21" s="99"/>
      <c r="AC21" s="99"/>
      <c r="AD21" s="99"/>
      <c r="AE21" s="99"/>
      <c r="AF21" s="99"/>
      <c r="AG21" s="99">
        <v>2599.9065867000004</v>
      </c>
      <c r="AH21" s="99"/>
      <c r="AI21" s="99"/>
      <c r="AJ21" s="99"/>
      <c r="AK21" s="99"/>
      <c r="AL21" s="99">
        <v>2599.9065867000004</v>
      </c>
      <c r="AM21" s="99"/>
      <c r="AN21" s="4" t="s">
        <v>105</v>
      </c>
      <c r="AO21" s="8">
        <v>2802682.580698825</v>
      </c>
      <c r="AP21" s="8"/>
      <c r="AQ21" s="8"/>
      <c r="AR21" s="8"/>
      <c r="AS21" s="8"/>
      <c r="AT21" s="8"/>
      <c r="AU21" s="8"/>
      <c r="AV21" s="8"/>
      <c r="AW21" s="8"/>
      <c r="AX21" s="8"/>
      <c r="AY21" s="8">
        <v>2802682.580698825</v>
      </c>
      <c r="IA21" s="8"/>
    </row>
    <row r="22" spans="1:235" x14ac:dyDescent="0.25">
      <c r="A22" s="3" t="s">
        <v>172</v>
      </c>
      <c r="B22" s="186"/>
      <c r="C22" s="186"/>
      <c r="D22" s="186"/>
      <c r="E22" s="186"/>
      <c r="F22" s="186"/>
      <c r="G22" s="186">
        <v>0.71159926155560904</v>
      </c>
      <c r="H22" s="186"/>
      <c r="I22" s="186"/>
      <c r="J22" s="186"/>
      <c r="K22" s="186"/>
      <c r="L22" s="186">
        <v>0.71159926155560904</v>
      </c>
      <c r="N22" s="3" t="s">
        <v>127</v>
      </c>
      <c r="O22" s="8"/>
      <c r="P22" s="8"/>
      <c r="Q22" s="8"/>
      <c r="R22" s="8"/>
      <c r="S22" s="8"/>
      <c r="T22" s="8">
        <v>2.4608408386748701</v>
      </c>
      <c r="U22" s="8"/>
      <c r="V22" s="8"/>
      <c r="W22" s="8"/>
      <c r="X22" s="8"/>
      <c r="Y22" s="8">
        <v>2.4608408386748701</v>
      </c>
      <c r="AA22" s="3" t="s">
        <v>127</v>
      </c>
      <c r="AB22" s="99"/>
      <c r="AC22" s="99"/>
      <c r="AD22" s="99"/>
      <c r="AE22" s="99"/>
      <c r="AF22" s="99"/>
      <c r="AG22" s="99">
        <v>14.7502</v>
      </c>
      <c r="AH22" s="99"/>
      <c r="AI22" s="99"/>
      <c r="AJ22" s="99"/>
      <c r="AK22" s="99"/>
      <c r="AL22" s="99">
        <v>14.7502</v>
      </c>
      <c r="AM22" s="99"/>
      <c r="AN22" s="4" t="s">
        <v>203</v>
      </c>
      <c r="AO22" s="8"/>
      <c r="AP22" s="8"/>
      <c r="AQ22" s="8"/>
      <c r="AR22" s="8">
        <v>-76738082.227339789</v>
      </c>
      <c r="AS22" s="8"/>
      <c r="AT22" s="8"/>
      <c r="AU22" s="8"/>
      <c r="AV22" s="8"/>
      <c r="AW22" s="8"/>
      <c r="AX22" s="8"/>
      <c r="AY22" s="8">
        <v>-76738082.227339789</v>
      </c>
      <c r="IA22" s="8"/>
    </row>
    <row r="23" spans="1:235" x14ac:dyDescent="0.25">
      <c r="A23" s="3" t="s">
        <v>173</v>
      </c>
      <c r="B23" s="186"/>
      <c r="C23" s="186"/>
      <c r="D23" s="186"/>
      <c r="E23" s="186"/>
      <c r="F23" s="186"/>
      <c r="G23" s="186">
        <v>10138.725630000001</v>
      </c>
      <c r="H23" s="186"/>
      <c r="I23" s="186"/>
      <c r="J23" s="186"/>
      <c r="K23" s="186"/>
      <c r="L23" s="186">
        <v>10138.725630000001</v>
      </c>
      <c r="N23" s="3" t="s">
        <v>113</v>
      </c>
      <c r="O23" s="8"/>
      <c r="P23" s="8"/>
      <c r="Q23" s="8"/>
      <c r="R23" s="8"/>
      <c r="S23" s="8"/>
      <c r="T23" s="8">
        <v>24.0581130313663</v>
      </c>
      <c r="U23" s="8"/>
      <c r="V23" s="8"/>
      <c r="W23" s="8"/>
      <c r="X23" s="8"/>
      <c r="Y23" s="8">
        <v>24.0581130313663</v>
      </c>
      <c r="AA23" s="3" t="s">
        <v>113</v>
      </c>
      <c r="AB23" s="99"/>
      <c r="AC23" s="99"/>
      <c r="AD23" s="99"/>
      <c r="AE23" s="99"/>
      <c r="AF23" s="99"/>
      <c r="AG23" s="99">
        <v>1.46109958</v>
      </c>
      <c r="AH23" s="99"/>
      <c r="AI23" s="99"/>
      <c r="AJ23" s="99"/>
      <c r="AK23" s="99"/>
      <c r="AL23" s="99">
        <v>1.46109958</v>
      </c>
      <c r="AM23" s="99"/>
      <c r="AN23" s="3" t="s">
        <v>259</v>
      </c>
      <c r="AO23" s="8">
        <v>830007.48</v>
      </c>
      <c r="AP23" s="8"/>
      <c r="AQ23" s="8"/>
      <c r="AR23" s="8"/>
      <c r="AS23" s="8"/>
      <c r="AT23" s="8"/>
      <c r="AU23" s="8"/>
      <c r="AV23" s="8"/>
      <c r="AW23" s="8"/>
      <c r="AX23" s="8"/>
      <c r="AY23" s="8">
        <v>830007.48</v>
      </c>
      <c r="IA23" s="8"/>
    </row>
    <row r="24" spans="1:235" x14ac:dyDescent="0.25">
      <c r="A24" s="3" t="s">
        <v>45</v>
      </c>
      <c r="B24" s="186"/>
      <c r="C24" s="186"/>
      <c r="D24" s="186">
        <v>-50149.778816708531</v>
      </c>
      <c r="E24" s="186"/>
      <c r="F24" s="186"/>
      <c r="G24" s="186">
        <v>30239101.164951336</v>
      </c>
      <c r="H24" s="186">
        <v>-435290.63611232943</v>
      </c>
      <c r="I24" s="186">
        <v>-15509759.562179245</v>
      </c>
      <c r="J24" s="186">
        <v>32515304.565708648</v>
      </c>
      <c r="K24" s="186"/>
      <c r="L24" s="186">
        <v>46759205.753551707</v>
      </c>
      <c r="N24" s="3" t="s">
        <v>14</v>
      </c>
      <c r="O24" s="8">
        <v>-22180724.9846294</v>
      </c>
      <c r="P24" s="8"/>
      <c r="Q24" s="8">
        <v>-1129379.10466326</v>
      </c>
      <c r="R24" s="8">
        <v>-55451115.317323402</v>
      </c>
      <c r="S24" s="8"/>
      <c r="T24" s="8">
        <v>88802872.657968178</v>
      </c>
      <c r="U24" s="8">
        <v>593858.85707809113</v>
      </c>
      <c r="V24" s="8">
        <v>-19149347.275423761</v>
      </c>
      <c r="W24" s="8">
        <v>-28855544.646768034</v>
      </c>
      <c r="X24" s="8">
        <v>43993350</v>
      </c>
      <c r="Y24" s="8">
        <v>6623970.1862384081</v>
      </c>
      <c r="AA24" s="3" t="s">
        <v>14</v>
      </c>
      <c r="AB24" s="99">
        <v>-1340.01684679</v>
      </c>
      <c r="AC24" s="99"/>
      <c r="AD24" s="99">
        <v>-3350</v>
      </c>
      <c r="AE24" s="99"/>
      <c r="AF24" s="99"/>
      <c r="AG24" s="99">
        <v>5055.5666757199997</v>
      </c>
      <c r="AH24" s="99">
        <v>44.035694229999997</v>
      </c>
      <c r="AI24" s="99">
        <v>-2116.8029641097123</v>
      </c>
      <c r="AJ24" s="99">
        <v>-1508.4674146041889</v>
      </c>
      <c r="AK24" s="99">
        <v>3670</v>
      </c>
      <c r="AL24" s="99">
        <v>454.3151444460982</v>
      </c>
      <c r="AM24" s="99"/>
      <c r="AN24" s="4" t="s">
        <v>259</v>
      </c>
      <c r="AO24" s="8">
        <v>830007.48</v>
      </c>
      <c r="AP24" s="8"/>
      <c r="AQ24" s="8"/>
      <c r="AR24" s="8"/>
      <c r="AS24" s="8"/>
      <c r="AT24" s="8"/>
      <c r="AU24" s="8"/>
      <c r="AV24" s="8"/>
      <c r="AW24" s="8"/>
      <c r="AX24" s="8"/>
      <c r="AY24" s="8">
        <v>830007.48</v>
      </c>
      <c r="IA24" s="8"/>
    </row>
    <row r="25" spans="1:235" x14ac:dyDescent="0.25">
      <c r="A25" s="3" t="s">
        <v>209</v>
      </c>
      <c r="B25" s="186"/>
      <c r="C25" s="186">
        <v>-1190717.663020327</v>
      </c>
      <c r="D25" s="186"/>
      <c r="E25" s="186"/>
      <c r="F25" s="186"/>
      <c r="G25" s="186"/>
      <c r="H25" s="186"/>
      <c r="I25" s="186"/>
      <c r="J25" s="186"/>
      <c r="K25" s="186"/>
      <c r="L25" s="186">
        <v>-1190717.663020327</v>
      </c>
      <c r="N25" s="3" t="s">
        <v>128</v>
      </c>
      <c r="O25" s="8"/>
      <c r="P25" s="8"/>
      <c r="Q25" s="8"/>
      <c r="R25" s="8"/>
      <c r="S25" s="8"/>
      <c r="T25" s="8">
        <v>4.56480457623374E-3</v>
      </c>
      <c r="U25" s="8"/>
      <c r="V25" s="8"/>
      <c r="W25" s="8"/>
      <c r="X25" s="8"/>
      <c r="Y25" s="8">
        <v>4.56480457623374E-3</v>
      </c>
      <c r="AA25" s="3" t="s">
        <v>128</v>
      </c>
      <c r="AB25" s="99"/>
      <c r="AC25" s="99"/>
      <c r="AD25" s="99"/>
      <c r="AE25" s="99"/>
      <c r="AF25" s="99"/>
      <c r="AG25" s="99">
        <v>0.33565571999999999</v>
      </c>
      <c r="AH25" s="99"/>
      <c r="AI25" s="99"/>
      <c r="AJ25" s="99"/>
      <c r="AK25" s="99"/>
      <c r="AL25" s="99">
        <v>0.33565571999999999</v>
      </c>
      <c r="AM25" s="99"/>
      <c r="AN25" s="3" t="s">
        <v>294</v>
      </c>
      <c r="AO25" s="8">
        <v>14761908.972518021</v>
      </c>
      <c r="AP25" s="8"/>
      <c r="AQ25" s="8"/>
      <c r="AR25" s="8"/>
      <c r="AS25" s="8"/>
      <c r="AT25" s="8"/>
      <c r="AU25" s="8"/>
      <c r="AV25" s="8">
        <v>-9993998.2487299498</v>
      </c>
      <c r="AW25" s="8"/>
      <c r="AX25" s="8"/>
      <c r="AY25" s="8">
        <v>4767910.7237880714</v>
      </c>
      <c r="IA25" s="8"/>
    </row>
    <row r="26" spans="1:235" x14ac:dyDescent="0.25">
      <c r="A26" s="3" t="s">
        <v>176</v>
      </c>
      <c r="B26" s="186"/>
      <c r="C26" s="186"/>
      <c r="D26" s="186"/>
      <c r="E26" s="186"/>
      <c r="F26" s="186"/>
      <c r="G26" s="186">
        <v>1.0427770482510064</v>
      </c>
      <c r="H26" s="186"/>
      <c r="I26" s="186"/>
      <c r="J26" s="186"/>
      <c r="K26" s="186"/>
      <c r="L26" s="186">
        <v>1.0427770482510064</v>
      </c>
      <c r="N26" s="3" t="s">
        <v>129</v>
      </c>
      <c r="O26" s="8"/>
      <c r="P26" s="8"/>
      <c r="Q26" s="8"/>
      <c r="R26" s="8"/>
      <c r="S26" s="8"/>
      <c r="T26" s="8">
        <v>845.32910099311698</v>
      </c>
      <c r="U26" s="8"/>
      <c r="V26" s="8"/>
      <c r="W26" s="8"/>
      <c r="X26" s="8"/>
      <c r="Y26" s="8">
        <v>845.32910099311698</v>
      </c>
      <c r="AA26" s="3" t="s">
        <v>129</v>
      </c>
      <c r="AB26" s="99"/>
      <c r="AC26" s="99"/>
      <c r="AD26" s="99"/>
      <c r="AE26" s="99"/>
      <c r="AF26" s="99"/>
      <c r="AG26" s="99">
        <v>1367501156.8785999</v>
      </c>
      <c r="AH26" s="99"/>
      <c r="AI26" s="99"/>
      <c r="AJ26" s="99"/>
      <c r="AK26" s="99"/>
      <c r="AL26" s="99">
        <v>1367501156.8785999</v>
      </c>
      <c r="AM26" s="99"/>
      <c r="AN26" s="4" t="s">
        <v>285</v>
      </c>
      <c r="AO26" s="8">
        <v>19184.942330868795</v>
      </c>
      <c r="AP26" s="8"/>
      <c r="AQ26" s="8"/>
      <c r="AR26" s="8"/>
      <c r="AS26" s="8"/>
      <c r="AT26" s="8"/>
      <c r="AU26" s="8"/>
      <c r="AV26" s="8"/>
      <c r="AW26" s="8"/>
      <c r="AX26" s="8"/>
      <c r="AY26" s="8">
        <v>19184.942330868795</v>
      </c>
      <c r="IA26" s="8"/>
    </row>
    <row r="27" spans="1:235" x14ac:dyDescent="0.25">
      <c r="A27" s="3" t="s">
        <v>211</v>
      </c>
      <c r="B27" s="186"/>
      <c r="C27" s="186">
        <v>-75.478409104803205</v>
      </c>
      <c r="D27" s="186"/>
      <c r="E27" s="186"/>
      <c r="F27" s="186"/>
      <c r="G27" s="186"/>
      <c r="H27" s="186"/>
      <c r="I27" s="186"/>
      <c r="J27" s="186"/>
      <c r="K27" s="186"/>
      <c r="L27" s="186">
        <v>-75.478409104803205</v>
      </c>
      <c r="N27" s="3" t="s">
        <v>88</v>
      </c>
      <c r="O27" s="8"/>
      <c r="P27" s="8"/>
      <c r="Q27" s="8">
        <v>-1774611.3498162499</v>
      </c>
      <c r="R27" s="8"/>
      <c r="S27" s="8"/>
      <c r="T27" s="8">
        <v>21280309.774744656</v>
      </c>
      <c r="U27" s="8"/>
      <c r="V27" s="8"/>
      <c r="W27" s="8"/>
      <c r="X27" s="8"/>
      <c r="Y27" s="8">
        <v>19505698.424928404</v>
      </c>
      <c r="AA27" s="3" t="s">
        <v>88</v>
      </c>
      <c r="AB27" s="99"/>
      <c r="AC27" s="99"/>
      <c r="AD27" s="99"/>
      <c r="AE27" s="99"/>
      <c r="AF27" s="99"/>
      <c r="AG27" s="99">
        <v>24902049.507729329</v>
      </c>
      <c r="AH27" s="99"/>
      <c r="AI27" s="99"/>
      <c r="AJ27" s="99"/>
      <c r="AK27" s="99"/>
      <c r="AL27" s="99">
        <v>24902049.507729329</v>
      </c>
      <c r="AM27" s="99"/>
      <c r="AN27" s="4" t="s">
        <v>300</v>
      </c>
      <c r="AO27" s="8">
        <v>285548.78509792848</v>
      </c>
      <c r="AP27" s="8"/>
      <c r="AQ27" s="8"/>
      <c r="AR27" s="8"/>
      <c r="AS27" s="8"/>
      <c r="AT27" s="8"/>
      <c r="AU27" s="8"/>
      <c r="AV27" s="8"/>
      <c r="AW27" s="8"/>
      <c r="AX27" s="8"/>
      <c r="AY27" s="8">
        <v>285548.78509792848</v>
      </c>
      <c r="IA27" s="8"/>
    </row>
    <row r="28" spans="1:235" x14ac:dyDescent="0.25">
      <c r="A28" s="3" t="s">
        <v>182</v>
      </c>
      <c r="B28" s="186"/>
      <c r="C28" s="186"/>
      <c r="D28" s="186"/>
      <c r="E28" s="186"/>
      <c r="F28" s="186"/>
      <c r="G28" s="186">
        <v>27668.2027522961</v>
      </c>
      <c r="H28" s="186"/>
      <c r="I28" s="186"/>
      <c r="J28" s="186"/>
      <c r="K28" s="186"/>
      <c r="L28" s="186">
        <v>27668.2027522961</v>
      </c>
      <c r="N28" s="3" t="s">
        <v>130</v>
      </c>
      <c r="O28" s="8"/>
      <c r="P28" s="8"/>
      <c r="Q28" s="8"/>
      <c r="R28" s="8"/>
      <c r="S28" s="8"/>
      <c r="T28" s="8">
        <v>3.8423151353518502E-3</v>
      </c>
      <c r="U28" s="8"/>
      <c r="V28" s="8"/>
      <c r="W28" s="8"/>
      <c r="X28" s="8"/>
      <c r="Y28" s="8">
        <v>3.8423151353518502E-3</v>
      </c>
      <c r="AA28" s="3" t="s">
        <v>130</v>
      </c>
      <c r="AB28" s="99"/>
      <c r="AC28" s="99"/>
      <c r="AD28" s="99"/>
      <c r="AE28" s="99"/>
      <c r="AF28" s="99"/>
      <c r="AG28" s="99">
        <v>1.7855998900000001</v>
      </c>
      <c r="AH28" s="99"/>
      <c r="AI28" s="99"/>
      <c r="AJ28" s="99"/>
      <c r="AK28" s="99"/>
      <c r="AL28" s="99">
        <v>1.7855998900000001</v>
      </c>
      <c r="AM28" s="99"/>
      <c r="AN28" s="4" t="s">
        <v>304</v>
      </c>
      <c r="AO28" s="8">
        <v>1013599.3552910595</v>
      </c>
      <c r="AP28" s="8"/>
      <c r="AQ28" s="8"/>
      <c r="AR28" s="8"/>
      <c r="AS28" s="8"/>
      <c r="AT28" s="8"/>
      <c r="AU28" s="8"/>
      <c r="AV28" s="8"/>
      <c r="AW28" s="8"/>
      <c r="AX28" s="8"/>
      <c r="AY28" s="8">
        <v>1013599.3552910595</v>
      </c>
      <c r="IA28" s="8"/>
    </row>
    <row r="29" spans="1:235" x14ac:dyDescent="0.25">
      <c r="A29" s="3" t="s">
        <v>184</v>
      </c>
      <c r="B29" s="186"/>
      <c r="C29" s="186"/>
      <c r="D29" s="186">
        <v>-2376846.6380742299</v>
      </c>
      <c r="E29" s="186"/>
      <c r="F29" s="186"/>
      <c r="G29" s="186">
        <v>5821114.775656092</v>
      </c>
      <c r="H29" s="186"/>
      <c r="I29" s="186"/>
      <c r="J29" s="186"/>
      <c r="K29" s="186"/>
      <c r="L29" s="186">
        <v>3444268.137581862</v>
      </c>
      <c r="N29" s="3" t="s">
        <v>31</v>
      </c>
      <c r="O29" s="8"/>
      <c r="P29" s="8"/>
      <c r="Q29" s="8">
        <v>-153381.54341515299</v>
      </c>
      <c r="R29" s="8"/>
      <c r="S29" s="8"/>
      <c r="T29" s="8">
        <v>160341.98676808385</v>
      </c>
      <c r="U29" s="8"/>
      <c r="V29" s="8"/>
      <c r="W29" s="8">
        <v>-6572.0132999999996</v>
      </c>
      <c r="X29" s="8"/>
      <c r="Y29" s="8">
        <v>388.43005293085935</v>
      </c>
      <c r="AA29" s="3" t="s">
        <v>31</v>
      </c>
      <c r="AB29" s="99"/>
      <c r="AC29" s="99"/>
      <c r="AD29" s="99"/>
      <c r="AE29" s="99"/>
      <c r="AF29" s="99">
        <v>-4800</v>
      </c>
      <c r="AG29" s="99">
        <v>5044.1909307899996</v>
      </c>
      <c r="AH29" s="99"/>
      <c r="AI29" s="99">
        <v>-200.97900000000001</v>
      </c>
      <c r="AJ29" s="99"/>
      <c r="AK29" s="99"/>
      <c r="AL29" s="99">
        <v>43.21193078999957</v>
      </c>
      <c r="AM29" s="99"/>
      <c r="AN29" s="4" t="s">
        <v>305</v>
      </c>
      <c r="AO29" s="8">
        <v>3330.2608231392401</v>
      </c>
      <c r="AP29" s="8"/>
      <c r="AQ29" s="8"/>
      <c r="AR29" s="8"/>
      <c r="AS29" s="8"/>
      <c r="AT29" s="8"/>
      <c r="AU29" s="8"/>
      <c r="AV29" s="8"/>
      <c r="AW29" s="8"/>
      <c r="AX29" s="8"/>
      <c r="AY29" s="8">
        <v>3330.2608231392401</v>
      </c>
      <c r="IA29" s="8"/>
    </row>
    <row r="30" spans="1:235" x14ac:dyDescent="0.25">
      <c r="A30" s="3" t="s">
        <v>427</v>
      </c>
      <c r="B30" s="186"/>
      <c r="C30" s="186"/>
      <c r="D30" s="186"/>
      <c r="E30" s="186"/>
      <c r="F30" s="186">
        <v>79941.919999999998</v>
      </c>
      <c r="G30" s="186"/>
      <c r="H30" s="186"/>
      <c r="I30" s="186"/>
      <c r="J30" s="186"/>
      <c r="K30" s="186"/>
      <c r="L30" s="186">
        <v>79941.919999999998</v>
      </c>
      <c r="N30" s="3" t="s">
        <v>131</v>
      </c>
      <c r="O30" s="8"/>
      <c r="P30" s="8"/>
      <c r="Q30" s="8"/>
      <c r="R30" s="8"/>
      <c r="S30" s="8"/>
      <c r="T30" s="8">
        <v>1.7736621591151101E-2</v>
      </c>
      <c r="U30" s="8"/>
      <c r="V30" s="8"/>
      <c r="W30" s="8"/>
      <c r="X30" s="8"/>
      <c r="Y30" s="8">
        <v>1.7736621591151101E-2</v>
      </c>
      <c r="AA30" s="3" t="s">
        <v>131</v>
      </c>
      <c r="AB30" s="99"/>
      <c r="AC30" s="99"/>
      <c r="AD30" s="99"/>
      <c r="AE30" s="99"/>
      <c r="AF30" s="99"/>
      <c r="AG30" s="99">
        <v>0.30791584</v>
      </c>
      <c r="AH30" s="99"/>
      <c r="AI30" s="99"/>
      <c r="AJ30" s="99"/>
      <c r="AK30" s="99"/>
      <c r="AL30" s="99">
        <v>0.30791584</v>
      </c>
      <c r="AM30" s="99"/>
      <c r="AN30" s="4" t="s">
        <v>438</v>
      </c>
      <c r="AO30" s="8">
        <v>140.062634450714</v>
      </c>
      <c r="AP30" s="8"/>
      <c r="AQ30" s="8"/>
      <c r="AR30" s="8"/>
      <c r="AS30" s="8"/>
      <c r="AT30" s="8"/>
      <c r="AU30" s="8"/>
      <c r="AV30" s="8"/>
      <c r="AW30" s="8"/>
      <c r="AX30" s="8"/>
      <c r="AY30" s="8">
        <v>140.062634450714</v>
      </c>
      <c r="IA30" s="8"/>
    </row>
    <row r="31" spans="1:235" x14ac:dyDescent="0.25">
      <c r="A31" s="3" t="s">
        <v>56</v>
      </c>
      <c r="B31" s="186">
        <v>-211206773.49899808</v>
      </c>
      <c r="C31" s="186">
        <v>-1190793.1414294317</v>
      </c>
      <c r="D31" s="186">
        <v>-14331689.698353291</v>
      </c>
      <c r="E31" s="186">
        <v>-87608748.109617233</v>
      </c>
      <c r="F31" s="186">
        <v>27404125.440000001</v>
      </c>
      <c r="G31" s="186">
        <v>321500409.04357004</v>
      </c>
      <c r="H31" s="186">
        <v>-132609.41215560102</v>
      </c>
      <c r="I31" s="186">
        <v>-42809619.487171866</v>
      </c>
      <c r="J31" s="186">
        <v>108180974.97364092</v>
      </c>
      <c r="K31" s="186">
        <v>-93822750</v>
      </c>
      <c r="L31" s="186">
        <v>5982526.1094854213</v>
      </c>
      <c r="N31" s="3" t="s">
        <v>188</v>
      </c>
      <c r="O31" s="8"/>
      <c r="P31" s="8"/>
      <c r="Q31" s="8"/>
      <c r="R31" s="8"/>
      <c r="S31" s="8"/>
      <c r="T31" s="8">
        <v>4843.0925641542153</v>
      </c>
      <c r="U31" s="8"/>
      <c r="V31" s="8"/>
      <c r="W31" s="8"/>
      <c r="X31" s="8"/>
      <c r="Y31" s="8">
        <v>4843.0925641542153</v>
      </c>
      <c r="AA31" s="3" t="s">
        <v>188</v>
      </c>
      <c r="AB31" s="99"/>
      <c r="AC31" s="99"/>
      <c r="AD31" s="99"/>
      <c r="AE31" s="99"/>
      <c r="AF31" s="99"/>
      <c r="AG31" s="99">
        <v>2486.5065749100004</v>
      </c>
      <c r="AH31" s="99"/>
      <c r="AI31" s="99"/>
      <c r="AJ31" s="99"/>
      <c r="AK31" s="99"/>
      <c r="AL31" s="99">
        <v>2486.5065749100004</v>
      </c>
      <c r="AM31" s="99"/>
      <c r="AN31" s="4" t="s">
        <v>439</v>
      </c>
      <c r="AO31" s="8">
        <v>1429479.0242273742</v>
      </c>
      <c r="AP31" s="8"/>
      <c r="AQ31" s="8"/>
      <c r="AR31" s="8"/>
      <c r="AS31" s="8"/>
      <c r="AT31" s="8"/>
      <c r="AU31" s="8"/>
      <c r="AV31" s="8"/>
      <c r="AW31" s="8"/>
      <c r="AX31" s="8"/>
      <c r="AY31" s="8">
        <v>1429479.0242273742</v>
      </c>
      <c r="IA31" s="8"/>
    </row>
    <row r="32" spans="1:235" x14ac:dyDescent="0.25">
      <c r="N32" s="3" t="s">
        <v>132</v>
      </c>
      <c r="O32" s="8"/>
      <c r="P32" s="8"/>
      <c r="Q32" s="8">
        <v>-42958.437010021102</v>
      </c>
      <c r="R32" s="8"/>
      <c r="S32" s="8"/>
      <c r="T32" s="8">
        <v>42954.197132571862</v>
      </c>
      <c r="U32" s="8"/>
      <c r="V32" s="8"/>
      <c r="W32" s="8"/>
      <c r="X32" s="8"/>
      <c r="Y32" s="8">
        <v>-4.2398774492394296</v>
      </c>
      <c r="AA32" s="3" t="s">
        <v>132</v>
      </c>
      <c r="AB32" s="99"/>
      <c r="AC32" s="99"/>
      <c r="AD32" s="99"/>
      <c r="AE32" s="99"/>
      <c r="AF32" s="99">
        <v>-1000</v>
      </c>
      <c r="AG32" s="99">
        <v>999.89412559999994</v>
      </c>
      <c r="AH32" s="99"/>
      <c r="AI32" s="99"/>
      <c r="AJ32" s="99"/>
      <c r="AK32" s="99"/>
      <c r="AL32" s="99">
        <v>-0.10587440000006154</v>
      </c>
      <c r="AM32" s="99"/>
      <c r="AN32" s="4" t="s">
        <v>800</v>
      </c>
      <c r="AO32" s="8">
        <v>12010626.5421132</v>
      </c>
      <c r="AP32" s="8"/>
      <c r="AQ32" s="8"/>
      <c r="AR32" s="8"/>
      <c r="AS32" s="8"/>
      <c r="AT32" s="8"/>
      <c r="AU32" s="8"/>
      <c r="AV32" s="8"/>
      <c r="AW32" s="8"/>
      <c r="AX32" s="8"/>
      <c r="AY32" s="8">
        <v>12010626.5421132</v>
      </c>
      <c r="IA32" s="8"/>
    </row>
    <row r="33" spans="14:235" x14ac:dyDescent="0.25">
      <c r="N33" s="3" t="s">
        <v>190</v>
      </c>
      <c r="O33" s="8"/>
      <c r="P33" s="8"/>
      <c r="Q33" s="8">
        <v>-77419.428789486803</v>
      </c>
      <c r="R33" s="8"/>
      <c r="S33" s="8"/>
      <c r="T33" s="8">
        <v>77353.716449471307</v>
      </c>
      <c r="U33" s="8"/>
      <c r="V33" s="8"/>
      <c r="W33" s="8"/>
      <c r="X33" s="8"/>
      <c r="Y33" s="8">
        <v>-65.712340015496011</v>
      </c>
      <c r="AA33" s="3" t="s">
        <v>190</v>
      </c>
      <c r="AB33" s="99"/>
      <c r="AC33" s="99"/>
      <c r="AD33" s="99"/>
      <c r="AE33" s="99"/>
      <c r="AF33" s="99">
        <v>-1100000</v>
      </c>
      <c r="AG33" s="99">
        <v>1092964.39924083</v>
      </c>
      <c r="AH33" s="99"/>
      <c r="AI33" s="99"/>
      <c r="AJ33" s="99"/>
      <c r="AK33" s="99"/>
      <c r="AL33" s="99">
        <v>-7035.6007591700181</v>
      </c>
      <c r="AM33" s="99"/>
      <c r="AN33" s="4" t="s">
        <v>865</v>
      </c>
      <c r="AO33" s="8"/>
      <c r="AP33" s="8"/>
      <c r="AQ33" s="8"/>
      <c r="AR33" s="8"/>
      <c r="AS33" s="8"/>
      <c r="AT33" s="8"/>
      <c r="AU33" s="8"/>
      <c r="AV33" s="8">
        <v>-9993998.2487299498</v>
      </c>
      <c r="AW33" s="8"/>
      <c r="AX33" s="8"/>
      <c r="AY33" s="8">
        <v>-9993998.2487299498</v>
      </c>
      <c r="IA33" s="8"/>
    </row>
    <row r="34" spans="14:235" x14ac:dyDescent="0.25">
      <c r="N34" s="3" t="s">
        <v>133</v>
      </c>
      <c r="O34" s="8"/>
      <c r="P34" s="8"/>
      <c r="Q34" s="8"/>
      <c r="R34" s="8"/>
      <c r="S34" s="8"/>
      <c r="T34" s="8">
        <v>4.0053400491261303E-6</v>
      </c>
      <c r="U34" s="8"/>
      <c r="V34" s="8"/>
      <c r="W34" s="8"/>
      <c r="X34" s="8"/>
      <c r="Y34" s="8">
        <v>4.0053400491261303E-6</v>
      </c>
      <c r="AA34" s="3" t="s">
        <v>133</v>
      </c>
      <c r="AB34" s="99"/>
      <c r="AC34" s="99"/>
      <c r="AD34" s="99"/>
      <c r="AE34" s="99"/>
      <c r="AF34" s="99"/>
      <c r="AG34" s="99">
        <v>5.9800000000000001E-4</v>
      </c>
      <c r="AH34" s="99"/>
      <c r="AI34" s="99"/>
      <c r="AJ34" s="99"/>
      <c r="AK34" s="99"/>
      <c r="AL34" s="99">
        <v>5.9800000000000001E-4</v>
      </c>
      <c r="AM34" s="99"/>
      <c r="AN34" s="3" t="s">
        <v>32</v>
      </c>
      <c r="AO34" s="8">
        <v>15673.2151290496</v>
      </c>
      <c r="AP34" s="8"/>
      <c r="AQ34" s="8"/>
      <c r="AR34" s="8"/>
      <c r="AS34" s="8"/>
      <c r="AT34" s="8"/>
      <c r="AU34" s="8"/>
      <c r="AV34" s="8"/>
      <c r="AW34" s="8">
        <v>-30612.261067437998</v>
      </c>
      <c r="AX34" s="8"/>
      <c r="AY34" s="8">
        <v>-14939.045938388397</v>
      </c>
      <c r="IA34" s="8"/>
    </row>
    <row r="35" spans="14:235" x14ac:dyDescent="0.25">
      <c r="N35" s="3" t="s">
        <v>22</v>
      </c>
      <c r="O35" s="8"/>
      <c r="P35" s="8"/>
      <c r="Q35" s="8">
        <v>-42824.587296466801</v>
      </c>
      <c r="R35" s="8">
        <v>-171298.349185867</v>
      </c>
      <c r="S35" s="8"/>
      <c r="T35" s="8">
        <v>213287.0534104848</v>
      </c>
      <c r="U35" s="8"/>
      <c r="V35" s="8"/>
      <c r="W35" s="8"/>
      <c r="X35" s="8"/>
      <c r="Y35" s="8">
        <v>-835.88307184900623</v>
      </c>
      <c r="AA35" s="3" t="s">
        <v>22</v>
      </c>
      <c r="AB35" s="99"/>
      <c r="AC35" s="99"/>
      <c r="AD35" s="99">
        <v>-40000</v>
      </c>
      <c r="AE35" s="99"/>
      <c r="AF35" s="99">
        <v>-10033.064813679999</v>
      </c>
      <c r="AG35" s="99">
        <v>49624.109538410004</v>
      </c>
      <c r="AH35" s="99"/>
      <c r="AI35" s="99"/>
      <c r="AJ35" s="99"/>
      <c r="AK35" s="99"/>
      <c r="AL35" s="99">
        <v>-408.95527526999649</v>
      </c>
      <c r="AM35" s="99"/>
      <c r="AN35" s="4" t="s">
        <v>33</v>
      </c>
      <c r="AO35" s="8">
        <v>15673.2151290496</v>
      </c>
      <c r="AP35" s="8"/>
      <c r="AQ35" s="8"/>
      <c r="AR35" s="8"/>
      <c r="AS35" s="8"/>
      <c r="AT35" s="8"/>
      <c r="AU35" s="8"/>
      <c r="AV35" s="8"/>
      <c r="AW35" s="8">
        <v>-30612.261067437998</v>
      </c>
      <c r="AX35" s="8"/>
      <c r="AY35" s="8">
        <v>-14939.045938388397</v>
      </c>
      <c r="IA35" s="8"/>
    </row>
    <row r="36" spans="14:235" x14ac:dyDescent="0.25">
      <c r="N36" s="3" t="s">
        <v>28</v>
      </c>
      <c r="O36" s="8"/>
      <c r="P36" s="8"/>
      <c r="Q36" s="8">
        <v>-14593.4426433599</v>
      </c>
      <c r="R36" s="8"/>
      <c r="S36" s="8"/>
      <c r="T36" s="8">
        <v>14038.651172137257</v>
      </c>
      <c r="U36" s="8"/>
      <c r="V36" s="8"/>
      <c r="W36" s="8"/>
      <c r="X36" s="8"/>
      <c r="Y36" s="8">
        <v>-554.79147122264294</v>
      </c>
      <c r="AA36" s="3" t="s">
        <v>28</v>
      </c>
      <c r="AB36" s="99"/>
      <c r="AC36" s="99"/>
      <c r="AD36" s="99"/>
      <c r="AE36" s="99"/>
      <c r="AF36" s="99">
        <v>-60000</v>
      </c>
      <c r="AG36" s="99">
        <v>59918.411579829997</v>
      </c>
      <c r="AH36" s="99"/>
      <c r="AI36" s="99"/>
      <c r="AJ36" s="99"/>
      <c r="AK36" s="99"/>
      <c r="AL36" s="99">
        <v>-81.588420170002792</v>
      </c>
      <c r="AM36" s="99"/>
      <c r="AN36" s="3" t="s">
        <v>265</v>
      </c>
      <c r="AO36" s="8"/>
      <c r="AP36" s="8">
        <v>-93822750</v>
      </c>
      <c r="AQ36" s="8">
        <v>27324183.52</v>
      </c>
      <c r="AR36" s="8"/>
      <c r="AS36" s="8"/>
      <c r="AT36" s="8"/>
      <c r="AU36" s="8"/>
      <c r="AV36" s="8"/>
      <c r="AW36" s="8"/>
      <c r="AX36" s="8"/>
      <c r="AY36" s="8">
        <v>-66498566.480000004</v>
      </c>
      <c r="IA36" s="8"/>
    </row>
    <row r="37" spans="14:235" x14ac:dyDescent="0.25">
      <c r="N37" s="3" t="s">
        <v>23</v>
      </c>
      <c r="O37" s="8"/>
      <c r="P37" s="8"/>
      <c r="Q37" s="8">
        <v>-458128.51041538682</v>
      </c>
      <c r="R37" s="8">
        <v>-3929179.5090600271</v>
      </c>
      <c r="S37" s="8"/>
      <c r="T37" s="8">
        <v>3956702.6074086805</v>
      </c>
      <c r="U37" s="8"/>
      <c r="V37" s="8"/>
      <c r="W37" s="8">
        <v>461886.07566551398</v>
      </c>
      <c r="X37" s="8"/>
      <c r="Y37" s="8">
        <v>31280.663598780986</v>
      </c>
      <c r="AA37" s="3" t="s">
        <v>23</v>
      </c>
      <c r="AB37" s="99"/>
      <c r="AC37" s="99"/>
      <c r="AD37" s="99">
        <v>-4510822.18</v>
      </c>
      <c r="AE37" s="99"/>
      <c r="AF37" s="99">
        <v>-500435.5</v>
      </c>
      <c r="AG37" s="99">
        <v>4277060.0976785589</v>
      </c>
      <c r="AH37" s="99"/>
      <c r="AI37" s="99">
        <v>781480.9</v>
      </c>
      <c r="AJ37" s="99"/>
      <c r="AK37" s="99"/>
      <c r="AL37" s="99">
        <v>47283.317678559222</v>
      </c>
      <c r="AM37" s="99"/>
      <c r="AN37" s="4" t="s">
        <v>237</v>
      </c>
      <c r="AO37" s="8"/>
      <c r="AP37" s="8"/>
      <c r="AQ37" s="8">
        <v>27324183.52</v>
      </c>
      <c r="AR37" s="8"/>
      <c r="AS37" s="8"/>
      <c r="AT37" s="8"/>
      <c r="AU37" s="8"/>
      <c r="AV37" s="8"/>
      <c r="AW37" s="8"/>
      <c r="AX37" s="8"/>
      <c r="AY37" s="8">
        <v>27324183.52</v>
      </c>
      <c r="IA37" s="8"/>
    </row>
    <row r="38" spans="14:235" x14ac:dyDescent="0.25">
      <c r="N38" s="3" t="s">
        <v>29</v>
      </c>
      <c r="O38" s="8"/>
      <c r="P38" s="8"/>
      <c r="Q38" s="8">
        <v>-6.16059858843116</v>
      </c>
      <c r="R38" s="8">
        <v>-1632424.6416587799</v>
      </c>
      <c r="S38" s="8"/>
      <c r="T38" s="8">
        <v>1623164.7378528011</v>
      </c>
      <c r="U38" s="8"/>
      <c r="V38" s="8"/>
      <c r="W38" s="8"/>
      <c r="X38" s="8"/>
      <c r="Y38" s="8">
        <v>-9266.0644045672379</v>
      </c>
      <c r="AA38" s="3" t="s">
        <v>29</v>
      </c>
      <c r="AB38" s="99"/>
      <c r="AC38" s="99"/>
      <c r="AD38" s="99">
        <v>-108000</v>
      </c>
      <c r="AE38" s="99"/>
      <c r="AF38" s="99">
        <v>-0.40750188999999998</v>
      </c>
      <c r="AG38" s="99">
        <v>107511.85331478</v>
      </c>
      <c r="AH38" s="99"/>
      <c r="AI38" s="99">
        <v>-8.5299999999999994</v>
      </c>
      <c r="AJ38" s="99"/>
      <c r="AK38" s="99"/>
      <c r="AL38" s="99">
        <v>-497.08418710999945</v>
      </c>
      <c r="AM38" s="99"/>
      <c r="AN38" s="4" t="s">
        <v>296</v>
      </c>
      <c r="AO38" s="8"/>
      <c r="AP38" s="8">
        <v>-93822750</v>
      </c>
      <c r="AQ38" s="8"/>
      <c r="AR38" s="8"/>
      <c r="AS38" s="8"/>
      <c r="AT38" s="8"/>
      <c r="AU38" s="8"/>
      <c r="AV38" s="8"/>
      <c r="AW38" s="8"/>
      <c r="AX38" s="8"/>
      <c r="AY38" s="8">
        <v>-93822750</v>
      </c>
      <c r="IA38" s="8"/>
    </row>
    <row r="39" spans="14:235" x14ac:dyDescent="0.25">
      <c r="N39" s="3" t="s">
        <v>15</v>
      </c>
      <c r="O39" s="8">
        <v>-30767089.5774398</v>
      </c>
      <c r="P39" s="8"/>
      <c r="Q39" s="8">
        <v>-1293775.0792425</v>
      </c>
      <c r="R39" s="8">
        <v>-13208839.314412471</v>
      </c>
      <c r="S39" s="8"/>
      <c r="T39" s="8">
        <v>52442649.188843362</v>
      </c>
      <c r="U39" s="8">
        <v>311265.07627489656</v>
      </c>
      <c r="V39" s="8">
        <v>-7580068.1161409803</v>
      </c>
      <c r="W39" s="8">
        <v>-26177744.096006069</v>
      </c>
      <c r="X39" s="8">
        <v>23750650</v>
      </c>
      <c r="Y39" s="8">
        <v>-2522951.9181235619</v>
      </c>
      <c r="AA39" s="3" t="s">
        <v>15</v>
      </c>
      <c r="AB39" s="99">
        <v>-25855</v>
      </c>
      <c r="AC39" s="99"/>
      <c r="AD39" s="99">
        <v>-11099.994999999999</v>
      </c>
      <c r="AE39" s="99"/>
      <c r="AF39" s="99">
        <v>-148.11554434999999</v>
      </c>
      <c r="AG39" s="99">
        <v>37968.570378520002</v>
      </c>
      <c r="AH39" s="99">
        <v>230.76231387000001</v>
      </c>
      <c r="AI39" s="99">
        <v>-37298.06352909156</v>
      </c>
      <c r="AJ39" s="99">
        <v>-2769.9745162399413</v>
      </c>
      <c r="AK39" s="99">
        <v>41050</v>
      </c>
      <c r="AL39" s="99">
        <v>2078.1841027085029</v>
      </c>
      <c r="AM39" s="99"/>
      <c r="AN39" s="3" t="s">
        <v>186</v>
      </c>
      <c r="AO39" s="8">
        <v>27548625.98421951</v>
      </c>
      <c r="AP39" s="8"/>
      <c r="AQ39" s="8"/>
      <c r="AR39" s="8"/>
      <c r="AS39" s="8"/>
      <c r="AT39" s="8"/>
      <c r="AU39" s="8"/>
      <c r="AV39" s="8"/>
      <c r="AW39" s="8"/>
      <c r="AX39" s="8"/>
      <c r="AY39" s="8">
        <v>27548625.98421951</v>
      </c>
      <c r="IA39" s="8"/>
    </row>
    <row r="40" spans="14:235" x14ac:dyDescent="0.25">
      <c r="N40" s="3" t="s">
        <v>290</v>
      </c>
      <c r="O40" s="8"/>
      <c r="P40" s="8"/>
      <c r="Q40" s="8"/>
      <c r="R40" s="8"/>
      <c r="S40" s="8"/>
      <c r="T40" s="8">
        <v>3997.2654032186733</v>
      </c>
      <c r="U40" s="8"/>
      <c r="V40" s="8"/>
      <c r="W40" s="8"/>
      <c r="X40" s="8"/>
      <c r="Y40" s="8">
        <v>3997.2654032186733</v>
      </c>
      <c r="AA40" s="3" t="s">
        <v>290</v>
      </c>
      <c r="AB40" s="99"/>
      <c r="AC40" s="99"/>
      <c r="AD40" s="99"/>
      <c r="AE40" s="99"/>
      <c r="AF40" s="99"/>
      <c r="AG40" s="99">
        <v>9823.8374246499989</v>
      </c>
      <c r="AH40" s="99"/>
      <c r="AI40" s="99"/>
      <c r="AJ40" s="99"/>
      <c r="AK40" s="99"/>
      <c r="AL40" s="99">
        <v>9823.8374246499989</v>
      </c>
      <c r="AM40" s="99"/>
      <c r="AN40" s="4" t="s">
        <v>186</v>
      </c>
      <c r="AO40" s="8">
        <v>27548625.98421951</v>
      </c>
      <c r="AP40" s="8"/>
      <c r="AQ40" s="8"/>
      <c r="AR40" s="8"/>
      <c r="AS40" s="8"/>
      <c r="AT40" s="8"/>
      <c r="AU40" s="8"/>
      <c r="AV40" s="8"/>
      <c r="AW40" s="8"/>
      <c r="AX40" s="8"/>
      <c r="AY40" s="8">
        <v>27548625.98421951</v>
      </c>
      <c r="IA40" s="8"/>
    </row>
    <row r="41" spans="14:235" x14ac:dyDescent="0.25">
      <c r="N41" s="3" t="s">
        <v>272</v>
      </c>
      <c r="O41" s="8"/>
      <c r="P41" s="8"/>
      <c r="Q41" s="8"/>
      <c r="R41" s="8"/>
      <c r="S41" s="8"/>
      <c r="T41" s="8">
        <v>14005.53004771729</v>
      </c>
      <c r="U41" s="8"/>
      <c r="V41" s="8"/>
      <c r="W41" s="8"/>
      <c r="X41" s="8"/>
      <c r="Y41" s="8">
        <v>14005.53004771729</v>
      </c>
      <c r="AA41" s="3" t="s">
        <v>272</v>
      </c>
      <c r="AB41" s="99"/>
      <c r="AC41" s="99"/>
      <c r="AD41" s="99"/>
      <c r="AE41" s="99"/>
      <c r="AF41" s="99"/>
      <c r="AG41" s="99">
        <v>4732.5387514900003</v>
      </c>
      <c r="AH41" s="99"/>
      <c r="AI41" s="99"/>
      <c r="AJ41" s="99"/>
      <c r="AK41" s="99"/>
      <c r="AL41" s="99">
        <v>4732.5387514900003</v>
      </c>
      <c r="AM41" s="99"/>
      <c r="AN41" s="3" t="s">
        <v>170</v>
      </c>
      <c r="AO41" s="8">
        <v>13290222.596196052</v>
      </c>
      <c r="AP41" s="8"/>
      <c r="AQ41" s="8"/>
      <c r="AR41" s="8"/>
      <c r="AS41" s="8">
        <v>-211206773.49899808</v>
      </c>
      <c r="AT41" s="8"/>
      <c r="AU41" s="8"/>
      <c r="AV41" s="8"/>
      <c r="AW41" s="8"/>
      <c r="AX41" s="8"/>
      <c r="AY41" s="8">
        <v>-197916550.90280202</v>
      </c>
      <c r="IA41" s="8"/>
    </row>
    <row r="42" spans="14:235" x14ac:dyDescent="0.25">
      <c r="N42" s="3" t="s">
        <v>107</v>
      </c>
      <c r="O42" s="8">
        <v>-21224599.999999899</v>
      </c>
      <c r="P42" s="8"/>
      <c r="Q42" s="8"/>
      <c r="R42" s="8"/>
      <c r="S42" s="8"/>
      <c r="T42" s="8">
        <v>846731.20327921899</v>
      </c>
      <c r="U42" s="8"/>
      <c r="V42" s="8"/>
      <c r="W42" s="8"/>
      <c r="X42" s="8"/>
      <c r="Y42" s="8">
        <v>-20377868.79672068</v>
      </c>
      <c r="AA42" s="3" t="s">
        <v>107</v>
      </c>
      <c r="AB42" s="99">
        <v>-20000000</v>
      </c>
      <c r="AC42" s="99"/>
      <c r="AD42" s="99"/>
      <c r="AE42" s="99"/>
      <c r="AF42" s="99"/>
      <c r="AG42" s="99">
        <v>797446.81671859999</v>
      </c>
      <c r="AH42" s="99"/>
      <c r="AI42" s="99"/>
      <c r="AJ42" s="99"/>
      <c r="AK42" s="99"/>
      <c r="AL42" s="99">
        <v>-19202553.183281399</v>
      </c>
      <c r="AM42" s="99"/>
      <c r="AN42" s="4" t="s">
        <v>168</v>
      </c>
      <c r="AO42" s="8">
        <v>13290222.596196052</v>
      </c>
      <c r="AP42" s="8"/>
      <c r="AQ42" s="8"/>
      <c r="AR42" s="8"/>
      <c r="AS42" s="8">
        <v>-211206773.49899808</v>
      </c>
      <c r="AT42" s="8"/>
      <c r="AU42" s="8"/>
      <c r="AV42" s="8"/>
      <c r="AW42" s="8"/>
      <c r="AX42" s="8"/>
      <c r="AY42" s="8">
        <v>-197916550.90280202</v>
      </c>
      <c r="IA42" s="8"/>
    </row>
    <row r="43" spans="14:235" x14ac:dyDescent="0.25">
      <c r="N43" s="3" t="s">
        <v>258</v>
      </c>
      <c r="O43" s="8">
        <v>-15938134.512178</v>
      </c>
      <c r="P43" s="8"/>
      <c r="Q43" s="8"/>
      <c r="R43" s="8"/>
      <c r="S43" s="8"/>
      <c r="T43" s="8">
        <v>365336.43797589996</v>
      </c>
      <c r="U43" s="8"/>
      <c r="V43" s="8"/>
      <c r="W43" s="8"/>
      <c r="X43" s="8"/>
      <c r="Y43" s="8">
        <v>-15572798.0742021</v>
      </c>
      <c r="AA43" s="3" t="s">
        <v>258</v>
      </c>
      <c r="AB43" s="99">
        <v>-15000000</v>
      </c>
      <c r="AC43" s="99"/>
      <c r="AD43" s="99"/>
      <c r="AE43" s="99"/>
      <c r="AF43" s="99"/>
      <c r="AG43" s="99">
        <v>344262.34026720998</v>
      </c>
      <c r="AH43" s="99"/>
      <c r="AI43" s="99"/>
      <c r="AJ43" s="99"/>
      <c r="AK43" s="99"/>
      <c r="AL43" s="99">
        <v>-14655737.659732791</v>
      </c>
      <c r="AM43" s="99"/>
      <c r="AN43" s="3" t="s">
        <v>295</v>
      </c>
      <c r="AO43" s="8">
        <v>20739.331650465323</v>
      </c>
      <c r="AP43" s="8"/>
      <c r="AQ43" s="8"/>
      <c r="AR43" s="8"/>
      <c r="AS43" s="8"/>
      <c r="AT43" s="8"/>
      <c r="AU43" s="8"/>
      <c r="AV43" s="8"/>
      <c r="AW43" s="8"/>
      <c r="AX43" s="8"/>
      <c r="AY43" s="8">
        <v>20739.331650465323</v>
      </c>
      <c r="IA43" s="8"/>
    </row>
    <row r="44" spans="14:235" x14ac:dyDescent="0.25">
      <c r="N44" s="3" t="s">
        <v>30</v>
      </c>
      <c r="O44" s="8"/>
      <c r="P44" s="8"/>
      <c r="Q44" s="8">
        <v>-0.110610420479588</v>
      </c>
      <c r="R44" s="8"/>
      <c r="S44" s="8"/>
      <c r="T44" s="8">
        <v>3.6598574371260448</v>
      </c>
      <c r="U44" s="8"/>
      <c r="V44" s="8"/>
      <c r="W44" s="8"/>
      <c r="X44" s="8"/>
      <c r="Y44" s="8">
        <v>3.5492470166464569</v>
      </c>
      <c r="AA44" s="3" t="s">
        <v>30</v>
      </c>
      <c r="AB44" s="99"/>
      <c r="AC44" s="99"/>
      <c r="AD44" s="99"/>
      <c r="AE44" s="99"/>
      <c r="AF44" s="99">
        <v>-3.6938909999999998E-2</v>
      </c>
      <c r="AG44" s="99">
        <v>1.2224641699999999</v>
      </c>
      <c r="AH44" s="99"/>
      <c r="AI44" s="99"/>
      <c r="AJ44" s="99"/>
      <c r="AK44" s="99"/>
      <c r="AL44" s="99">
        <v>1.1855252599999999</v>
      </c>
      <c r="AM44" s="99"/>
      <c r="AN44" s="4" t="s">
        <v>289</v>
      </c>
      <c r="AO44" s="8">
        <v>430.20617278533223</v>
      </c>
      <c r="AP44" s="8"/>
      <c r="AQ44" s="8"/>
      <c r="AR44" s="8"/>
      <c r="AS44" s="8"/>
      <c r="AT44" s="8"/>
      <c r="AU44" s="8"/>
      <c r="AV44" s="8"/>
      <c r="AW44" s="8"/>
      <c r="AX44" s="8"/>
      <c r="AY44" s="8">
        <v>430.20617278533223</v>
      </c>
      <c r="IA44" s="8"/>
    </row>
    <row r="45" spans="14:235" x14ac:dyDescent="0.25">
      <c r="N45" s="3" t="s">
        <v>191</v>
      </c>
      <c r="O45" s="8"/>
      <c r="P45" s="8"/>
      <c r="Q45" s="8">
        <v>-59426.2378107685</v>
      </c>
      <c r="R45" s="8"/>
      <c r="S45" s="8"/>
      <c r="T45" s="8">
        <v>59416.166495419915</v>
      </c>
      <c r="U45" s="8"/>
      <c r="V45" s="8"/>
      <c r="W45" s="8"/>
      <c r="X45" s="8"/>
      <c r="Y45" s="8">
        <v>-10.071315348584903</v>
      </c>
      <c r="AA45" s="3" t="s">
        <v>191</v>
      </c>
      <c r="AB45" s="99"/>
      <c r="AC45" s="99"/>
      <c r="AD45" s="99"/>
      <c r="AE45" s="99"/>
      <c r="AF45" s="99">
        <v>-300000</v>
      </c>
      <c r="AG45" s="99">
        <v>299945.64330436999</v>
      </c>
      <c r="AH45" s="99"/>
      <c r="AI45" s="99"/>
      <c r="AJ45" s="99"/>
      <c r="AK45" s="99"/>
      <c r="AL45" s="99">
        <v>-54.356695630005561</v>
      </c>
      <c r="AM45" s="99"/>
      <c r="AN45" s="4" t="s">
        <v>292</v>
      </c>
      <c r="AO45" s="8">
        <v>64.57931310833365</v>
      </c>
      <c r="AP45" s="8"/>
      <c r="AQ45" s="8"/>
      <c r="AR45" s="8"/>
      <c r="AS45" s="8"/>
      <c r="AT45" s="8"/>
      <c r="AU45" s="8"/>
      <c r="AV45" s="8"/>
      <c r="AW45" s="8"/>
      <c r="AX45" s="8"/>
      <c r="AY45" s="8">
        <v>64.57931310833365</v>
      </c>
      <c r="IA45" s="8"/>
    </row>
    <row r="46" spans="14:235" x14ac:dyDescent="0.25">
      <c r="N46" s="3" t="s">
        <v>109</v>
      </c>
      <c r="O46" s="8"/>
      <c r="P46" s="8"/>
      <c r="Q46" s="8"/>
      <c r="R46" s="8"/>
      <c r="S46" s="8"/>
      <c r="T46" s="8">
        <v>2.8571641358463178</v>
      </c>
      <c r="U46" s="8"/>
      <c r="V46" s="8"/>
      <c r="W46" s="8"/>
      <c r="X46" s="8"/>
      <c r="Y46" s="8">
        <v>2.8571641358463178</v>
      </c>
      <c r="AA46" s="3" t="s">
        <v>109</v>
      </c>
      <c r="AB46" s="99"/>
      <c r="AC46" s="99"/>
      <c r="AD46" s="99"/>
      <c r="AE46" s="99"/>
      <c r="AF46" s="99"/>
      <c r="AG46" s="99">
        <v>3.2244594900000001</v>
      </c>
      <c r="AH46" s="99"/>
      <c r="AI46" s="99"/>
      <c r="AJ46" s="99"/>
      <c r="AK46" s="99"/>
      <c r="AL46" s="99">
        <v>3.2244594900000001</v>
      </c>
      <c r="AM46" s="99"/>
      <c r="AN46" s="4" t="s">
        <v>440</v>
      </c>
      <c r="AO46" s="8">
        <v>10197.826598347157</v>
      </c>
      <c r="AP46" s="8"/>
      <c r="AQ46" s="8"/>
      <c r="AR46" s="8"/>
      <c r="AS46" s="8"/>
      <c r="AT46" s="8"/>
      <c r="AU46" s="8"/>
      <c r="AV46" s="8"/>
      <c r="AW46" s="8"/>
      <c r="AX46" s="8"/>
      <c r="AY46" s="8">
        <v>10197.826598347157</v>
      </c>
      <c r="IA46" s="8"/>
    </row>
    <row r="47" spans="14:235" x14ac:dyDescent="0.25">
      <c r="N47" s="3" t="s">
        <v>134</v>
      </c>
      <c r="O47" s="8"/>
      <c r="P47" s="8"/>
      <c r="Q47" s="8"/>
      <c r="R47" s="8"/>
      <c r="S47" s="8"/>
      <c r="T47" s="8">
        <v>109.506713859486</v>
      </c>
      <c r="U47" s="8"/>
      <c r="V47" s="8"/>
      <c r="W47" s="8"/>
      <c r="X47" s="8"/>
      <c r="Y47" s="8">
        <v>109.506713859486</v>
      </c>
      <c r="AA47" s="3" t="s">
        <v>134</v>
      </c>
      <c r="AB47" s="99"/>
      <c r="AC47" s="99"/>
      <c r="AD47" s="99"/>
      <c r="AE47" s="99"/>
      <c r="AF47" s="99"/>
      <c r="AG47" s="99">
        <v>54.776400000000002</v>
      </c>
      <c r="AH47" s="99"/>
      <c r="AI47" s="99"/>
      <c r="AJ47" s="99"/>
      <c r="AK47" s="99"/>
      <c r="AL47" s="99">
        <v>54.776400000000002</v>
      </c>
      <c r="AM47" s="99"/>
      <c r="AN47" s="4" t="s">
        <v>441</v>
      </c>
      <c r="AO47" s="8">
        <v>10046.719566224499</v>
      </c>
      <c r="AP47" s="8"/>
      <c r="AQ47" s="8"/>
      <c r="AR47" s="8"/>
      <c r="AS47" s="8"/>
      <c r="AT47" s="8"/>
      <c r="AU47" s="8"/>
      <c r="AV47" s="8"/>
      <c r="AW47" s="8"/>
      <c r="AX47" s="8"/>
      <c r="AY47" s="8">
        <v>10046.719566224499</v>
      </c>
      <c r="IA47" s="8"/>
    </row>
    <row r="48" spans="14:235" x14ac:dyDescent="0.25">
      <c r="N48" s="3" t="s">
        <v>177</v>
      </c>
      <c r="O48" s="8"/>
      <c r="P48" s="8"/>
      <c r="Q48" s="8"/>
      <c r="R48" s="8"/>
      <c r="S48" s="8"/>
      <c r="T48" s="8">
        <v>1.20182999999999E-2</v>
      </c>
      <c r="U48" s="8"/>
      <c r="V48" s="8"/>
      <c r="W48" s="8"/>
      <c r="X48" s="8"/>
      <c r="Y48" s="8">
        <v>1.20182999999999E-2</v>
      </c>
      <c r="AA48" s="3" t="s">
        <v>177</v>
      </c>
      <c r="AB48" s="99"/>
      <c r="AC48" s="99"/>
      <c r="AD48" s="99"/>
      <c r="AE48" s="99"/>
      <c r="AF48" s="99"/>
      <c r="AG48" s="99">
        <v>0.01</v>
      </c>
      <c r="AH48" s="99"/>
      <c r="AI48" s="99"/>
      <c r="AJ48" s="99"/>
      <c r="AK48" s="99"/>
      <c r="AL48" s="99">
        <v>0.01</v>
      </c>
      <c r="AM48" s="99"/>
      <c r="AN48" s="3" t="s">
        <v>39</v>
      </c>
      <c r="AO48" s="8">
        <v>13676003.691400941</v>
      </c>
      <c r="AP48" s="8"/>
      <c r="AQ48" s="8"/>
      <c r="AR48" s="8">
        <v>-10870665.882277451</v>
      </c>
      <c r="AS48" s="8"/>
      <c r="AT48" s="8"/>
      <c r="AU48" s="8"/>
      <c r="AV48" s="8"/>
      <c r="AW48" s="8">
        <v>-329473.33899999998</v>
      </c>
      <c r="AX48" s="8">
        <v>-13204.142262542602</v>
      </c>
      <c r="AY48" s="8">
        <v>2462660.3278609477</v>
      </c>
      <c r="IA48" s="8"/>
    </row>
    <row r="49" spans="14:235" x14ac:dyDescent="0.25">
      <c r="N49" s="3" t="s">
        <v>135</v>
      </c>
      <c r="O49" s="8"/>
      <c r="P49" s="8"/>
      <c r="Q49" s="8">
        <v>-25544.180594507401</v>
      </c>
      <c r="R49" s="8"/>
      <c r="S49" s="8"/>
      <c r="T49" s="8">
        <v>25653.366849972099</v>
      </c>
      <c r="U49" s="8"/>
      <c r="V49" s="8"/>
      <c r="W49" s="8"/>
      <c r="X49" s="8"/>
      <c r="Y49" s="8">
        <v>109.18625546469775</v>
      </c>
      <c r="AA49" s="3" t="s">
        <v>415</v>
      </c>
      <c r="AB49" s="99"/>
      <c r="AC49" s="99"/>
      <c r="AD49" s="99"/>
      <c r="AE49" s="99"/>
      <c r="AF49" s="99">
        <v>-240000</v>
      </c>
      <c r="AG49" s="99">
        <v>239755.91578309998</v>
      </c>
      <c r="AH49" s="99"/>
      <c r="AI49" s="99"/>
      <c r="AJ49" s="99"/>
      <c r="AK49" s="99"/>
      <c r="AL49" s="99">
        <v>-244.08421690002433</v>
      </c>
      <c r="AM49" s="99"/>
      <c r="AN49" s="4" t="s">
        <v>111</v>
      </c>
      <c r="AO49" s="8">
        <v>19.943203670878074</v>
      </c>
      <c r="AP49" s="8"/>
      <c r="AQ49" s="8"/>
      <c r="AR49" s="8"/>
      <c r="AS49" s="8"/>
      <c r="AT49" s="8"/>
      <c r="AU49" s="8"/>
      <c r="AV49" s="8"/>
      <c r="AW49" s="8"/>
      <c r="AX49" s="8"/>
      <c r="AY49" s="8">
        <v>19.943203670878074</v>
      </c>
      <c r="IA49" s="8"/>
    </row>
    <row r="50" spans="14:235" x14ac:dyDescent="0.25">
      <c r="N50" s="3" t="s">
        <v>136</v>
      </c>
      <c r="O50" s="8"/>
      <c r="P50" s="8"/>
      <c r="Q50" s="8"/>
      <c r="R50" s="8"/>
      <c r="S50" s="8"/>
      <c r="T50" s="8">
        <v>1.05662507593273</v>
      </c>
      <c r="U50" s="8"/>
      <c r="V50" s="8"/>
      <c r="W50" s="8"/>
      <c r="X50" s="8"/>
      <c r="Y50" s="8">
        <v>1.05662507593273</v>
      </c>
      <c r="AA50" s="3" t="s">
        <v>135</v>
      </c>
      <c r="AB50" s="99"/>
      <c r="AC50" s="99"/>
      <c r="AD50" s="99"/>
      <c r="AE50" s="99"/>
      <c r="AF50" s="99">
        <v>-628800</v>
      </c>
      <c r="AG50" s="99">
        <v>594999.95500591001</v>
      </c>
      <c r="AH50" s="99"/>
      <c r="AI50" s="99"/>
      <c r="AJ50" s="99"/>
      <c r="AK50" s="99"/>
      <c r="AL50" s="99">
        <v>-33800.044994089985</v>
      </c>
      <c r="AM50" s="99"/>
      <c r="AN50" s="4" t="s">
        <v>40</v>
      </c>
      <c r="AO50" s="8">
        <v>729.25290536514478</v>
      </c>
      <c r="AP50" s="8"/>
      <c r="AQ50" s="8"/>
      <c r="AR50" s="8"/>
      <c r="AS50" s="8"/>
      <c r="AT50" s="8"/>
      <c r="AU50" s="8"/>
      <c r="AV50" s="8"/>
      <c r="AW50" s="8"/>
      <c r="AX50" s="8"/>
      <c r="AY50" s="8">
        <v>729.25290536514478</v>
      </c>
      <c r="IA50" s="8"/>
    </row>
    <row r="51" spans="14:235" x14ac:dyDescent="0.25">
      <c r="N51" s="3" t="s">
        <v>137</v>
      </c>
      <c r="O51" s="8"/>
      <c r="P51" s="8"/>
      <c r="Q51" s="8"/>
      <c r="R51" s="8"/>
      <c r="S51" s="8"/>
      <c r="T51" s="8">
        <v>9028.5594429569392</v>
      </c>
      <c r="U51" s="8"/>
      <c r="V51" s="8"/>
      <c r="W51" s="8"/>
      <c r="X51" s="8"/>
      <c r="Y51" s="8">
        <v>9028.5594429569392</v>
      </c>
      <c r="AA51" s="3" t="s">
        <v>136</v>
      </c>
      <c r="AB51" s="99"/>
      <c r="AC51" s="99"/>
      <c r="AD51" s="99"/>
      <c r="AE51" s="99"/>
      <c r="AF51" s="99"/>
      <c r="AG51" s="99">
        <v>5337.6979873099999</v>
      </c>
      <c r="AH51" s="99"/>
      <c r="AI51" s="99"/>
      <c r="AJ51" s="99"/>
      <c r="AK51" s="99"/>
      <c r="AL51" s="99">
        <v>5337.6979873099999</v>
      </c>
      <c r="AM51" s="99"/>
      <c r="AN51" s="4" t="s">
        <v>114</v>
      </c>
      <c r="AO51" s="8">
        <v>2.7853380846263244E-5</v>
      </c>
      <c r="AP51" s="8"/>
      <c r="AQ51" s="8"/>
      <c r="AR51" s="8"/>
      <c r="AS51" s="8"/>
      <c r="AT51" s="8"/>
      <c r="AU51" s="8"/>
      <c r="AV51" s="8"/>
      <c r="AW51" s="8"/>
      <c r="AX51" s="8"/>
      <c r="AY51" s="8">
        <v>2.7853380846263244E-5</v>
      </c>
      <c r="IA51" s="8"/>
    </row>
    <row r="52" spans="14:235" x14ac:dyDescent="0.25">
      <c r="N52" s="3" t="s">
        <v>139</v>
      </c>
      <c r="O52" s="8"/>
      <c r="P52" s="8"/>
      <c r="Q52" s="8"/>
      <c r="R52" s="8"/>
      <c r="S52" s="8"/>
      <c r="T52" s="8">
        <v>0.10075344673608699</v>
      </c>
      <c r="U52" s="8"/>
      <c r="V52" s="8"/>
      <c r="W52" s="8"/>
      <c r="X52" s="8"/>
      <c r="Y52" s="8">
        <v>0.10075344673608699</v>
      </c>
      <c r="AA52" s="3" t="s">
        <v>137</v>
      </c>
      <c r="AB52" s="99"/>
      <c r="AC52" s="99"/>
      <c r="AD52" s="99"/>
      <c r="AE52" s="99"/>
      <c r="AF52" s="99"/>
      <c r="AG52" s="99">
        <v>1975.62525828</v>
      </c>
      <c r="AH52" s="99"/>
      <c r="AI52" s="99"/>
      <c r="AJ52" s="99"/>
      <c r="AK52" s="99"/>
      <c r="AL52" s="99">
        <v>1975.62525828</v>
      </c>
      <c r="AM52" s="99"/>
      <c r="AN52" s="4" t="s">
        <v>115</v>
      </c>
      <c r="AO52" s="8">
        <v>3.2624445067579115</v>
      </c>
      <c r="AP52" s="8"/>
      <c r="AQ52" s="8"/>
      <c r="AR52" s="8"/>
      <c r="AS52" s="8"/>
      <c r="AT52" s="8"/>
      <c r="AU52" s="8"/>
      <c r="AV52" s="8"/>
      <c r="AW52" s="8"/>
      <c r="AX52" s="8"/>
      <c r="AY52" s="8">
        <v>3.2624445067579115</v>
      </c>
      <c r="IA52" s="8"/>
    </row>
    <row r="53" spans="14:235" x14ac:dyDescent="0.25">
      <c r="N53" s="3" t="s">
        <v>140</v>
      </c>
      <c r="O53" s="8"/>
      <c r="P53" s="8"/>
      <c r="Q53" s="8"/>
      <c r="R53" s="8"/>
      <c r="S53" s="8"/>
      <c r="T53" s="8">
        <v>1.0380367665008799E-2</v>
      </c>
      <c r="U53" s="8"/>
      <c r="V53" s="8"/>
      <c r="W53" s="8"/>
      <c r="X53" s="8"/>
      <c r="Y53" s="8">
        <v>1.0380367665008799E-2</v>
      </c>
      <c r="AA53" s="3" t="s">
        <v>139</v>
      </c>
      <c r="AB53" s="99"/>
      <c r="AC53" s="99"/>
      <c r="AD53" s="99"/>
      <c r="AE53" s="99"/>
      <c r="AF53" s="99"/>
      <c r="AG53" s="99">
        <v>14.785856219999999</v>
      </c>
      <c r="AH53" s="99"/>
      <c r="AI53" s="99"/>
      <c r="AJ53" s="99"/>
      <c r="AK53" s="99"/>
      <c r="AL53" s="99">
        <v>14.785856219999999</v>
      </c>
      <c r="AM53" s="99"/>
      <c r="AN53" s="4" t="s">
        <v>41</v>
      </c>
      <c r="AO53" s="8">
        <v>548359.23827885755</v>
      </c>
      <c r="AP53" s="8"/>
      <c r="AQ53" s="8"/>
      <c r="AR53" s="8"/>
      <c r="AS53" s="8"/>
      <c r="AT53" s="8"/>
      <c r="AU53" s="8"/>
      <c r="AV53" s="8"/>
      <c r="AW53" s="8">
        <v>-340590</v>
      </c>
      <c r="AX53" s="8">
        <v>-13374.496542071824</v>
      </c>
      <c r="AY53" s="8">
        <v>194394.74173678571</v>
      </c>
      <c r="IA53" s="8"/>
    </row>
    <row r="54" spans="14:235" x14ac:dyDescent="0.25">
      <c r="N54" s="3" t="s">
        <v>141</v>
      </c>
      <c r="O54" s="8"/>
      <c r="P54" s="8"/>
      <c r="Q54" s="8"/>
      <c r="R54" s="8"/>
      <c r="S54" s="8"/>
      <c r="T54" s="8">
        <v>0.18111274300705199</v>
      </c>
      <c r="U54" s="8"/>
      <c r="V54" s="8"/>
      <c r="W54" s="8"/>
      <c r="X54" s="8"/>
      <c r="Y54" s="8">
        <v>0.18111274300705199</v>
      </c>
      <c r="AA54" s="3" t="s">
        <v>140</v>
      </c>
      <c r="AB54" s="99"/>
      <c r="AC54" s="99"/>
      <c r="AD54" s="99"/>
      <c r="AE54" s="99"/>
      <c r="AF54" s="99"/>
      <c r="AG54" s="99">
        <v>0.81765067999999996</v>
      </c>
      <c r="AH54" s="99"/>
      <c r="AI54" s="99"/>
      <c r="AJ54" s="99"/>
      <c r="AK54" s="99"/>
      <c r="AL54" s="99">
        <v>0.81765067999999996</v>
      </c>
      <c r="AM54" s="99"/>
      <c r="AN54" s="4" t="s">
        <v>42</v>
      </c>
      <c r="AO54" s="8">
        <v>38067.3545474356</v>
      </c>
      <c r="AP54" s="8"/>
      <c r="AQ54" s="8"/>
      <c r="AR54" s="8"/>
      <c r="AS54" s="8"/>
      <c r="AT54" s="8"/>
      <c r="AU54" s="8"/>
      <c r="AV54" s="8"/>
      <c r="AW54" s="8">
        <v>11116.661</v>
      </c>
      <c r="AX54" s="8">
        <v>170.354279529221</v>
      </c>
      <c r="AY54" s="8">
        <v>49354.369826964823</v>
      </c>
      <c r="IA54" s="8"/>
    </row>
    <row r="55" spans="14:235" x14ac:dyDescent="0.25">
      <c r="N55" s="3" t="s">
        <v>43</v>
      </c>
      <c r="O55" s="8"/>
      <c r="P55" s="8"/>
      <c r="Q55" s="8"/>
      <c r="R55" s="8"/>
      <c r="S55" s="8"/>
      <c r="T55" s="8">
        <v>0.23177209961176939</v>
      </c>
      <c r="U55" s="8"/>
      <c r="V55" s="8"/>
      <c r="W55" s="8"/>
      <c r="X55" s="8"/>
      <c r="Y55" s="8">
        <v>0.23177209961176939</v>
      </c>
      <c r="AA55" s="3" t="s">
        <v>141</v>
      </c>
      <c r="AB55" s="99"/>
      <c r="AC55" s="99"/>
      <c r="AD55" s="99"/>
      <c r="AE55" s="99"/>
      <c r="AF55" s="99"/>
      <c r="AG55" s="99">
        <v>9.1121815000000002</v>
      </c>
      <c r="AH55" s="99"/>
      <c r="AI55" s="99"/>
      <c r="AJ55" s="99"/>
      <c r="AK55" s="99"/>
      <c r="AL55" s="99">
        <v>9.1121815000000002</v>
      </c>
      <c r="AM55" s="99"/>
      <c r="AN55" s="4" t="s">
        <v>120</v>
      </c>
      <c r="AO55" s="8">
        <v>13088823.72988099</v>
      </c>
      <c r="AP55" s="8"/>
      <c r="AQ55" s="8"/>
      <c r="AR55" s="8"/>
      <c r="AS55" s="8"/>
      <c r="AT55" s="8"/>
      <c r="AU55" s="8"/>
      <c r="AV55" s="8"/>
      <c r="AW55" s="8"/>
      <c r="AX55" s="8"/>
      <c r="AY55" s="8">
        <v>13088823.72988099</v>
      </c>
      <c r="IA55" s="8"/>
    </row>
    <row r="56" spans="14:235" x14ac:dyDescent="0.25">
      <c r="N56" s="3" t="s">
        <v>142</v>
      </c>
      <c r="O56" s="8"/>
      <c r="P56" s="8"/>
      <c r="Q56" s="8"/>
      <c r="R56" s="8"/>
      <c r="S56" s="8"/>
      <c r="T56" s="8">
        <v>2.93771377045085E-4</v>
      </c>
      <c r="U56" s="8"/>
      <c r="V56" s="8"/>
      <c r="W56" s="8"/>
      <c r="X56" s="8"/>
      <c r="Y56" s="8">
        <v>2.93771377045085E-4</v>
      </c>
      <c r="AA56" s="3" t="s">
        <v>43</v>
      </c>
      <c r="AB56" s="99"/>
      <c r="AC56" s="99"/>
      <c r="AD56" s="99"/>
      <c r="AE56" s="99"/>
      <c r="AF56" s="99"/>
      <c r="AG56" s="99">
        <v>9.3766399999999986E-3</v>
      </c>
      <c r="AH56" s="99"/>
      <c r="AI56" s="99"/>
      <c r="AJ56" s="99"/>
      <c r="AK56" s="99"/>
      <c r="AL56" s="99">
        <v>9.3766399999999986E-3</v>
      </c>
      <c r="AM56" s="99"/>
      <c r="AN56" s="4" t="s">
        <v>166</v>
      </c>
      <c r="AO56" s="8">
        <v>0.91011226103254006</v>
      </c>
      <c r="AP56" s="8"/>
      <c r="AQ56" s="8"/>
      <c r="AR56" s="8"/>
      <c r="AS56" s="8"/>
      <c r="AT56" s="8"/>
      <c r="AU56" s="8"/>
      <c r="AV56" s="8"/>
      <c r="AW56" s="8"/>
      <c r="AX56" s="8"/>
      <c r="AY56" s="8">
        <v>0.91011226103254006</v>
      </c>
      <c r="IA56" s="8"/>
    </row>
    <row r="57" spans="14:235" x14ac:dyDescent="0.25">
      <c r="N57" s="3" t="s">
        <v>143</v>
      </c>
      <c r="O57" s="8"/>
      <c r="P57" s="8"/>
      <c r="Q57" s="8"/>
      <c r="R57" s="8"/>
      <c r="S57" s="8"/>
      <c r="T57" s="8">
        <v>0</v>
      </c>
      <c r="U57" s="8"/>
      <c r="V57" s="8"/>
      <c r="W57" s="8"/>
      <c r="X57" s="8"/>
      <c r="Y57" s="8">
        <v>0</v>
      </c>
      <c r="AA57" s="3" t="s">
        <v>142</v>
      </c>
      <c r="AB57" s="99"/>
      <c r="AC57" s="99"/>
      <c r="AD57" s="99"/>
      <c r="AE57" s="99"/>
      <c r="AF57" s="99"/>
      <c r="AG57" s="99">
        <v>0.24234807999999999</v>
      </c>
      <c r="AH57" s="99"/>
      <c r="AI57" s="99"/>
      <c r="AJ57" s="99"/>
      <c r="AK57" s="99"/>
      <c r="AL57" s="99">
        <v>0.24234807999999999</v>
      </c>
      <c r="AM57" s="99"/>
      <c r="AN57" s="4" t="s">
        <v>204</v>
      </c>
      <c r="AO57" s="8"/>
      <c r="AP57" s="8"/>
      <c r="AQ57" s="8"/>
      <c r="AR57" s="8">
        <v>-10870665.882277451</v>
      </c>
      <c r="AS57" s="8"/>
      <c r="AT57" s="8"/>
      <c r="AU57" s="8"/>
      <c r="AV57" s="8"/>
      <c r="AW57" s="8"/>
      <c r="AX57" s="8"/>
      <c r="AY57" s="8">
        <v>-10870665.882277451</v>
      </c>
      <c r="IA57" s="8"/>
    </row>
    <row r="58" spans="14:235" x14ac:dyDescent="0.25">
      <c r="N58" s="3" t="s">
        <v>27</v>
      </c>
      <c r="O58" s="8"/>
      <c r="P58" s="8"/>
      <c r="Q58" s="8">
        <v>-130477.0589829029</v>
      </c>
      <c r="R58" s="8">
        <v>-96507.918117194698</v>
      </c>
      <c r="S58" s="8"/>
      <c r="T58" s="8">
        <v>559160.3725986589</v>
      </c>
      <c r="U58" s="8"/>
      <c r="V58" s="8"/>
      <c r="W58" s="8">
        <v>-296611.37784091698</v>
      </c>
      <c r="X58" s="8"/>
      <c r="Y58" s="8">
        <v>35564.017657644363</v>
      </c>
      <c r="AA58" s="3" t="s">
        <v>143</v>
      </c>
      <c r="AB58" s="99"/>
      <c r="AC58" s="99"/>
      <c r="AD58" s="99"/>
      <c r="AE58" s="99"/>
      <c r="AF58" s="99"/>
      <c r="AG58" s="99">
        <v>1E-8</v>
      </c>
      <c r="AH58" s="99"/>
      <c r="AI58" s="99"/>
      <c r="AJ58" s="99"/>
      <c r="AK58" s="99"/>
      <c r="AL58" s="99">
        <v>1E-8</v>
      </c>
      <c r="AM58" s="99"/>
      <c r="AN58" s="3" t="s">
        <v>167</v>
      </c>
      <c r="AO58" s="8">
        <v>180954.97713932805</v>
      </c>
      <c r="AP58" s="8"/>
      <c r="AQ58" s="8"/>
      <c r="AR58" s="8"/>
      <c r="AS58" s="8"/>
      <c r="AT58" s="8"/>
      <c r="AU58" s="8"/>
      <c r="AV58" s="8"/>
      <c r="AW58" s="8"/>
      <c r="AX58" s="8"/>
      <c r="AY58" s="8">
        <v>180954.97713932805</v>
      </c>
      <c r="IA58" s="8"/>
    </row>
    <row r="59" spans="14:235" x14ac:dyDescent="0.25">
      <c r="N59" s="4" t="s">
        <v>83</v>
      </c>
      <c r="T59">
        <v>58405.498297752798</v>
      </c>
      <c r="Y59">
        <v>58405.498297752798</v>
      </c>
      <c r="AA59" s="3" t="s">
        <v>27</v>
      </c>
      <c r="AB59" s="99"/>
      <c r="AC59" s="99"/>
      <c r="AD59" s="99">
        <v>-17000</v>
      </c>
      <c r="AE59" s="99"/>
      <c r="AF59" s="99">
        <v>-22786.6</v>
      </c>
      <c r="AG59" s="99">
        <v>126232.91225738001</v>
      </c>
      <c r="AH59" s="99"/>
      <c r="AI59" s="99">
        <v>-79262.100000000006</v>
      </c>
      <c r="AJ59" s="99"/>
      <c r="AK59" s="99"/>
      <c r="AL59" s="99">
        <v>7184.2122573799952</v>
      </c>
      <c r="AM59" s="99"/>
      <c r="AN59" s="4" t="s">
        <v>167</v>
      </c>
      <c r="AO59" s="8">
        <v>180954.97713932805</v>
      </c>
      <c r="AP59" s="8"/>
      <c r="AQ59" s="8"/>
      <c r="AR59" s="8"/>
      <c r="AS59" s="8"/>
      <c r="AT59" s="8"/>
      <c r="AU59" s="8"/>
      <c r="AV59" s="8"/>
      <c r="AW59" s="8"/>
      <c r="AX59" s="8"/>
      <c r="AY59" s="8">
        <v>180954.97713932805</v>
      </c>
      <c r="IA59" s="8"/>
    </row>
    <row r="60" spans="14:235" x14ac:dyDescent="0.25">
      <c r="N60" s="4" t="s">
        <v>194</v>
      </c>
      <c r="Q60">
        <v>-118708.769908965</v>
      </c>
      <c r="Y60">
        <v>-118708.769908965</v>
      </c>
      <c r="AA60" s="4" t="s">
        <v>83</v>
      </c>
      <c r="AB60" s="99"/>
      <c r="AC60" s="99"/>
      <c r="AD60" s="99"/>
      <c r="AE60" s="99"/>
      <c r="AF60" s="99"/>
      <c r="AG60" s="99">
        <v>9846.5098820799994</v>
      </c>
      <c r="AH60" s="99"/>
      <c r="AI60" s="99"/>
      <c r="AJ60" s="99"/>
      <c r="AK60" s="99"/>
      <c r="AL60" s="99">
        <v>9846.5098820799994</v>
      </c>
      <c r="AM60" s="99"/>
      <c r="AN60" s="3" t="s">
        <v>172</v>
      </c>
      <c r="AO60" s="8">
        <v>0.71159926155560904</v>
      </c>
      <c r="AP60" s="8"/>
      <c r="AQ60" s="8"/>
      <c r="AR60" s="8"/>
      <c r="AS60" s="8"/>
      <c r="AT60" s="8"/>
      <c r="AU60" s="8"/>
      <c r="AV60" s="8"/>
      <c r="AW60" s="8"/>
      <c r="AX60" s="8"/>
      <c r="AY60" s="8">
        <v>0.71159926155560904</v>
      </c>
      <c r="IA60" s="8"/>
    </row>
    <row r="61" spans="14:235" x14ac:dyDescent="0.25">
      <c r="N61" s="4" t="s">
        <v>18</v>
      </c>
      <c r="W61">
        <v>-190805.12184091701</v>
      </c>
      <c r="Y61">
        <v>-190805.12184091701</v>
      </c>
      <c r="AA61" s="4" t="s">
        <v>194</v>
      </c>
      <c r="AB61" s="99"/>
      <c r="AC61" s="99"/>
      <c r="AD61" s="99"/>
      <c r="AE61" s="99"/>
      <c r="AF61" s="99">
        <v>-20713.599999999999</v>
      </c>
      <c r="AG61" s="99"/>
      <c r="AH61" s="99"/>
      <c r="AI61" s="99"/>
      <c r="AJ61" s="99"/>
      <c r="AK61" s="99"/>
      <c r="AL61" s="99">
        <v>-20713.599999999999</v>
      </c>
      <c r="AM61" s="99"/>
      <c r="AN61" s="4" t="s">
        <v>172</v>
      </c>
      <c r="AO61" s="8">
        <v>0.71159926155560904</v>
      </c>
      <c r="AP61" s="8"/>
      <c r="AQ61" s="8"/>
      <c r="AR61" s="8"/>
      <c r="AS61" s="8"/>
      <c r="AT61" s="8"/>
      <c r="AU61" s="8"/>
      <c r="AV61" s="8"/>
      <c r="AW61" s="8"/>
      <c r="AX61" s="8"/>
      <c r="AY61" s="8">
        <v>0.71159926155560904</v>
      </c>
      <c r="IA61" s="8"/>
    </row>
    <row r="62" spans="14:235" x14ac:dyDescent="0.25">
      <c r="N62" s="4" t="s">
        <v>102</v>
      </c>
      <c r="T62">
        <v>459226.279350236</v>
      </c>
      <c r="Y62">
        <v>459226.279350236</v>
      </c>
      <c r="AA62" s="4" t="s">
        <v>18</v>
      </c>
      <c r="AB62" s="99"/>
      <c r="AC62" s="99"/>
      <c r="AD62" s="99"/>
      <c r="AE62" s="99"/>
      <c r="AF62" s="99"/>
      <c r="AG62" s="99"/>
      <c r="AH62" s="99"/>
      <c r="AI62" s="99">
        <v>-50999.1</v>
      </c>
      <c r="AJ62" s="99"/>
      <c r="AK62" s="99"/>
      <c r="AL62" s="99">
        <v>-50999.1</v>
      </c>
      <c r="AM62" s="99"/>
      <c r="AN62" s="3" t="s">
        <v>173</v>
      </c>
      <c r="AO62" s="8">
        <v>10138.725630000001</v>
      </c>
      <c r="AP62" s="8"/>
      <c r="AQ62" s="8"/>
      <c r="AR62" s="8"/>
      <c r="AS62" s="8"/>
      <c r="AT62" s="8"/>
      <c r="AU62" s="8"/>
      <c r="AV62" s="8"/>
      <c r="AW62" s="8"/>
      <c r="AX62" s="8"/>
      <c r="AY62" s="8">
        <v>10138.725630000001</v>
      </c>
      <c r="IA62" s="8"/>
    </row>
    <row r="63" spans="14:235" x14ac:dyDescent="0.25">
      <c r="N63" s="4" t="s">
        <v>186</v>
      </c>
      <c r="T63">
        <v>40.261393147876497</v>
      </c>
      <c r="Y63">
        <v>40.261393147876497</v>
      </c>
      <c r="AA63" s="4" t="s">
        <v>102</v>
      </c>
      <c r="AB63" s="99"/>
      <c r="AC63" s="99"/>
      <c r="AD63" s="99"/>
      <c r="AE63" s="99"/>
      <c r="AF63" s="99"/>
      <c r="AG63" s="99">
        <v>92251.100577489997</v>
      </c>
      <c r="AH63" s="99"/>
      <c r="AI63" s="99"/>
      <c r="AJ63" s="99"/>
      <c r="AK63" s="99"/>
      <c r="AL63" s="99">
        <v>92251.100577489997</v>
      </c>
      <c r="AM63" s="99"/>
      <c r="AN63" s="4" t="s">
        <v>173</v>
      </c>
      <c r="AO63" s="8">
        <v>10138.725630000001</v>
      </c>
      <c r="AP63" s="8"/>
      <c r="AQ63" s="8"/>
      <c r="AR63" s="8"/>
      <c r="AS63" s="8"/>
      <c r="AT63" s="8"/>
      <c r="AU63" s="8"/>
      <c r="AV63" s="8"/>
      <c r="AW63" s="8"/>
      <c r="AX63" s="8"/>
      <c r="AY63" s="8">
        <v>10138.725630000001</v>
      </c>
      <c r="IA63" s="8"/>
    </row>
    <row r="64" spans="14:235" x14ac:dyDescent="0.25">
      <c r="N64" s="4" t="s">
        <v>40</v>
      </c>
      <c r="T64">
        <v>0.35448170126345002</v>
      </c>
      <c r="Y64">
        <v>0.35448170126345002</v>
      </c>
      <c r="AA64" s="4" t="s">
        <v>186</v>
      </c>
      <c r="AB64" s="99"/>
      <c r="AC64" s="99"/>
      <c r="AD64" s="99"/>
      <c r="AE64" s="99"/>
      <c r="AF64" s="99"/>
      <c r="AG64" s="99">
        <v>193.19679459</v>
      </c>
      <c r="AH64" s="99"/>
      <c r="AI64" s="99"/>
      <c r="AJ64" s="99"/>
      <c r="AK64" s="99"/>
      <c r="AL64" s="99">
        <v>193.19679459</v>
      </c>
      <c r="AM64" s="99"/>
      <c r="AN64" s="3" t="s">
        <v>45</v>
      </c>
      <c r="AO64" s="8">
        <v>30239101.164951336</v>
      </c>
      <c r="AP64" s="8"/>
      <c r="AQ64" s="8"/>
      <c r="AR64" s="8"/>
      <c r="AS64" s="8"/>
      <c r="AT64" s="8">
        <v>-15509759.562179245</v>
      </c>
      <c r="AU64" s="8"/>
      <c r="AV64" s="8">
        <v>-50149.778816708531</v>
      </c>
      <c r="AW64" s="8">
        <v>32515304.565708648</v>
      </c>
      <c r="AX64" s="8">
        <v>-435290.63611232949</v>
      </c>
      <c r="AY64" s="8">
        <v>46759205.753551692</v>
      </c>
      <c r="IA64" s="8"/>
    </row>
    <row r="65" spans="14:235" x14ac:dyDescent="0.25">
      <c r="N65" s="4" t="s">
        <v>115</v>
      </c>
      <c r="T65">
        <v>5.6769363598349802E-8</v>
      </c>
      <c r="Y65">
        <v>5.6769363598349802E-8</v>
      </c>
      <c r="AA65" s="4" t="s">
        <v>40</v>
      </c>
      <c r="AB65" s="99"/>
      <c r="AC65" s="99"/>
      <c r="AD65" s="99"/>
      <c r="AE65" s="99"/>
      <c r="AF65" s="99"/>
      <c r="AG65" s="99">
        <v>6.244243E-2</v>
      </c>
      <c r="AH65" s="99"/>
      <c r="AI65" s="99"/>
      <c r="AJ65" s="99"/>
      <c r="AK65" s="99"/>
      <c r="AL65" s="99">
        <v>6.244243E-2</v>
      </c>
      <c r="AM65" s="99"/>
      <c r="AN65" s="4" t="s">
        <v>46</v>
      </c>
      <c r="AO65" s="8">
        <v>30104069.772674438</v>
      </c>
      <c r="AP65" s="8"/>
      <c r="AQ65" s="8"/>
      <c r="AR65" s="8"/>
      <c r="AS65" s="8"/>
      <c r="AT65" s="8">
        <v>-15509759.562179245</v>
      </c>
      <c r="AU65" s="8"/>
      <c r="AV65" s="8"/>
      <c r="AW65" s="8">
        <v>32501718.805506203</v>
      </c>
      <c r="AX65" s="8">
        <v>-417637.24121949007</v>
      </c>
      <c r="AY65" s="8">
        <v>46678391.774781905</v>
      </c>
      <c r="IA65" s="8"/>
    </row>
    <row r="66" spans="14:235" x14ac:dyDescent="0.25">
      <c r="N66" s="4" t="s">
        <v>41</v>
      </c>
      <c r="T66">
        <v>5.4283433166378101E-3</v>
      </c>
      <c r="Y66">
        <v>5.4283433166378101E-3</v>
      </c>
      <c r="AA66" s="4" t="s">
        <v>115</v>
      </c>
      <c r="AB66" s="99"/>
      <c r="AC66" s="99"/>
      <c r="AD66" s="99"/>
      <c r="AE66" s="99"/>
      <c r="AF66" s="99"/>
      <c r="AG66" s="99">
        <v>1E-8</v>
      </c>
      <c r="AH66" s="99"/>
      <c r="AI66" s="99"/>
      <c r="AJ66" s="99"/>
      <c r="AK66" s="99"/>
      <c r="AL66" s="99">
        <v>1E-8</v>
      </c>
      <c r="AM66" s="99"/>
      <c r="AN66" s="4" t="s">
        <v>213</v>
      </c>
      <c r="AO66" s="8"/>
      <c r="AP66" s="8"/>
      <c r="AQ66" s="8"/>
      <c r="AR66" s="8"/>
      <c r="AS66" s="8"/>
      <c r="AT66" s="8"/>
      <c r="AU66" s="8"/>
      <c r="AV66" s="8">
        <v>-50149.778816708531</v>
      </c>
      <c r="AW66" s="8"/>
      <c r="AX66" s="8"/>
      <c r="AY66" s="8">
        <v>-50149.778816708531</v>
      </c>
      <c r="IA66" s="8"/>
    </row>
    <row r="67" spans="14:235" x14ac:dyDescent="0.25">
      <c r="N67" s="4" t="s">
        <v>120</v>
      </c>
      <c r="T67">
        <v>1706.34771993973</v>
      </c>
      <c r="Y67">
        <v>1706.34771993973</v>
      </c>
      <c r="AA67" s="4" t="s">
        <v>41</v>
      </c>
      <c r="AB67" s="99"/>
      <c r="AC67" s="99"/>
      <c r="AD67" s="99"/>
      <c r="AE67" s="99"/>
      <c r="AF67" s="99"/>
      <c r="AG67" s="99">
        <v>9.5620999999999998E-4</v>
      </c>
      <c r="AH67" s="99"/>
      <c r="AI67" s="99"/>
      <c r="AJ67" s="99"/>
      <c r="AK67" s="99"/>
      <c r="AL67" s="99">
        <v>9.5620999999999998E-4</v>
      </c>
      <c r="AM67" s="99"/>
      <c r="AN67" s="4" t="s">
        <v>174</v>
      </c>
      <c r="AO67" s="8">
        <v>94713.837844002614</v>
      </c>
      <c r="AP67" s="8"/>
      <c r="AQ67" s="8"/>
      <c r="AR67" s="8"/>
      <c r="AS67" s="8"/>
      <c r="AT67" s="8"/>
      <c r="AU67" s="8"/>
      <c r="AV67" s="8"/>
      <c r="AW67" s="8"/>
      <c r="AX67" s="8"/>
      <c r="AY67" s="8">
        <v>94713.837844002614</v>
      </c>
      <c r="IA67" s="8"/>
    </row>
    <row r="68" spans="14:235" x14ac:dyDescent="0.25">
      <c r="N68" s="4" t="s">
        <v>202</v>
      </c>
      <c r="Q68">
        <v>-11768.2890739379</v>
      </c>
      <c r="Y68">
        <v>-11768.2890739379</v>
      </c>
      <c r="AA68" s="4" t="s">
        <v>120</v>
      </c>
      <c r="AB68" s="99"/>
      <c r="AC68" s="99"/>
      <c r="AD68" s="99"/>
      <c r="AE68" s="99"/>
      <c r="AF68" s="99"/>
      <c r="AG68" s="99">
        <v>16934.454517819999</v>
      </c>
      <c r="AH68" s="99"/>
      <c r="AI68" s="99"/>
      <c r="AJ68" s="99"/>
      <c r="AK68" s="99"/>
      <c r="AL68" s="99">
        <v>16934.454517819999</v>
      </c>
      <c r="AM68" s="99"/>
      <c r="AN68" s="4" t="s">
        <v>48</v>
      </c>
      <c r="AO68" s="8">
        <v>0.18306685858303279</v>
      </c>
      <c r="AP68" s="8"/>
      <c r="AQ68" s="8"/>
      <c r="AR68" s="8"/>
      <c r="AS68" s="8"/>
      <c r="AT68" s="8"/>
      <c r="AU68" s="8"/>
      <c r="AV68" s="8"/>
      <c r="AW68" s="8"/>
      <c r="AX68" s="8"/>
      <c r="AY68" s="8">
        <v>0.18306685858303279</v>
      </c>
      <c r="IA68" s="8"/>
    </row>
    <row r="69" spans="14:235" x14ac:dyDescent="0.25">
      <c r="N69" s="4" t="s">
        <v>168</v>
      </c>
      <c r="T69">
        <v>39738.554518844903</v>
      </c>
      <c r="Y69">
        <v>39738.554518844903</v>
      </c>
      <c r="AA69" s="4" t="s">
        <v>202</v>
      </c>
      <c r="AB69" s="99"/>
      <c r="AC69" s="99"/>
      <c r="AD69" s="99"/>
      <c r="AE69" s="99"/>
      <c r="AF69" s="99">
        <v>-2073</v>
      </c>
      <c r="AG69" s="99"/>
      <c r="AH69" s="99"/>
      <c r="AI69" s="99"/>
      <c r="AJ69" s="99"/>
      <c r="AK69" s="99"/>
      <c r="AL69" s="99">
        <v>-2073</v>
      </c>
      <c r="AM69" s="99"/>
      <c r="AN69" s="4" t="s">
        <v>50</v>
      </c>
      <c r="AO69" s="8">
        <v>9.0016085144589905E-3</v>
      </c>
      <c r="AP69" s="8"/>
      <c r="AQ69" s="8"/>
      <c r="AR69" s="8"/>
      <c r="AS69" s="8"/>
      <c r="AT69" s="8"/>
      <c r="AU69" s="8"/>
      <c r="AV69" s="8"/>
      <c r="AW69" s="8"/>
      <c r="AX69" s="8"/>
      <c r="AY69" s="8">
        <v>9.0016085144589905E-3</v>
      </c>
      <c r="IA69" s="8"/>
    </row>
    <row r="70" spans="14:235" x14ac:dyDescent="0.25">
      <c r="N70" s="4" t="s">
        <v>204</v>
      </c>
      <c r="R70">
        <v>-96507.918117194698</v>
      </c>
      <c r="Y70">
        <v>-96507.918117194698</v>
      </c>
      <c r="AA70" s="4" t="s">
        <v>168</v>
      </c>
      <c r="AB70" s="99"/>
      <c r="AC70" s="99"/>
      <c r="AD70" s="99"/>
      <c r="AE70" s="99"/>
      <c r="AF70" s="99"/>
      <c r="AG70" s="99">
        <v>7000</v>
      </c>
      <c r="AH70" s="99"/>
      <c r="AI70" s="99"/>
      <c r="AJ70" s="99"/>
      <c r="AK70" s="99"/>
      <c r="AL70" s="99">
        <v>7000</v>
      </c>
      <c r="AM70" s="99"/>
      <c r="AN70" s="4" t="s">
        <v>51</v>
      </c>
      <c r="AO70" s="8">
        <v>40317.3623644256</v>
      </c>
      <c r="AP70" s="8"/>
      <c r="AQ70" s="8"/>
      <c r="AR70" s="8"/>
      <c r="AS70" s="8"/>
      <c r="AT70" s="8"/>
      <c r="AU70" s="8"/>
      <c r="AV70" s="8"/>
      <c r="AW70" s="8">
        <v>13585.760202444</v>
      </c>
      <c r="AX70" s="8">
        <v>-17653.394892839398</v>
      </c>
      <c r="AY70" s="8">
        <v>36249.727674030204</v>
      </c>
      <c r="IA70" s="8"/>
    </row>
    <row r="71" spans="14:235" x14ac:dyDescent="0.25">
      <c r="N71" s="4" t="s">
        <v>46</v>
      </c>
      <c r="W71">
        <v>-105806.25599999999</v>
      </c>
      <c r="Y71">
        <v>-105806.25599999999</v>
      </c>
      <c r="AA71" s="4" t="s">
        <v>204</v>
      </c>
      <c r="AB71" s="99"/>
      <c r="AC71" s="99"/>
      <c r="AD71" s="99">
        <v>-17000</v>
      </c>
      <c r="AE71" s="99"/>
      <c r="AF71" s="99"/>
      <c r="AG71" s="99"/>
      <c r="AH71" s="99"/>
      <c r="AI71" s="99"/>
      <c r="AJ71" s="99"/>
      <c r="AK71" s="99"/>
      <c r="AL71" s="99">
        <v>-17000</v>
      </c>
      <c r="AM71" s="99"/>
      <c r="AN71" s="3" t="s">
        <v>209</v>
      </c>
      <c r="AO71" s="8"/>
      <c r="AP71" s="8"/>
      <c r="AQ71" s="8"/>
      <c r="AR71" s="8"/>
      <c r="AS71" s="8"/>
      <c r="AT71" s="8"/>
      <c r="AU71" s="8">
        <v>-1190717.663020327</v>
      </c>
      <c r="AV71" s="8"/>
      <c r="AW71" s="8"/>
      <c r="AX71" s="8"/>
      <c r="AY71" s="8">
        <v>-1190717.663020327</v>
      </c>
      <c r="IA71" s="8"/>
    </row>
    <row r="72" spans="14:235" x14ac:dyDescent="0.25">
      <c r="N72" s="4" t="s">
        <v>174</v>
      </c>
      <c r="T72">
        <v>43.0714086362972</v>
      </c>
      <c r="Y72">
        <v>43.0714086362972</v>
      </c>
      <c r="AA72" s="4" t="s">
        <v>46</v>
      </c>
      <c r="AB72" s="99"/>
      <c r="AC72" s="99"/>
      <c r="AD72" s="99"/>
      <c r="AE72" s="99"/>
      <c r="AF72" s="99"/>
      <c r="AG72" s="99"/>
      <c r="AH72" s="99"/>
      <c r="AI72" s="99">
        <v>-28263</v>
      </c>
      <c r="AJ72" s="99"/>
      <c r="AK72" s="99"/>
      <c r="AL72" s="99">
        <v>-28263</v>
      </c>
      <c r="AM72" s="99"/>
      <c r="AN72" s="4" t="s">
        <v>207</v>
      </c>
      <c r="AO72" s="8"/>
      <c r="AP72" s="8"/>
      <c r="AQ72" s="8"/>
      <c r="AR72" s="8"/>
      <c r="AS72" s="8"/>
      <c r="AT72" s="8"/>
      <c r="AU72" s="8">
        <v>-1190717.663020327</v>
      </c>
      <c r="AV72" s="8"/>
      <c r="AW72" s="8"/>
      <c r="AX72" s="8"/>
      <c r="AY72" s="8">
        <v>-1190717.663020327</v>
      </c>
      <c r="IA72" s="8"/>
    </row>
    <row r="73" spans="14:235" x14ac:dyDescent="0.25">
      <c r="N73" s="3" t="s">
        <v>144</v>
      </c>
      <c r="O73" s="8"/>
      <c r="P73" s="8"/>
      <c r="Q73" s="8"/>
      <c r="R73" s="8"/>
      <c r="S73" s="8"/>
      <c r="T73" s="8">
        <v>1.1153108307952401E-6</v>
      </c>
      <c r="U73" s="8"/>
      <c r="V73" s="8"/>
      <c r="W73" s="8"/>
      <c r="X73" s="8"/>
      <c r="Y73" s="8">
        <v>1.1153108307952401E-6</v>
      </c>
      <c r="AA73" s="4" t="s">
        <v>174</v>
      </c>
      <c r="AB73" s="99"/>
      <c r="AC73" s="99"/>
      <c r="AD73" s="99"/>
      <c r="AE73" s="99"/>
      <c r="AF73" s="99"/>
      <c r="AG73" s="99">
        <v>7.5870867500000001</v>
      </c>
      <c r="AH73" s="99"/>
      <c r="AI73" s="99"/>
      <c r="AJ73" s="99"/>
      <c r="AK73" s="99"/>
      <c r="AL73" s="99">
        <v>7.5870867500000001</v>
      </c>
      <c r="AM73" s="99"/>
      <c r="AN73" s="3" t="s">
        <v>176</v>
      </c>
      <c r="AO73" s="8">
        <v>1.0427770482510064</v>
      </c>
      <c r="AP73" s="8"/>
      <c r="AQ73" s="8"/>
      <c r="AR73" s="8"/>
      <c r="AS73" s="8"/>
      <c r="AT73" s="8"/>
      <c r="AU73" s="8"/>
      <c r="AV73" s="8"/>
      <c r="AW73" s="8"/>
      <c r="AX73" s="8"/>
      <c r="AY73" s="8">
        <v>1.0427770482510064</v>
      </c>
      <c r="IA73" s="8"/>
    </row>
    <row r="74" spans="14:235" x14ac:dyDescent="0.25">
      <c r="N74" s="3" t="s">
        <v>24</v>
      </c>
      <c r="O74" s="8"/>
      <c r="P74" s="8"/>
      <c r="Q74" s="8">
        <v>-501127.82430677291</v>
      </c>
      <c r="R74" s="8">
        <v>-782800.95793778601</v>
      </c>
      <c r="S74" s="8"/>
      <c r="T74" s="8">
        <v>1395677.7334145687</v>
      </c>
      <c r="U74" s="8"/>
      <c r="V74" s="8"/>
      <c r="W74" s="8">
        <v>-110037.533884199</v>
      </c>
      <c r="X74" s="8"/>
      <c r="Y74" s="8">
        <v>1711.4172858107922</v>
      </c>
      <c r="AA74" s="3" t="s">
        <v>144</v>
      </c>
      <c r="AB74" s="99"/>
      <c r="AC74" s="99"/>
      <c r="AD74" s="99"/>
      <c r="AE74" s="99"/>
      <c r="AF74" s="99"/>
      <c r="AG74" s="99">
        <v>4.3289484800000002</v>
      </c>
      <c r="AH74" s="99"/>
      <c r="AI74" s="99"/>
      <c r="AJ74" s="99"/>
      <c r="AK74" s="99"/>
      <c r="AL74" s="99">
        <v>4.3289484800000002</v>
      </c>
      <c r="AM74" s="99"/>
      <c r="AN74" s="4" t="s">
        <v>175</v>
      </c>
      <c r="AO74" s="8">
        <v>1.0427770482510064</v>
      </c>
      <c r="AP74" s="8"/>
      <c r="AQ74" s="8"/>
      <c r="AR74" s="8"/>
      <c r="AS74" s="8"/>
      <c r="AT74" s="8"/>
      <c r="AU74" s="8"/>
      <c r="AV74" s="8"/>
      <c r="AW74" s="8"/>
      <c r="AX74" s="8"/>
      <c r="AY74" s="8">
        <v>1.0427770482510064</v>
      </c>
      <c r="IA74" s="8"/>
    </row>
    <row r="75" spans="14:235" x14ac:dyDescent="0.25">
      <c r="N75" s="3" t="s">
        <v>145</v>
      </c>
      <c r="O75" s="8"/>
      <c r="P75" s="8"/>
      <c r="Q75" s="8"/>
      <c r="R75" s="8"/>
      <c r="S75" s="8"/>
      <c r="T75" s="8">
        <v>1.4823938845664501E-4</v>
      </c>
      <c r="U75" s="8"/>
      <c r="V75" s="8"/>
      <c r="W75" s="8"/>
      <c r="X75" s="8"/>
      <c r="Y75" s="8">
        <v>1.4823938845664501E-4</v>
      </c>
      <c r="AA75" s="3" t="s">
        <v>24</v>
      </c>
      <c r="AB75" s="99"/>
      <c r="AC75" s="99"/>
      <c r="AD75" s="99">
        <v>-11800</v>
      </c>
      <c r="AE75" s="99"/>
      <c r="AF75" s="99">
        <v>-7594.8410000000003</v>
      </c>
      <c r="AG75" s="99">
        <v>22273.165529899998</v>
      </c>
      <c r="AH75" s="99"/>
      <c r="AI75" s="99">
        <v>-2262.4790000000003</v>
      </c>
      <c r="AJ75" s="99"/>
      <c r="AK75" s="99"/>
      <c r="AL75" s="99">
        <v>615.84552989999702</v>
      </c>
      <c r="AM75" s="99"/>
      <c r="AN75" s="3" t="s">
        <v>211</v>
      </c>
      <c r="AO75" s="8"/>
      <c r="AP75" s="8"/>
      <c r="AQ75" s="8"/>
      <c r="AR75" s="8"/>
      <c r="AS75" s="8"/>
      <c r="AT75" s="8"/>
      <c r="AU75" s="8">
        <v>-75.478409104803205</v>
      </c>
      <c r="AV75" s="8"/>
      <c r="AW75" s="8"/>
      <c r="AX75" s="8"/>
      <c r="AY75" s="8">
        <v>-75.478409104803205</v>
      </c>
      <c r="IA75" s="8"/>
    </row>
    <row r="76" spans="14:235" x14ac:dyDescent="0.25">
      <c r="N76" s="3" t="s">
        <v>192</v>
      </c>
      <c r="O76" s="8"/>
      <c r="P76" s="8"/>
      <c r="Q76" s="8">
        <v>-27462.182551117301</v>
      </c>
      <c r="R76" s="8"/>
      <c r="S76" s="8"/>
      <c r="T76" s="8">
        <v>30198.653169471345</v>
      </c>
      <c r="U76" s="8"/>
      <c r="V76" s="8"/>
      <c r="W76" s="8"/>
      <c r="X76" s="8"/>
      <c r="Y76" s="8">
        <v>2736.4706183540438</v>
      </c>
      <c r="AA76" s="3" t="s">
        <v>145</v>
      </c>
      <c r="AB76" s="99"/>
      <c r="AC76" s="99"/>
      <c r="AD76" s="99"/>
      <c r="AE76" s="99"/>
      <c r="AF76" s="99"/>
      <c r="AG76" s="99">
        <v>0.66495972999999997</v>
      </c>
      <c r="AH76" s="99"/>
      <c r="AI76" s="99"/>
      <c r="AJ76" s="99"/>
      <c r="AK76" s="99"/>
      <c r="AL76" s="99">
        <v>0.66495972999999997</v>
      </c>
      <c r="AM76" s="99"/>
      <c r="AN76" s="4" t="s">
        <v>210</v>
      </c>
      <c r="AO76" s="8"/>
      <c r="AP76" s="8"/>
      <c r="AQ76" s="8"/>
      <c r="AR76" s="8"/>
      <c r="AS76" s="8"/>
      <c r="AT76" s="8"/>
      <c r="AU76" s="8">
        <v>-75.478409104803205</v>
      </c>
      <c r="AV76" s="8"/>
      <c r="AW76" s="8"/>
      <c r="AX76" s="8"/>
      <c r="AY76" s="8">
        <v>-75.478409104803205</v>
      </c>
      <c r="IA76" s="8"/>
    </row>
    <row r="77" spans="14:235" x14ac:dyDescent="0.25">
      <c r="N77" s="3" t="s">
        <v>193</v>
      </c>
      <c r="O77" s="8"/>
      <c r="P77" s="8"/>
      <c r="Q77" s="8">
        <v>-78283.083684265905</v>
      </c>
      <c r="R77" s="8"/>
      <c r="S77" s="8"/>
      <c r="T77" s="8">
        <v>78692.462355261378</v>
      </c>
      <c r="U77" s="8"/>
      <c r="V77" s="8"/>
      <c r="W77" s="8"/>
      <c r="X77" s="8"/>
      <c r="Y77" s="8">
        <v>409.37867099547293</v>
      </c>
      <c r="AA77" s="3" t="s">
        <v>192</v>
      </c>
      <c r="AB77" s="99"/>
      <c r="AC77" s="99"/>
      <c r="AD77" s="99"/>
      <c r="AE77" s="99"/>
      <c r="AF77" s="99">
        <v>-90000</v>
      </c>
      <c r="AG77" s="99">
        <v>97091.138406409998</v>
      </c>
      <c r="AH77" s="99"/>
      <c r="AI77" s="99"/>
      <c r="AJ77" s="99"/>
      <c r="AK77" s="99"/>
      <c r="AL77" s="99">
        <v>7091.1384064099984</v>
      </c>
      <c r="AM77" s="99"/>
      <c r="AN77" s="3" t="s">
        <v>182</v>
      </c>
      <c r="AO77" s="8">
        <v>27668.2027522961</v>
      </c>
      <c r="AP77" s="8"/>
      <c r="AQ77" s="8"/>
      <c r="AR77" s="8"/>
      <c r="AS77" s="8"/>
      <c r="AT77" s="8"/>
      <c r="AU77" s="8"/>
      <c r="AV77" s="8"/>
      <c r="AW77" s="8"/>
      <c r="AX77" s="8"/>
      <c r="AY77" s="8">
        <v>27668.2027522961</v>
      </c>
      <c r="IA77" s="8"/>
    </row>
    <row r="78" spans="14:235" x14ac:dyDescent="0.25">
      <c r="N78" s="3" t="s">
        <v>146</v>
      </c>
      <c r="O78" s="8"/>
      <c r="P78" s="8"/>
      <c r="Q78" s="8"/>
      <c r="R78" s="8"/>
      <c r="S78" s="8"/>
      <c r="T78" s="8">
        <v>5.4015843117876399</v>
      </c>
      <c r="U78" s="8"/>
      <c r="V78" s="8"/>
      <c r="W78" s="8"/>
      <c r="X78" s="8"/>
      <c r="Y78" s="8">
        <v>5.4015843117876399</v>
      </c>
      <c r="AA78" s="3" t="s">
        <v>193</v>
      </c>
      <c r="AB78" s="99"/>
      <c r="AC78" s="99"/>
      <c r="AD78" s="99"/>
      <c r="AE78" s="99"/>
      <c r="AF78" s="99">
        <v>-100000</v>
      </c>
      <c r="AG78" s="99">
        <v>104590.78836558999</v>
      </c>
      <c r="AH78" s="99"/>
      <c r="AI78" s="99"/>
      <c r="AJ78" s="99"/>
      <c r="AK78" s="99"/>
      <c r="AL78" s="99">
        <v>4590.7883655899932</v>
      </c>
      <c r="AM78" s="99"/>
      <c r="AN78" s="4" t="s">
        <v>180</v>
      </c>
      <c r="AO78" s="8">
        <v>27668.2027522961</v>
      </c>
      <c r="AP78" s="8"/>
      <c r="AQ78" s="8"/>
      <c r="AR78" s="8"/>
      <c r="AS78" s="8"/>
      <c r="AT78" s="8"/>
      <c r="AU78" s="8"/>
      <c r="AV78" s="8"/>
      <c r="AW78" s="8"/>
      <c r="AX78" s="8"/>
      <c r="AY78" s="8">
        <v>27668.2027522961</v>
      </c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</row>
    <row r="79" spans="14:235" x14ac:dyDescent="0.25">
      <c r="N79" s="3" t="s">
        <v>147</v>
      </c>
      <c r="O79" s="8"/>
      <c r="P79" s="8"/>
      <c r="Q79" s="8"/>
      <c r="R79" s="8"/>
      <c r="S79" s="8"/>
      <c r="T79" s="8">
        <v>5.9205254414839599E-3</v>
      </c>
      <c r="U79" s="8"/>
      <c r="V79" s="8"/>
      <c r="W79" s="8"/>
      <c r="X79" s="8"/>
      <c r="Y79" s="8">
        <v>5.9205254414839599E-3</v>
      </c>
      <c r="AA79" s="3" t="s">
        <v>413</v>
      </c>
      <c r="AB79" s="99"/>
      <c r="AC79" s="99"/>
      <c r="AD79" s="99"/>
      <c r="AE79" s="99"/>
      <c r="AF79" s="99">
        <v>-14</v>
      </c>
      <c r="AG79" s="99">
        <v>13.93220945</v>
      </c>
      <c r="AH79" s="99"/>
      <c r="AI79" s="99"/>
      <c r="AJ79" s="99"/>
      <c r="AK79" s="99"/>
      <c r="AL79" s="99">
        <v>-6.7790549999999783E-2</v>
      </c>
      <c r="AM79" s="99"/>
      <c r="AN79" s="3" t="s">
        <v>427</v>
      </c>
      <c r="AO79" s="8"/>
      <c r="AP79" s="8"/>
      <c r="AQ79" s="8">
        <v>79941.919999999998</v>
      </c>
      <c r="AR79" s="8"/>
      <c r="AS79" s="8"/>
      <c r="AT79" s="8"/>
      <c r="AU79" s="8"/>
      <c r="AV79" s="8"/>
      <c r="AW79" s="8"/>
      <c r="AX79" s="8"/>
      <c r="AY79" s="8">
        <v>79941.919999999998</v>
      </c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</row>
    <row r="80" spans="14:235" x14ac:dyDescent="0.25">
      <c r="N80" s="3" t="s">
        <v>148</v>
      </c>
      <c r="O80" s="8"/>
      <c r="P80" s="8"/>
      <c r="Q80" s="8"/>
      <c r="R80" s="8"/>
      <c r="S80" s="8"/>
      <c r="T80" s="8">
        <v>1340.7186816849601</v>
      </c>
      <c r="U80" s="8"/>
      <c r="V80" s="8"/>
      <c r="W80" s="8"/>
      <c r="X80" s="8"/>
      <c r="Y80" s="8">
        <v>1340.7186816849601</v>
      </c>
      <c r="AA80" s="3" t="s">
        <v>146</v>
      </c>
      <c r="AB80" s="99"/>
      <c r="AC80" s="99"/>
      <c r="AD80" s="99"/>
      <c r="AE80" s="99"/>
      <c r="AF80" s="99"/>
      <c r="AG80" s="99">
        <v>0.89105878000000005</v>
      </c>
      <c r="AH80" s="99"/>
      <c r="AI80" s="99"/>
      <c r="AJ80" s="99"/>
      <c r="AK80" s="99"/>
      <c r="AL80" s="99">
        <v>0.89105878000000005</v>
      </c>
      <c r="AM80" s="99"/>
      <c r="AN80" s="4" t="s">
        <v>427</v>
      </c>
      <c r="AO80" s="8"/>
      <c r="AP80" s="8"/>
      <c r="AQ80" s="8">
        <v>79941.919999999998</v>
      </c>
      <c r="AR80" s="8"/>
      <c r="AS80" s="8"/>
      <c r="AT80" s="8"/>
      <c r="AU80" s="8"/>
      <c r="AV80" s="8"/>
      <c r="AW80" s="8"/>
      <c r="AX80" s="8"/>
      <c r="AY80" s="8">
        <v>79941.919999999998</v>
      </c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</row>
    <row r="81" spans="14:235" x14ac:dyDescent="0.25">
      <c r="N81" s="3" t="s">
        <v>149</v>
      </c>
      <c r="O81" s="8"/>
      <c r="P81" s="8"/>
      <c r="Q81" s="8"/>
      <c r="R81" s="8"/>
      <c r="S81" s="8"/>
      <c r="T81" s="8">
        <v>7.8527958275329403E-4</v>
      </c>
      <c r="U81" s="8"/>
      <c r="V81" s="8"/>
      <c r="W81" s="8"/>
      <c r="X81" s="8"/>
      <c r="Y81" s="8">
        <v>7.8527958275329403E-4</v>
      </c>
      <c r="AA81" s="3" t="s">
        <v>147</v>
      </c>
      <c r="AB81" s="99"/>
      <c r="AC81" s="99"/>
      <c r="AD81" s="99"/>
      <c r="AE81" s="99"/>
      <c r="AF81" s="99"/>
      <c r="AG81" s="99">
        <v>40.704174029999997</v>
      </c>
      <c r="AH81" s="99"/>
      <c r="AI81" s="99"/>
      <c r="AJ81" s="99"/>
      <c r="AK81" s="99"/>
      <c r="AL81" s="99">
        <v>40.704174029999997</v>
      </c>
      <c r="AM81" s="99"/>
      <c r="AN81" s="3" t="s">
        <v>184</v>
      </c>
      <c r="AO81" s="8">
        <v>5821114.775656092</v>
      </c>
      <c r="AP81" s="8"/>
      <c r="AQ81" s="8"/>
      <c r="AR81" s="8"/>
      <c r="AS81" s="8"/>
      <c r="AT81" s="8"/>
      <c r="AU81" s="8"/>
      <c r="AV81" s="8">
        <v>-2376846.6380742299</v>
      </c>
      <c r="AW81" s="8"/>
      <c r="AX81" s="8"/>
      <c r="AY81" s="8">
        <v>3444268.137581862</v>
      </c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</row>
    <row r="82" spans="14:235" x14ac:dyDescent="0.25">
      <c r="N82" s="3" t="s">
        <v>150</v>
      </c>
      <c r="O82" s="8"/>
      <c r="P82" s="8"/>
      <c r="Q82" s="8"/>
      <c r="R82" s="8"/>
      <c r="S82" s="8"/>
      <c r="T82" s="8">
        <v>24746.468756197908</v>
      </c>
      <c r="U82" s="8"/>
      <c r="V82" s="8"/>
      <c r="W82" s="8">
        <v>-24325.605599999999</v>
      </c>
      <c r="X82" s="8"/>
      <c r="Y82" s="8">
        <v>420.86315619790912</v>
      </c>
      <c r="AA82" s="3" t="s">
        <v>148</v>
      </c>
      <c r="AB82" s="99"/>
      <c r="AC82" s="99"/>
      <c r="AD82" s="99"/>
      <c r="AE82" s="99"/>
      <c r="AF82" s="99"/>
      <c r="AG82" s="99">
        <v>3045130004.3544402</v>
      </c>
      <c r="AH82" s="99"/>
      <c r="AI82" s="99"/>
      <c r="AJ82" s="99"/>
      <c r="AK82" s="99"/>
      <c r="AL82" s="99">
        <v>3045130004.3544402</v>
      </c>
      <c r="AM82" s="99"/>
      <c r="AN82" s="4" t="s">
        <v>183</v>
      </c>
      <c r="AO82" s="8">
        <v>5821114.775656092</v>
      </c>
      <c r="AP82" s="8"/>
      <c r="AQ82" s="8"/>
      <c r="AR82" s="8"/>
      <c r="AS82" s="8"/>
      <c r="AT82" s="8"/>
      <c r="AU82" s="8"/>
      <c r="AV82" s="8"/>
      <c r="AW82" s="8"/>
      <c r="AX82" s="8"/>
      <c r="AY82" s="8">
        <v>5821114.775656092</v>
      </c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</row>
    <row r="83" spans="14:235" x14ac:dyDescent="0.25">
      <c r="N83" s="3" t="s">
        <v>151</v>
      </c>
      <c r="O83" s="8"/>
      <c r="P83" s="8"/>
      <c r="Q83" s="8"/>
      <c r="R83" s="8"/>
      <c r="S83" s="8"/>
      <c r="T83" s="8">
        <v>7.5661428144105994E-2</v>
      </c>
      <c r="U83" s="8"/>
      <c r="V83" s="8"/>
      <c r="W83" s="8"/>
      <c r="X83" s="8"/>
      <c r="Y83" s="8">
        <v>7.5661428144105994E-2</v>
      </c>
      <c r="AA83" s="3" t="s">
        <v>149</v>
      </c>
      <c r="AB83" s="99"/>
      <c r="AC83" s="99"/>
      <c r="AD83" s="99"/>
      <c r="AE83" s="99"/>
      <c r="AF83" s="99"/>
      <c r="AG83" s="99">
        <v>4.3068300000000002E-3</v>
      </c>
      <c r="AH83" s="99"/>
      <c r="AI83" s="99"/>
      <c r="AJ83" s="99"/>
      <c r="AK83" s="99"/>
      <c r="AL83" s="99">
        <v>4.3068300000000002E-3</v>
      </c>
      <c r="AM83" s="99"/>
      <c r="AN83" s="4" t="s">
        <v>214</v>
      </c>
      <c r="AO83" s="8"/>
      <c r="AP83" s="8"/>
      <c r="AQ83" s="8"/>
      <c r="AR83" s="8"/>
      <c r="AS83" s="8"/>
      <c r="AT83" s="8"/>
      <c r="AU83" s="8"/>
      <c r="AV83" s="8">
        <v>-2376846.6380742299</v>
      </c>
      <c r="AW83" s="8"/>
      <c r="AX83" s="8"/>
      <c r="AY83" s="8">
        <v>-2376846.6380742299</v>
      </c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</row>
    <row r="84" spans="14:235" x14ac:dyDescent="0.25">
      <c r="N84" s="3" t="s">
        <v>89</v>
      </c>
      <c r="O84" s="8"/>
      <c r="P84" s="8">
        <v>-181191.41600185999</v>
      </c>
      <c r="Q84" s="8"/>
      <c r="R84" s="8"/>
      <c r="S84" s="8"/>
      <c r="T84" s="8">
        <v>182167.70630341387</v>
      </c>
      <c r="U84" s="8"/>
      <c r="V84" s="8"/>
      <c r="W84" s="8"/>
      <c r="X84" s="8"/>
      <c r="Y84" s="8">
        <v>976.29030155387591</v>
      </c>
      <c r="AA84" s="3" t="s">
        <v>150</v>
      </c>
      <c r="AB84" s="99"/>
      <c r="AC84" s="99"/>
      <c r="AD84" s="99"/>
      <c r="AE84" s="99"/>
      <c r="AF84" s="99"/>
      <c r="AG84" s="99">
        <v>24411.820819300003</v>
      </c>
      <c r="AH84" s="99"/>
      <c r="AI84" s="99">
        <v>-24000</v>
      </c>
      <c r="AJ84" s="99"/>
      <c r="AK84" s="99"/>
      <c r="AL84" s="99">
        <v>411.82081930000277</v>
      </c>
      <c r="AM84" s="99"/>
      <c r="AN84" s="3" t="s">
        <v>56</v>
      </c>
      <c r="AO84" s="8">
        <v>321500409.04357004</v>
      </c>
      <c r="AP84" s="8">
        <v>-93822750</v>
      </c>
      <c r="AQ84" s="8">
        <v>27404125.440000001</v>
      </c>
      <c r="AR84" s="8">
        <v>-87608748.109617233</v>
      </c>
      <c r="AS84" s="8">
        <v>-211206773.49899808</v>
      </c>
      <c r="AT84" s="8">
        <v>-42809619.487171866</v>
      </c>
      <c r="AU84" s="8">
        <v>-1190793.1414294317</v>
      </c>
      <c r="AV84" s="8">
        <v>-14331689.698353291</v>
      </c>
      <c r="AW84" s="8">
        <v>108180974.97364087</v>
      </c>
      <c r="AX84" s="8">
        <v>-132609.41215560099</v>
      </c>
      <c r="AY84" s="8">
        <v>5982526.1094853505</v>
      </c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</row>
    <row r="85" spans="14:235" x14ac:dyDescent="0.25">
      <c r="N85" s="3" t="s">
        <v>152</v>
      </c>
      <c r="O85" s="8"/>
      <c r="P85" s="8"/>
      <c r="Q85" s="8"/>
      <c r="R85" s="8"/>
      <c r="S85" s="8"/>
      <c r="T85" s="8">
        <v>5.76969224537333E-3</v>
      </c>
      <c r="U85" s="8"/>
      <c r="V85" s="8"/>
      <c r="W85" s="8"/>
      <c r="X85" s="8"/>
      <c r="Y85" s="8">
        <v>5.76969224537333E-3</v>
      </c>
      <c r="AA85" s="3" t="s">
        <v>151</v>
      </c>
      <c r="AB85" s="99"/>
      <c r="AC85" s="99"/>
      <c r="AD85" s="99"/>
      <c r="AE85" s="99"/>
      <c r="AF85" s="99"/>
      <c r="AG85" s="99">
        <v>0.34782034000000001</v>
      </c>
      <c r="AH85" s="99"/>
      <c r="AI85" s="99"/>
      <c r="AJ85" s="99"/>
      <c r="AK85" s="99"/>
      <c r="AL85" s="99">
        <v>0.34782034000000001</v>
      </c>
      <c r="AM85" s="99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</row>
    <row r="86" spans="14:235" x14ac:dyDescent="0.25">
      <c r="N86" s="3" t="s">
        <v>153</v>
      </c>
      <c r="O86" s="8"/>
      <c r="P86" s="8"/>
      <c r="Q86" s="8"/>
      <c r="R86" s="8"/>
      <c r="S86" s="8"/>
      <c r="T86" s="8">
        <v>6.1097093313721795E-4</v>
      </c>
      <c r="U86" s="8"/>
      <c r="V86" s="8"/>
      <c r="W86" s="8"/>
      <c r="X86" s="8"/>
      <c r="Y86" s="8">
        <v>6.1097093313721795E-4</v>
      </c>
      <c r="AA86" s="3" t="s">
        <v>89</v>
      </c>
      <c r="AB86" s="99"/>
      <c r="AC86" s="99"/>
      <c r="AD86" s="99"/>
      <c r="AE86" s="99">
        <v>-2600208</v>
      </c>
      <c r="AF86" s="99"/>
      <c r="AG86" s="99">
        <v>2613769.5096162399</v>
      </c>
      <c r="AH86" s="99"/>
      <c r="AI86" s="99"/>
      <c r="AJ86" s="99"/>
      <c r="AK86" s="99"/>
      <c r="AL86" s="99">
        <v>13561.509616239928</v>
      </c>
      <c r="AM86" s="99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</row>
    <row r="87" spans="14:235" x14ac:dyDescent="0.25">
      <c r="N87" s="3" t="s">
        <v>291</v>
      </c>
      <c r="O87" s="8"/>
      <c r="P87" s="8"/>
      <c r="Q87" s="8"/>
      <c r="R87" s="8"/>
      <c r="S87" s="8"/>
      <c r="T87" s="8">
        <v>3.4188947817455E-6</v>
      </c>
      <c r="U87" s="8"/>
      <c r="V87" s="8"/>
      <c r="W87" s="8"/>
      <c r="X87" s="8"/>
      <c r="Y87" s="8">
        <v>3.4188947817455E-6</v>
      </c>
      <c r="AA87" s="3" t="s">
        <v>152</v>
      </c>
      <c r="AB87" s="99"/>
      <c r="AC87" s="99"/>
      <c r="AD87" s="99"/>
      <c r="AE87" s="99"/>
      <c r="AF87" s="99"/>
      <c r="AG87" s="99">
        <v>3.0962099999999998E-3</v>
      </c>
      <c r="AH87" s="99"/>
      <c r="AI87" s="99"/>
      <c r="AJ87" s="99"/>
      <c r="AK87" s="99"/>
      <c r="AL87" s="99">
        <v>3.0962099999999998E-3</v>
      </c>
      <c r="AM87" s="99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</row>
    <row r="88" spans="14:235" x14ac:dyDescent="0.25">
      <c r="N88" s="3" t="s">
        <v>98</v>
      </c>
      <c r="O88" s="8"/>
      <c r="P88" s="8"/>
      <c r="Q88" s="8"/>
      <c r="R88" s="8"/>
      <c r="S88" s="8"/>
      <c r="T88" s="8">
        <v>12422.654751047603</v>
      </c>
      <c r="U88" s="8"/>
      <c r="V88" s="8"/>
      <c r="W88" s="8"/>
      <c r="X88" s="8"/>
      <c r="Y88" s="8">
        <v>12422.654751047603</v>
      </c>
      <c r="AA88" s="3" t="s">
        <v>153</v>
      </c>
      <c r="AB88" s="99"/>
      <c r="AC88" s="99"/>
      <c r="AD88" s="99"/>
      <c r="AE88" s="99"/>
      <c r="AF88" s="99"/>
      <c r="AG88" s="99">
        <v>2.6598900000000002E-2</v>
      </c>
      <c r="AH88" s="99"/>
      <c r="AI88" s="99"/>
      <c r="AJ88" s="99"/>
      <c r="AK88" s="99"/>
      <c r="AL88" s="99">
        <v>2.6598900000000002E-2</v>
      </c>
      <c r="AM88" s="99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</row>
    <row r="89" spans="14:235" x14ac:dyDescent="0.25">
      <c r="N89" s="3" t="s">
        <v>181</v>
      </c>
      <c r="O89" s="8"/>
      <c r="P89" s="8"/>
      <c r="Q89" s="8"/>
      <c r="R89" s="8"/>
      <c r="S89" s="8"/>
      <c r="T89" s="8">
        <v>22758.919518689301</v>
      </c>
      <c r="U89" s="8"/>
      <c r="V89" s="8"/>
      <c r="W89" s="8"/>
      <c r="X89" s="8"/>
      <c r="Y89" s="8">
        <v>22758.919518689301</v>
      </c>
      <c r="AA89" s="3" t="s">
        <v>291</v>
      </c>
      <c r="AB89" s="99"/>
      <c r="AC89" s="99"/>
      <c r="AD89" s="99"/>
      <c r="AE89" s="99"/>
      <c r="AF89" s="99"/>
      <c r="AG89" s="99">
        <v>9.5929999999999998E-5</v>
      </c>
      <c r="AH89" s="99"/>
      <c r="AI89" s="99"/>
      <c r="AJ89" s="99"/>
      <c r="AK89" s="99"/>
      <c r="AL89" s="99">
        <v>9.5929999999999998E-5</v>
      </c>
      <c r="AM89" s="99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</row>
    <row r="90" spans="14:235" x14ac:dyDescent="0.25">
      <c r="N90" s="3" t="s">
        <v>37</v>
      </c>
      <c r="O90" s="8"/>
      <c r="P90" s="8"/>
      <c r="Q90" s="8">
        <v>-127072.0476486894</v>
      </c>
      <c r="R90" s="8"/>
      <c r="S90" s="8"/>
      <c r="T90" s="8">
        <v>1511451.5910856668</v>
      </c>
      <c r="U90" s="8"/>
      <c r="V90" s="8"/>
      <c r="W90" s="8">
        <v>-709561.13</v>
      </c>
      <c r="X90" s="8"/>
      <c r="Y90" s="8">
        <v>674818.41343697731</v>
      </c>
      <c r="AA90" s="3" t="s">
        <v>98</v>
      </c>
      <c r="AB90" s="99"/>
      <c r="AC90" s="99"/>
      <c r="AD90" s="99"/>
      <c r="AE90" s="99"/>
      <c r="AF90" s="99"/>
      <c r="AG90" s="99">
        <v>1236499.8774543798</v>
      </c>
      <c r="AH90" s="99"/>
      <c r="AI90" s="99"/>
      <c r="AJ90" s="99"/>
      <c r="AK90" s="99"/>
      <c r="AL90" s="99">
        <v>1236499.8774543798</v>
      </c>
      <c r="AM90" s="99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</row>
    <row r="91" spans="14:235" x14ac:dyDescent="0.25">
      <c r="N91" s="3" t="s">
        <v>154</v>
      </c>
      <c r="O91" s="8"/>
      <c r="P91" s="8"/>
      <c r="Q91" s="8">
        <v>-82925.202304742998</v>
      </c>
      <c r="R91" s="8"/>
      <c r="S91" s="8"/>
      <c r="T91" s="8">
        <v>83351.755062365657</v>
      </c>
      <c r="U91" s="8"/>
      <c r="V91" s="8"/>
      <c r="W91" s="8"/>
      <c r="X91" s="8"/>
      <c r="Y91" s="8">
        <v>426.55275762265956</v>
      </c>
      <c r="AA91" s="3" t="s">
        <v>181</v>
      </c>
      <c r="AB91" s="99"/>
      <c r="AC91" s="99"/>
      <c r="AD91" s="99"/>
      <c r="AE91" s="99"/>
      <c r="AF91" s="99"/>
      <c r="AG91" s="99">
        <v>3435616.15191971</v>
      </c>
      <c r="AH91" s="99"/>
      <c r="AI91" s="99"/>
      <c r="AJ91" s="99"/>
      <c r="AK91" s="99"/>
      <c r="AL91" s="99">
        <v>3435616.15191971</v>
      </c>
      <c r="AM91" s="99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</row>
    <row r="92" spans="14:235" x14ac:dyDescent="0.25">
      <c r="N92" s="3" t="s">
        <v>155</v>
      </c>
      <c r="O92" s="8"/>
      <c r="P92" s="8"/>
      <c r="Q92" s="8"/>
      <c r="R92" s="8"/>
      <c r="S92" s="8"/>
      <c r="T92" s="8">
        <v>6742.0223001583299</v>
      </c>
      <c r="U92" s="8"/>
      <c r="V92" s="8"/>
      <c r="W92" s="8"/>
      <c r="X92" s="8"/>
      <c r="Y92" s="8">
        <v>6742.0223001583299</v>
      </c>
      <c r="AA92" s="3" t="s">
        <v>37</v>
      </c>
      <c r="AB92" s="99"/>
      <c r="AC92" s="99"/>
      <c r="AD92" s="99"/>
      <c r="AE92" s="99"/>
      <c r="AF92" s="99">
        <v>-16040934362.452999</v>
      </c>
      <c r="AG92" s="99">
        <v>191553452607.88376</v>
      </c>
      <c r="AH92" s="99"/>
      <c r="AI92" s="99">
        <v>-89029000000</v>
      </c>
      <c r="AJ92" s="99"/>
      <c r="AK92" s="99"/>
      <c r="AL92" s="99">
        <v>86483518245.430756</v>
      </c>
      <c r="AM92" s="99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</row>
    <row r="93" spans="14:235" x14ac:dyDescent="0.25">
      <c r="N93" s="3" t="s">
        <v>156</v>
      </c>
      <c r="O93" s="8"/>
      <c r="P93" s="8"/>
      <c r="Q93" s="8"/>
      <c r="R93" s="8"/>
      <c r="S93" s="8"/>
      <c r="T93" s="8">
        <v>7.4616070776097096</v>
      </c>
      <c r="U93" s="8"/>
      <c r="V93" s="8"/>
      <c r="W93" s="8"/>
      <c r="X93" s="8"/>
      <c r="Y93" s="8">
        <v>7.4616070776097096</v>
      </c>
      <c r="AA93" s="3" t="s">
        <v>154</v>
      </c>
      <c r="AB93" s="99"/>
      <c r="AC93" s="99"/>
      <c r="AD93" s="99"/>
      <c r="AE93" s="99"/>
      <c r="AF93" s="99">
        <v>-8500</v>
      </c>
      <c r="AG93" s="99">
        <v>8966.8938778200009</v>
      </c>
      <c r="AH93" s="99"/>
      <c r="AI93" s="99"/>
      <c r="AJ93" s="99"/>
      <c r="AK93" s="99"/>
      <c r="AL93" s="99">
        <v>466.89387782000085</v>
      </c>
      <c r="AM93" s="99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</row>
    <row r="94" spans="14:235" x14ac:dyDescent="0.25">
      <c r="N94" s="3" t="s">
        <v>25</v>
      </c>
      <c r="O94" s="8"/>
      <c r="P94" s="8"/>
      <c r="Q94" s="8"/>
      <c r="R94" s="8"/>
      <c r="S94" s="8"/>
      <c r="T94" s="8">
        <v>2.4486818017105696</v>
      </c>
      <c r="U94" s="8"/>
      <c r="V94" s="8"/>
      <c r="W94" s="8"/>
      <c r="X94" s="8"/>
      <c r="Y94" s="8">
        <v>2.4486818017105696</v>
      </c>
      <c r="AA94" s="3" t="s">
        <v>155</v>
      </c>
      <c r="AB94" s="99"/>
      <c r="AC94" s="99"/>
      <c r="AD94" s="99"/>
      <c r="AE94" s="99"/>
      <c r="AF94" s="99"/>
      <c r="AG94" s="99">
        <v>38753.774400000002</v>
      </c>
      <c r="AH94" s="99"/>
      <c r="AI94" s="99"/>
      <c r="AJ94" s="99"/>
      <c r="AK94" s="99"/>
      <c r="AL94" s="99">
        <v>38753.774400000002</v>
      </c>
      <c r="AM94" s="99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</row>
    <row r="95" spans="14:235" x14ac:dyDescent="0.25">
      <c r="N95" s="3" t="s">
        <v>179</v>
      </c>
      <c r="O95" s="8"/>
      <c r="P95" s="8"/>
      <c r="Q95" s="8"/>
      <c r="R95" s="8"/>
      <c r="S95" s="8"/>
      <c r="T95" s="8">
        <v>2.6369097314675E-4</v>
      </c>
      <c r="U95" s="8"/>
      <c r="V95" s="8"/>
      <c r="W95" s="8"/>
      <c r="X95" s="8"/>
      <c r="Y95" s="8">
        <v>2.6369097314675E-4</v>
      </c>
      <c r="AA95" s="3" t="s">
        <v>156</v>
      </c>
      <c r="AB95" s="99"/>
      <c r="AC95" s="99"/>
      <c r="AD95" s="99"/>
      <c r="AE95" s="99"/>
      <c r="AF95" s="99"/>
      <c r="AG95" s="99">
        <v>29.76350429</v>
      </c>
      <c r="AH95" s="99"/>
      <c r="AI95" s="99"/>
      <c r="AJ95" s="99"/>
      <c r="AK95" s="99"/>
      <c r="AL95" s="99">
        <v>29.76350429</v>
      </c>
      <c r="AM95" s="99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</row>
    <row r="96" spans="14:235" x14ac:dyDescent="0.25">
      <c r="N96" s="3" t="s">
        <v>157</v>
      </c>
      <c r="O96" s="8"/>
      <c r="P96" s="8"/>
      <c r="Q96" s="8"/>
      <c r="R96" s="8"/>
      <c r="S96" s="8"/>
      <c r="T96" s="8">
        <v>1.9716530109011E-4</v>
      </c>
      <c r="U96" s="8"/>
      <c r="V96" s="8"/>
      <c r="W96" s="8"/>
      <c r="X96" s="8"/>
      <c r="Y96" s="8">
        <v>1.9716530109011E-4</v>
      </c>
      <c r="AA96" s="3" t="s">
        <v>414</v>
      </c>
      <c r="AB96" s="99"/>
      <c r="AC96" s="99"/>
      <c r="AD96" s="99"/>
      <c r="AE96" s="99"/>
      <c r="AF96" s="99">
        <v>-43200</v>
      </c>
      <c r="AG96" s="99">
        <v>43186.32053366</v>
      </c>
      <c r="AH96" s="99"/>
      <c r="AI96" s="99"/>
      <c r="AJ96" s="99"/>
      <c r="AK96" s="99"/>
      <c r="AL96" s="99">
        <v>-13.679466339999635</v>
      </c>
      <c r="AM96" s="99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</row>
    <row r="97" spans="14:235" x14ac:dyDescent="0.25">
      <c r="N97" s="3" t="s">
        <v>158</v>
      </c>
      <c r="O97" s="8"/>
      <c r="P97" s="8"/>
      <c r="Q97" s="8"/>
      <c r="R97" s="8"/>
      <c r="S97" s="8"/>
      <c r="T97" s="8">
        <v>20.0046074754997</v>
      </c>
      <c r="U97" s="8"/>
      <c r="V97" s="8"/>
      <c r="W97" s="8"/>
      <c r="X97" s="8"/>
      <c r="Y97" s="8">
        <v>20.0046074754997</v>
      </c>
      <c r="AA97" s="3" t="s">
        <v>25</v>
      </c>
      <c r="AB97" s="99"/>
      <c r="AC97" s="99"/>
      <c r="AD97" s="99"/>
      <c r="AE97" s="99"/>
      <c r="AF97" s="99"/>
      <c r="AG97" s="99">
        <v>45.224419630000007</v>
      </c>
      <c r="AH97" s="99"/>
      <c r="AI97" s="99"/>
      <c r="AJ97" s="99"/>
      <c r="AK97" s="99"/>
      <c r="AL97" s="99">
        <v>45.224419630000007</v>
      </c>
      <c r="AM97" s="99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</row>
    <row r="98" spans="14:235" x14ac:dyDescent="0.25">
      <c r="N98" s="3" t="s">
        <v>159</v>
      </c>
      <c r="O98" s="8"/>
      <c r="P98" s="8"/>
      <c r="Q98" s="8">
        <v>-59719.5767930039</v>
      </c>
      <c r="R98" s="8"/>
      <c r="S98" s="8"/>
      <c r="T98" s="8">
        <v>55398.335261539825</v>
      </c>
      <c r="U98" s="8"/>
      <c r="V98" s="8"/>
      <c r="W98" s="8"/>
      <c r="X98" s="8"/>
      <c r="Y98" s="8">
        <v>-4321.2415314640748</v>
      </c>
      <c r="AA98" s="3" t="s">
        <v>179</v>
      </c>
      <c r="AB98" s="99"/>
      <c r="AC98" s="99"/>
      <c r="AD98" s="99"/>
      <c r="AE98" s="99"/>
      <c r="AF98" s="99"/>
      <c r="AG98" s="99">
        <v>0.10983253</v>
      </c>
      <c r="AH98" s="99"/>
      <c r="AI98" s="99"/>
      <c r="AJ98" s="99"/>
      <c r="AK98" s="99"/>
      <c r="AL98" s="99">
        <v>0.10983253</v>
      </c>
      <c r="AM98" s="99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</row>
    <row r="99" spans="14:235" x14ac:dyDescent="0.25">
      <c r="N99" s="3" t="s">
        <v>95</v>
      </c>
      <c r="O99" s="8">
        <v>-42800000</v>
      </c>
      <c r="P99" s="8"/>
      <c r="Q99" s="8"/>
      <c r="R99" s="8"/>
      <c r="S99" s="8">
        <v>42365037.32</v>
      </c>
      <c r="T99" s="8">
        <v>52945469.716192506</v>
      </c>
      <c r="U99" s="8"/>
      <c r="V99" s="8"/>
      <c r="W99" s="8"/>
      <c r="X99" s="8"/>
      <c r="Y99" s="8">
        <v>52510507.036192507</v>
      </c>
      <c r="AA99" s="3" t="s">
        <v>157</v>
      </c>
      <c r="AB99" s="99"/>
      <c r="AC99" s="99"/>
      <c r="AD99" s="99"/>
      <c r="AE99" s="99"/>
      <c r="AF99" s="99"/>
      <c r="AG99" s="99">
        <v>6.3152970000000003E-2</v>
      </c>
      <c r="AH99" s="99"/>
      <c r="AI99" s="99"/>
      <c r="AJ99" s="99"/>
      <c r="AK99" s="99"/>
      <c r="AL99" s="99">
        <v>6.3152970000000003E-2</v>
      </c>
      <c r="AM99" s="99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</row>
    <row r="100" spans="14:235" x14ac:dyDescent="0.25">
      <c r="N100" s="4" t="s">
        <v>93</v>
      </c>
      <c r="T100">
        <v>2.755467E-2</v>
      </c>
      <c r="Y100" s="32">
        <v>2.755467E-2</v>
      </c>
      <c r="AA100" s="3" t="s">
        <v>158</v>
      </c>
      <c r="AB100" s="99"/>
      <c r="AC100" s="99"/>
      <c r="AD100" s="99"/>
      <c r="AE100" s="99"/>
      <c r="AF100" s="99"/>
      <c r="AG100" s="99">
        <v>20</v>
      </c>
      <c r="AH100" s="99"/>
      <c r="AI100" s="99"/>
      <c r="AJ100" s="99"/>
      <c r="AK100" s="99"/>
      <c r="AL100" s="99">
        <v>20</v>
      </c>
      <c r="AM100" s="99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</row>
    <row r="101" spans="14:235" x14ac:dyDescent="0.25">
      <c r="N101" s="4" t="s">
        <v>97</v>
      </c>
      <c r="T101">
        <v>114736.84</v>
      </c>
      <c r="Y101" s="32">
        <v>114736.84</v>
      </c>
      <c r="AA101" s="3" t="s">
        <v>159</v>
      </c>
      <c r="AB101" s="99"/>
      <c r="AC101" s="99"/>
      <c r="AD101" s="99"/>
      <c r="AE101" s="99"/>
      <c r="AF101" s="99">
        <v>-12000</v>
      </c>
      <c r="AG101" s="99">
        <v>12002.343462589999</v>
      </c>
      <c r="AH101" s="99"/>
      <c r="AI101" s="99"/>
      <c r="AJ101" s="99"/>
      <c r="AK101" s="99"/>
      <c r="AL101" s="99">
        <v>2.3434625899990351</v>
      </c>
      <c r="AM101" s="99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</row>
    <row r="102" spans="14:235" x14ac:dyDescent="0.25">
      <c r="N102" s="4" t="s">
        <v>100</v>
      </c>
      <c r="T102">
        <v>40996230.723200001</v>
      </c>
      <c r="Y102" s="32">
        <v>40996230.723200001</v>
      </c>
      <c r="AA102" s="3" t="s">
        <v>95</v>
      </c>
      <c r="AB102" s="99">
        <v>-42800000</v>
      </c>
      <c r="AC102" s="99">
        <v>36133462.380000003</v>
      </c>
      <c r="AD102" s="99"/>
      <c r="AE102" s="99"/>
      <c r="AF102" s="99"/>
      <c r="AG102" s="99">
        <v>52981619.681692488</v>
      </c>
      <c r="AH102" s="99"/>
      <c r="AI102" s="99"/>
      <c r="AJ102" s="99"/>
      <c r="AK102" s="99"/>
      <c r="AL102" s="99">
        <v>46315082.061692491</v>
      </c>
      <c r="AM102" s="99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</row>
    <row r="103" spans="14:235" x14ac:dyDescent="0.25">
      <c r="N103" s="4" t="s">
        <v>102</v>
      </c>
      <c r="T103">
        <v>4601230.3028999995</v>
      </c>
      <c r="Y103" s="32">
        <v>4601230.3028999995</v>
      </c>
      <c r="AA103" s="3" t="s">
        <v>92</v>
      </c>
      <c r="AB103" s="99">
        <v>-68500000</v>
      </c>
      <c r="AC103" s="99"/>
      <c r="AD103" s="99"/>
      <c r="AE103" s="99">
        <v>-1000000</v>
      </c>
      <c r="AF103" s="99">
        <v>-66903.697613290002</v>
      </c>
      <c r="AG103" s="99">
        <v>19972542.672013663</v>
      </c>
      <c r="AH103" s="99"/>
      <c r="AI103" s="99"/>
      <c r="AJ103" s="99"/>
      <c r="AK103" s="99"/>
      <c r="AL103" s="99">
        <v>-49594361.025599621</v>
      </c>
      <c r="AM103" s="99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</row>
    <row r="104" spans="14:235" x14ac:dyDescent="0.25">
      <c r="N104" s="4" t="s">
        <v>104</v>
      </c>
      <c r="T104">
        <v>7012148.6149000004</v>
      </c>
      <c r="Y104" s="32">
        <v>7012148.6149000004</v>
      </c>
      <c r="AA104" s="3" t="s">
        <v>160</v>
      </c>
      <c r="AB104" s="99"/>
      <c r="AC104" s="99"/>
      <c r="AD104" s="99"/>
      <c r="AE104" s="99"/>
      <c r="AF104" s="99"/>
      <c r="AG104" s="99">
        <v>0.34680431</v>
      </c>
      <c r="AH104" s="99"/>
      <c r="AI104" s="99"/>
      <c r="AJ104" s="99"/>
      <c r="AK104" s="99"/>
      <c r="AL104" s="99">
        <v>0.34680431</v>
      </c>
      <c r="AM104" s="99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</row>
    <row r="105" spans="14:235" x14ac:dyDescent="0.25">
      <c r="N105" s="4" t="s">
        <v>259</v>
      </c>
      <c r="T105">
        <v>78340.989999999903</v>
      </c>
      <c r="Y105" s="32">
        <v>78340.989999999903</v>
      </c>
      <c r="AA105" s="3" t="s">
        <v>38</v>
      </c>
      <c r="AB105" s="99"/>
      <c r="AC105" s="99"/>
      <c r="AD105" s="99"/>
      <c r="AE105" s="99"/>
      <c r="AF105" s="99">
        <v>-12429438.243022291</v>
      </c>
      <c r="AG105" s="99">
        <v>46174357.387306191</v>
      </c>
      <c r="AH105" s="99">
        <v>238643.11689478002</v>
      </c>
      <c r="AI105" s="99"/>
      <c r="AJ105" s="99"/>
      <c r="AK105" s="99"/>
      <c r="AL105" s="99">
        <v>33983562.26117868</v>
      </c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</row>
    <row r="106" spans="14:235" x14ac:dyDescent="0.25">
      <c r="N106" s="4" t="s">
        <v>237</v>
      </c>
      <c r="S106">
        <v>42285095.399999999</v>
      </c>
      <c r="Y106" s="32">
        <v>42285095.399999999</v>
      </c>
      <c r="AA106" s="3" t="s">
        <v>96</v>
      </c>
      <c r="AB106" s="99"/>
      <c r="AC106" s="99"/>
      <c r="AD106" s="99"/>
      <c r="AE106" s="99"/>
      <c r="AF106" s="99"/>
      <c r="AG106" s="99">
        <v>29.9885932</v>
      </c>
      <c r="AH106" s="99"/>
      <c r="AI106" s="99"/>
      <c r="AJ106" s="99"/>
      <c r="AK106" s="99"/>
      <c r="AL106" s="99">
        <v>29.9885932</v>
      </c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</row>
    <row r="107" spans="14:235" x14ac:dyDescent="0.25">
      <c r="N107" s="4" t="s">
        <v>167</v>
      </c>
      <c r="T107">
        <v>132643.2628</v>
      </c>
      <c r="Y107" s="32">
        <v>132643.2628</v>
      </c>
      <c r="AA107" s="3" t="s">
        <v>196</v>
      </c>
      <c r="AB107" s="99"/>
      <c r="AC107" s="99"/>
      <c r="AD107" s="99"/>
      <c r="AE107" s="99"/>
      <c r="AF107" s="99">
        <v>-100</v>
      </c>
      <c r="AG107" s="99">
        <v>25.959481520000001</v>
      </c>
      <c r="AH107" s="99"/>
      <c r="AI107" s="99"/>
      <c r="AJ107" s="99"/>
      <c r="AK107" s="99"/>
      <c r="AL107" s="99">
        <v>-74.040518480000003</v>
      </c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</row>
    <row r="108" spans="14:235" x14ac:dyDescent="0.25">
      <c r="N108" s="4" t="s">
        <v>168</v>
      </c>
      <c r="O108">
        <v>-42800000</v>
      </c>
      <c r="Y108" s="32">
        <v>-42800000</v>
      </c>
      <c r="AA108" s="3" t="s">
        <v>161</v>
      </c>
      <c r="AB108" s="99"/>
      <c r="AC108" s="99"/>
      <c r="AD108" s="99"/>
      <c r="AE108" s="99"/>
      <c r="AF108" s="99"/>
      <c r="AG108" s="99">
        <v>0.20872535</v>
      </c>
      <c r="AH108" s="99"/>
      <c r="AI108" s="99"/>
      <c r="AJ108" s="99"/>
      <c r="AK108" s="99"/>
      <c r="AL108" s="99">
        <v>0.20872535</v>
      </c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</row>
    <row r="109" spans="14:235" x14ac:dyDescent="0.25">
      <c r="N109" s="4" t="s">
        <v>172</v>
      </c>
      <c r="T109">
        <v>2.63E-3</v>
      </c>
      <c r="Y109" s="32">
        <v>2.63E-3</v>
      </c>
      <c r="AA109" s="3" t="s">
        <v>185</v>
      </c>
      <c r="AB109" s="99"/>
      <c r="AC109" s="99"/>
      <c r="AD109" s="99"/>
      <c r="AE109" s="99"/>
      <c r="AF109" s="99"/>
      <c r="AG109" s="99">
        <v>1644286.05309931</v>
      </c>
      <c r="AH109" s="99"/>
      <c r="AI109" s="99"/>
      <c r="AJ109" s="99"/>
      <c r="AK109" s="99"/>
      <c r="AL109" s="99">
        <v>1644286.05309931</v>
      </c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</row>
    <row r="110" spans="14:235" x14ac:dyDescent="0.25">
      <c r="N110" s="4" t="s">
        <v>173</v>
      </c>
      <c r="T110">
        <v>10138.94563</v>
      </c>
      <c r="Y110" s="32">
        <v>10138.94563</v>
      </c>
      <c r="AA110" s="3" t="s">
        <v>162</v>
      </c>
      <c r="AB110" s="99"/>
      <c r="AC110" s="99"/>
      <c r="AD110" s="99"/>
      <c r="AE110" s="99"/>
      <c r="AF110" s="99"/>
      <c r="AG110" s="99">
        <v>97856395.370000005</v>
      </c>
      <c r="AH110" s="99"/>
      <c r="AI110" s="99"/>
      <c r="AJ110" s="99"/>
      <c r="AK110" s="99"/>
      <c r="AL110" s="99">
        <v>97856395.370000005</v>
      </c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</row>
    <row r="111" spans="14:235" x14ac:dyDescent="0.25">
      <c r="N111" s="4" t="s">
        <v>175</v>
      </c>
      <c r="T111">
        <v>6.5778299999999998E-3</v>
      </c>
      <c r="Y111" s="32">
        <v>6.5778299999999998E-3</v>
      </c>
      <c r="AA111" s="3" t="s">
        <v>163</v>
      </c>
      <c r="AB111" s="99"/>
      <c r="AC111" s="99"/>
      <c r="AD111" s="99"/>
      <c r="AE111" s="99"/>
      <c r="AF111" s="99">
        <v>-1000000</v>
      </c>
      <c r="AG111" s="99">
        <v>999286.18965427007</v>
      </c>
      <c r="AH111" s="99"/>
      <c r="AI111" s="99"/>
      <c r="AJ111" s="99"/>
      <c r="AK111" s="99"/>
      <c r="AL111" s="99">
        <v>-713.8103457299294</v>
      </c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</row>
    <row r="112" spans="14:235" x14ac:dyDescent="0.25">
      <c r="N112" s="4" t="s">
        <v>427</v>
      </c>
      <c r="S112">
        <v>79941.919999999998</v>
      </c>
      <c r="Y112" s="32">
        <v>79941.919999999998</v>
      </c>
      <c r="AA112" s="3" t="s">
        <v>99</v>
      </c>
      <c r="AB112" s="99"/>
      <c r="AC112" s="99"/>
      <c r="AD112" s="99"/>
      <c r="AE112" s="99">
        <v>-201.17</v>
      </c>
      <c r="AF112" s="99"/>
      <c r="AG112" s="99">
        <v>121396.44933491998</v>
      </c>
      <c r="AH112" s="99"/>
      <c r="AI112" s="99"/>
      <c r="AJ112" s="99"/>
      <c r="AK112" s="99"/>
      <c r="AL112" s="99">
        <v>121195.27933491998</v>
      </c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</row>
    <row r="113" spans="14:235" x14ac:dyDescent="0.25">
      <c r="N113" s="3" t="s">
        <v>92</v>
      </c>
      <c r="O113" s="8">
        <v>-68512685.659354001</v>
      </c>
      <c r="P113" s="8">
        <v>-1000185.19210735</v>
      </c>
      <c r="Q113" s="8"/>
      <c r="R113" s="8"/>
      <c r="S113" s="8"/>
      <c r="T113" s="8">
        <v>17727344.258944798</v>
      </c>
      <c r="U113" s="8"/>
      <c r="V113" s="8"/>
      <c r="W113" s="8"/>
      <c r="X113" s="8"/>
      <c r="Y113" s="8">
        <v>-51785526.592516549</v>
      </c>
      <c r="AA113" s="3" t="s">
        <v>164</v>
      </c>
      <c r="AB113" s="99"/>
      <c r="AC113" s="99"/>
      <c r="AD113" s="99"/>
      <c r="AE113" s="99"/>
      <c r="AF113" s="99">
        <v>-68160</v>
      </c>
      <c r="AG113" s="99">
        <v>68156.324206089994</v>
      </c>
      <c r="AH113" s="99"/>
      <c r="AI113" s="99"/>
      <c r="AJ113" s="99"/>
      <c r="AK113" s="99"/>
      <c r="AL113" s="99">
        <v>-3.6757939100061776</v>
      </c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</row>
    <row r="114" spans="14:235" x14ac:dyDescent="0.25">
      <c r="N114" s="4" t="s">
        <v>100</v>
      </c>
      <c r="T114">
        <v>111.82070447760201</v>
      </c>
      <c r="Y114" s="32">
        <v>111.82070447760201</v>
      </c>
      <c r="AA114" s="3" t="s">
        <v>171</v>
      </c>
      <c r="AB114" s="99"/>
      <c r="AC114" s="99"/>
      <c r="AD114" s="99"/>
      <c r="AE114" s="99"/>
      <c r="AF114" s="99"/>
      <c r="AG114" s="99">
        <v>4.2750391099999998</v>
      </c>
      <c r="AH114" s="99"/>
      <c r="AI114" s="99"/>
      <c r="AJ114" s="99"/>
      <c r="AK114" s="99"/>
      <c r="AL114" s="99">
        <v>4.2750391099999998</v>
      </c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</row>
    <row r="115" spans="14:235" x14ac:dyDescent="0.25">
      <c r="N115" s="4" t="s">
        <v>102</v>
      </c>
      <c r="T115">
        <v>10.7019815555487</v>
      </c>
      <c r="Y115">
        <v>10.7019815555487</v>
      </c>
      <c r="AA115" s="3" t="s">
        <v>117</v>
      </c>
      <c r="AB115" s="99"/>
      <c r="AC115" s="99"/>
      <c r="AD115" s="99"/>
      <c r="AE115" s="99"/>
      <c r="AF115" s="99"/>
      <c r="AG115" s="99">
        <v>1.572583E-2</v>
      </c>
      <c r="AH115" s="99"/>
      <c r="AI115" s="99"/>
      <c r="AJ115" s="99"/>
      <c r="AK115" s="99"/>
      <c r="AL115" s="99">
        <v>1.572583E-2</v>
      </c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</row>
    <row r="116" spans="14:235" x14ac:dyDescent="0.25">
      <c r="N116" s="4" t="s">
        <v>104</v>
      </c>
      <c r="T116">
        <v>10.601963036338001</v>
      </c>
      <c r="Y116">
        <v>10.601963036338001</v>
      </c>
      <c r="AA116" s="3" t="s">
        <v>165</v>
      </c>
      <c r="AB116" s="99"/>
      <c r="AC116" s="99"/>
      <c r="AD116" s="99"/>
      <c r="AE116" s="99"/>
      <c r="AF116" s="99"/>
      <c r="AG116" s="99">
        <v>2.173E-4</v>
      </c>
      <c r="AH116" s="99"/>
      <c r="AI116" s="99"/>
      <c r="AJ116" s="99"/>
      <c r="AK116" s="99"/>
      <c r="AL116" s="99">
        <v>2.173E-4</v>
      </c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</row>
    <row r="117" spans="14:235" x14ac:dyDescent="0.25">
      <c r="N117" s="4" t="s">
        <v>105</v>
      </c>
      <c r="T117">
        <v>0.50009259605367895</v>
      </c>
      <c r="Y117">
        <v>0.50009259605367895</v>
      </c>
      <c r="AA117" s="3" t="s">
        <v>26</v>
      </c>
      <c r="AB117" s="99">
        <v>-20000000</v>
      </c>
      <c r="AC117" s="99"/>
      <c r="AD117" s="99"/>
      <c r="AE117" s="99"/>
      <c r="AF117" s="99"/>
      <c r="AG117" s="99">
        <v>20783726.15271455</v>
      </c>
      <c r="AH117" s="99"/>
      <c r="AI117" s="99">
        <v>-782143</v>
      </c>
      <c r="AJ117" s="99"/>
      <c r="AK117" s="99"/>
      <c r="AL117" s="99">
        <v>1583.1527145504951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</row>
    <row r="118" spans="14:235" x14ac:dyDescent="0.25">
      <c r="N118" s="4" t="s">
        <v>33</v>
      </c>
      <c r="T118">
        <v>20286.5689638357</v>
      </c>
      <c r="Y118" s="32">
        <v>20286.5689638357</v>
      </c>
      <c r="AA118" s="3" t="s">
        <v>189</v>
      </c>
      <c r="AB118" s="99"/>
      <c r="AC118" s="99"/>
      <c r="AD118" s="99"/>
      <c r="AE118" s="99"/>
      <c r="AF118" s="99"/>
      <c r="AG118" s="99">
        <v>87.107200469999995</v>
      </c>
      <c r="AH118" s="99"/>
      <c r="AI118" s="99"/>
      <c r="AJ118" s="99"/>
      <c r="AK118" s="99"/>
      <c r="AL118" s="99">
        <v>87.107200469999995</v>
      </c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</row>
    <row r="119" spans="14:235" x14ac:dyDescent="0.25">
      <c r="N119" s="4" t="s">
        <v>186</v>
      </c>
      <c r="T119">
        <v>5498696.2864579996</v>
      </c>
      <c r="Y119" s="32">
        <v>5498696.2864579996</v>
      </c>
      <c r="AA119" s="4" t="s">
        <v>285</v>
      </c>
      <c r="AB119" s="99"/>
      <c r="AC119" s="99"/>
      <c r="AD119" s="99"/>
      <c r="AE119" s="99"/>
      <c r="AF119" s="99"/>
      <c r="AG119" s="99">
        <v>2.8866099999999999E-2</v>
      </c>
      <c r="AH119" s="99"/>
      <c r="AI119" s="99"/>
      <c r="AJ119" s="99"/>
      <c r="AK119" s="99"/>
      <c r="AL119" s="99">
        <v>2.8866099999999999E-2</v>
      </c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</row>
    <row r="120" spans="14:235" x14ac:dyDescent="0.25">
      <c r="N120" s="4" t="s">
        <v>120</v>
      </c>
      <c r="T120">
        <v>5.6010370758011999E-7</v>
      </c>
      <c r="Y120" s="32">
        <v>5.6010370758011999E-7</v>
      </c>
      <c r="AA120" s="4" t="s">
        <v>304</v>
      </c>
      <c r="AB120" s="99"/>
      <c r="AC120" s="99"/>
      <c r="AD120" s="99"/>
      <c r="AE120" s="99"/>
      <c r="AF120" s="99"/>
      <c r="AG120" s="99">
        <v>87.078334369999993</v>
      </c>
      <c r="AH120" s="99"/>
      <c r="AI120" s="99"/>
      <c r="AJ120" s="99"/>
      <c r="AK120" s="99"/>
      <c r="AL120" s="99">
        <v>87.078334369999993</v>
      </c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</row>
    <row r="121" spans="14:235" x14ac:dyDescent="0.25">
      <c r="N121" s="4" t="s">
        <v>168</v>
      </c>
      <c r="O121">
        <v>-68512685.659354001</v>
      </c>
      <c r="Y121" s="32">
        <v>-68512685.659354001</v>
      </c>
      <c r="AA121" s="3" t="s">
        <v>802</v>
      </c>
      <c r="AB121" s="99"/>
      <c r="AC121" s="99"/>
      <c r="AD121" s="99"/>
      <c r="AE121" s="99"/>
      <c r="AF121" s="99"/>
      <c r="AG121" s="99">
        <v>180000</v>
      </c>
      <c r="AH121" s="99"/>
      <c r="AI121" s="99"/>
      <c r="AJ121" s="99"/>
      <c r="AK121" s="99"/>
      <c r="AL121" s="99">
        <v>180000</v>
      </c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</row>
    <row r="122" spans="14:235" x14ac:dyDescent="0.25">
      <c r="N122" s="4" t="s">
        <v>207</v>
      </c>
      <c r="P122">
        <v>-1000185.19210735</v>
      </c>
      <c r="Y122" s="32">
        <v>-1000185.19210735</v>
      </c>
      <c r="AA122" s="4" t="s">
        <v>300</v>
      </c>
      <c r="AB122" s="99"/>
      <c r="AC122" s="99"/>
      <c r="AD122" s="99"/>
      <c r="AE122" s="99"/>
      <c r="AF122" s="99"/>
      <c r="AG122" s="99">
        <v>180000</v>
      </c>
      <c r="AH122" s="99"/>
      <c r="AI122" s="99"/>
      <c r="AJ122" s="99"/>
      <c r="AK122" s="99"/>
      <c r="AL122" s="99">
        <v>180000</v>
      </c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</row>
    <row r="123" spans="14:235" x14ac:dyDescent="0.25">
      <c r="N123" s="4" t="s">
        <v>174</v>
      </c>
      <c r="T123">
        <v>3.20059261474354E-7</v>
      </c>
      <c r="Y123">
        <v>3.20059261474354E-7</v>
      </c>
      <c r="AA123" s="3" t="s">
        <v>301</v>
      </c>
      <c r="AB123" s="99"/>
      <c r="AC123" s="99"/>
      <c r="AD123" s="99"/>
      <c r="AE123" s="99"/>
      <c r="AF123" s="99"/>
      <c r="AG123" s="99">
        <v>7000</v>
      </c>
      <c r="AH123" s="99"/>
      <c r="AI123" s="99"/>
      <c r="AJ123" s="99"/>
      <c r="AK123" s="99"/>
      <c r="AL123" s="99">
        <v>7000</v>
      </c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</row>
    <row r="124" spans="14:235" x14ac:dyDescent="0.25">
      <c r="N124" s="4" t="s">
        <v>285</v>
      </c>
      <c r="T124">
        <v>13974.807282817699</v>
      </c>
      <c r="Y124" s="32">
        <v>13974.807282817699</v>
      </c>
      <c r="AA124" s="4" t="s">
        <v>300</v>
      </c>
      <c r="AB124" s="99"/>
      <c r="AC124" s="99"/>
      <c r="AD124" s="99"/>
      <c r="AE124" s="99"/>
      <c r="AF124" s="99"/>
      <c r="AG124" s="99">
        <v>7000</v>
      </c>
      <c r="AH124" s="99"/>
      <c r="AI124" s="99"/>
      <c r="AJ124" s="99"/>
      <c r="AK124" s="99"/>
      <c r="AL124" s="99">
        <v>7000</v>
      </c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</row>
    <row r="125" spans="14:235" x14ac:dyDescent="0.25">
      <c r="N125" s="4" t="s">
        <v>300</v>
      </c>
      <c r="T125">
        <v>60011.111526441498</v>
      </c>
      <c r="Y125" s="32">
        <v>60011.111526441498</v>
      </c>
      <c r="AA125" s="3" t="s">
        <v>315</v>
      </c>
      <c r="AB125" s="99"/>
      <c r="AC125" s="99"/>
      <c r="AD125" s="99"/>
      <c r="AE125" s="99"/>
      <c r="AF125" s="99"/>
      <c r="AG125" s="99">
        <v>7000</v>
      </c>
      <c r="AH125" s="99"/>
      <c r="AI125" s="99"/>
      <c r="AJ125" s="99"/>
      <c r="AK125" s="99"/>
      <c r="AL125" s="99">
        <v>7000</v>
      </c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</row>
    <row r="126" spans="14:235" x14ac:dyDescent="0.25">
      <c r="N126" s="4" t="s">
        <v>304</v>
      </c>
      <c r="T126">
        <v>128130.58648105949</v>
      </c>
      <c r="Y126" s="32">
        <v>128130.58648105949</v>
      </c>
      <c r="AA126" s="4" t="s">
        <v>300</v>
      </c>
      <c r="AB126" s="99"/>
      <c r="AC126" s="99"/>
      <c r="AD126" s="99"/>
      <c r="AE126" s="99"/>
      <c r="AF126" s="99"/>
      <c r="AG126" s="99">
        <v>7000</v>
      </c>
      <c r="AH126" s="99"/>
      <c r="AI126" s="99"/>
      <c r="AJ126" s="99"/>
      <c r="AK126" s="99"/>
      <c r="AL126" s="99">
        <v>7000</v>
      </c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</row>
    <row r="127" spans="14:235" x14ac:dyDescent="0.25">
      <c r="N127" s="4" t="s">
        <v>800</v>
      </c>
      <c r="T127">
        <v>12006111.273490099</v>
      </c>
      <c r="Y127" s="32">
        <v>12006111.273490099</v>
      </c>
      <c r="AA127" s="3" t="s">
        <v>428</v>
      </c>
      <c r="AB127" s="99"/>
      <c r="AC127" s="99"/>
      <c r="AD127" s="99"/>
      <c r="AE127" s="99"/>
      <c r="AF127" s="99"/>
      <c r="AG127" s="99">
        <v>8</v>
      </c>
      <c r="AH127" s="99"/>
      <c r="AI127" s="99"/>
      <c r="AJ127" s="99"/>
      <c r="AK127" s="99"/>
      <c r="AL127" s="99">
        <v>8</v>
      </c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</row>
    <row r="128" spans="14:235" x14ac:dyDescent="0.25">
      <c r="N128" s="3" t="s">
        <v>160</v>
      </c>
      <c r="O128" s="8"/>
      <c r="P128" s="8"/>
      <c r="Q128" s="8"/>
      <c r="R128" s="8"/>
      <c r="S128" s="8"/>
      <c r="T128" s="8">
        <v>0.34614621436419302</v>
      </c>
      <c r="U128" s="8"/>
      <c r="V128" s="8"/>
      <c r="W128" s="8"/>
      <c r="X128" s="8"/>
      <c r="Y128" s="8">
        <v>0.34614621436419302</v>
      </c>
      <c r="AA128" s="4" t="s">
        <v>300</v>
      </c>
      <c r="AB128" s="99"/>
      <c r="AC128" s="99"/>
      <c r="AD128" s="99"/>
      <c r="AE128" s="99"/>
      <c r="AF128" s="99"/>
      <c r="AG128" s="99">
        <v>8</v>
      </c>
      <c r="AH128" s="99"/>
      <c r="AI128" s="99"/>
      <c r="AJ128" s="99"/>
      <c r="AK128" s="99"/>
      <c r="AL128" s="99">
        <v>8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</row>
    <row r="129" spans="14:235" x14ac:dyDescent="0.25">
      <c r="N129" s="4" t="s">
        <v>120</v>
      </c>
      <c r="T129">
        <v>0.34614621436419302</v>
      </c>
      <c r="Y129" s="32">
        <v>0.34614621436419302</v>
      </c>
      <c r="AA129" s="3" t="s">
        <v>457</v>
      </c>
      <c r="AB129" s="99"/>
      <c r="AC129" s="99"/>
      <c r="AD129" s="99"/>
      <c r="AE129" s="99"/>
      <c r="AF129" s="99"/>
      <c r="AG129" s="99">
        <v>25</v>
      </c>
      <c r="AH129" s="99"/>
      <c r="AI129" s="99"/>
      <c r="AJ129" s="99"/>
      <c r="AK129" s="99"/>
      <c r="AL129" s="99">
        <v>25</v>
      </c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</row>
    <row r="130" spans="14:235" x14ac:dyDescent="0.25">
      <c r="N130" s="3" t="s">
        <v>38</v>
      </c>
      <c r="O130" s="8"/>
      <c r="P130" s="8"/>
      <c r="Q130" s="8">
        <v>-10235792.022651017</v>
      </c>
      <c r="R130" s="8"/>
      <c r="S130" s="8"/>
      <c r="T130" s="8">
        <v>45429432.605125248</v>
      </c>
      <c r="U130" s="8">
        <v>668557.0595811283</v>
      </c>
      <c r="V130" s="8"/>
      <c r="W130" s="8"/>
      <c r="X130" s="8"/>
      <c r="Y130" s="8">
        <v>35862197.642055362</v>
      </c>
      <c r="AA130" s="4" t="s">
        <v>300</v>
      </c>
      <c r="AB130" s="99"/>
      <c r="AC130" s="99"/>
      <c r="AD130" s="99"/>
      <c r="AE130" s="99"/>
      <c r="AF130" s="99"/>
      <c r="AG130" s="99">
        <v>25</v>
      </c>
      <c r="AH130" s="99"/>
      <c r="AI130" s="99"/>
      <c r="AJ130" s="99"/>
      <c r="AK130" s="99"/>
      <c r="AL130" s="99">
        <v>25</v>
      </c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</row>
    <row r="131" spans="14:235" x14ac:dyDescent="0.25">
      <c r="N131" s="4" t="s">
        <v>83</v>
      </c>
      <c r="T131">
        <v>500842.07544880803</v>
      </c>
      <c r="Y131" s="32">
        <v>500842.07544880803</v>
      </c>
      <c r="AA131" s="3" t="s">
        <v>429</v>
      </c>
      <c r="AB131" s="99"/>
      <c r="AC131" s="99"/>
      <c r="AD131" s="99"/>
      <c r="AE131" s="99"/>
      <c r="AF131" s="99"/>
      <c r="AG131" s="99">
        <v>480000</v>
      </c>
      <c r="AH131" s="99"/>
      <c r="AI131" s="99"/>
      <c r="AJ131" s="99"/>
      <c r="AK131" s="99"/>
      <c r="AL131" s="99">
        <v>480000</v>
      </c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</row>
    <row r="132" spans="14:235" x14ac:dyDescent="0.25">
      <c r="N132" s="4" t="s">
        <v>91</v>
      </c>
      <c r="T132">
        <v>6759061.3573764404</v>
      </c>
      <c r="Y132" s="32">
        <v>6759061.3573764404</v>
      </c>
      <c r="AA132" s="4" t="s">
        <v>300</v>
      </c>
      <c r="AB132" s="99"/>
      <c r="AC132" s="99"/>
      <c r="AD132" s="99"/>
      <c r="AE132" s="99"/>
      <c r="AF132" s="99"/>
      <c r="AG132" s="99">
        <v>480000</v>
      </c>
      <c r="AH132" s="99"/>
      <c r="AI132" s="99"/>
      <c r="AJ132" s="99"/>
      <c r="AK132" s="99"/>
      <c r="AL132" s="99">
        <v>480000</v>
      </c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</row>
    <row r="133" spans="14:235" x14ac:dyDescent="0.25">
      <c r="N133" s="4" t="s">
        <v>18</v>
      </c>
      <c r="T133">
        <v>17824512.676617801</v>
      </c>
      <c r="U133">
        <v>385986.03325081698</v>
      </c>
      <c r="Y133" s="32">
        <v>18210498.709868617</v>
      </c>
      <c r="AA133" s="3" t="s">
        <v>430</v>
      </c>
      <c r="AB133" s="99"/>
      <c r="AC133" s="99"/>
      <c r="AD133" s="99"/>
      <c r="AE133" s="99"/>
      <c r="AF133" s="99"/>
      <c r="AG133" s="99">
        <v>34311.93215886</v>
      </c>
      <c r="AH133" s="99"/>
      <c r="AI133" s="99"/>
      <c r="AJ133" s="99"/>
      <c r="AK133" s="99"/>
      <c r="AL133" s="99">
        <v>34311.93215886</v>
      </c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</row>
    <row r="134" spans="14:235" x14ac:dyDescent="0.25">
      <c r="N134" s="4" t="s">
        <v>299</v>
      </c>
      <c r="T134">
        <v>2013232.7472174</v>
      </c>
      <c r="U134">
        <v>-7729.3731214896798</v>
      </c>
      <c r="Y134" s="32">
        <v>2005503.3740959102</v>
      </c>
      <c r="AA134" s="4" t="s">
        <v>300</v>
      </c>
      <c r="AB134" s="99"/>
      <c r="AC134" s="99"/>
      <c r="AD134" s="99"/>
      <c r="AE134" s="99"/>
      <c r="AF134" s="99"/>
      <c r="AG134" s="99">
        <v>34311.93215886</v>
      </c>
      <c r="AH134" s="99"/>
      <c r="AI134" s="99"/>
      <c r="AJ134" s="99"/>
      <c r="AK134" s="99"/>
      <c r="AL134" s="99">
        <v>34311.93215886</v>
      </c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</row>
    <row r="135" spans="14:235" x14ac:dyDescent="0.25">
      <c r="N135" s="4" t="s">
        <v>186</v>
      </c>
      <c r="T135">
        <v>9.7889976968568995</v>
      </c>
      <c r="Y135" s="32">
        <v>9.7889976968568995</v>
      </c>
      <c r="AA135" s="3" t="s">
        <v>458</v>
      </c>
      <c r="AB135" s="99"/>
      <c r="AC135" s="99"/>
      <c r="AD135" s="99"/>
      <c r="AE135" s="99"/>
      <c r="AF135" s="99"/>
      <c r="AG135" s="99">
        <v>33793.379334129997</v>
      </c>
      <c r="AH135" s="99"/>
      <c r="AI135" s="99"/>
      <c r="AJ135" s="99"/>
      <c r="AK135" s="99"/>
      <c r="AL135" s="99">
        <v>33793.379334129997</v>
      </c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</row>
    <row r="136" spans="14:235" x14ac:dyDescent="0.25">
      <c r="N136" s="4" t="s">
        <v>289</v>
      </c>
      <c r="T136">
        <v>27.154356464732398</v>
      </c>
      <c r="Y136" s="32">
        <v>27.154356464732398</v>
      </c>
      <c r="AA136" s="4" t="s">
        <v>300</v>
      </c>
      <c r="AB136" s="99"/>
      <c r="AC136" s="99"/>
      <c r="AD136" s="99"/>
      <c r="AE136" s="99"/>
      <c r="AF136" s="99"/>
      <c r="AG136" s="99">
        <v>33793.379334129997</v>
      </c>
      <c r="AH136" s="99"/>
      <c r="AI136" s="99"/>
      <c r="AJ136" s="99"/>
      <c r="AK136" s="99"/>
      <c r="AL136" s="99">
        <v>33793.379334129997</v>
      </c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</row>
    <row r="137" spans="14:235" x14ac:dyDescent="0.25">
      <c r="N137" s="4" t="s">
        <v>292</v>
      </c>
      <c r="T137">
        <v>59.3752284669876</v>
      </c>
      <c r="Y137" s="32">
        <v>59.3752284669876</v>
      </c>
      <c r="AA137" s="3" t="s">
        <v>418</v>
      </c>
      <c r="AB137" s="99"/>
      <c r="AC137" s="99"/>
      <c r="AD137" s="99"/>
      <c r="AE137" s="99"/>
      <c r="AF137" s="99"/>
      <c r="AG137" s="99">
        <v>33991.374100820001</v>
      </c>
      <c r="AH137" s="99"/>
      <c r="AI137" s="99"/>
      <c r="AJ137" s="99"/>
      <c r="AK137" s="99"/>
      <c r="AL137" s="99">
        <v>33991.374100820001</v>
      </c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</row>
    <row r="138" spans="14:235" x14ac:dyDescent="0.25">
      <c r="N138" s="4" t="s">
        <v>114</v>
      </c>
      <c r="T138">
        <v>9.9968553115512599E-9</v>
      </c>
      <c r="Y138" s="32">
        <v>9.9968553115512599E-9</v>
      </c>
      <c r="AA138" s="4" t="s">
        <v>300</v>
      </c>
      <c r="AB138" s="99"/>
      <c r="AC138" s="99"/>
      <c r="AD138" s="99"/>
      <c r="AE138" s="99"/>
      <c r="AF138" s="99"/>
      <c r="AG138" s="99">
        <v>33991.374100820001</v>
      </c>
      <c r="AH138" s="99"/>
      <c r="AI138" s="99"/>
      <c r="AJ138" s="99"/>
      <c r="AK138" s="99"/>
      <c r="AL138" s="99">
        <v>33991.374100820001</v>
      </c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</row>
    <row r="139" spans="14:235" x14ac:dyDescent="0.25">
      <c r="N139" s="4" t="s">
        <v>115</v>
      </c>
      <c r="T139">
        <v>3.2610771202534501</v>
      </c>
      <c r="Y139" s="32">
        <v>3.2610771202534501</v>
      </c>
      <c r="AA139" s="3" t="s">
        <v>442</v>
      </c>
      <c r="AB139" s="99"/>
      <c r="AC139" s="99"/>
      <c r="AD139" s="99"/>
      <c r="AE139" s="99"/>
      <c r="AF139" s="99"/>
      <c r="AG139" s="99">
        <v>29214.150499390002</v>
      </c>
      <c r="AH139" s="99"/>
      <c r="AI139" s="99"/>
      <c r="AJ139" s="99"/>
      <c r="AK139" s="99"/>
      <c r="AL139" s="99">
        <v>29214.150499390002</v>
      </c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</row>
    <row r="140" spans="14:235" x14ac:dyDescent="0.25">
      <c r="N140" s="4" t="s">
        <v>42</v>
      </c>
      <c r="T140">
        <v>455256.15147680201</v>
      </c>
      <c r="U140">
        <v>295.49487860598401</v>
      </c>
      <c r="Y140" s="32">
        <v>455551.64635540801</v>
      </c>
      <c r="AA140" s="4" t="s">
        <v>300</v>
      </c>
      <c r="AB140" s="99"/>
      <c r="AC140" s="99"/>
      <c r="AD140" s="99"/>
      <c r="AE140" s="99"/>
      <c r="AF140" s="99"/>
      <c r="AG140" s="99">
        <v>29214.150499390002</v>
      </c>
      <c r="AH140" s="99"/>
      <c r="AI140" s="99"/>
      <c r="AJ140" s="99"/>
      <c r="AK140" s="99"/>
      <c r="AL140" s="99">
        <v>29214.150499390002</v>
      </c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</row>
    <row r="141" spans="14:235" x14ac:dyDescent="0.25">
      <c r="N141" s="4" t="s">
        <v>120</v>
      </c>
      <c r="T141">
        <v>872059.45380927098</v>
      </c>
      <c r="Y141" s="32">
        <v>872059.45380927098</v>
      </c>
      <c r="AA141" s="3" t="s">
        <v>459</v>
      </c>
      <c r="AB141" s="99"/>
      <c r="AC141" s="99"/>
      <c r="AD141" s="99"/>
      <c r="AE141" s="99"/>
      <c r="AF141" s="99"/>
      <c r="AG141" s="99">
        <v>20213.414599259999</v>
      </c>
      <c r="AH141" s="99"/>
      <c r="AI141" s="99"/>
      <c r="AJ141" s="99"/>
      <c r="AK141" s="99"/>
      <c r="AL141" s="99">
        <v>20213.414599259999</v>
      </c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</row>
    <row r="142" spans="14:235" x14ac:dyDescent="0.25">
      <c r="N142" s="4" t="s">
        <v>166</v>
      </c>
      <c r="T142">
        <v>783929.49823456001</v>
      </c>
      <c r="Y142" s="32">
        <v>783929.49823456001</v>
      </c>
      <c r="AA142" s="4" t="s">
        <v>300</v>
      </c>
      <c r="AB142" s="99"/>
      <c r="AC142" s="99"/>
      <c r="AD142" s="99"/>
      <c r="AE142" s="99"/>
      <c r="AF142" s="99"/>
      <c r="AG142" s="99">
        <v>20213.414599259999</v>
      </c>
      <c r="AH142" s="99"/>
      <c r="AI142" s="99"/>
      <c r="AJ142" s="99"/>
      <c r="AK142" s="99"/>
      <c r="AL142" s="99">
        <v>20213.414599259999</v>
      </c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</row>
    <row r="143" spans="14:235" x14ac:dyDescent="0.25">
      <c r="N143" s="4" t="s">
        <v>202</v>
      </c>
      <c r="Q143">
        <v>-199937.10623102501</v>
      </c>
      <c r="Y143" s="32">
        <v>-199937.10623102501</v>
      </c>
      <c r="AA143" s="3" t="s">
        <v>443</v>
      </c>
      <c r="AB143" s="99"/>
      <c r="AC143" s="99"/>
      <c r="AD143" s="99"/>
      <c r="AE143" s="99"/>
      <c r="AF143" s="99"/>
      <c r="AG143" s="99">
        <v>31925.004081070001</v>
      </c>
      <c r="AH143" s="99"/>
      <c r="AI143" s="99"/>
      <c r="AJ143" s="99"/>
      <c r="AK143" s="99"/>
      <c r="AL143" s="99">
        <v>31925.004081070001</v>
      </c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</row>
    <row r="144" spans="14:235" x14ac:dyDescent="0.25">
      <c r="N144" s="4" t="s">
        <v>167</v>
      </c>
      <c r="T144">
        <v>1.18248902706768E-2</v>
      </c>
      <c r="Y144" s="32">
        <v>1.18248902706768E-2</v>
      </c>
      <c r="AA144" s="4" t="s">
        <v>300</v>
      </c>
      <c r="AB144" s="99"/>
      <c r="AC144" s="99"/>
      <c r="AD144" s="99"/>
      <c r="AE144" s="99"/>
      <c r="AF144" s="99"/>
      <c r="AG144" s="99">
        <v>31925.004081070001</v>
      </c>
      <c r="AH144" s="99"/>
      <c r="AI144" s="99"/>
      <c r="AJ144" s="99"/>
      <c r="AK144" s="99"/>
      <c r="AL144" s="99">
        <v>31925.004081070001</v>
      </c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</row>
    <row r="145" spans="14:235" x14ac:dyDescent="0.25">
      <c r="N145" s="4" t="s">
        <v>168</v>
      </c>
      <c r="T145">
        <v>9996855.3115512598</v>
      </c>
      <c r="Y145" s="32">
        <v>9996855.3115512598</v>
      </c>
      <c r="AA145" s="3" t="s">
        <v>432</v>
      </c>
      <c r="AB145" s="99"/>
      <c r="AC145" s="99"/>
      <c r="AD145" s="99"/>
      <c r="AE145" s="99"/>
      <c r="AF145" s="99"/>
      <c r="AG145" s="99">
        <v>2698</v>
      </c>
      <c r="AH145" s="99"/>
      <c r="AI145" s="99"/>
      <c r="AJ145" s="99"/>
      <c r="AK145" s="99"/>
      <c r="AL145" s="99">
        <v>2698</v>
      </c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</row>
    <row r="146" spans="14:235" x14ac:dyDescent="0.25">
      <c r="N146" s="4" t="s">
        <v>46</v>
      </c>
      <c r="T146">
        <v>3438972.0296191201</v>
      </c>
      <c r="U146">
        <v>310597.55685035902</v>
      </c>
      <c r="Y146" s="32">
        <v>3749569.5864694789</v>
      </c>
      <c r="AA146" s="4" t="s">
        <v>300</v>
      </c>
      <c r="AB146" s="99"/>
      <c r="AC146" s="99"/>
      <c r="AD146" s="99"/>
      <c r="AE146" s="99"/>
      <c r="AF146" s="99"/>
      <c r="AG146" s="99">
        <v>2698</v>
      </c>
      <c r="AH146" s="99"/>
      <c r="AI146" s="99"/>
      <c r="AJ146" s="99"/>
      <c r="AK146" s="99"/>
      <c r="AL146" s="99">
        <v>2698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</row>
    <row r="147" spans="14:235" x14ac:dyDescent="0.25">
      <c r="N147" s="4" t="s">
        <v>174</v>
      </c>
      <c r="T147">
        <v>1999371.06231025</v>
      </c>
      <c r="Y147">
        <v>1999371.06231025</v>
      </c>
      <c r="AA147" s="3" t="s">
        <v>460</v>
      </c>
      <c r="AB147" s="99"/>
      <c r="AC147" s="99"/>
      <c r="AD147" s="99"/>
      <c r="AE147" s="99"/>
      <c r="AF147" s="99"/>
      <c r="AG147" s="99">
        <v>2891</v>
      </c>
      <c r="AH147" s="99"/>
      <c r="AI147" s="99"/>
      <c r="AJ147" s="99"/>
      <c r="AK147" s="99"/>
      <c r="AL147" s="99">
        <v>2891</v>
      </c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</row>
    <row r="148" spans="14:235" x14ac:dyDescent="0.25">
      <c r="N148" s="4" t="s">
        <v>50</v>
      </c>
      <c r="T148">
        <v>8.9979495351104402E-3</v>
      </c>
      <c r="Y148" s="32">
        <v>8.9979495351104402E-3</v>
      </c>
      <c r="AA148" s="4" t="s">
        <v>300</v>
      </c>
      <c r="AB148" s="99"/>
      <c r="AC148" s="99"/>
      <c r="AD148" s="99"/>
      <c r="AE148" s="99"/>
      <c r="AF148" s="99"/>
      <c r="AG148" s="99">
        <v>2891</v>
      </c>
      <c r="AH148" s="99"/>
      <c r="AI148" s="99"/>
      <c r="AJ148" s="99"/>
      <c r="AK148" s="99"/>
      <c r="AL148" s="99">
        <v>2891</v>
      </c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</row>
    <row r="149" spans="14:235" x14ac:dyDescent="0.25">
      <c r="N149" s="4" t="s">
        <v>51</v>
      </c>
      <c r="U149">
        <v>-20592.652277164001</v>
      </c>
      <c r="Y149" s="32">
        <v>-20592.652277164001</v>
      </c>
      <c r="AA149" s="3" t="s">
        <v>419</v>
      </c>
      <c r="AB149" s="99"/>
      <c r="AC149" s="99"/>
      <c r="AD149" s="99"/>
      <c r="AE149" s="99"/>
      <c r="AF149" s="99"/>
      <c r="AG149" s="99">
        <v>2904</v>
      </c>
      <c r="AH149" s="99"/>
      <c r="AI149" s="99"/>
      <c r="AJ149" s="99"/>
      <c r="AK149" s="99"/>
      <c r="AL149" s="99">
        <v>2904</v>
      </c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</row>
    <row r="150" spans="14:235" x14ac:dyDescent="0.25">
      <c r="N150" s="4" t="s">
        <v>212</v>
      </c>
      <c r="Q150">
        <v>-24458.008622191301</v>
      </c>
      <c r="Y150" s="32">
        <v>-24458.008622191301</v>
      </c>
      <c r="AA150" s="4" t="s">
        <v>300</v>
      </c>
      <c r="AB150" s="99"/>
      <c r="AC150" s="99"/>
      <c r="AD150" s="99"/>
      <c r="AE150" s="99"/>
      <c r="AF150" s="99"/>
      <c r="AG150" s="99">
        <v>2904</v>
      </c>
      <c r="AH150" s="99"/>
      <c r="AI150" s="99"/>
      <c r="AJ150" s="99"/>
      <c r="AK150" s="99"/>
      <c r="AL150" s="99">
        <v>2904</v>
      </c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</row>
    <row r="151" spans="14:235" x14ac:dyDescent="0.25">
      <c r="N151" s="4" t="s">
        <v>175</v>
      </c>
      <c r="T151">
        <v>9.9964554373387993E-4</v>
      </c>
      <c r="Y151" s="32">
        <v>9.9964554373387993E-4</v>
      </c>
      <c r="AA151" s="3" t="s">
        <v>431</v>
      </c>
      <c r="AB151" s="99"/>
      <c r="AC151" s="99"/>
      <c r="AD151" s="99"/>
      <c r="AE151" s="99"/>
      <c r="AF151" s="99"/>
      <c r="AG151" s="99">
        <v>9472.1338239899997</v>
      </c>
      <c r="AH151" s="99"/>
      <c r="AI151" s="99"/>
      <c r="AJ151" s="99"/>
      <c r="AK151" s="99"/>
      <c r="AL151" s="99">
        <v>9472.1338239899997</v>
      </c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</row>
    <row r="152" spans="14:235" x14ac:dyDescent="0.25">
      <c r="N152" s="4" t="s">
        <v>183</v>
      </c>
      <c r="T152">
        <v>511863.72566178598</v>
      </c>
      <c r="Y152">
        <v>511863.72566178598</v>
      </c>
      <c r="AA152" s="4" t="s">
        <v>300</v>
      </c>
      <c r="AB152" s="99"/>
      <c r="AC152" s="99"/>
      <c r="AD152" s="99"/>
      <c r="AE152" s="99"/>
      <c r="AF152" s="99"/>
      <c r="AG152" s="99">
        <v>9472.1338239899997</v>
      </c>
      <c r="AH152" s="99"/>
      <c r="AI152" s="99"/>
      <c r="AJ152" s="99"/>
      <c r="AK152" s="99"/>
      <c r="AL152" s="99">
        <v>9472.1338239899997</v>
      </c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</row>
    <row r="153" spans="14:235" x14ac:dyDescent="0.25">
      <c r="N153" s="4" t="s">
        <v>440</v>
      </c>
      <c r="T153">
        <v>10191.839889218099</v>
      </c>
      <c r="Y153" s="32">
        <v>10191.839889218099</v>
      </c>
      <c r="AA153" s="3" t="s">
        <v>302</v>
      </c>
      <c r="AB153" s="99"/>
      <c r="AC153" s="99"/>
      <c r="AD153" s="99"/>
      <c r="AE153" s="99"/>
      <c r="AF153" s="99"/>
      <c r="AG153" s="99">
        <v>5625.02729593</v>
      </c>
      <c r="AH153" s="99"/>
      <c r="AI153" s="99"/>
      <c r="AJ153" s="99"/>
      <c r="AK153" s="99"/>
      <c r="AL153" s="99">
        <v>5625.02729593</v>
      </c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</row>
    <row r="154" spans="14:235" x14ac:dyDescent="0.25">
      <c r="N154" s="4" t="s">
        <v>441</v>
      </c>
      <c r="T154">
        <v>10042.036071140599</v>
      </c>
      <c r="Y154" s="32">
        <v>10042.036071140599</v>
      </c>
      <c r="AA154" s="4" t="s">
        <v>300</v>
      </c>
      <c r="AB154" s="99"/>
      <c r="AC154" s="99"/>
      <c r="AD154" s="99"/>
      <c r="AE154" s="99"/>
      <c r="AF154" s="99"/>
      <c r="AG154" s="99">
        <v>5625.02729593</v>
      </c>
      <c r="AH154" s="99"/>
      <c r="AI154" s="99"/>
      <c r="AJ154" s="99"/>
      <c r="AK154" s="99"/>
      <c r="AL154" s="99">
        <v>5625.02729593</v>
      </c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</row>
    <row r="155" spans="14:235" x14ac:dyDescent="0.25">
      <c r="N155" s="4" t="s">
        <v>304</v>
      </c>
      <c r="T155">
        <v>253143.038359144</v>
      </c>
      <c r="Y155" s="32">
        <v>253143.038359144</v>
      </c>
      <c r="AA155" s="3" t="s">
        <v>303</v>
      </c>
      <c r="AB155" s="99"/>
      <c r="AC155" s="99"/>
      <c r="AD155" s="99"/>
      <c r="AE155" s="99"/>
      <c r="AF155" s="99"/>
      <c r="AG155" s="99">
        <v>5968</v>
      </c>
      <c r="AH155" s="99"/>
      <c r="AI155" s="99"/>
      <c r="AJ155" s="99"/>
      <c r="AK155" s="99"/>
      <c r="AL155" s="99">
        <v>5968</v>
      </c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</row>
    <row r="156" spans="14:235" x14ac:dyDescent="0.25">
      <c r="N156" s="4" t="s">
        <v>865</v>
      </c>
      <c r="Q156">
        <v>-10011396.9077978</v>
      </c>
      <c r="Y156" s="32">
        <v>-10011396.9077978</v>
      </c>
      <c r="AA156" s="4" t="s">
        <v>300</v>
      </c>
      <c r="AB156" s="99"/>
      <c r="AC156" s="99"/>
      <c r="AD156" s="99"/>
      <c r="AE156" s="99"/>
      <c r="AF156" s="99"/>
      <c r="AG156" s="99">
        <v>5968</v>
      </c>
      <c r="AH156" s="99"/>
      <c r="AI156" s="99"/>
      <c r="AJ156" s="99"/>
      <c r="AK156" s="99"/>
      <c r="AL156" s="99">
        <v>5968</v>
      </c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</row>
    <row r="157" spans="14:235" x14ac:dyDescent="0.25">
      <c r="N157" s="3" t="s">
        <v>96</v>
      </c>
      <c r="O157" s="8"/>
      <c r="P157" s="8"/>
      <c r="Q157" s="8"/>
      <c r="R157" s="8"/>
      <c r="S157" s="8"/>
      <c r="T157" s="8">
        <v>0</v>
      </c>
      <c r="U157" s="8"/>
      <c r="V157" s="8"/>
      <c r="W157" s="8"/>
      <c r="X157" s="8"/>
      <c r="Y157" s="8">
        <v>0</v>
      </c>
      <c r="AA157" s="3" t="s">
        <v>444</v>
      </c>
      <c r="AB157" s="99"/>
      <c r="AC157" s="99"/>
      <c r="AD157" s="99"/>
      <c r="AE157" s="99"/>
      <c r="AF157" s="99"/>
      <c r="AG157" s="99">
        <v>188.04277877999999</v>
      </c>
      <c r="AH157" s="99"/>
      <c r="AI157" s="99"/>
      <c r="AJ157" s="99"/>
      <c r="AK157" s="99"/>
      <c r="AL157" s="99">
        <v>188.04277877999999</v>
      </c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</row>
    <row r="158" spans="14:235" x14ac:dyDescent="0.25">
      <c r="N158" s="4" t="s">
        <v>93</v>
      </c>
      <c r="T158">
        <v>0</v>
      </c>
      <c r="Y158">
        <v>0</v>
      </c>
      <c r="AA158" s="4" t="s">
        <v>300</v>
      </c>
      <c r="AB158" s="99"/>
      <c r="AC158" s="99"/>
      <c r="AD158" s="99"/>
      <c r="AE158" s="99"/>
      <c r="AF158" s="99"/>
      <c r="AG158" s="99">
        <v>188.04277877999999</v>
      </c>
      <c r="AH158" s="99"/>
      <c r="AI158" s="99"/>
      <c r="AJ158" s="99"/>
      <c r="AK158" s="99"/>
      <c r="AL158" s="99">
        <v>188.04277877999999</v>
      </c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</row>
    <row r="159" spans="14:235" x14ac:dyDescent="0.25">
      <c r="N159" s="3" t="s">
        <v>196</v>
      </c>
      <c r="O159" s="8"/>
      <c r="P159" s="8"/>
      <c r="Q159" s="8">
        <v>-1.56135533119854</v>
      </c>
      <c r="R159" s="8"/>
      <c r="S159" s="8"/>
      <c r="T159" s="8">
        <v>0.40531974866402098</v>
      </c>
      <c r="U159" s="8"/>
      <c r="V159" s="8"/>
      <c r="W159" s="8"/>
      <c r="X159" s="8"/>
      <c r="Y159" s="8">
        <v>-1.156035582534519</v>
      </c>
      <c r="AA159" s="3" t="s">
        <v>257</v>
      </c>
      <c r="AB159" s="99"/>
      <c r="AC159" s="99"/>
      <c r="AD159" s="99"/>
      <c r="AE159" s="99"/>
      <c r="AF159" s="99"/>
      <c r="AG159" s="99">
        <v>154.70349367</v>
      </c>
      <c r="AH159" s="99"/>
      <c r="AI159" s="99"/>
      <c r="AJ159" s="99"/>
      <c r="AK159" s="99"/>
      <c r="AL159" s="99">
        <v>154.70349367</v>
      </c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</row>
    <row r="160" spans="14:235" x14ac:dyDescent="0.25">
      <c r="N160" s="3" t="s">
        <v>161</v>
      </c>
      <c r="O160" s="8"/>
      <c r="P160" s="8"/>
      <c r="Q160" s="8"/>
      <c r="R160" s="8"/>
      <c r="S160" s="8"/>
      <c r="T160" s="8">
        <v>2.3053742749437999E-4</v>
      </c>
      <c r="U160" s="8"/>
      <c r="V160" s="8"/>
      <c r="W160" s="8"/>
      <c r="X160" s="8"/>
      <c r="Y160" s="8">
        <v>2.3053742749437999E-4</v>
      </c>
      <c r="AA160" s="4" t="s">
        <v>300</v>
      </c>
      <c r="AB160" s="99"/>
      <c r="AC160" s="99"/>
      <c r="AD160" s="99"/>
      <c r="AE160" s="99"/>
      <c r="AF160" s="99"/>
      <c r="AG160" s="99">
        <v>154.70349367</v>
      </c>
      <c r="AH160" s="99"/>
      <c r="AI160" s="99"/>
      <c r="AJ160" s="99"/>
      <c r="AK160" s="99"/>
      <c r="AL160" s="99">
        <v>154.70349367</v>
      </c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</row>
    <row r="161" spans="14:235" x14ac:dyDescent="0.25">
      <c r="N161" s="3" t="s">
        <v>185</v>
      </c>
      <c r="O161" s="8"/>
      <c r="P161" s="8"/>
      <c r="Q161" s="8"/>
      <c r="R161" s="8"/>
      <c r="S161" s="8"/>
      <c r="T161" s="8">
        <v>196660.21906926401</v>
      </c>
      <c r="U161" s="8"/>
      <c r="V161" s="8"/>
      <c r="W161" s="8"/>
      <c r="X161" s="8"/>
      <c r="Y161" s="8">
        <v>196660.21906926401</v>
      </c>
      <c r="AA161" s="3" t="s">
        <v>416</v>
      </c>
      <c r="AB161" s="99"/>
      <c r="AC161" s="99"/>
      <c r="AD161" s="99"/>
      <c r="AE161" s="99"/>
      <c r="AF161" s="99"/>
      <c r="AG161" s="99">
        <v>171480.66440315999</v>
      </c>
      <c r="AH161" s="99"/>
      <c r="AI161" s="99"/>
      <c r="AJ161" s="99"/>
      <c r="AK161" s="99"/>
      <c r="AL161" s="99">
        <v>171480.66440315999</v>
      </c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</row>
    <row r="162" spans="14:235" x14ac:dyDescent="0.25">
      <c r="N162" s="3" t="s">
        <v>162</v>
      </c>
      <c r="O162" s="8"/>
      <c r="P162" s="8"/>
      <c r="Q162" s="8"/>
      <c r="R162" s="8"/>
      <c r="S162" s="8"/>
      <c r="T162" s="8">
        <v>2166.0051963375422</v>
      </c>
      <c r="U162" s="8"/>
      <c r="V162" s="8"/>
      <c r="W162" s="8"/>
      <c r="X162" s="8"/>
      <c r="Y162" s="8">
        <v>2166.0051963375422</v>
      </c>
      <c r="AA162" s="4" t="s">
        <v>304</v>
      </c>
      <c r="AB162" s="99"/>
      <c r="AC162" s="99"/>
      <c r="AD162" s="99"/>
      <c r="AE162" s="99"/>
      <c r="AF162" s="99"/>
      <c r="AG162" s="99">
        <v>171480.66440315999</v>
      </c>
      <c r="AH162" s="99"/>
      <c r="AI162" s="99"/>
      <c r="AJ162" s="99"/>
      <c r="AK162" s="99"/>
      <c r="AL162" s="99">
        <v>171480.66440315999</v>
      </c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</row>
    <row r="163" spans="14:235" x14ac:dyDescent="0.25">
      <c r="N163" s="3" t="s">
        <v>163</v>
      </c>
      <c r="O163" s="8"/>
      <c r="P163" s="8"/>
      <c r="Q163" s="8">
        <v>-71779.334920820897</v>
      </c>
      <c r="R163" s="8"/>
      <c r="S163" s="8"/>
      <c r="T163" s="8">
        <v>71479.134434026884</v>
      </c>
      <c r="U163" s="8"/>
      <c r="V163" s="8"/>
      <c r="W163" s="8"/>
      <c r="X163" s="8"/>
      <c r="Y163" s="8">
        <v>-300.20048679401225</v>
      </c>
      <c r="AA163" s="3" t="s">
        <v>797</v>
      </c>
      <c r="AB163" s="99"/>
      <c r="AC163" s="99"/>
      <c r="AD163" s="99"/>
      <c r="AE163" s="99"/>
      <c r="AF163" s="99"/>
      <c r="AG163" s="99">
        <v>529076.70672003995</v>
      </c>
      <c r="AH163" s="99"/>
      <c r="AI163" s="99"/>
      <c r="AJ163" s="99"/>
      <c r="AK163" s="99"/>
      <c r="AL163" s="99">
        <v>529076.70672003995</v>
      </c>
    </row>
    <row r="164" spans="14:235" x14ac:dyDescent="0.25">
      <c r="N164" s="3" t="s">
        <v>99</v>
      </c>
      <c r="O164" s="8"/>
      <c r="P164" s="8">
        <v>-71.723275674741799</v>
      </c>
      <c r="Q164" s="8"/>
      <c r="R164" s="8"/>
      <c r="S164" s="8"/>
      <c r="T164" s="8">
        <v>43210.645680920723</v>
      </c>
      <c r="U164" s="8"/>
      <c r="V164" s="8"/>
      <c r="W164" s="8"/>
      <c r="X164" s="8"/>
      <c r="Y164" s="8">
        <v>43138.922405245983</v>
      </c>
      <c r="AA164" s="4" t="s">
        <v>304</v>
      </c>
      <c r="AB164" s="99"/>
      <c r="AC164" s="99"/>
      <c r="AD164" s="99"/>
      <c r="AE164" s="99"/>
      <c r="AF164" s="99"/>
      <c r="AG164" s="99">
        <v>529076.70672003995</v>
      </c>
      <c r="AH164" s="99"/>
      <c r="AI164" s="99"/>
      <c r="AJ164" s="99"/>
      <c r="AK164" s="99"/>
      <c r="AL164" s="99">
        <v>529076.70672003995</v>
      </c>
    </row>
    <row r="165" spans="14:235" x14ac:dyDescent="0.25">
      <c r="N165" s="3" t="s">
        <v>164</v>
      </c>
      <c r="O165" s="8"/>
      <c r="P165" s="8"/>
      <c r="Q165" s="8">
        <v>-50256.415009507196</v>
      </c>
      <c r="R165" s="8"/>
      <c r="S165" s="8"/>
      <c r="T165" s="8">
        <v>50249.345972911258</v>
      </c>
      <c r="U165" s="8"/>
      <c r="V165" s="8"/>
      <c r="W165" s="8"/>
      <c r="X165" s="8"/>
      <c r="Y165" s="8">
        <v>-7.069036595938087</v>
      </c>
      <c r="AA165" s="3" t="s">
        <v>307</v>
      </c>
      <c r="AB165" s="99"/>
      <c r="AC165" s="99"/>
      <c r="AD165" s="99"/>
      <c r="AE165" s="99"/>
      <c r="AF165" s="99"/>
      <c r="AG165" s="99">
        <v>226.22019544</v>
      </c>
      <c r="AH165" s="99"/>
      <c r="AI165" s="99"/>
      <c r="AJ165" s="99"/>
      <c r="AK165" s="99"/>
      <c r="AL165" s="99">
        <v>226.22019544</v>
      </c>
    </row>
    <row r="166" spans="14:235" x14ac:dyDescent="0.25">
      <c r="N166" s="3" t="s">
        <v>171</v>
      </c>
      <c r="O166" s="8"/>
      <c r="P166" s="8"/>
      <c r="Q166" s="8"/>
      <c r="R166" s="8"/>
      <c r="S166" s="8"/>
      <c r="T166" s="8">
        <v>21227.874931689399</v>
      </c>
      <c r="U166" s="8"/>
      <c r="V166" s="8"/>
      <c r="W166" s="8"/>
      <c r="X166" s="8"/>
      <c r="Y166" s="8">
        <v>21227.874931689399</v>
      </c>
      <c r="AA166" s="4" t="s">
        <v>305</v>
      </c>
      <c r="AB166" s="99"/>
      <c r="AC166" s="99"/>
      <c r="AD166" s="99"/>
      <c r="AE166" s="99"/>
      <c r="AF166" s="99"/>
      <c r="AG166" s="99">
        <v>226.22019544</v>
      </c>
      <c r="AH166" s="99"/>
      <c r="AI166" s="99"/>
      <c r="AJ166" s="99"/>
      <c r="AK166" s="99"/>
      <c r="AL166" s="99">
        <v>226.22019544</v>
      </c>
    </row>
    <row r="167" spans="14:235" x14ac:dyDescent="0.25">
      <c r="N167" s="3" t="s">
        <v>117</v>
      </c>
      <c r="O167" s="8"/>
      <c r="P167" s="8"/>
      <c r="Q167" s="8"/>
      <c r="R167" s="8"/>
      <c r="S167" s="8"/>
      <c r="T167" s="8">
        <v>18.12179981077319</v>
      </c>
      <c r="U167" s="8"/>
      <c r="V167" s="8"/>
      <c r="W167" s="8"/>
      <c r="X167" s="8"/>
      <c r="Y167" s="8">
        <v>18.12179981077319</v>
      </c>
      <c r="AA167" s="3" t="s">
        <v>445</v>
      </c>
      <c r="AB167" s="99"/>
      <c r="AC167" s="99"/>
      <c r="AD167" s="99"/>
      <c r="AE167" s="99"/>
      <c r="AF167" s="99"/>
      <c r="AG167" s="99">
        <v>196525.25441796001</v>
      </c>
      <c r="AH167" s="99"/>
      <c r="AI167" s="99"/>
      <c r="AJ167" s="99"/>
      <c r="AK167" s="99"/>
      <c r="AL167" s="99">
        <v>196525.25441796001</v>
      </c>
    </row>
    <row r="168" spans="14:235" x14ac:dyDescent="0.25">
      <c r="N168" s="3" t="s">
        <v>165</v>
      </c>
      <c r="O168" s="8"/>
      <c r="P168" s="8"/>
      <c r="Q168" s="8"/>
      <c r="R168" s="8"/>
      <c r="S168" s="8"/>
      <c r="T168" s="8">
        <v>8.1380145022344804E-3</v>
      </c>
      <c r="U168" s="8"/>
      <c r="V168" s="8"/>
      <c r="W168" s="8"/>
      <c r="X168" s="8"/>
      <c r="Y168" s="8">
        <v>8.1380145022344804E-3</v>
      </c>
      <c r="AA168" s="4" t="s">
        <v>438</v>
      </c>
      <c r="AB168" s="99"/>
      <c r="AC168" s="99"/>
      <c r="AD168" s="99"/>
      <c r="AE168" s="99"/>
      <c r="AF168" s="99"/>
      <c r="AG168" s="99">
        <v>196525.25441796001</v>
      </c>
      <c r="AH168" s="99"/>
      <c r="AI168" s="99"/>
      <c r="AJ168" s="99"/>
      <c r="AK168" s="99"/>
      <c r="AL168" s="99">
        <v>196525.25441796001</v>
      </c>
    </row>
    <row r="169" spans="14:235" x14ac:dyDescent="0.25">
      <c r="N169" s="3" t="s">
        <v>26</v>
      </c>
      <c r="O169" s="8">
        <v>-326549.42869951797</v>
      </c>
      <c r="P169" s="8"/>
      <c r="Q169" s="8"/>
      <c r="R169" s="8"/>
      <c r="S169" s="8"/>
      <c r="T169" s="8">
        <v>340147.50719852734</v>
      </c>
      <c r="U169" s="8"/>
      <c r="V169" s="8"/>
      <c r="W169" s="8">
        <v>-13505.29911</v>
      </c>
      <c r="X169" s="8"/>
      <c r="Y169" s="8">
        <v>92.779389009367151</v>
      </c>
      <c r="AA169" s="3" t="s">
        <v>446</v>
      </c>
      <c r="AB169" s="99"/>
      <c r="AC169" s="99"/>
      <c r="AD169" s="99"/>
      <c r="AE169" s="99"/>
      <c r="AF169" s="99"/>
      <c r="AG169" s="99">
        <v>201000.92417708001</v>
      </c>
      <c r="AH169" s="99"/>
      <c r="AI169" s="99"/>
      <c r="AJ169" s="99"/>
      <c r="AK169" s="99"/>
      <c r="AL169" s="99">
        <v>201000.92417708001</v>
      </c>
    </row>
    <row r="170" spans="14:235" x14ac:dyDescent="0.25">
      <c r="N170" s="3" t="s">
        <v>56</v>
      </c>
      <c r="O170" s="8">
        <v>-201749784.16230062</v>
      </c>
      <c r="P170" s="8">
        <v>-1181448.3313848847</v>
      </c>
      <c r="Q170" s="8">
        <v>-16747758.089602301</v>
      </c>
      <c r="R170" s="8">
        <v>-75768049.848133519</v>
      </c>
      <c r="S170" s="8">
        <v>42365037.32</v>
      </c>
      <c r="T170" s="8">
        <v>292265467.38296694</v>
      </c>
      <c r="U170" s="8">
        <v>1573680.9929341162</v>
      </c>
      <c r="V170" s="8">
        <v>-26729415.391564742</v>
      </c>
      <c r="W170" s="8">
        <v>-55778519.560603693</v>
      </c>
      <c r="X170" s="8">
        <v>67744000</v>
      </c>
      <c r="Y170" s="8">
        <v>25993210.312311232</v>
      </c>
      <c r="AA170" s="4" t="s">
        <v>438</v>
      </c>
      <c r="AB170" s="99"/>
      <c r="AC170" s="99"/>
      <c r="AD170" s="99"/>
      <c r="AE170" s="99"/>
      <c r="AF170" s="99"/>
      <c r="AG170" s="99">
        <v>201000.92417708001</v>
      </c>
      <c r="AH170" s="99"/>
      <c r="AI170" s="99"/>
      <c r="AJ170" s="99"/>
      <c r="AK170" s="99"/>
      <c r="AL170" s="99">
        <v>201000.92417708001</v>
      </c>
    </row>
    <row r="171" spans="14:235" x14ac:dyDescent="0.25">
      <c r="AA171" s="3" t="s">
        <v>447</v>
      </c>
      <c r="AB171" s="99"/>
      <c r="AC171" s="99"/>
      <c r="AD171" s="99"/>
      <c r="AE171" s="99"/>
      <c r="AF171" s="99"/>
      <c r="AG171" s="99">
        <v>100050250.667</v>
      </c>
      <c r="AH171" s="99"/>
      <c r="AI171" s="99"/>
      <c r="AJ171" s="99"/>
      <c r="AK171" s="99"/>
      <c r="AL171" s="99">
        <v>100050250.667</v>
      </c>
    </row>
    <row r="172" spans="14:235" x14ac:dyDescent="0.25">
      <c r="AA172" s="4" t="s">
        <v>438</v>
      </c>
      <c r="AB172" s="99"/>
      <c r="AC172" s="99"/>
      <c r="AD172" s="99"/>
      <c r="AE172" s="99"/>
      <c r="AF172" s="99"/>
      <c r="AG172" s="99">
        <v>100050250.667</v>
      </c>
      <c r="AH172" s="99"/>
      <c r="AI172" s="99"/>
      <c r="AJ172" s="99"/>
      <c r="AK172" s="99"/>
      <c r="AL172" s="99">
        <v>100050250.667</v>
      </c>
    </row>
    <row r="173" spans="14:235" x14ac:dyDescent="0.25">
      <c r="AA173" s="3" t="s">
        <v>798</v>
      </c>
      <c r="AB173" s="99"/>
      <c r="AC173" s="99"/>
      <c r="AD173" s="99"/>
      <c r="AE173" s="99"/>
      <c r="AF173" s="99"/>
      <c r="AG173" s="99">
        <v>270.12425687000001</v>
      </c>
      <c r="AH173" s="99"/>
      <c r="AI173" s="99"/>
      <c r="AJ173" s="99"/>
      <c r="AK173" s="99"/>
      <c r="AL173" s="99">
        <v>270.12425687000001</v>
      </c>
    </row>
    <row r="174" spans="14:235" x14ac:dyDescent="0.25">
      <c r="AA174" s="4" t="s">
        <v>439</v>
      </c>
      <c r="AB174" s="99"/>
      <c r="AC174" s="99"/>
      <c r="AD174" s="99"/>
      <c r="AE174" s="99"/>
      <c r="AF174" s="99"/>
      <c r="AG174" s="99">
        <v>270.12425687000001</v>
      </c>
      <c r="AH174" s="99"/>
      <c r="AI174" s="99"/>
      <c r="AJ174" s="99"/>
      <c r="AK174" s="99"/>
      <c r="AL174" s="99">
        <v>270.12425687000001</v>
      </c>
    </row>
    <row r="175" spans="14:235" x14ac:dyDescent="0.25">
      <c r="AA175" s="3" t="s">
        <v>306</v>
      </c>
      <c r="AB175" s="99"/>
      <c r="AC175" s="99"/>
      <c r="AD175" s="99"/>
      <c r="AE175" s="99"/>
      <c r="AF175" s="99"/>
      <c r="AG175" s="99">
        <v>304.97542600999998</v>
      </c>
      <c r="AH175" s="99"/>
      <c r="AI175" s="99"/>
      <c r="AJ175" s="99"/>
      <c r="AK175" s="99"/>
      <c r="AL175" s="99">
        <v>304.97542600999998</v>
      </c>
    </row>
    <row r="176" spans="14:235" x14ac:dyDescent="0.25">
      <c r="AA176" s="4" t="s">
        <v>305</v>
      </c>
      <c r="AB176" s="99"/>
      <c r="AC176" s="99"/>
      <c r="AD176" s="99"/>
      <c r="AE176" s="99"/>
      <c r="AF176" s="99"/>
      <c r="AG176" s="99">
        <v>304.97542600999998</v>
      </c>
      <c r="AH176" s="99"/>
      <c r="AI176" s="99"/>
      <c r="AJ176" s="99"/>
      <c r="AK176" s="99"/>
      <c r="AL176" s="99">
        <v>304.97542600999998</v>
      </c>
    </row>
    <row r="177" spans="27:38" x14ac:dyDescent="0.25">
      <c r="AA177" s="3" t="s">
        <v>308</v>
      </c>
      <c r="AB177" s="99"/>
      <c r="AC177" s="99"/>
      <c r="AD177" s="99"/>
      <c r="AE177" s="99"/>
      <c r="AF177" s="99"/>
      <c r="AG177" s="99">
        <v>620.37384951000001</v>
      </c>
      <c r="AH177" s="99"/>
      <c r="AI177" s="99"/>
      <c r="AJ177" s="99"/>
      <c r="AK177" s="99"/>
      <c r="AL177" s="99">
        <v>620.37384951000001</v>
      </c>
    </row>
    <row r="178" spans="27:38" x14ac:dyDescent="0.25">
      <c r="AA178" s="4" t="s">
        <v>305</v>
      </c>
      <c r="AB178" s="99"/>
      <c r="AC178" s="99"/>
      <c r="AD178" s="99"/>
      <c r="AE178" s="99"/>
      <c r="AF178" s="99"/>
      <c r="AG178" s="99">
        <v>620.37384951000001</v>
      </c>
      <c r="AH178" s="99"/>
      <c r="AI178" s="99"/>
      <c r="AJ178" s="99"/>
      <c r="AK178" s="99"/>
      <c r="AL178" s="99">
        <v>620.37384951000001</v>
      </c>
    </row>
  </sheetData>
  <mergeCells count="3">
    <mergeCell ref="F2:H2"/>
    <mergeCell ref="D2:E2"/>
    <mergeCell ref="B1:H1"/>
  </mergeCells>
  <pageMargins left="0.7" right="0.7" top="0.75" bottom="0.75" header="0.3" footer="0.3"/>
  <pageSetup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9265-28D2-48FA-BE42-1437916E30A0}">
  <sheetPr codeName="Sheet7"/>
  <dimension ref="A1:BE230"/>
  <sheetViews>
    <sheetView zoomScale="79" zoomScaleNormal="79" workbookViewId="0">
      <selection activeCell="B77" sqref="B77"/>
    </sheetView>
  </sheetViews>
  <sheetFormatPr defaultRowHeight="15" x14ac:dyDescent="0.25"/>
  <cols>
    <col min="1" max="1" width="18.5703125" bestFit="1" customWidth="1"/>
    <col min="2" max="2" width="17" bestFit="1" customWidth="1"/>
    <col min="3" max="3" width="6.7109375" bestFit="1" customWidth="1"/>
    <col min="4" max="4" width="7.42578125" bestFit="1" customWidth="1"/>
    <col min="5" max="6" width="11.5703125" bestFit="1" customWidth="1"/>
    <col min="7" max="7" width="13.140625" bestFit="1" customWidth="1"/>
    <col min="8" max="9" width="11.85546875" customWidth="1"/>
    <col min="10" max="10" width="1.5703125" style="8" customWidth="1"/>
    <col min="11" max="12" width="17" bestFit="1" customWidth="1"/>
    <col min="13" max="14" width="14.42578125" bestFit="1" customWidth="1"/>
    <col min="15" max="15" width="11.5703125" bestFit="1" customWidth="1"/>
    <col min="16" max="16" width="12.42578125" bestFit="1" customWidth="1"/>
    <col min="17" max="17" width="14.42578125" bestFit="1" customWidth="1"/>
    <col min="18" max="18" width="11.85546875" customWidth="1"/>
    <col min="19" max="19" width="15.7109375" bestFit="1" customWidth="1"/>
    <col min="20" max="20" width="2.28515625" style="8" customWidth="1"/>
    <col min="21" max="21" width="14.28515625" bestFit="1" customWidth="1"/>
    <col min="22" max="22" width="17" bestFit="1" customWidth="1"/>
    <col min="23" max="23" width="11.5703125" bestFit="1" customWidth="1"/>
    <col min="24" max="24" width="14.5703125" bestFit="1" customWidth="1"/>
    <col min="25" max="25" width="13.28515625" bestFit="1" customWidth="1"/>
    <col min="26" max="26" width="16.42578125" bestFit="1" customWidth="1"/>
    <col min="27" max="28" width="12.42578125" bestFit="1" customWidth="1"/>
    <col min="29" max="29" width="23.42578125" bestFit="1" customWidth="1"/>
    <col min="30" max="30" width="16.42578125" bestFit="1" customWidth="1"/>
    <col min="31" max="31" width="23.42578125" bestFit="1" customWidth="1"/>
    <col min="32" max="33" width="12.7109375" style="8" customWidth="1"/>
    <col min="34" max="37" width="12.7109375" customWidth="1"/>
    <col min="38" max="38" width="9.7109375" bestFit="1" customWidth="1"/>
    <col min="39" max="39" width="7.5703125" bestFit="1" customWidth="1"/>
    <col min="40" max="40" width="11.85546875" style="8" bestFit="1" customWidth="1"/>
    <col min="41" max="41" width="11.7109375" style="8" bestFit="1" customWidth="1"/>
    <col min="42" max="42" width="12.42578125" style="8" bestFit="1" customWidth="1"/>
    <col min="43" max="43" width="13.42578125" bestFit="1" customWidth="1"/>
    <col min="44" max="44" width="11.42578125" bestFit="1" customWidth="1"/>
    <col min="45" max="45" width="75.42578125" bestFit="1" customWidth="1"/>
    <col min="46" max="46" width="17" bestFit="1" customWidth="1"/>
    <col min="47" max="47" width="13.5703125" bestFit="1" customWidth="1"/>
    <col min="48" max="48" width="14.42578125" bestFit="1" customWidth="1"/>
    <col min="49" max="49" width="14.85546875" bestFit="1" customWidth="1"/>
    <col min="50" max="50" width="7.5703125" bestFit="1" customWidth="1"/>
    <col min="51" max="52" width="14.42578125" bestFit="1" customWidth="1"/>
    <col min="53" max="53" width="11.5703125" bestFit="1" customWidth="1"/>
    <col min="54" max="54" width="12.42578125" bestFit="1" customWidth="1"/>
    <col min="55" max="55" width="14.42578125" bestFit="1" customWidth="1"/>
  </cols>
  <sheetData>
    <row r="1" spans="1:57" x14ac:dyDescent="0.25">
      <c r="A1" s="33" t="s">
        <v>452</v>
      </c>
      <c r="B1" s="33"/>
      <c r="C1" s="33"/>
      <c r="D1" s="33"/>
      <c r="E1" s="33"/>
      <c r="F1" s="33"/>
      <c r="G1" s="33"/>
      <c r="K1" s="33" t="s">
        <v>453</v>
      </c>
      <c r="L1" s="33"/>
      <c r="M1" s="33"/>
      <c r="N1" s="33"/>
      <c r="O1" s="33"/>
      <c r="P1" s="33"/>
      <c r="Q1" s="33"/>
      <c r="R1" s="33"/>
      <c r="U1" s="33" t="s">
        <v>456</v>
      </c>
      <c r="V1" s="33"/>
      <c r="W1" s="33"/>
      <c r="X1" s="33"/>
      <c r="Y1" s="33"/>
      <c r="Z1" s="33"/>
      <c r="AA1" s="33"/>
      <c r="AB1" s="33"/>
    </row>
    <row r="3" spans="1:57" x14ac:dyDescent="0.25">
      <c r="A3" s="2" t="s">
        <v>62</v>
      </c>
      <c r="B3" t="s">
        <v>65</v>
      </c>
      <c r="K3" s="2" t="s">
        <v>0</v>
      </c>
      <c r="L3" t="s">
        <v>65</v>
      </c>
      <c r="M3" s="33"/>
      <c r="N3" s="33"/>
      <c r="O3" s="33"/>
      <c r="P3" s="33"/>
      <c r="Q3" s="33"/>
      <c r="T3"/>
      <c r="U3" s="2" t="s">
        <v>0</v>
      </c>
      <c r="V3" t="s">
        <v>65</v>
      </c>
    </row>
    <row r="4" spans="1:57" x14ac:dyDescent="0.25">
      <c r="T4"/>
      <c r="AS4" s="2" t="s">
        <v>58</v>
      </c>
      <c r="AT4" s="2" t="s">
        <v>54</v>
      </c>
    </row>
    <row r="5" spans="1:57" x14ac:dyDescent="0.25">
      <c r="A5" s="2" t="s">
        <v>455</v>
      </c>
      <c r="B5" s="2" t="s">
        <v>54</v>
      </c>
      <c r="K5" s="2" t="s">
        <v>454</v>
      </c>
      <c r="L5" s="2" t="s">
        <v>54</v>
      </c>
      <c r="T5"/>
      <c r="U5" s="2" t="s">
        <v>448</v>
      </c>
      <c r="V5" s="2" t="s">
        <v>54</v>
      </c>
      <c r="AN5"/>
      <c r="AO5"/>
      <c r="AS5" s="2" t="s">
        <v>57</v>
      </c>
      <c r="AU5" t="s">
        <v>259</v>
      </c>
      <c r="AV5" t="s">
        <v>252</v>
      </c>
      <c r="AW5" t="s">
        <v>55</v>
      </c>
      <c r="AX5" t="s">
        <v>278</v>
      </c>
      <c r="AY5" t="s">
        <v>277</v>
      </c>
      <c r="AZ5" t="s">
        <v>312</v>
      </c>
      <c r="BA5" t="s">
        <v>949</v>
      </c>
      <c r="BB5" t="s">
        <v>425</v>
      </c>
      <c r="BC5" t="s">
        <v>56</v>
      </c>
    </row>
    <row r="6" spans="1:57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265</v>
      </c>
      <c r="G6" t="s">
        <v>56</v>
      </c>
      <c r="K6" s="2" t="s">
        <v>57</v>
      </c>
      <c r="L6" t="s">
        <v>55</v>
      </c>
      <c r="M6" t="s">
        <v>277</v>
      </c>
      <c r="N6" t="s">
        <v>312</v>
      </c>
      <c r="O6" t="s">
        <v>949</v>
      </c>
      <c r="P6" t="s">
        <v>425</v>
      </c>
      <c r="Q6" t="s">
        <v>56</v>
      </c>
      <c r="T6"/>
      <c r="U6" s="2" t="s">
        <v>57</v>
      </c>
      <c r="V6" t="s">
        <v>64</v>
      </c>
      <c r="W6" t="s">
        <v>63</v>
      </c>
      <c r="X6" t="s">
        <v>951</v>
      </c>
      <c r="Y6" t="s">
        <v>950</v>
      </c>
      <c r="Z6" t="s">
        <v>56</v>
      </c>
      <c r="AN6"/>
      <c r="AO6"/>
      <c r="AS6" s="3" t="s">
        <v>121</v>
      </c>
      <c r="AT6" s="8"/>
      <c r="AU6" s="8"/>
      <c r="AV6" s="8">
        <v>9.8431534717962399E-2</v>
      </c>
      <c r="AW6" s="8"/>
      <c r="AX6" s="8"/>
      <c r="AY6" s="8"/>
      <c r="AZ6" s="8"/>
      <c r="BA6" s="8"/>
      <c r="BB6" s="8"/>
      <c r="BC6" s="8">
        <v>9.8431534717962399E-2</v>
      </c>
      <c r="BE6" s="8"/>
    </row>
    <row r="7" spans="1:57" x14ac:dyDescent="0.25">
      <c r="A7" s="3" t="s">
        <v>35</v>
      </c>
      <c r="B7" s="8"/>
      <c r="C7" s="8">
        <v>-5050.9440650939996</v>
      </c>
      <c r="D7" s="8"/>
      <c r="E7" s="8"/>
      <c r="F7" s="8"/>
      <c r="G7" s="8">
        <v>-5050.9440650939996</v>
      </c>
      <c r="K7" s="3" t="s">
        <v>35</v>
      </c>
      <c r="L7" s="8">
        <v>-5050.9440650939996</v>
      </c>
      <c r="M7" s="8"/>
      <c r="N7" s="8"/>
      <c r="O7" s="8"/>
      <c r="P7" s="8"/>
      <c r="Q7" s="8">
        <v>-5050.9440650939996</v>
      </c>
      <c r="R7" s="8"/>
      <c r="S7" s="8"/>
      <c r="T7"/>
      <c r="U7" s="3" t="s">
        <v>35</v>
      </c>
      <c r="V7" s="86">
        <v>-426.6</v>
      </c>
      <c r="W7" s="86"/>
      <c r="X7" s="86"/>
      <c r="Y7" s="86"/>
      <c r="Z7" s="86">
        <v>-426.6</v>
      </c>
      <c r="AC7" s="85"/>
      <c r="AD7" s="85"/>
      <c r="AN7"/>
      <c r="AO7"/>
      <c r="AS7" s="3" t="s">
        <v>116</v>
      </c>
      <c r="AT7" s="8"/>
      <c r="AU7" s="8"/>
      <c r="AV7" s="8">
        <v>17617.601442644576</v>
      </c>
      <c r="AW7" s="8"/>
      <c r="AX7" s="8"/>
      <c r="AY7" s="8"/>
      <c r="AZ7" s="8"/>
      <c r="BA7" s="8"/>
      <c r="BB7" s="8"/>
      <c r="BC7" s="8">
        <v>17617.601442644576</v>
      </c>
      <c r="BE7" s="8"/>
    </row>
    <row r="8" spans="1:57" x14ac:dyDescent="0.25">
      <c r="A8" s="3" t="s">
        <v>19</v>
      </c>
      <c r="B8" s="8">
        <v>46674</v>
      </c>
      <c r="C8" s="8"/>
      <c r="D8" s="8"/>
      <c r="E8" s="8">
        <v>13585.760202444</v>
      </c>
      <c r="F8" s="8"/>
      <c r="G8" s="8">
        <v>60259.760202443998</v>
      </c>
      <c r="K8" s="3" t="s">
        <v>19</v>
      </c>
      <c r="L8" s="8">
        <v>60259.760202443998</v>
      </c>
      <c r="M8" s="8"/>
      <c r="N8" s="8"/>
      <c r="O8" s="8"/>
      <c r="P8" s="8"/>
      <c r="Q8" s="8">
        <v>60259.760202443998</v>
      </c>
      <c r="R8" s="8"/>
      <c r="S8" s="8"/>
      <c r="T8"/>
      <c r="U8" s="3" t="s">
        <v>19</v>
      </c>
      <c r="V8" s="86"/>
      <c r="W8" s="86">
        <v>7744</v>
      </c>
      <c r="X8" s="86"/>
      <c r="Y8" s="86"/>
      <c r="Z8" s="86">
        <v>7744</v>
      </c>
      <c r="AC8" s="85"/>
      <c r="AD8" s="85"/>
      <c r="AN8"/>
      <c r="AO8"/>
      <c r="AS8" s="3" t="s">
        <v>84</v>
      </c>
      <c r="AT8" s="8"/>
      <c r="AU8" s="8"/>
      <c r="AV8" s="8">
        <v>-2482.6390012973861</v>
      </c>
      <c r="AW8" s="8"/>
      <c r="AX8" s="8"/>
      <c r="AY8" s="8"/>
      <c r="AZ8" s="8"/>
      <c r="BA8" s="8"/>
      <c r="BB8" s="8"/>
      <c r="BC8" s="8">
        <v>-2482.6390012973861</v>
      </c>
      <c r="BE8" s="8"/>
    </row>
    <row r="9" spans="1:57" x14ac:dyDescent="0.25">
      <c r="A9" s="3" t="s">
        <v>20</v>
      </c>
      <c r="B9" s="8">
        <v>-106367.432730634</v>
      </c>
      <c r="C9" s="8"/>
      <c r="D9" s="8"/>
      <c r="E9" s="8"/>
      <c r="F9" s="8"/>
      <c r="G9" s="8">
        <v>-106367.432730634</v>
      </c>
      <c r="K9" s="3" t="s">
        <v>20</v>
      </c>
      <c r="L9" s="8">
        <v>-106367.432730634</v>
      </c>
      <c r="M9" s="8"/>
      <c r="N9" s="8"/>
      <c r="O9" s="8"/>
      <c r="P9" s="8"/>
      <c r="Q9" s="8">
        <v>-106367.432730634</v>
      </c>
      <c r="R9" s="8"/>
      <c r="S9" s="8"/>
      <c r="T9"/>
      <c r="U9" s="3" t="s">
        <v>20</v>
      </c>
      <c r="V9" s="86">
        <v>-913.74099999999999</v>
      </c>
      <c r="W9" s="86"/>
      <c r="X9" s="86"/>
      <c r="Y9" s="86"/>
      <c r="Z9" s="86">
        <v>-913.74099999999999</v>
      </c>
      <c r="AC9" s="85"/>
      <c r="AD9" s="85"/>
      <c r="AN9"/>
      <c r="AO9"/>
      <c r="AS9" s="3" t="s">
        <v>122</v>
      </c>
      <c r="AT9" s="8"/>
      <c r="AU9" s="8"/>
      <c r="AV9" s="8">
        <v>1131.4535147694405</v>
      </c>
      <c r="AW9" s="8"/>
      <c r="AX9" s="8"/>
      <c r="AY9" s="8"/>
      <c r="AZ9" s="8"/>
      <c r="BA9" s="8"/>
      <c r="BB9" s="8"/>
      <c r="BC9" s="8">
        <v>1131.4535147694405</v>
      </c>
      <c r="BE9" s="8"/>
    </row>
    <row r="10" spans="1:57" x14ac:dyDescent="0.25">
      <c r="A10" s="3" t="s">
        <v>14</v>
      </c>
      <c r="B10" s="8">
        <v>57223332.267467998</v>
      </c>
      <c r="C10" s="8">
        <v>-25561.317002344</v>
      </c>
      <c r="D10" s="8">
        <v>-327414.57059999998</v>
      </c>
      <c r="E10" s="8">
        <v>9437960.7812053263</v>
      </c>
      <c r="F10" s="8">
        <v>-75854300</v>
      </c>
      <c r="G10" s="8">
        <v>-9545982.8389290199</v>
      </c>
      <c r="K10" s="3" t="s">
        <v>14</v>
      </c>
      <c r="L10" s="8">
        <v>92141896.654233456</v>
      </c>
      <c r="M10" s="8">
        <v>-25029802.694719873</v>
      </c>
      <c r="N10" s="8">
        <v>-76236900</v>
      </c>
      <c r="O10" s="8">
        <v>-803776.79844260204</v>
      </c>
      <c r="P10" s="8">
        <v>382600</v>
      </c>
      <c r="Q10" s="8">
        <v>-9545982.8389290273</v>
      </c>
      <c r="R10" s="8"/>
      <c r="S10" s="8"/>
      <c r="T10"/>
      <c r="U10" s="3" t="s">
        <v>14</v>
      </c>
      <c r="V10" s="86">
        <v>-20.124775719583262</v>
      </c>
      <c r="W10" s="86">
        <v>5111.963627042388</v>
      </c>
      <c r="X10" s="86">
        <v>-1374.6363815718682</v>
      </c>
      <c r="Y10" s="86"/>
      <c r="Z10" s="86">
        <v>3717.2024697509364</v>
      </c>
      <c r="AC10" s="85"/>
      <c r="AD10" s="85"/>
      <c r="AN10"/>
      <c r="AO10"/>
      <c r="AS10" s="3" t="s">
        <v>123</v>
      </c>
      <c r="AT10" s="8"/>
      <c r="AU10" s="8"/>
      <c r="AV10" s="8">
        <v>1.6120070397661099E-2</v>
      </c>
      <c r="AW10" s="8"/>
      <c r="AX10" s="8"/>
      <c r="AY10" s="8"/>
      <c r="AZ10" s="8"/>
      <c r="BA10" s="8"/>
      <c r="BB10" s="8"/>
      <c r="BC10" s="8">
        <v>1.6120070397661099E-2</v>
      </c>
      <c r="BE10" s="8"/>
    </row>
    <row r="11" spans="1:57" x14ac:dyDescent="0.25">
      <c r="A11" s="3" t="s">
        <v>31</v>
      </c>
      <c r="B11" s="8">
        <v>-7406.0761499999999</v>
      </c>
      <c r="C11" s="8"/>
      <c r="D11" s="8"/>
      <c r="E11" s="8"/>
      <c r="F11" s="8"/>
      <c r="G11" s="8">
        <v>-7406.0761499999999</v>
      </c>
      <c r="K11" s="3" t="s">
        <v>31</v>
      </c>
      <c r="L11" s="8">
        <v>-7406.0761499999999</v>
      </c>
      <c r="M11" s="8"/>
      <c r="N11" s="8"/>
      <c r="O11" s="8"/>
      <c r="P11" s="8"/>
      <c r="Q11" s="8">
        <v>-7406.0761499999999</v>
      </c>
      <c r="R11" s="8"/>
      <c r="S11" s="8"/>
      <c r="T11"/>
      <c r="U11" s="3" t="s">
        <v>31</v>
      </c>
      <c r="V11" s="86">
        <v>-200.97900000000001</v>
      </c>
      <c r="W11" s="86"/>
      <c r="X11" s="86"/>
      <c r="Y11" s="86"/>
      <c r="Z11" s="86">
        <v>-200.97900000000001</v>
      </c>
      <c r="AC11" s="85"/>
      <c r="AD11" s="85"/>
      <c r="AN11"/>
      <c r="AO11"/>
      <c r="AS11" s="3" t="s">
        <v>35</v>
      </c>
      <c r="AT11" s="8"/>
      <c r="AU11" s="8"/>
      <c r="AV11" s="8">
        <v>4.6576848424695072</v>
      </c>
      <c r="AW11" s="8">
        <v>-5050.9440650939996</v>
      </c>
      <c r="AX11" s="8"/>
      <c r="AY11" s="8"/>
      <c r="AZ11" s="8"/>
      <c r="BA11" s="8"/>
      <c r="BB11" s="8"/>
      <c r="BC11" s="8">
        <v>-5046.2863802515303</v>
      </c>
      <c r="BE11" s="8"/>
    </row>
    <row r="12" spans="1:57" x14ac:dyDescent="0.25">
      <c r="A12" s="3" t="s">
        <v>23</v>
      </c>
      <c r="B12" s="8">
        <v>-505167.59513000998</v>
      </c>
      <c r="C12" s="8"/>
      <c r="D12" s="8"/>
      <c r="E12" s="8">
        <v>-21550.5</v>
      </c>
      <c r="F12" s="8"/>
      <c r="G12" s="8">
        <v>-526718.09513001004</v>
      </c>
      <c r="K12" s="3" t="s">
        <v>23</v>
      </c>
      <c r="L12" s="8">
        <v>-526718.09513001004</v>
      </c>
      <c r="M12" s="8"/>
      <c r="N12" s="8"/>
      <c r="O12" s="8"/>
      <c r="P12" s="8"/>
      <c r="Q12" s="8">
        <v>-526718.09513001004</v>
      </c>
      <c r="R12" s="8"/>
      <c r="S12" s="8"/>
      <c r="T12"/>
      <c r="U12" s="3" t="s">
        <v>23</v>
      </c>
      <c r="V12" s="86">
        <v>-550544.5</v>
      </c>
      <c r="W12" s="86"/>
      <c r="X12" s="86"/>
      <c r="Y12" s="86"/>
      <c r="Z12" s="86">
        <v>-550544.5</v>
      </c>
      <c r="AC12" s="85"/>
      <c r="AD12" s="85"/>
      <c r="AN12"/>
      <c r="AO12"/>
      <c r="AS12" s="3" t="s">
        <v>187</v>
      </c>
      <c r="AT12" s="8"/>
      <c r="AU12" s="8"/>
      <c r="AV12" s="8">
        <v>18250.257533760596</v>
      </c>
      <c r="AW12" s="8"/>
      <c r="AX12" s="8"/>
      <c r="AY12" s="8"/>
      <c r="AZ12" s="8"/>
      <c r="BA12" s="8"/>
      <c r="BB12" s="8"/>
      <c r="BC12" s="8">
        <v>18250.257533760596</v>
      </c>
      <c r="BE12" s="8"/>
    </row>
    <row r="13" spans="1:57" x14ac:dyDescent="0.25">
      <c r="A13" s="3" t="s">
        <v>15</v>
      </c>
      <c r="B13" s="8">
        <v>-7305176.1932350192</v>
      </c>
      <c r="C13" s="8"/>
      <c r="D13" s="8">
        <v>-2058.7683999999999</v>
      </c>
      <c r="E13" s="8">
        <v>8541808.070121631</v>
      </c>
      <c r="F13" s="8">
        <v>-17968450</v>
      </c>
      <c r="G13" s="8">
        <v>-16733876.891513389</v>
      </c>
      <c r="K13" s="3" t="s">
        <v>15</v>
      </c>
      <c r="L13" s="8">
        <v>18210613.102495998</v>
      </c>
      <c r="M13" s="8">
        <v>-17076057.910499774</v>
      </c>
      <c r="N13" s="8">
        <v>-19183950</v>
      </c>
      <c r="O13" s="8">
        <v>100017.916490383</v>
      </c>
      <c r="P13" s="8">
        <v>1215500</v>
      </c>
      <c r="Q13" s="8">
        <v>-16733876.891513392</v>
      </c>
      <c r="R13" s="8"/>
      <c r="S13" s="8"/>
      <c r="T13"/>
      <c r="U13" s="3" t="s">
        <v>15</v>
      </c>
      <c r="V13" s="86">
        <v>-1428.4086051532538</v>
      </c>
      <c r="W13" s="86">
        <v>14556.752220558938</v>
      </c>
      <c r="X13" s="86">
        <v>-12762.646415767329</v>
      </c>
      <c r="Y13" s="86">
        <v>517.6</v>
      </c>
      <c r="Z13" s="86">
        <v>883.29719963835453</v>
      </c>
      <c r="AC13" s="85"/>
      <c r="AD13" s="85"/>
      <c r="AN13"/>
      <c r="AO13"/>
      <c r="AS13" s="3" t="s">
        <v>19</v>
      </c>
      <c r="AT13" s="8"/>
      <c r="AU13" s="8"/>
      <c r="AV13" s="8"/>
      <c r="AW13" s="8">
        <v>60259.760202443998</v>
      </c>
      <c r="AX13" s="8"/>
      <c r="AY13" s="8"/>
      <c r="AZ13" s="8"/>
      <c r="BA13" s="8"/>
      <c r="BB13" s="8"/>
      <c r="BC13" s="8">
        <v>60259.760202443998</v>
      </c>
      <c r="BE13" s="8"/>
    </row>
    <row r="14" spans="1:57" x14ac:dyDescent="0.25">
      <c r="A14" s="3" t="s">
        <v>27</v>
      </c>
      <c r="B14" s="8">
        <v>-299592.34933527501</v>
      </c>
      <c r="C14" s="8"/>
      <c r="D14" s="8"/>
      <c r="E14" s="8">
        <v>-138289.408</v>
      </c>
      <c r="F14" s="8"/>
      <c r="G14" s="8">
        <v>-437881.757335275</v>
      </c>
      <c r="K14" s="3" t="s">
        <v>27</v>
      </c>
      <c r="L14" s="8">
        <v>-437881.757335275</v>
      </c>
      <c r="M14" s="8"/>
      <c r="N14" s="8"/>
      <c r="O14" s="8"/>
      <c r="P14" s="8"/>
      <c r="Q14" s="8">
        <v>-437881.757335275</v>
      </c>
      <c r="R14" s="8"/>
      <c r="S14" s="8"/>
      <c r="T14"/>
      <c r="U14" s="3" t="s">
        <v>27</v>
      </c>
      <c r="V14" s="86">
        <v>-70609.69</v>
      </c>
      <c r="W14" s="86"/>
      <c r="X14" s="86"/>
      <c r="Y14" s="86"/>
      <c r="Z14" s="86">
        <v>-70609.69</v>
      </c>
      <c r="AC14" s="85"/>
      <c r="AD14" s="85"/>
      <c r="AN14"/>
      <c r="AO14"/>
      <c r="AS14" s="3" t="s">
        <v>124</v>
      </c>
      <c r="AT14" s="8"/>
      <c r="AU14" s="8"/>
      <c r="AV14" s="8">
        <v>-122.57272702780028</v>
      </c>
      <c r="AW14" s="8"/>
      <c r="AX14" s="8"/>
      <c r="AY14" s="8"/>
      <c r="AZ14" s="8"/>
      <c r="BA14" s="8"/>
      <c r="BB14" s="8"/>
      <c r="BC14" s="8">
        <v>-122.57272702780028</v>
      </c>
      <c r="BE14" s="8"/>
    </row>
    <row r="15" spans="1:57" x14ac:dyDescent="0.25">
      <c r="A15" s="3" t="s">
        <v>24</v>
      </c>
      <c r="B15" s="8">
        <v>-203475.01912000001</v>
      </c>
      <c r="C15" s="8"/>
      <c r="D15" s="8"/>
      <c r="E15" s="8"/>
      <c r="F15" s="8"/>
      <c r="G15" s="8">
        <v>-203475.01912000001</v>
      </c>
      <c r="K15" s="3" t="s">
        <v>24</v>
      </c>
      <c r="L15" s="8">
        <v>-203475.01912000001</v>
      </c>
      <c r="M15" s="8"/>
      <c r="N15" s="8"/>
      <c r="O15" s="8"/>
      <c r="P15" s="8"/>
      <c r="Q15" s="8">
        <v>-203475.01912000001</v>
      </c>
      <c r="R15" s="8"/>
      <c r="S15" s="8"/>
      <c r="T15"/>
      <c r="U15" s="3" t="s">
        <v>24</v>
      </c>
      <c r="V15" s="86">
        <v>-2444.4380000000001</v>
      </c>
      <c r="W15" s="86"/>
      <c r="X15" s="86"/>
      <c r="Y15" s="86"/>
      <c r="Z15" s="86">
        <v>-2444.4380000000001</v>
      </c>
      <c r="AC15" s="85"/>
      <c r="AD15" s="85"/>
      <c r="AN15"/>
      <c r="AO15"/>
      <c r="AS15" s="3" t="s">
        <v>20</v>
      </c>
      <c r="AT15" s="8"/>
      <c r="AU15" s="8"/>
      <c r="AV15" s="8">
        <v>762273.43132788315</v>
      </c>
      <c r="AW15" s="8">
        <v>-106367.432730634</v>
      </c>
      <c r="AX15" s="8"/>
      <c r="AY15" s="8"/>
      <c r="AZ15" s="8"/>
      <c r="BA15" s="8"/>
      <c r="BB15" s="8"/>
      <c r="BC15" s="8">
        <v>655905.99859724916</v>
      </c>
      <c r="BE15" s="8"/>
    </row>
    <row r="16" spans="1:57" x14ac:dyDescent="0.25">
      <c r="A16" s="3" t="s">
        <v>37</v>
      </c>
      <c r="B16" s="8"/>
      <c r="C16" s="8"/>
      <c r="D16" s="8"/>
      <c r="E16" s="8">
        <v>-827969.7</v>
      </c>
      <c r="F16" s="8"/>
      <c r="G16" s="8">
        <v>-827969.7</v>
      </c>
      <c r="K16" s="3" t="s">
        <v>37</v>
      </c>
      <c r="L16" s="8">
        <v>-827969.7</v>
      </c>
      <c r="M16" s="8"/>
      <c r="N16" s="8"/>
      <c r="O16" s="8"/>
      <c r="P16" s="8"/>
      <c r="Q16" s="8">
        <v>-827969.7</v>
      </c>
      <c r="R16" s="8"/>
      <c r="S16" s="8"/>
      <c r="T16"/>
      <c r="U16" s="3" t="s">
        <v>37</v>
      </c>
      <c r="V16" s="86">
        <v>-89029000000</v>
      </c>
      <c r="W16" s="86"/>
      <c r="X16" s="86"/>
      <c r="Y16" s="86"/>
      <c r="Z16" s="86">
        <v>-89029000000</v>
      </c>
      <c r="AC16" s="85"/>
      <c r="AD16" s="85"/>
      <c r="AN16"/>
      <c r="AO16"/>
      <c r="AS16" s="3" t="s">
        <v>125</v>
      </c>
      <c r="AT16" s="8"/>
      <c r="AU16" s="8"/>
      <c r="AV16" s="8">
        <v>1.13535741150493E-4</v>
      </c>
      <c r="AW16" s="8"/>
      <c r="AX16" s="8"/>
      <c r="AY16" s="8"/>
      <c r="AZ16" s="8"/>
      <c r="BA16" s="8"/>
      <c r="BB16" s="8"/>
      <c r="BC16" s="8">
        <v>1.13535741150493E-4</v>
      </c>
      <c r="BE16" s="8"/>
    </row>
    <row r="17" spans="1:57" x14ac:dyDescent="0.25">
      <c r="A17" s="3" t="s">
        <v>26</v>
      </c>
      <c r="B17" s="8">
        <v>-88413.518760000006</v>
      </c>
      <c r="C17" s="8"/>
      <c r="D17" s="8"/>
      <c r="E17" s="8"/>
      <c r="F17" s="8"/>
      <c r="G17" s="8">
        <v>-88413.518760000006</v>
      </c>
      <c r="K17" s="3" t="s">
        <v>26</v>
      </c>
      <c r="L17" s="8">
        <v>-88413.518760000006</v>
      </c>
      <c r="M17" s="8"/>
      <c r="N17" s="8"/>
      <c r="O17" s="8"/>
      <c r="P17" s="8"/>
      <c r="Q17" s="8">
        <v>-88413.518760000006</v>
      </c>
      <c r="R17" s="8"/>
      <c r="S17" s="8"/>
      <c r="T17"/>
      <c r="U17" s="3" t="s">
        <v>26</v>
      </c>
      <c r="V17" s="86">
        <v>-3884601</v>
      </c>
      <c r="W17" s="86"/>
      <c r="X17" s="86"/>
      <c r="Y17" s="86"/>
      <c r="Z17" s="86">
        <v>-3884601</v>
      </c>
      <c r="AC17" s="85"/>
      <c r="AD17" s="85"/>
      <c r="AN17"/>
      <c r="AO17"/>
      <c r="AS17" s="3" t="s">
        <v>126</v>
      </c>
      <c r="AT17" s="8"/>
      <c r="AU17" s="8"/>
      <c r="AV17" s="8">
        <v>6.7795787076243297</v>
      </c>
      <c r="AW17" s="8"/>
      <c r="AX17" s="8"/>
      <c r="AY17" s="8"/>
      <c r="AZ17" s="8"/>
      <c r="BA17" s="8"/>
      <c r="BB17" s="8"/>
      <c r="BC17" s="8">
        <v>6.7795787076243297</v>
      </c>
      <c r="BE17" s="8"/>
    </row>
    <row r="18" spans="1:57" x14ac:dyDescent="0.25">
      <c r="A18" s="3" t="s">
        <v>150</v>
      </c>
      <c r="B18" s="8">
        <v>-28512</v>
      </c>
      <c r="C18" s="8"/>
      <c r="D18" s="8"/>
      <c r="E18" s="8"/>
      <c r="F18" s="8"/>
      <c r="G18" s="8">
        <v>-28512</v>
      </c>
      <c r="K18" s="3" t="s">
        <v>150</v>
      </c>
      <c r="L18" s="8">
        <v>-28512</v>
      </c>
      <c r="M18" s="8"/>
      <c r="N18" s="8"/>
      <c r="O18" s="8"/>
      <c r="P18" s="8"/>
      <c r="Q18" s="8">
        <v>-28512</v>
      </c>
      <c r="R18" s="8"/>
      <c r="S18" s="8"/>
      <c r="T18"/>
      <c r="U18" s="3" t="s">
        <v>150</v>
      </c>
      <c r="V18" s="86">
        <v>-24000</v>
      </c>
      <c r="W18" s="86"/>
      <c r="X18" s="86"/>
      <c r="Y18" s="86"/>
      <c r="Z18" s="86">
        <v>-24000</v>
      </c>
      <c r="AC18" s="85"/>
      <c r="AD18" s="85"/>
      <c r="AN18"/>
      <c r="AO18"/>
      <c r="AS18" s="3" t="s">
        <v>87</v>
      </c>
      <c r="AT18" s="8"/>
      <c r="AU18" s="8"/>
      <c r="AV18" s="8">
        <v>742427.4226120899</v>
      </c>
      <c r="AW18" s="8"/>
      <c r="AX18" s="8"/>
      <c r="AY18" s="8"/>
      <c r="AZ18" s="8"/>
      <c r="BA18" s="8"/>
      <c r="BB18" s="8"/>
      <c r="BC18" s="8">
        <v>742427.4226120899</v>
      </c>
      <c r="BE18" s="8"/>
    </row>
    <row r="19" spans="1:57" x14ac:dyDescent="0.25">
      <c r="A19" s="3" t="s">
        <v>56</v>
      </c>
      <c r="B19" s="8">
        <v>48725896.083007053</v>
      </c>
      <c r="C19" s="8">
        <v>-30612.261067437998</v>
      </c>
      <c r="D19" s="8">
        <v>-329473.33899999998</v>
      </c>
      <c r="E19" s="8">
        <v>17005545.003529403</v>
      </c>
      <c r="F19" s="8">
        <v>-93822750</v>
      </c>
      <c r="G19" s="8">
        <v>-28451394.513530977</v>
      </c>
      <c r="K19" s="3" t="s">
        <v>56</v>
      </c>
      <c r="L19" s="8">
        <v>108180974.97364089</v>
      </c>
      <c r="M19" s="8">
        <v>-42105860.605219647</v>
      </c>
      <c r="N19" s="8">
        <v>-95420850</v>
      </c>
      <c r="O19" s="8">
        <v>-703758.88195221906</v>
      </c>
      <c r="P19" s="8">
        <v>1598100</v>
      </c>
      <c r="Q19" s="8">
        <v>-28451394.513530988</v>
      </c>
      <c r="R19" s="8"/>
      <c r="S19" s="8"/>
      <c r="T19"/>
      <c r="AC19" s="85"/>
      <c r="AD19" s="85"/>
      <c r="AN19"/>
      <c r="AO19"/>
      <c r="AS19" s="3" t="s">
        <v>127</v>
      </c>
      <c r="AT19" s="8"/>
      <c r="AU19" s="8"/>
      <c r="AV19" s="8">
        <v>2.82684210675981</v>
      </c>
      <c r="AW19" s="8"/>
      <c r="AX19" s="8"/>
      <c r="AY19" s="8"/>
      <c r="AZ19" s="8"/>
      <c r="BA19" s="8"/>
      <c r="BB19" s="8"/>
      <c r="BC19" s="8">
        <v>2.82684210675981</v>
      </c>
      <c r="BE19" s="8"/>
    </row>
    <row r="20" spans="1:57" x14ac:dyDescent="0.25">
      <c r="Q20" s="8"/>
      <c r="R20" s="8"/>
      <c r="S20" s="8"/>
      <c r="T20"/>
      <c r="AC20" s="85"/>
      <c r="AD20" s="85"/>
      <c r="AN20"/>
      <c r="AO20"/>
      <c r="AS20" s="3" t="s">
        <v>113</v>
      </c>
      <c r="AT20" s="8"/>
      <c r="AU20" s="8"/>
      <c r="AV20" s="8">
        <v>24.710735750667347</v>
      </c>
      <c r="AW20" s="8"/>
      <c r="AX20" s="8"/>
      <c r="AY20" s="8"/>
      <c r="AZ20" s="8"/>
      <c r="BA20" s="8"/>
      <c r="BB20" s="8"/>
      <c r="BC20" s="8">
        <v>24.710735750667347</v>
      </c>
      <c r="BE20" s="8"/>
    </row>
    <row r="21" spans="1:57" x14ac:dyDescent="0.25">
      <c r="Q21" s="8"/>
      <c r="R21" s="8"/>
      <c r="S21" s="8"/>
      <c r="T21"/>
      <c r="AC21" s="85"/>
      <c r="AD21" s="85"/>
      <c r="AN21"/>
      <c r="AO21"/>
      <c r="AS21" s="3" t="s">
        <v>14</v>
      </c>
      <c r="AT21" s="8"/>
      <c r="AU21" s="8"/>
      <c r="AV21" s="8">
        <v>1307038.2519176528</v>
      </c>
      <c r="AW21" s="8">
        <v>92141896.654233456</v>
      </c>
      <c r="AX21" s="8"/>
      <c r="AY21" s="8">
        <v>-25029802.694719873</v>
      </c>
      <c r="AZ21" s="8">
        <v>-76236900</v>
      </c>
      <c r="BA21" s="8">
        <v>-803776.79844260204</v>
      </c>
      <c r="BB21" s="8">
        <v>382600</v>
      </c>
      <c r="BC21" s="8">
        <v>-8238944.5870113671</v>
      </c>
      <c r="BE21" s="8"/>
    </row>
    <row r="22" spans="1:57" x14ac:dyDescent="0.25">
      <c r="Q22" s="8"/>
      <c r="R22" s="8"/>
      <c r="S22" s="8"/>
      <c r="T22"/>
      <c r="AC22" s="85"/>
      <c r="AD22" s="85"/>
      <c r="AN22"/>
      <c r="AO22"/>
      <c r="AS22" s="3" t="s">
        <v>128</v>
      </c>
      <c r="AT22" s="8"/>
      <c r="AU22" s="8"/>
      <c r="AV22" s="8">
        <v>5.0099972829981999E-3</v>
      </c>
      <c r="AW22" s="8"/>
      <c r="AX22" s="8"/>
      <c r="AY22" s="8"/>
      <c r="AZ22" s="8"/>
      <c r="BA22" s="8"/>
      <c r="BB22" s="8"/>
      <c r="BC22" s="8">
        <v>5.0099972829981999E-3</v>
      </c>
      <c r="BE22" s="8"/>
    </row>
    <row r="23" spans="1:57" x14ac:dyDescent="0.25">
      <c r="Q23" s="8"/>
      <c r="R23" s="8"/>
      <c r="S23" s="8"/>
      <c r="T23"/>
      <c r="AN23"/>
      <c r="AO23"/>
      <c r="AS23" s="3" t="s">
        <v>129</v>
      </c>
      <c r="AT23" s="8"/>
      <c r="AU23" s="8"/>
      <c r="AV23" s="8">
        <v>935.32266578065196</v>
      </c>
      <c r="AW23" s="8"/>
      <c r="AX23" s="8"/>
      <c r="AY23" s="8"/>
      <c r="AZ23" s="8"/>
      <c r="BA23" s="8"/>
      <c r="BB23" s="8"/>
      <c r="BC23" s="8">
        <v>935.32266578065196</v>
      </c>
      <c r="BE23" s="8"/>
    </row>
    <row r="24" spans="1:57" x14ac:dyDescent="0.25">
      <c r="L24" s="8"/>
      <c r="M24" s="8"/>
      <c r="N24" s="8"/>
      <c r="O24" s="8"/>
      <c r="P24" s="8"/>
      <c r="Q24" s="8"/>
      <c r="R24" s="8"/>
      <c r="S24" s="8"/>
      <c r="T24"/>
      <c r="AN24"/>
      <c r="AO24"/>
      <c r="AS24" s="3" t="s">
        <v>88</v>
      </c>
      <c r="AT24" s="8"/>
      <c r="AU24" s="8"/>
      <c r="AV24" s="8">
        <v>17963978.599099595</v>
      </c>
      <c r="AW24" s="8"/>
      <c r="AX24" s="8"/>
      <c r="AY24" s="8"/>
      <c r="AZ24" s="8"/>
      <c r="BA24" s="8"/>
      <c r="BB24" s="8"/>
      <c r="BC24" s="8">
        <v>17963978.599099595</v>
      </c>
      <c r="BE24" s="8"/>
    </row>
    <row r="25" spans="1:57" x14ac:dyDescent="0.25">
      <c r="L25" s="8"/>
      <c r="M25" s="8"/>
      <c r="N25" s="8"/>
      <c r="O25" s="8"/>
      <c r="P25" s="8"/>
      <c r="Q25" s="8"/>
      <c r="R25" s="8"/>
      <c r="S25" s="8"/>
      <c r="T25"/>
      <c r="AN25"/>
      <c r="AO25"/>
      <c r="AS25" s="3" t="s">
        <v>130</v>
      </c>
      <c r="AT25" s="8"/>
      <c r="AU25" s="8"/>
      <c r="AV25" s="8">
        <v>4.3801594662575801E-3</v>
      </c>
      <c r="AW25" s="8"/>
      <c r="AX25" s="8"/>
      <c r="AY25" s="8"/>
      <c r="AZ25" s="8"/>
      <c r="BA25" s="8"/>
      <c r="BB25" s="8"/>
      <c r="BC25" s="8">
        <v>4.3801594662575801E-3</v>
      </c>
      <c r="BE25" s="8"/>
    </row>
    <row r="26" spans="1:57" s="8" customFormat="1" x14ac:dyDescent="0.25">
      <c r="A26"/>
      <c r="B26"/>
      <c r="C26"/>
      <c r="D26"/>
      <c r="E26"/>
      <c r="F26"/>
      <c r="G26"/>
      <c r="H26"/>
      <c r="I26"/>
      <c r="K26"/>
      <c r="T26"/>
      <c r="AS26" s="3" t="s">
        <v>31</v>
      </c>
      <c r="AV26" s="8">
        <v>10054.2582405383</v>
      </c>
      <c r="AW26" s="8">
        <v>-7406.0761499999999</v>
      </c>
      <c r="BC26" s="8">
        <v>2648.1820905383001</v>
      </c>
      <c r="BD26"/>
    </row>
    <row r="27" spans="1:57" s="8" customFormat="1" x14ac:dyDescent="0.25">
      <c r="K27"/>
      <c r="AS27" s="3" t="s">
        <v>131</v>
      </c>
      <c r="AV27" s="8">
        <v>2.04778472878973E-2</v>
      </c>
      <c r="BC27" s="8">
        <v>2.04778472878973E-2</v>
      </c>
      <c r="BD27"/>
    </row>
    <row r="28" spans="1:57" s="8" customFormat="1" x14ac:dyDescent="0.25">
      <c r="A28" s="33" t="s">
        <v>450</v>
      </c>
      <c r="B28" s="33"/>
      <c r="C28" s="33"/>
      <c r="D28" s="33"/>
      <c r="E28" s="33"/>
      <c r="F28" s="33"/>
      <c r="G28" s="33"/>
      <c r="K28" s="33" t="s">
        <v>451</v>
      </c>
      <c r="L28" s="33"/>
      <c r="M28" s="33"/>
      <c r="N28" s="33"/>
      <c r="O28" s="33"/>
      <c r="P28" s="33"/>
      <c r="Q28" s="33"/>
      <c r="R28" s="33"/>
      <c r="S28"/>
      <c r="AE28"/>
      <c r="AF28"/>
      <c r="AG28"/>
      <c r="AH28"/>
      <c r="AI28"/>
      <c r="AJ28"/>
      <c r="AK28"/>
      <c r="AL28"/>
      <c r="AM28"/>
      <c r="AN28"/>
      <c r="AO28"/>
      <c r="AS28" s="3" t="s">
        <v>188</v>
      </c>
      <c r="AV28" s="8">
        <v>118.3739751420452</v>
      </c>
      <c r="BC28" s="8">
        <v>118.3739751420452</v>
      </c>
      <c r="BD28"/>
    </row>
    <row r="29" spans="1:57" s="8" customFormat="1" x14ac:dyDescent="0.25">
      <c r="K29"/>
      <c r="L29"/>
      <c r="M29"/>
      <c r="N29"/>
      <c r="O29"/>
      <c r="P29"/>
      <c r="Q29"/>
      <c r="R29"/>
      <c r="S29"/>
      <c r="AE29"/>
      <c r="AF29"/>
      <c r="AG29"/>
      <c r="AH29"/>
      <c r="AI29"/>
      <c r="AJ29"/>
      <c r="AK29"/>
      <c r="AL29"/>
      <c r="AM29"/>
      <c r="AN29"/>
      <c r="AO29"/>
      <c r="AS29" s="3" t="s">
        <v>189</v>
      </c>
      <c r="AV29" s="8">
        <v>21.351558049632693</v>
      </c>
      <c r="BC29" s="8">
        <v>21.351558049632693</v>
      </c>
      <c r="BD29"/>
    </row>
    <row r="30" spans="1:57" x14ac:dyDescent="0.25">
      <c r="A30" s="2" t="s">
        <v>62</v>
      </c>
      <c r="B30" t="s">
        <v>65</v>
      </c>
      <c r="K30" s="2" t="s">
        <v>0</v>
      </c>
      <c r="L30" t="s">
        <v>65</v>
      </c>
      <c r="AE30" s="10" t="s">
        <v>69</v>
      </c>
      <c r="AF30" s="33" t="s">
        <v>55</v>
      </c>
      <c r="AG30" s="40" t="s">
        <v>277</v>
      </c>
      <c r="AH30" s="187" t="s">
        <v>949</v>
      </c>
      <c r="AI30" s="33" t="s">
        <v>312</v>
      </c>
      <c r="AJ30" s="33" t="s">
        <v>425</v>
      </c>
      <c r="AK30" s="33" t="s">
        <v>986</v>
      </c>
      <c r="AL30" s="40" t="s">
        <v>264</v>
      </c>
      <c r="AM30" s="33"/>
      <c r="AN30" s="33"/>
      <c r="AO30" s="33"/>
      <c r="AQ30" s="8"/>
      <c r="AS30" s="3" t="s">
        <v>132</v>
      </c>
      <c r="AT30" s="8"/>
      <c r="AU30" s="8"/>
      <c r="AV30" s="8">
        <v>10.818879293816281</v>
      </c>
      <c r="AW30" s="8"/>
      <c r="AX30" s="8"/>
      <c r="AY30" s="8"/>
      <c r="AZ30" s="8"/>
      <c r="BA30" s="8"/>
      <c r="BB30" s="8"/>
      <c r="BC30" s="8">
        <v>10.818879293816281</v>
      </c>
      <c r="BE30" s="8"/>
    </row>
    <row r="31" spans="1:57" x14ac:dyDescent="0.25">
      <c r="AE31" t="b">
        <v>1</v>
      </c>
      <c r="AF31" s="37">
        <f t="shared" ref="AF31:AK31" si="0">L$55</f>
        <v>0</v>
      </c>
      <c r="AG31" s="37">
        <f t="shared" si="0"/>
        <v>0.01</v>
      </c>
      <c r="AH31" s="37">
        <f t="shared" si="0"/>
        <v>0.01</v>
      </c>
      <c r="AI31" s="37">
        <f>P$55</f>
        <v>0.01</v>
      </c>
      <c r="AJ31" s="37">
        <f>Q$55</f>
        <v>0.01</v>
      </c>
      <c r="AK31" s="37">
        <f>R$55</f>
        <v>0</v>
      </c>
      <c r="AL31" s="37"/>
      <c r="AM31" s="37"/>
      <c r="AN31" s="37"/>
      <c r="AO31" s="37"/>
      <c r="AQ31" s="8"/>
      <c r="AS31" s="3" t="s">
        <v>190</v>
      </c>
      <c r="AT31" s="8"/>
      <c r="AU31" s="8"/>
      <c r="AV31" s="8">
        <v>5970.3827725013398</v>
      </c>
      <c r="AW31" s="8"/>
      <c r="AX31" s="8"/>
      <c r="AY31" s="8"/>
      <c r="AZ31" s="8"/>
      <c r="BA31" s="8"/>
      <c r="BB31" s="8"/>
      <c r="BC31" s="8">
        <v>5970.3827725013398</v>
      </c>
      <c r="BE31" s="8"/>
    </row>
    <row r="32" spans="1:57" x14ac:dyDescent="0.25">
      <c r="A32" s="2" t="s">
        <v>449</v>
      </c>
      <c r="B32" s="2" t="s">
        <v>54</v>
      </c>
      <c r="K32" s="2" t="s">
        <v>449</v>
      </c>
      <c r="L32" s="2" t="s">
        <v>54</v>
      </c>
      <c r="T32"/>
      <c r="U32" s="2" t="s">
        <v>58</v>
      </c>
      <c r="V32" s="2" t="s">
        <v>54</v>
      </c>
      <c r="AE32" s="10" t="s">
        <v>35</v>
      </c>
      <c r="AF32" s="37">
        <f t="shared" ref="AF32:AK41" si="1">AF$31</f>
        <v>0</v>
      </c>
      <c r="AG32" s="37">
        <f t="shared" si="1"/>
        <v>0.01</v>
      </c>
      <c r="AH32" s="37">
        <f t="shared" si="1"/>
        <v>0.01</v>
      </c>
      <c r="AI32" s="37">
        <f t="shared" si="1"/>
        <v>0.01</v>
      </c>
      <c r="AJ32" s="37">
        <f t="shared" si="1"/>
        <v>0.01</v>
      </c>
      <c r="AK32" s="37">
        <f t="shared" si="1"/>
        <v>0</v>
      </c>
      <c r="AL32" s="37"/>
      <c r="AM32" s="37"/>
      <c r="AN32" s="37"/>
      <c r="AO32" s="37"/>
      <c r="AQ32" s="8"/>
      <c r="AS32" s="3" t="s">
        <v>133</v>
      </c>
      <c r="AT32" s="8"/>
      <c r="AU32" s="8"/>
      <c r="AV32" s="8">
        <v>6.9374385267831303E-6</v>
      </c>
      <c r="AW32" s="8"/>
      <c r="AX32" s="8"/>
      <c r="AY32" s="8"/>
      <c r="AZ32" s="8"/>
      <c r="BA32" s="8"/>
      <c r="BB32" s="8"/>
      <c r="BC32" s="8">
        <v>6.9374385267831303E-6</v>
      </c>
      <c r="BE32" s="8"/>
    </row>
    <row r="33" spans="1:57" x14ac:dyDescent="0.25">
      <c r="A33" s="2" t="s">
        <v>57</v>
      </c>
      <c r="B33" t="s">
        <v>11</v>
      </c>
      <c r="C33" t="s">
        <v>32</v>
      </c>
      <c r="D33" t="s">
        <v>39</v>
      </c>
      <c r="E33" t="s">
        <v>45</v>
      </c>
      <c r="F33" t="s">
        <v>265</v>
      </c>
      <c r="G33" t="s">
        <v>56</v>
      </c>
      <c r="K33" s="2" t="s">
        <v>57</v>
      </c>
      <c r="L33" t="s">
        <v>55</v>
      </c>
      <c r="M33" t="s">
        <v>277</v>
      </c>
      <c r="N33" t="s">
        <v>312</v>
      </c>
      <c r="O33" t="s">
        <v>949</v>
      </c>
      <c r="P33" t="s">
        <v>425</v>
      </c>
      <c r="Q33" t="s">
        <v>56</v>
      </c>
      <c r="T33"/>
      <c r="V33" t="s">
        <v>17</v>
      </c>
      <c r="X33" t="s">
        <v>13</v>
      </c>
      <c r="Z33" t="s">
        <v>280</v>
      </c>
      <c r="AB33" t="s">
        <v>56</v>
      </c>
      <c r="AE33" s="10" t="s">
        <v>19</v>
      </c>
      <c r="AF33" s="37">
        <f t="shared" si="1"/>
        <v>0</v>
      </c>
      <c r="AG33" s="37">
        <f t="shared" si="1"/>
        <v>0.01</v>
      </c>
      <c r="AH33" s="37">
        <f t="shared" si="1"/>
        <v>0.01</v>
      </c>
      <c r="AI33" s="37">
        <f t="shared" si="1"/>
        <v>0.01</v>
      </c>
      <c r="AJ33" s="37">
        <f t="shared" si="1"/>
        <v>0.01</v>
      </c>
      <c r="AK33" s="37">
        <f t="shared" si="1"/>
        <v>0</v>
      </c>
      <c r="AL33" s="37"/>
      <c r="AM33" s="37"/>
      <c r="AN33" s="37"/>
      <c r="AO33" s="37"/>
      <c r="AQ33" s="8"/>
      <c r="AS33" s="3" t="s">
        <v>22</v>
      </c>
      <c r="AT33" s="8"/>
      <c r="AU33" s="8"/>
      <c r="AV33" s="8">
        <v>-2385.5134843317792</v>
      </c>
      <c r="AW33" s="8"/>
      <c r="AX33" s="8"/>
      <c r="AY33" s="8"/>
      <c r="AZ33" s="8"/>
      <c r="BA33" s="8"/>
      <c r="BB33" s="8"/>
      <c r="BC33" s="8">
        <v>-2385.5134843317792</v>
      </c>
      <c r="BE33" s="8"/>
    </row>
    <row r="34" spans="1:57" x14ac:dyDescent="0.25">
      <c r="A34" s="3" t="s">
        <v>35</v>
      </c>
      <c r="B34" s="8"/>
      <c r="C34" s="8">
        <v>0</v>
      </c>
      <c r="D34" s="8"/>
      <c r="E34" s="8"/>
      <c r="F34" s="8"/>
      <c r="G34" s="8">
        <v>0</v>
      </c>
      <c r="K34" s="3" t="s">
        <v>35</v>
      </c>
      <c r="L34" s="8">
        <v>0</v>
      </c>
      <c r="M34" s="8"/>
      <c r="N34" s="8"/>
      <c r="O34" s="8"/>
      <c r="P34" s="8"/>
      <c r="Q34" s="8">
        <v>0</v>
      </c>
      <c r="T34"/>
      <c r="U34" s="2" t="s">
        <v>57</v>
      </c>
      <c r="V34" t="s">
        <v>60</v>
      </c>
      <c r="W34" t="s">
        <v>61</v>
      </c>
      <c r="X34" t="s">
        <v>60</v>
      </c>
      <c r="Y34" t="s">
        <v>61</v>
      </c>
      <c r="Z34" t="s">
        <v>60</v>
      </c>
      <c r="AA34" t="s">
        <v>61</v>
      </c>
      <c r="AC34" s="86"/>
      <c r="AE34" s="10" t="s">
        <v>20</v>
      </c>
      <c r="AF34" s="37">
        <f t="shared" si="1"/>
        <v>0</v>
      </c>
      <c r="AG34" s="37">
        <f t="shared" si="1"/>
        <v>0.01</v>
      </c>
      <c r="AH34" s="37">
        <f t="shared" si="1"/>
        <v>0.01</v>
      </c>
      <c r="AI34" s="37">
        <f t="shared" si="1"/>
        <v>0.01</v>
      </c>
      <c r="AJ34" s="37">
        <f t="shared" si="1"/>
        <v>0.01</v>
      </c>
      <c r="AK34" s="37">
        <f t="shared" si="1"/>
        <v>0</v>
      </c>
      <c r="AL34" s="37"/>
      <c r="AM34" s="37"/>
      <c r="AN34" s="37"/>
      <c r="AO34" s="37"/>
      <c r="AQ34" s="8"/>
      <c r="AS34" s="3" t="s">
        <v>28</v>
      </c>
      <c r="AT34" s="8"/>
      <c r="AU34" s="8"/>
      <c r="AV34" s="8">
        <v>587.68537643045784</v>
      </c>
      <c r="AW34" s="8"/>
      <c r="AX34" s="8"/>
      <c r="AY34" s="8"/>
      <c r="AZ34" s="8"/>
      <c r="BA34" s="8"/>
      <c r="BB34" s="8"/>
      <c r="BC34" s="8">
        <v>587.68537643045784</v>
      </c>
      <c r="BE34" s="8"/>
    </row>
    <row r="35" spans="1:57" x14ac:dyDescent="0.25">
      <c r="A35" s="3" t="s">
        <v>19</v>
      </c>
      <c r="B35" s="8">
        <v>0</v>
      </c>
      <c r="C35" s="8"/>
      <c r="D35" s="8"/>
      <c r="E35" s="8">
        <v>0</v>
      </c>
      <c r="F35" s="8"/>
      <c r="G35" s="8">
        <v>0</v>
      </c>
      <c r="K35" s="3" t="s">
        <v>19</v>
      </c>
      <c r="L35" s="8">
        <v>0</v>
      </c>
      <c r="M35" s="8"/>
      <c r="N35" s="8"/>
      <c r="O35" s="8"/>
      <c r="P35" s="8"/>
      <c r="Q35" s="8">
        <v>0</v>
      </c>
      <c r="T35"/>
      <c r="U35" s="3" t="s">
        <v>12</v>
      </c>
      <c r="V35" s="86">
        <v>20993940</v>
      </c>
      <c r="W35" s="86"/>
      <c r="X35" s="86"/>
      <c r="Y35" s="86">
        <v>-15659590</v>
      </c>
      <c r="Z35" s="86"/>
      <c r="AA35" s="86"/>
      <c r="AB35" s="86">
        <v>5334350</v>
      </c>
      <c r="AC35" s="86"/>
      <c r="AE35" s="10" t="s">
        <v>14</v>
      </c>
      <c r="AF35" s="37">
        <f t="shared" si="1"/>
        <v>0</v>
      </c>
      <c r="AG35" s="37">
        <f t="shared" si="1"/>
        <v>0.01</v>
      </c>
      <c r="AH35" s="37">
        <f t="shared" si="1"/>
        <v>0.01</v>
      </c>
      <c r="AI35" s="37">
        <f t="shared" si="1"/>
        <v>0.01</v>
      </c>
      <c r="AJ35" s="37">
        <f t="shared" si="1"/>
        <v>0.01</v>
      </c>
      <c r="AK35" s="37">
        <f t="shared" si="1"/>
        <v>0</v>
      </c>
      <c r="AL35" s="37"/>
      <c r="AM35" s="37"/>
      <c r="AN35" s="37"/>
      <c r="AO35" s="37"/>
      <c r="AQ35" s="8"/>
      <c r="AS35" s="3" t="s">
        <v>23</v>
      </c>
      <c r="AT35" s="8"/>
      <c r="AU35" s="8"/>
      <c r="AV35" s="8">
        <v>765532.24981215748</v>
      </c>
      <c r="AW35" s="8">
        <v>-526718.09513001004</v>
      </c>
      <c r="AX35" s="8"/>
      <c r="AY35" s="8"/>
      <c r="AZ35" s="8"/>
      <c r="BA35" s="8"/>
      <c r="BB35" s="8"/>
      <c r="BC35" s="8">
        <v>238814.15468214743</v>
      </c>
      <c r="BE35" s="8"/>
    </row>
    <row r="36" spans="1:57" x14ac:dyDescent="0.25">
      <c r="A36" s="3" t="s">
        <v>20</v>
      </c>
      <c r="B36" s="8">
        <v>0</v>
      </c>
      <c r="C36" s="8"/>
      <c r="D36" s="8"/>
      <c r="E36" s="8"/>
      <c r="F36" s="8"/>
      <c r="G36" s="8">
        <v>0</v>
      </c>
      <c r="K36" s="3" t="s">
        <v>20</v>
      </c>
      <c r="L36" s="8">
        <v>0</v>
      </c>
      <c r="M36" s="8"/>
      <c r="N36" s="8"/>
      <c r="O36" s="8"/>
      <c r="P36" s="8"/>
      <c r="Q36" s="8">
        <v>0</v>
      </c>
      <c r="T36"/>
      <c r="U36" s="3" t="s">
        <v>18</v>
      </c>
      <c r="V36" s="86">
        <v>57456766.481700003</v>
      </c>
      <c r="W36" s="86">
        <v>-3217489.7672059187</v>
      </c>
      <c r="X36" s="86"/>
      <c r="Y36" s="86">
        <v>-11640269.924992621</v>
      </c>
      <c r="Z36" s="86"/>
      <c r="AA36" s="86"/>
      <c r="AB36" s="86">
        <v>42599006.789501466</v>
      </c>
      <c r="AC36" s="86"/>
      <c r="AE36" s="10" t="s">
        <v>31</v>
      </c>
      <c r="AF36" s="37">
        <f t="shared" si="1"/>
        <v>0</v>
      </c>
      <c r="AG36" s="37">
        <f t="shared" si="1"/>
        <v>0.01</v>
      </c>
      <c r="AH36" s="37">
        <f t="shared" si="1"/>
        <v>0.01</v>
      </c>
      <c r="AI36" s="37">
        <f t="shared" si="1"/>
        <v>0.01</v>
      </c>
      <c r="AJ36" s="37">
        <f t="shared" si="1"/>
        <v>0.01</v>
      </c>
      <c r="AK36" s="37">
        <f t="shared" si="1"/>
        <v>0</v>
      </c>
      <c r="AL36" s="37"/>
      <c r="AM36" s="37"/>
      <c r="AN36" s="37"/>
      <c r="AO36" s="37"/>
      <c r="AQ36" s="8"/>
      <c r="AS36" s="3" t="s">
        <v>29</v>
      </c>
      <c r="AT36" s="8"/>
      <c r="AU36" s="8"/>
      <c r="AV36" s="8">
        <v>2043772.9540111427</v>
      </c>
      <c r="AW36" s="8"/>
      <c r="AX36" s="8"/>
      <c r="AY36" s="8"/>
      <c r="AZ36" s="8"/>
      <c r="BA36" s="8"/>
      <c r="BB36" s="8"/>
      <c r="BC36" s="8">
        <v>2043772.9540111427</v>
      </c>
      <c r="BE36" s="8"/>
    </row>
    <row r="37" spans="1:57" x14ac:dyDescent="0.25">
      <c r="A37" s="3" t="s">
        <v>14</v>
      </c>
      <c r="B37" s="8">
        <v>-157168.99507737625</v>
      </c>
      <c r="C37" s="8">
        <v>0</v>
      </c>
      <c r="D37" s="8">
        <v>0</v>
      </c>
      <c r="E37" s="8">
        <v>-101166.79985424879</v>
      </c>
      <c r="F37" s="8">
        <v>-758543</v>
      </c>
      <c r="G37" s="8">
        <v>-1016878.794931625</v>
      </c>
      <c r="K37" s="3" t="s">
        <v>14</v>
      </c>
      <c r="L37" s="8">
        <v>0</v>
      </c>
      <c r="M37" s="8">
        <v>-250298.02694719902</v>
      </c>
      <c r="N37" s="8">
        <v>-762369</v>
      </c>
      <c r="O37" s="8">
        <v>-8037.7679844260274</v>
      </c>
      <c r="P37" s="8">
        <v>3826</v>
      </c>
      <c r="Q37" s="8">
        <v>-1016878.794931625</v>
      </c>
      <c r="T37"/>
      <c r="U37" s="3" t="s">
        <v>33</v>
      </c>
      <c r="V37" s="86"/>
      <c r="W37" s="86">
        <v>-30612.261067437998</v>
      </c>
      <c r="X37" s="86"/>
      <c r="Y37" s="86"/>
      <c r="Z37" s="86"/>
      <c r="AA37" s="86"/>
      <c r="AB37" s="86">
        <v>-30612.261067437998</v>
      </c>
      <c r="AC37" s="86"/>
      <c r="AE37" s="10" t="s">
        <v>22</v>
      </c>
      <c r="AF37" s="37">
        <f t="shared" si="1"/>
        <v>0</v>
      </c>
      <c r="AG37" s="37">
        <f t="shared" si="1"/>
        <v>0.01</v>
      </c>
      <c r="AH37" s="37">
        <f t="shared" si="1"/>
        <v>0.01</v>
      </c>
      <c r="AI37" s="37">
        <f t="shared" si="1"/>
        <v>0.01</v>
      </c>
      <c r="AJ37" s="37">
        <f t="shared" si="1"/>
        <v>0.01</v>
      </c>
      <c r="AK37" s="37">
        <f t="shared" si="1"/>
        <v>0</v>
      </c>
      <c r="AL37" s="37"/>
      <c r="AM37" s="37"/>
      <c r="AN37" s="37"/>
      <c r="AO37" s="37"/>
      <c r="AQ37" s="8"/>
      <c r="AS37" s="3" t="s">
        <v>15</v>
      </c>
      <c r="AT37" s="8"/>
      <c r="AU37" s="8"/>
      <c r="AV37" s="8">
        <v>8647824.7438172661</v>
      </c>
      <c r="AW37" s="8">
        <v>18210613.102495998</v>
      </c>
      <c r="AX37" s="8"/>
      <c r="AY37" s="8">
        <v>-17076057.910499774</v>
      </c>
      <c r="AZ37" s="8">
        <v>-19183950</v>
      </c>
      <c r="BA37" s="8">
        <v>100017.916490383</v>
      </c>
      <c r="BB37" s="8">
        <v>1215500</v>
      </c>
      <c r="BC37" s="8">
        <v>-8086052.1476961263</v>
      </c>
      <c r="BE37" s="8"/>
    </row>
    <row r="38" spans="1:57" x14ac:dyDescent="0.25">
      <c r="A38" s="3" t="s">
        <v>31</v>
      </c>
      <c r="B38" s="8">
        <v>0</v>
      </c>
      <c r="C38" s="8"/>
      <c r="D38" s="8"/>
      <c r="E38" s="8"/>
      <c r="F38" s="8"/>
      <c r="G38" s="8">
        <v>0</v>
      </c>
      <c r="K38" s="3" t="s">
        <v>31</v>
      </c>
      <c r="L38" s="8">
        <v>0</v>
      </c>
      <c r="M38" s="8"/>
      <c r="N38" s="8"/>
      <c r="O38" s="8"/>
      <c r="P38" s="8"/>
      <c r="Q38" s="8">
        <v>0</v>
      </c>
      <c r="T38"/>
      <c r="U38" s="3" t="s">
        <v>41</v>
      </c>
      <c r="V38" s="86"/>
      <c r="W38" s="86">
        <v>-340590</v>
      </c>
      <c r="X38" s="86"/>
      <c r="Y38" s="86"/>
      <c r="Z38" s="86"/>
      <c r="AA38" s="86"/>
      <c r="AB38" s="86">
        <v>-340590</v>
      </c>
      <c r="AC38" s="86"/>
      <c r="AE38" s="10" t="s">
        <v>28</v>
      </c>
      <c r="AF38" s="37">
        <f t="shared" si="1"/>
        <v>0</v>
      </c>
      <c r="AG38" s="37">
        <f t="shared" si="1"/>
        <v>0.01</v>
      </c>
      <c r="AH38" s="37">
        <f t="shared" si="1"/>
        <v>0.01</v>
      </c>
      <c r="AI38" s="37">
        <f t="shared" si="1"/>
        <v>0.01</v>
      </c>
      <c r="AJ38" s="37">
        <f t="shared" si="1"/>
        <v>0.01</v>
      </c>
      <c r="AK38" s="37">
        <f t="shared" si="1"/>
        <v>0</v>
      </c>
      <c r="AL38" s="37"/>
      <c r="AM38" s="37"/>
      <c r="AN38" s="37"/>
      <c r="AO38" s="37"/>
      <c r="AQ38" s="8"/>
      <c r="AS38" s="3" t="s">
        <v>272</v>
      </c>
      <c r="AT38" s="8"/>
      <c r="AU38" s="8"/>
      <c r="AV38" s="8">
        <v>16251.980146977308</v>
      </c>
      <c r="AW38" s="8"/>
      <c r="AX38" s="8"/>
      <c r="AY38" s="8"/>
      <c r="AZ38" s="8"/>
      <c r="BA38" s="8"/>
      <c r="BB38" s="8"/>
      <c r="BC38" s="8">
        <v>16251.980146977308</v>
      </c>
      <c r="BE38" s="8"/>
    </row>
    <row r="39" spans="1:57" x14ac:dyDescent="0.25">
      <c r="A39" s="3" t="s">
        <v>23</v>
      </c>
      <c r="B39" s="8">
        <v>0</v>
      </c>
      <c r="C39" s="8"/>
      <c r="D39" s="8"/>
      <c r="E39" s="8">
        <v>0</v>
      </c>
      <c r="F39" s="8"/>
      <c r="G39" s="8">
        <v>0</v>
      </c>
      <c r="K39" s="3" t="s">
        <v>23</v>
      </c>
      <c r="L39" s="8">
        <v>0</v>
      </c>
      <c r="M39" s="8"/>
      <c r="N39" s="8"/>
      <c r="O39" s="8"/>
      <c r="P39" s="8"/>
      <c r="Q39" s="8">
        <v>0</v>
      </c>
      <c r="T39"/>
      <c r="U39" s="3" t="s">
        <v>42</v>
      </c>
      <c r="V39" s="86">
        <v>11685.429400000001</v>
      </c>
      <c r="W39" s="86">
        <v>-568.76840000000004</v>
      </c>
      <c r="X39" s="86"/>
      <c r="Y39" s="86"/>
      <c r="Z39" s="86"/>
      <c r="AA39" s="86"/>
      <c r="AB39" s="86">
        <v>11116.661</v>
      </c>
      <c r="AC39" s="86"/>
      <c r="AE39" s="10" t="s">
        <v>23</v>
      </c>
      <c r="AF39" s="37">
        <f t="shared" si="1"/>
        <v>0</v>
      </c>
      <c r="AG39" s="37">
        <f t="shared" si="1"/>
        <v>0.01</v>
      </c>
      <c r="AH39" s="37">
        <f t="shared" si="1"/>
        <v>0.01</v>
      </c>
      <c r="AI39" s="37">
        <f t="shared" si="1"/>
        <v>0.01</v>
      </c>
      <c r="AJ39" s="37">
        <f t="shared" si="1"/>
        <v>0.01</v>
      </c>
      <c r="AK39" s="37">
        <f t="shared" si="1"/>
        <v>0</v>
      </c>
      <c r="AL39" s="37"/>
      <c r="AM39" s="37"/>
      <c r="AN39" s="37"/>
      <c r="AO39" s="37"/>
      <c r="AQ39" s="8"/>
      <c r="AS39" s="3" t="s">
        <v>107</v>
      </c>
      <c r="AT39" s="8"/>
      <c r="AU39" s="8">
        <v>867934.42936221696</v>
      </c>
      <c r="AV39" s="8"/>
      <c r="AW39" s="8"/>
      <c r="AX39" s="8"/>
      <c r="AY39" s="8"/>
      <c r="AZ39" s="8"/>
      <c r="BA39" s="8"/>
      <c r="BB39" s="8"/>
      <c r="BC39" s="8">
        <v>867934.42936221696</v>
      </c>
      <c r="BE39" s="8"/>
    </row>
    <row r="40" spans="1:57" x14ac:dyDescent="0.25">
      <c r="A40" s="3" t="s">
        <v>15</v>
      </c>
      <c r="B40" s="8">
        <v>-115829.60417255107</v>
      </c>
      <c r="C40" s="8"/>
      <c r="D40" s="8">
        <v>0</v>
      </c>
      <c r="E40" s="8">
        <v>-53930.795767543823</v>
      </c>
      <c r="F40" s="8">
        <v>-179684.5</v>
      </c>
      <c r="G40" s="8">
        <v>-349444.89994009491</v>
      </c>
      <c r="K40" s="3" t="s">
        <v>15</v>
      </c>
      <c r="L40" s="8">
        <v>0</v>
      </c>
      <c r="M40" s="8">
        <v>-170760.57910499873</v>
      </c>
      <c r="N40" s="8">
        <v>-191839.5</v>
      </c>
      <c r="O40" s="8">
        <v>1000.179164903835</v>
      </c>
      <c r="P40" s="8">
        <v>12155</v>
      </c>
      <c r="Q40" s="8">
        <v>-349444.89994009491</v>
      </c>
      <c r="T40"/>
      <c r="U40" s="3" t="s">
        <v>46</v>
      </c>
      <c r="V40" s="86">
        <v>33489528.413506202</v>
      </c>
      <c r="W40" s="86">
        <v>-987809.60800000001</v>
      </c>
      <c r="X40" s="86">
        <v>821790.42324563093</v>
      </c>
      <c r="Y40" s="86">
        <v>-16331549.985424876</v>
      </c>
      <c r="Z40" s="86"/>
      <c r="AA40" s="86"/>
      <c r="AB40" s="86">
        <v>16991959.243326958</v>
      </c>
      <c r="AC40" s="86"/>
      <c r="AE40" s="10" t="s">
        <v>29</v>
      </c>
      <c r="AF40" s="37">
        <f t="shared" si="1"/>
        <v>0</v>
      </c>
      <c r="AG40" s="37">
        <f t="shared" si="1"/>
        <v>0.01</v>
      </c>
      <c r="AH40" s="37">
        <f t="shared" si="1"/>
        <v>0.01</v>
      </c>
      <c r="AI40" s="37">
        <f t="shared" si="1"/>
        <v>0.01</v>
      </c>
      <c r="AJ40" s="37">
        <f t="shared" si="1"/>
        <v>0.01</v>
      </c>
      <c r="AK40" s="37">
        <f t="shared" si="1"/>
        <v>0</v>
      </c>
      <c r="AL40" s="37"/>
      <c r="AM40" s="37"/>
      <c r="AN40" s="37"/>
      <c r="AO40" s="37"/>
      <c r="AQ40" s="8"/>
      <c r="AS40" s="3" t="s">
        <v>258</v>
      </c>
      <c r="AT40" s="8"/>
      <c r="AU40" s="8"/>
      <c r="AV40" s="8">
        <v>-15897685.982357446</v>
      </c>
      <c r="AW40" s="8"/>
      <c r="AX40" s="8"/>
      <c r="AY40" s="8"/>
      <c r="AZ40" s="8"/>
      <c r="BA40" s="8"/>
      <c r="BB40" s="8"/>
      <c r="BC40" s="8">
        <v>-15897685.982357446</v>
      </c>
      <c r="BE40" s="8"/>
    </row>
    <row r="41" spans="1:57" x14ac:dyDescent="0.25">
      <c r="A41" s="3" t="s">
        <v>27</v>
      </c>
      <c r="B41" s="8">
        <v>0</v>
      </c>
      <c r="C41" s="8"/>
      <c r="D41" s="8"/>
      <c r="E41" s="8">
        <v>0</v>
      </c>
      <c r="F41" s="8"/>
      <c r="G41" s="8">
        <v>0</v>
      </c>
      <c r="K41" s="3" t="s">
        <v>27</v>
      </c>
      <c r="L41" s="8">
        <v>0</v>
      </c>
      <c r="M41" s="8"/>
      <c r="N41" s="8"/>
      <c r="O41" s="8"/>
      <c r="P41" s="8"/>
      <c r="Q41" s="8">
        <v>0</v>
      </c>
      <c r="T41"/>
      <c r="U41" s="3" t="s">
        <v>51</v>
      </c>
      <c r="V41" s="86">
        <v>13585.760202444</v>
      </c>
      <c r="W41" s="86"/>
      <c r="X41" s="86"/>
      <c r="Y41" s="86"/>
      <c r="Z41" s="86"/>
      <c r="AA41" s="86"/>
      <c r="AB41" s="86">
        <v>13585.760202444</v>
      </c>
      <c r="AC41" s="86"/>
      <c r="AE41" s="10" t="s">
        <v>15</v>
      </c>
      <c r="AF41" s="37">
        <f t="shared" si="1"/>
        <v>0</v>
      </c>
      <c r="AG41" s="37">
        <f t="shared" si="1"/>
        <v>0.01</v>
      </c>
      <c r="AH41" s="37">
        <f t="shared" si="1"/>
        <v>0.01</v>
      </c>
      <c r="AI41" s="37">
        <f t="shared" si="1"/>
        <v>0.01</v>
      </c>
      <c r="AJ41" s="37">
        <f t="shared" si="1"/>
        <v>0.01</v>
      </c>
      <c r="AK41" s="37">
        <f t="shared" si="1"/>
        <v>0</v>
      </c>
      <c r="AL41" s="37"/>
      <c r="AM41" s="37"/>
      <c r="AN41" s="37"/>
      <c r="AO41" s="37"/>
      <c r="AQ41" s="8"/>
      <c r="AS41" s="3" t="s">
        <v>30</v>
      </c>
      <c r="AT41" s="8"/>
      <c r="AU41" s="8"/>
      <c r="AV41" s="8">
        <v>4.5680565118387095</v>
      </c>
      <c r="AW41" s="8"/>
      <c r="AX41" s="8"/>
      <c r="AY41" s="8"/>
      <c r="AZ41" s="8"/>
      <c r="BA41" s="8"/>
      <c r="BB41" s="8"/>
      <c r="BC41" s="8">
        <v>4.5680565118387095</v>
      </c>
      <c r="BE41" s="8"/>
    </row>
    <row r="42" spans="1:57" x14ac:dyDescent="0.25">
      <c r="A42" s="3" t="s">
        <v>24</v>
      </c>
      <c r="B42" s="8">
        <v>0</v>
      </c>
      <c r="C42" s="8"/>
      <c r="D42" s="8"/>
      <c r="E42" s="8"/>
      <c r="F42" s="8"/>
      <c r="G42" s="8">
        <v>0</v>
      </c>
      <c r="K42" s="3" t="s">
        <v>24</v>
      </c>
      <c r="L42" s="8">
        <v>0</v>
      </c>
      <c r="M42" s="8"/>
      <c r="N42" s="8"/>
      <c r="O42" s="8"/>
      <c r="P42" s="8"/>
      <c r="Q42" s="8">
        <v>0</v>
      </c>
      <c r="T42"/>
      <c r="U42" s="3" t="s">
        <v>299</v>
      </c>
      <c r="V42" s="86">
        <v>792539.29350559402</v>
      </c>
      <c r="W42" s="86"/>
      <c r="X42" s="86"/>
      <c r="Y42" s="86"/>
      <c r="Z42" s="86"/>
      <c r="AA42" s="86"/>
      <c r="AB42" s="86">
        <v>792539.29350559402</v>
      </c>
      <c r="AC42" s="86"/>
      <c r="AE42" s="10" t="s">
        <v>30</v>
      </c>
      <c r="AF42" s="37">
        <f t="shared" ref="AF42:AK50" si="2">AF$31</f>
        <v>0</v>
      </c>
      <c r="AG42" s="37">
        <f t="shared" si="2"/>
        <v>0.01</v>
      </c>
      <c r="AH42" s="37">
        <f t="shared" si="2"/>
        <v>0.01</v>
      </c>
      <c r="AI42" s="37">
        <f t="shared" si="2"/>
        <v>0.01</v>
      </c>
      <c r="AJ42" s="37">
        <f t="shared" si="2"/>
        <v>0.01</v>
      </c>
      <c r="AK42" s="37">
        <f t="shared" si="2"/>
        <v>0</v>
      </c>
      <c r="AL42" s="37"/>
      <c r="AM42" s="37"/>
      <c r="AN42" s="37"/>
      <c r="AO42" s="37"/>
      <c r="AQ42" s="8"/>
      <c r="AS42" s="3" t="s">
        <v>191</v>
      </c>
      <c r="AT42" s="8"/>
      <c r="AU42" s="8"/>
      <c r="AV42" s="8">
        <v>1087.4612716261327</v>
      </c>
      <c r="AW42" s="8"/>
      <c r="AX42" s="8"/>
      <c r="AY42" s="8"/>
      <c r="AZ42" s="8"/>
      <c r="BA42" s="8"/>
      <c r="BB42" s="8"/>
      <c r="BC42" s="8">
        <v>1087.4612716261327</v>
      </c>
      <c r="BE42" s="8"/>
    </row>
    <row r="43" spans="1:57" x14ac:dyDescent="0.25">
      <c r="A43" s="3" t="s">
        <v>37</v>
      </c>
      <c r="B43" s="8"/>
      <c r="C43" s="8"/>
      <c r="D43" s="8"/>
      <c r="E43" s="8">
        <v>0</v>
      </c>
      <c r="F43" s="8"/>
      <c r="G43" s="8">
        <v>0</v>
      </c>
      <c r="K43" s="3" t="s">
        <v>37</v>
      </c>
      <c r="L43" s="8">
        <v>0</v>
      </c>
      <c r="M43" s="8"/>
      <c r="N43" s="8"/>
      <c r="O43" s="8"/>
      <c r="P43" s="8"/>
      <c r="Q43" s="8">
        <v>0</v>
      </c>
      <c r="T43"/>
      <c r="U43" s="3" t="s">
        <v>296</v>
      </c>
      <c r="V43" s="86"/>
      <c r="W43" s="86"/>
      <c r="X43" s="86"/>
      <c r="Y43" s="86"/>
      <c r="Z43" s="86">
        <v>1598100</v>
      </c>
      <c r="AA43" s="86">
        <v>-95420850</v>
      </c>
      <c r="AB43" s="86">
        <v>-93822750</v>
      </c>
      <c r="AC43" s="86"/>
      <c r="AE43" s="10" t="s">
        <v>43</v>
      </c>
      <c r="AF43" s="37">
        <f t="shared" si="2"/>
        <v>0</v>
      </c>
      <c r="AG43" s="37">
        <f t="shared" si="2"/>
        <v>0.01</v>
      </c>
      <c r="AH43" s="37">
        <f t="shared" si="2"/>
        <v>0.01</v>
      </c>
      <c r="AI43" s="37">
        <f t="shared" si="2"/>
        <v>0.01</v>
      </c>
      <c r="AJ43" s="37">
        <f t="shared" si="2"/>
        <v>0.01</v>
      </c>
      <c r="AK43" s="37">
        <f t="shared" si="2"/>
        <v>0</v>
      </c>
      <c r="AL43" s="37"/>
      <c r="AM43" s="37"/>
      <c r="AN43" s="37"/>
      <c r="AO43" s="37"/>
      <c r="AQ43" s="8"/>
      <c r="AS43" s="3" t="s">
        <v>109</v>
      </c>
      <c r="AT43" s="8"/>
      <c r="AU43" s="8"/>
      <c r="AV43" s="8">
        <v>4.4523692177403333</v>
      </c>
      <c r="AW43" s="8"/>
      <c r="AX43" s="8"/>
      <c r="AY43" s="8"/>
      <c r="AZ43" s="8"/>
      <c r="BA43" s="8"/>
      <c r="BB43" s="8"/>
      <c r="BC43" s="8">
        <v>4.4523692177403333</v>
      </c>
      <c r="BE43" s="8"/>
    </row>
    <row r="44" spans="1:57" x14ac:dyDescent="0.25">
      <c r="A44" s="3" t="s">
        <v>26</v>
      </c>
      <c r="B44" s="8">
        <v>0</v>
      </c>
      <c r="C44" s="8"/>
      <c r="D44" s="8"/>
      <c r="E44" s="8"/>
      <c r="F44" s="8"/>
      <c r="G44" s="8">
        <v>0</v>
      </c>
      <c r="K44" s="3" t="s">
        <v>26</v>
      </c>
      <c r="L44" s="8">
        <v>0</v>
      </c>
      <c r="M44" s="8"/>
      <c r="N44" s="8"/>
      <c r="O44" s="8"/>
      <c r="P44" s="8"/>
      <c r="Q44" s="8">
        <v>0</v>
      </c>
      <c r="T44"/>
      <c r="U44" s="3" t="s">
        <v>56</v>
      </c>
      <c r="V44" s="86">
        <v>112758045.37831424</v>
      </c>
      <c r="W44" s="86">
        <v>-4577070.4046733566</v>
      </c>
      <c r="X44" s="86">
        <v>821790.42324563093</v>
      </c>
      <c r="Y44" s="86">
        <v>-43631409.910417497</v>
      </c>
      <c r="Z44" s="86">
        <v>1598100</v>
      </c>
      <c r="AA44" s="86">
        <v>-95420850</v>
      </c>
      <c r="AB44" s="86">
        <v>-28451394.513530977</v>
      </c>
      <c r="AC44" s="86"/>
      <c r="AE44" s="10" t="s">
        <v>27</v>
      </c>
      <c r="AF44" s="37">
        <f t="shared" si="2"/>
        <v>0</v>
      </c>
      <c r="AG44" s="37">
        <f t="shared" si="2"/>
        <v>0.01</v>
      </c>
      <c r="AH44" s="37">
        <f t="shared" si="2"/>
        <v>0.01</v>
      </c>
      <c r="AI44" s="37">
        <f t="shared" si="2"/>
        <v>0.01</v>
      </c>
      <c r="AJ44" s="37">
        <f t="shared" si="2"/>
        <v>0.01</v>
      </c>
      <c r="AK44" s="37">
        <f t="shared" si="2"/>
        <v>0</v>
      </c>
      <c r="AL44" s="37"/>
      <c r="AM44" s="37"/>
      <c r="AN44" s="37"/>
      <c r="AO44" s="37"/>
      <c r="AQ44" s="8"/>
      <c r="AS44" s="3" t="s">
        <v>134</v>
      </c>
      <c r="AT44" s="8"/>
      <c r="AU44" s="8"/>
      <c r="AV44" s="8">
        <v>123.290471367386</v>
      </c>
      <c r="AW44" s="8"/>
      <c r="AX44" s="8"/>
      <c r="AY44" s="8"/>
      <c r="AZ44" s="8"/>
      <c r="BA44" s="8"/>
      <c r="BB44" s="8"/>
      <c r="BC44" s="8">
        <v>123.290471367386</v>
      </c>
      <c r="BE44" s="8"/>
    </row>
    <row r="45" spans="1:57" x14ac:dyDescent="0.25">
      <c r="A45" s="3" t="s">
        <v>56</v>
      </c>
      <c r="B45" s="8">
        <v>-272998.59924992733</v>
      </c>
      <c r="C45" s="8">
        <v>0</v>
      </c>
      <c r="D45" s="8">
        <v>0</v>
      </c>
      <c r="E45" s="8">
        <v>-155097.5956217926</v>
      </c>
      <c r="F45" s="8">
        <v>-938227.5</v>
      </c>
      <c r="G45" s="8">
        <v>-1366323.6948717199</v>
      </c>
      <c r="K45" s="3" t="s">
        <v>150</v>
      </c>
      <c r="L45" s="8">
        <v>0</v>
      </c>
      <c r="M45" s="8"/>
      <c r="N45" s="8"/>
      <c r="O45" s="8"/>
      <c r="P45" s="8"/>
      <c r="Q45" s="8">
        <v>0</v>
      </c>
      <c r="T45"/>
      <c r="AB45" s="86"/>
      <c r="AC45" s="86"/>
      <c r="AE45" s="10" t="s">
        <v>24</v>
      </c>
      <c r="AF45" s="37">
        <f t="shared" si="2"/>
        <v>0</v>
      </c>
      <c r="AG45" s="37">
        <f t="shared" si="2"/>
        <v>0.01</v>
      </c>
      <c r="AH45" s="37">
        <f t="shared" si="2"/>
        <v>0.01</v>
      </c>
      <c r="AI45" s="37">
        <f t="shared" si="2"/>
        <v>0.01</v>
      </c>
      <c r="AJ45" s="37">
        <f t="shared" si="2"/>
        <v>0.01</v>
      </c>
      <c r="AK45" s="37">
        <f t="shared" si="2"/>
        <v>0</v>
      </c>
      <c r="AL45" s="37"/>
      <c r="AM45" s="37"/>
      <c r="AN45" s="37"/>
      <c r="AO45" s="37"/>
      <c r="AQ45" s="8"/>
      <c r="AS45" s="3" t="s">
        <v>177</v>
      </c>
      <c r="AT45" s="8"/>
      <c r="AU45" s="8"/>
      <c r="AV45" s="8">
        <v>1.2211649999999999E-2</v>
      </c>
      <c r="AW45" s="8"/>
      <c r="AX45" s="8"/>
      <c r="AY45" s="8"/>
      <c r="AZ45" s="8"/>
      <c r="BA45" s="8"/>
      <c r="BB45" s="8"/>
      <c r="BC45" s="8">
        <v>1.2211649999999999E-2</v>
      </c>
      <c r="BE45" s="8"/>
    </row>
    <row r="46" spans="1:57" x14ac:dyDescent="0.25">
      <c r="K46" s="3" t="s">
        <v>56</v>
      </c>
      <c r="L46" s="8">
        <v>0</v>
      </c>
      <c r="M46" s="8">
        <v>-421058.60605219775</v>
      </c>
      <c r="N46" s="8">
        <v>-954208.5</v>
      </c>
      <c r="O46" s="8">
        <v>-7037.5888195221924</v>
      </c>
      <c r="P46" s="8">
        <v>15981</v>
      </c>
      <c r="Q46" s="8">
        <v>-1366323.6948717199</v>
      </c>
      <c r="T46"/>
      <c r="AB46" s="86"/>
      <c r="AC46" s="86"/>
      <c r="AE46" s="10" t="s">
        <v>150</v>
      </c>
      <c r="AF46" s="37">
        <f t="shared" si="2"/>
        <v>0</v>
      </c>
      <c r="AG46" s="37">
        <f t="shared" si="2"/>
        <v>0.01</v>
      </c>
      <c r="AH46" s="37">
        <f t="shared" si="2"/>
        <v>0.01</v>
      </c>
      <c r="AI46" s="37">
        <f t="shared" si="2"/>
        <v>0.01</v>
      </c>
      <c r="AJ46" s="37">
        <f t="shared" si="2"/>
        <v>0.01</v>
      </c>
      <c r="AK46" s="37">
        <f t="shared" si="2"/>
        <v>0</v>
      </c>
      <c r="AL46" s="37"/>
      <c r="AM46" s="37"/>
      <c r="AN46" s="37"/>
      <c r="AO46" s="37"/>
      <c r="AQ46" s="8"/>
      <c r="AS46" s="3" t="s">
        <v>135</v>
      </c>
      <c r="AT46" s="8"/>
      <c r="AU46" s="8"/>
      <c r="AV46" s="8">
        <v>35.335117635084316</v>
      </c>
      <c r="AW46" s="8"/>
      <c r="AX46" s="8"/>
      <c r="AY46" s="8"/>
      <c r="AZ46" s="8"/>
      <c r="BA46" s="8"/>
      <c r="BB46" s="8"/>
      <c r="BC46" s="8">
        <v>35.335117635084316</v>
      </c>
      <c r="BE46" s="8"/>
    </row>
    <row r="47" spans="1:57" x14ac:dyDescent="0.25">
      <c r="T47"/>
      <c r="AB47" s="86"/>
      <c r="AC47" s="86"/>
      <c r="AE47" s="10" t="s">
        <v>37</v>
      </c>
      <c r="AF47" s="37">
        <f t="shared" si="2"/>
        <v>0</v>
      </c>
      <c r="AG47" s="37">
        <f t="shared" si="2"/>
        <v>0.01</v>
      </c>
      <c r="AH47" s="37">
        <f t="shared" si="2"/>
        <v>0.01</v>
      </c>
      <c r="AI47" s="37">
        <f t="shared" si="2"/>
        <v>0.01</v>
      </c>
      <c r="AJ47" s="37">
        <f t="shared" si="2"/>
        <v>0.01</v>
      </c>
      <c r="AK47" s="37">
        <f t="shared" si="2"/>
        <v>0</v>
      </c>
      <c r="AL47" s="37"/>
      <c r="AM47" s="37"/>
      <c r="AN47" s="37"/>
      <c r="AO47" s="37"/>
      <c r="AQ47" s="8"/>
      <c r="AS47" s="3" t="s">
        <v>136</v>
      </c>
      <c r="AT47" s="8"/>
      <c r="AU47" s="8"/>
      <c r="AV47" s="8">
        <v>1.0398940855485499</v>
      </c>
      <c r="AW47" s="8"/>
      <c r="AX47" s="8"/>
      <c r="AY47" s="8"/>
      <c r="AZ47" s="8"/>
      <c r="BA47" s="8"/>
      <c r="BB47" s="8"/>
      <c r="BC47" s="8">
        <v>1.0398940855485499</v>
      </c>
      <c r="BE47" s="8"/>
    </row>
    <row r="48" spans="1:57" x14ac:dyDescent="0.25">
      <c r="T48"/>
      <c r="V48" s="86"/>
      <c r="W48" s="86"/>
      <c r="X48" s="86"/>
      <c r="Y48" s="86"/>
      <c r="Z48" s="86"/>
      <c r="AA48" s="86"/>
      <c r="AB48" s="86"/>
      <c r="AC48" s="86"/>
      <c r="AE48" s="10" t="s">
        <v>25</v>
      </c>
      <c r="AF48" s="37">
        <f t="shared" si="2"/>
        <v>0</v>
      </c>
      <c r="AG48" s="37">
        <f t="shared" si="2"/>
        <v>0.01</v>
      </c>
      <c r="AH48" s="37">
        <f t="shared" si="2"/>
        <v>0.01</v>
      </c>
      <c r="AI48" s="37">
        <f t="shared" si="2"/>
        <v>0.01</v>
      </c>
      <c r="AJ48" s="37">
        <f t="shared" si="2"/>
        <v>0.01</v>
      </c>
      <c r="AK48" s="37">
        <f t="shared" si="2"/>
        <v>0</v>
      </c>
      <c r="AL48" s="37"/>
      <c r="AM48" s="37"/>
      <c r="AN48" s="37"/>
      <c r="AO48" s="37"/>
      <c r="AQ48" s="8"/>
      <c r="AS48" s="3" t="s">
        <v>137</v>
      </c>
      <c r="AT48" s="8"/>
      <c r="AU48" s="8"/>
      <c r="AV48" s="8">
        <v>8106.9204874240804</v>
      </c>
      <c r="AW48" s="8"/>
      <c r="AX48" s="8"/>
      <c r="AY48" s="8"/>
      <c r="AZ48" s="8"/>
      <c r="BA48" s="8"/>
      <c r="BB48" s="8"/>
      <c r="BC48" s="8">
        <v>8106.9204874240804</v>
      </c>
      <c r="BE48" s="8"/>
    </row>
    <row r="49" spans="1:57" x14ac:dyDescent="0.25">
      <c r="T49"/>
      <c r="V49" s="86"/>
      <c r="W49" s="86"/>
      <c r="X49" s="86"/>
      <c r="Y49" s="86"/>
      <c r="Z49" s="86"/>
      <c r="AA49" s="86"/>
      <c r="AB49" s="86"/>
      <c r="AC49" s="86"/>
      <c r="AE49" s="10" t="s">
        <v>38</v>
      </c>
      <c r="AF49" s="37">
        <f t="shared" si="2"/>
        <v>0</v>
      </c>
      <c r="AG49" s="37">
        <f t="shared" si="2"/>
        <v>0.01</v>
      </c>
      <c r="AH49" s="37">
        <f t="shared" si="2"/>
        <v>0.01</v>
      </c>
      <c r="AI49" s="37">
        <f t="shared" si="2"/>
        <v>0.01</v>
      </c>
      <c r="AJ49" s="37">
        <f t="shared" si="2"/>
        <v>0.01</v>
      </c>
      <c r="AK49" s="37">
        <f t="shared" si="2"/>
        <v>0</v>
      </c>
      <c r="AL49" s="37"/>
      <c r="AM49" s="37"/>
      <c r="AN49" s="37"/>
      <c r="AO49" s="37"/>
      <c r="AQ49" s="8"/>
      <c r="AS49" s="3" t="s">
        <v>139</v>
      </c>
      <c r="AT49" s="8"/>
      <c r="AU49" s="8"/>
      <c r="AV49" s="8">
        <v>0.121917236886426</v>
      </c>
      <c r="AW49" s="8"/>
      <c r="AX49" s="8"/>
      <c r="AY49" s="8"/>
      <c r="AZ49" s="8"/>
      <c r="BA49" s="8"/>
      <c r="BB49" s="8"/>
      <c r="BC49" s="8">
        <v>0.121917236886426</v>
      </c>
      <c r="BE49" s="8"/>
    </row>
    <row r="50" spans="1:57" x14ac:dyDescent="0.25">
      <c r="T50"/>
      <c r="V50" s="86"/>
      <c r="W50" s="86"/>
      <c r="X50" s="86"/>
      <c r="Y50" s="86"/>
      <c r="Z50" s="86"/>
      <c r="AA50" s="86"/>
      <c r="AB50" s="86"/>
      <c r="AE50" s="10" t="s">
        <v>26</v>
      </c>
      <c r="AF50" s="37">
        <f t="shared" si="2"/>
        <v>0</v>
      </c>
      <c r="AG50" s="37">
        <f t="shared" si="2"/>
        <v>0.01</v>
      </c>
      <c r="AH50" s="37">
        <f t="shared" si="2"/>
        <v>0.01</v>
      </c>
      <c r="AI50" s="37">
        <f t="shared" si="2"/>
        <v>0.01</v>
      </c>
      <c r="AJ50" s="37">
        <f t="shared" si="2"/>
        <v>0.01</v>
      </c>
      <c r="AK50" s="37">
        <f t="shared" si="2"/>
        <v>0</v>
      </c>
      <c r="AL50" s="37"/>
      <c r="AM50" s="37"/>
      <c r="AN50" s="37"/>
      <c r="AO50" s="37"/>
      <c r="AQ50" s="8"/>
      <c r="AS50" s="3" t="s">
        <v>140</v>
      </c>
      <c r="AT50" s="8"/>
      <c r="AU50" s="8"/>
      <c r="AV50" s="8">
        <v>1.1689388986948599E-2</v>
      </c>
      <c r="AW50" s="8"/>
      <c r="AX50" s="8"/>
      <c r="AY50" s="8"/>
      <c r="AZ50" s="8"/>
      <c r="BA50" s="8"/>
      <c r="BB50" s="8"/>
      <c r="BC50" s="8">
        <v>1.1689388986948599E-2</v>
      </c>
      <c r="BE50" s="8"/>
    </row>
    <row r="51" spans="1:57" x14ac:dyDescent="0.25">
      <c r="T51"/>
      <c r="AF51"/>
      <c r="AG51"/>
      <c r="AN51"/>
      <c r="AO51"/>
      <c r="AQ51" s="8"/>
      <c r="AS51" s="3" t="s">
        <v>141</v>
      </c>
      <c r="AT51" s="8"/>
      <c r="AU51" s="8"/>
      <c r="AV51" s="8">
        <v>0.20061593833102701</v>
      </c>
      <c r="AW51" s="8"/>
      <c r="AX51" s="8"/>
      <c r="AY51" s="8"/>
      <c r="AZ51" s="8"/>
      <c r="BA51" s="8"/>
      <c r="BB51" s="8"/>
      <c r="BC51" s="8">
        <v>0.20061593833102701</v>
      </c>
      <c r="BE51" s="8"/>
    </row>
    <row r="52" spans="1:57" x14ac:dyDescent="0.25">
      <c r="T52"/>
      <c r="AE52" s="10"/>
      <c r="AF52"/>
      <c r="AG52"/>
      <c r="AN52"/>
      <c r="AO52"/>
      <c r="AQ52" s="8"/>
      <c r="AS52" s="3" t="s">
        <v>43</v>
      </c>
      <c r="AT52" s="8"/>
      <c r="AU52" s="8"/>
      <c r="AV52" s="8">
        <v>0.26561840673321507</v>
      </c>
      <c r="AW52" s="8"/>
      <c r="AX52" s="8"/>
      <c r="AY52" s="8"/>
      <c r="AZ52" s="8"/>
      <c r="BA52" s="8"/>
      <c r="BB52" s="8"/>
      <c r="BC52" s="8">
        <v>0.26561840673321507</v>
      </c>
      <c r="BE52" s="8"/>
    </row>
    <row r="53" spans="1:57" s="8" customFormat="1" x14ac:dyDescent="0.25">
      <c r="A53"/>
      <c r="B53"/>
      <c r="C53"/>
      <c r="D53"/>
      <c r="E53"/>
      <c r="F53"/>
      <c r="G53"/>
      <c r="H53"/>
      <c r="I53"/>
      <c r="K53"/>
      <c r="L53" s="64" t="s">
        <v>426</v>
      </c>
      <c r="Q53"/>
      <c r="R53"/>
      <c r="S53"/>
      <c r="AS53" s="3" t="s">
        <v>142</v>
      </c>
      <c r="AV53" s="8">
        <v>3.0956421739687298E-4</v>
      </c>
      <c r="BC53" s="8">
        <v>3.0956421739687298E-4</v>
      </c>
      <c r="BD53"/>
    </row>
    <row r="54" spans="1:57" s="8" customFormat="1" x14ac:dyDescent="0.25">
      <c r="L54" s="33" t="str">
        <f t="array" ref="L54:R54">AF30:AL30</f>
        <v>PERP</v>
      </c>
      <c r="M54" s="40" t="str">
        <v>Mar 23</v>
      </c>
      <c r="N54" s="40" t="str">
        <v>Jun 23</v>
      </c>
      <c r="O54" s="40" t="str">
        <v>CME Jan 23</v>
      </c>
      <c r="P54" s="33" t="str">
        <v>CME Feb 23</v>
      </c>
      <c r="Q54" s="33" t="str">
        <v>CME Mar 23</v>
      </c>
      <c r="R54" s="33" t="str">
        <v/>
      </c>
      <c r="AE54"/>
      <c r="AF54"/>
      <c r="AG54"/>
      <c r="AH54"/>
      <c r="AI54"/>
      <c r="AJ54"/>
      <c r="AK54"/>
      <c r="AL54"/>
      <c r="AM54"/>
      <c r="AN54"/>
      <c r="AO54"/>
      <c r="AS54" s="3" t="s">
        <v>143</v>
      </c>
      <c r="AV54" s="8">
        <v>0</v>
      </c>
      <c r="BC54" s="8">
        <v>0</v>
      </c>
      <c r="BD54"/>
    </row>
    <row r="55" spans="1:57" x14ac:dyDescent="0.25">
      <c r="L55" s="63">
        <v>0</v>
      </c>
      <c r="M55" s="63">
        <v>0.01</v>
      </c>
      <c r="N55" s="63">
        <v>0.01</v>
      </c>
      <c r="O55" s="63">
        <v>0.01</v>
      </c>
      <c r="P55" s="63">
        <v>0.01</v>
      </c>
      <c r="Q55" s="63">
        <v>0.01</v>
      </c>
      <c r="R55" s="63"/>
      <c r="S55" s="8"/>
      <c r="AE55" s="8"/>
      <c r="AH55" s="8"/>
      <c r="AI55" s="8"/>
      <c r="AJ55" s="8"/>
      <c r="AK55" s="8"/>
      <c r="AL55" s="8"/>
      <c r="AM55" s="8"/>
      <c r="AS55" s="3" t="s">
        <v>27</v>
      </c>
      <c r="AT55" s="8"/>
      <c r="AU55" s="8"/>
      <c r="AV55" s="8">
        <v>489936.32640885597</v>
      </c>
      <c r="AW55" s="8">
        <v>-437881.757335275</v>
      </c>
      <c r="AX55" s="8"/>
      <c r="AY55" s="8"/>
      <c r="AZ55" s="8"/>
      <c r="BA55" s="8"/>
      <c r="BB55" s="8"/>
      <c r="BC55" s="8">
        <v>52054.569073580962</v>
      </c>
      <c r="BE55" s="8"/>
    </row>
    <row r="56" spans="1:57" x14ac:dyDescent="0.25">
      <c r="AS56" s="3" t="s">
        <v>144</v>
      </c>
      <c r="AT56" s="8"/>
      <c r="AU56" s="8"/>
      <c r="AV56" s="8">
        <v>1.2336208176422599E-6</v>
      </c>
      <c r="AW56" s="8"/>
      <c r="AX56" s="8"/>
      <c r="AY56" s="8"/>
      <c r="AZ56" s="8"/>
      <c r="BA56" s="8"/>
      <c r="BB56" s="8"/>
      <c r="BC56" s="8">
        <v>1.2336208176422599E-6</v>
      </c>
      <c r="BE56" s="8"/>
    </row>
    <row r="57" spans="1:57" s="8" customFormat="1" x14ac:dyDescent="0.25">
      <c r="K57"/>
      <c r="L57"/>
      <c r="M57"/>
      <c r="N57"/>
      <c r="O57"/>
      <c r="P57"/>
      <c r="Q57"/>
      <c r="R57"/>
      <c r="S57"/>
      <c r="AD57"/>
      <c r="AE57"/>
      <c r="AH57" s="10"/>
      <c r="AI57"/>
      <c r="AJ57"/>
      <c r="AK57"/>
      <c r="AL57"/>
      <c r="AM57"/>
      <c r="AS57" s="3" t="s">
        <v>24</v>
      </c>
      <c r="AV57" s="8">
        <v>241159.70920274968</v>
      </c>
      <c r="AW57" s="8">
        <v>-203475.01912000001</v>
      </c>
      <c r="BC57" s="8">
        <v>37684.690082749672</v>
      </c>
      <c r="BD57"/>
    </row>
    <row r="58" spans="1:57" s="8" customFormat="1" x14ac:dyDescent="0.25">
      <c r="AD58"/>
      <c r="AE58"/>
      <c r="AF58"/>
      <c r="AG58"/>
      <c r="AS58" s="3" t="s">
        <v>145</v>
      </c>
      <c r="AV58" s="8">
        <v>1.7157540226222701E-4</v>
      </c>
      <c r="BC58" s="8">
        <v>1.7157540226222701E-4</v>
      </c>
      <c r="BD58"/>
    </row>
    <row r="59" spans="1:57" x14ac:dyDescent="0.25">
      <c r="A59" s="2" t="s">
        <v>10</v>
      </c>
      <c r="B59" t="s">
        <v>65</v>
      </c>
      <c r="AF59"/>
      <c r="AG59"/>
      <c r="AH59" s="8"/>
      <c r="AI59" s="8"/>
      <c r="AJ59" s="8"/>
      <c r="AK59" s="8"/>
      <c r="AL59" s="8"/>
      <c r="AM59" s="8"/>
      <c r="AP59"/>
      <c r="AS59" s="3" t="s">
        <v>192</v>
      </c>
      <c r="AT59" s="8"/>
      <c r="AU59" s="8"/>
      <c r="AV59" s="8">
        <v>4180.6857343839001</v>
      </c>
      <c r="AW59" s="8"/>
      <c r="AX59" s="8"/>
      <c r="AY59" s="8"/>
      <c r="AZ59" s="8"/>
      <c r="BA59" s="8"/>
      <c r="BB59" s="8"/>
      <c r="BC59" s="8">
        <v>4180.6857343839001</v>
      </c>
      <c r="BE59" s="8"/>
    </row>
    <row r="60" spans="1:57" x14ac:dyDescent="0.25">
      <c r="AF60"/>
      <c r="AG60"/>
      <c r="AN60"/>
      <c r="AO60"/>
      <c r="AP60"/>
      <c r="AS60" s="3" t="s">
        <v>193</v>
      </c>
      <c r="AT60" s="8"/>
      <c r="AU60" s="8"/>
      <c r="AV60" s="8">
        <v>-259.27252278836386</v>
      </c>
      <c r="AW60" s="8"/>
      <c r="AX60" s="8"/>
      <c r="AY60" s="8"/>
      <c r="AZ60" s="8"/>
      <c r="BA60" s="8"/>
      <c r="BB60" s="8"/>
      <c r="BC60" s="8">
        <v>-259.27252278836386</v>
      </c>
      <c r="BE60" s="8"/>
    </row>
    <row r="61" spans="1:57" x14ac:dyDescent="0.25">
      <c r="A61" s="2" t="s">
        <v>58</v>
      </c>
      <c r="B61" s="2" t="s">
        <v>54</v>
      </c>
      <c r="AF61"/>
      <c r="AG61"/>
      <c r="AN61"/>
      <c r="AO61"/>
      <c r="AP61"/>
      <c r="AS61" s="3" t="s">
        <v>146</v>
      </c>
      <c r="AT61" s="8"/>
      <c r="AU61" s="8"/>
      <c r="AV61" s="8">
        <v>6.3991039922190902</v>
      </c>
      <c r="AW61" s="8"/>
      <c r="AX61" s="8"/>
      <c r="AY61" s="8"/>
      <c r="AZ61" s="8"/>
      <c r="BA61" s="8"/>
      <c r="BB61" s="8"/>
      <c r="BC61" s="8">
        <v>6.3991039922190902</v>
      </c>
      <c r="BE61" s="8"/>
    </row>
    <row r="62" spans="1:57" x14ac:dyDescent="0.25">
      <c r="A62" s="2" t="s">
        <v>57</v>
      </c>
      <c r="B62" s="8" t="s">
        <v>11</v>
      </c>
      <c r="C62" s="8" t="s">
        <v>32</v>
      </c>
      <c r="D62" s="8" t="s">
        <v>39</v>
      </c>
      <c r="E62" s="8" t="s">
        <v>45</v>
      </c>
      <c r="F62" s="8" t="s">
        <v>265</v>
      </c>
      <c r="G62" s="8" t="s">
        <v>56</v>
      </c>
      <c r="AF62"/>
      <c r="AG62"/>
      <c r="AN62"/>
      <c r="AO62"/>
      <c r="AP62"/>
      <c r="AS62" s="3" t="s">
        <v>147</v>
      </c>
      <c r="AT62" s="8"/>
      <c r="AU62" s="8"/>
      <c r="AV62" s="8">
        <v>6.5557813758032801E-3</v>
      </c>
      <c r="AW62" s="8"/>
      <c r="AX62" s="8"/>
      <c r="AY62" s="8"/>
      <c r="AZ62" s="8"/>
      <c r="BA62" s="8"/>
      <c r="BB62" s="8"/>
      <c r="BC62" s="8">
        <v>6.5557813758032801E-3</v>
      </c>
      <c r="BE62" s="8"/>
    </row>
    <row r="63" spans="1:57" x14ac:dyDescent="0.25">
      <c r="A63" s="3" t="s">
        <v>63</v>
      </c>
      <c r="B63" s="8">
        <v>79243245.775205597</v>
      </c>
      <c r="C63" s="8"/>
      <c r="D63" s="8">
        <v>11685.429400000001</v>
      </c>
      <c r="E63" s="8">
        <v>33503114.173708647</v>
      </c>
      <c r="F63" s="8"/>
      <c r="G63" s="8">
        <v>112758045.37831424</v>
      </c>
      <c r="AF63"/>
      <c r="AG63"/>
      <c r="AN63"/>
      <c r="AO63"/>
      <c r="AP63"/>
      <c r="AS63" s="3" t="s">
        <v>148</v>
      </c>
      <c r="AT63" s="8"/>
      <c r="AU63" s="8"/>
      <c r="AV63" s="8">
        <v>1303.0554985349399</v>
      </c>
      <c r="AW63" s="8"/>
      <c r="AX63" s="8"/>
      <c r="AY63" s="8"/>
      <c r="AZ63" s="8"/>
      <c r="BA63" s="8"/>
      <c r="BB63" s="8"/>
      <c r="BC63" s="8">
        <v>1303.0554985349399</v>
      </c>
      <c r="BE63" s="8"/>
    </row>
    <row r="64" spans="1:57" x14ac:dyDescent="0.25">
      <c r="A64" s="3" t="s">
        <v>64</v>
      </c>
      <c r="B64" s="8">
        <v>-3217489.7672059187</v>
      </c>
      <c r="C64" s="8">
        <v>-30612.261067437998</v>
      </c>
      <c r="D64" s="8">
        <v>-341158.7684</v>
      </c>
      <c r="E64" s="8">
        <v>-987809.60800000001</v>
      </c>
      <c r="F64" s="8"/>
      <c r="G64" s="8">
        <v>-4577070.4046733566</v>
      </c>
      <c r="AF64"/>
      <c r="AG64"/>
      <c r="AN64"/>
      <c r="AO64"/>
      <c r="AP64"/>
      <c r="AS64" s="3" t="s">
        <v>149</v>
      </c>
      <c r="AT64" s="8"/>
      <c r="AU64" s="8"/>
      <c r="AV64" s="8">
        <v>8.8743929915522204E-4</v>
      </c>
      <c r="AW64" s="8"/>
      <c r="AX64" s="8"/>
      <c r="AY64" s="8"/>
      <c r="AZ64" s="8"/>
      <c r="BA64" s="8"/>
      <c r="BB64" s="8"/>
      <c r="BC64" s="8">
        <v>8.8743929915522204E-4</v>
      </c>
      <c r="BE64" s="8"/>
    </row>
    <row r="65" spans="1:57" x14ac:dyDescent="0.25">
      <c r="A65" s="3" t="s">
        <v>950</v>
      </c>
      <c r="B65" s="8"/>
      <c r="C65" s="8"/>
      <c r="D65" s="8"/>
      <c r="E65" s="8">
        <v>721772.50675524794</v>
      </c>
      <c r="F65" s="8"/>
      <c r="G65" s="8">
        <v>721772.50675524794</v>
      </c>
      <c r="AF65"/>
      <c r="AG65"/>
      <c r="AN65"/>
      <c r="AO65"/>
      <c r="AP65"/>
      <c r="AS65" s="3" t="s">
        <v>150</v>
      </c>
      <c r="AT65" s="8"/>
      <c r="AU65" s="8"/>
      <c r="AV65" s="8">
        <v>29584.771730049993</v>
      </c>
      <c r="AW65" s="8">
        <v>-28512</v>
      </c>
      <c r="AX65" s="8"/>
      <c r="AY65" s="8"/>
      <c r="AZ65" s="8"/>
      <c r="BA65" s="8"/>
      <c r="BB65" s="8"/>
      <c r="BC65" s="8">
        <v>1072.7717300499935</v>
      </c>
      <c r="BE65" s="8"/>
    </row>
    <row r="66" spans="1:57" s="8" customFormat="1" x14ac:dyDescent="0.25">
      <c r="A66" s="3" t="s">
        <v>951</v>
      </c>
      <c r="B66" s="8">
        <v>-26884959.924992621</v>
      </c>
      <c r="E66" s="8">
        <v>-15942673.186982274</v>
      </c>
      <c r="G66" s="8">
        <v>-42827633.111974895</v>
      </c>
      <c r="H66"/>
      <c r="I66"/>
      <c r="K66"/>
      <c r="L66"/>
      <c r="M66"/>
      <c r="N66"/>
      <c r="O66"/>
      <c r="P66"/>
      <c r="Q66"/>
      <c r="R66"/>
      <c r="S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S66" s="3" t="s">
        <v>151</v>
      </c>
      <c r="AV66" s="8">
        <v>8.4954954190642806E-2</v>
      </c>
      <c r="BC66" s="8">
        <v>8.4954954190642806E-2</v>
      </c>
      <c r="BD66"/>
    </row>
    <row r="67" spans="1:57" s="8" customFormat="1" x14ac:dyDescent="0.25">
      <c r="A67" s="3" t="s">
        <v>952</v>
      </c>
      <c r="B67" s="8">
        <v>-414900</v>
      </c>
      <c r="E67" s="8">
        <v>-388876.79844260198</v>
      </c>
      <c r="G67" s="8">
        <v>-803776.79844260192</v>
      </c>
      <c r="H67"/>
      <c r="I67"/>
      <c r="K67"/>
      <c r="L67"/>
      <c r="M67"/>
      <c r="N67"/>
      <c r="O67"/>
      <c r="P67"/>
      <c r="Q67"/>
      <c r="R67"/>
      <c r="S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S67" s="3" t="s">
        <v>89</v>
      </c>
      <c r="AV67" s="8">
        <v>1073.948722064757</v>
      </c>
      <c r="BC67" s="8">
        <v>1073.948722064757</v>
      </c>
      <c r="BD67"/>
    </row>
    <row r="68" spans="1:57" s="8" customFormat="1" x14ac:dyDescent="0.25">
      <c r="A68" s="3" t="s">
        <v>953</v>
      </c>
      <c r="E68" s="8">
        <v>100017.916490383</v>
      </c>
      <c r="G68" s="8">
        <v>100017.916490383</v>
      </c>
      <c r="H68"/>
      <c r="I68"/>
      <c r="K68"/>
      <c r="L68"/>
      <c r="M68"/>
      <c r="N68"/>
      <c r="O68"/>
      <c r="P68"/>
      <c r="Q68"/>
      <c r="R68"/>
      <c r="S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S68" s="3" t="s">
        <v>152</v>
      </c>
      <c r="AV68" s="8">
        <v>6.8010097540225998E-3</v>
      </c>
      <c r="BC68" s="8">
        <v>6.8010097540225998E-3</v>
      </c>
      <c r="BD68"/>
    </row>
    <row r="69" spans="1:57" s="8" customFormat="1" x14ac:dyDescent="0.25">
      <c r="A69" s="3" t="s">
        <v>969</v>
      </c>
      <c r="F69" s="8">
        <v>1598100</v>
      </c>
      <c r="G69" s="8">
        <v>1598100</v>
      </c>
      <c r="H69"/>
      <c r="I69"/>
      <c r="K69"/>
      <c r="L69"/>
      <c r="M69"/>
      <c r="N69"/>
      <c r="O69"/>
      <c r="P69"/>
      <c r="Q69"/>
      <c r="R69"/>
      <c r="S69"/>
      <c r="AD69"/>
      <c r="AE69"/>
      <c r="AF69"/>
      <c r="AG69"/>
      <c r="AH69"/>
      <c r="AI69"/>
      <c r="AJ69"/>
      <c r="AK69"/>
      <c r="AL69"/>
      <c r="AM69"/>
      <c r="AN69"/>
      <c r="AO69"/>
      <c r="AS69" s="3" t="s">
        <v>153</v>
      </c>
      <c r="AV69" s="8">
        <v>6.4412294033312095E-4</v>
      </c>
      <c r="BC69" s="8">
        <v>6.4412294033312095E-4</v>
      </c>
      <c r="BD69"/>
    </row>
    <row r="70" spans="1:57" s="8" customFormat="1" x14ac:dyDescent="0.25">
      <c r="A70" s="3" t="s">
        <v>980</v>
      </c>
      <c r="F70" s="8">
        <v>-95420850</v>
      </c>
      <c r="G70" s="8">
        <v>-95420850</v>
      </c>
      <c r="H70"/>
      <c r="I70"/>
      <c r="K70"/>
      <c r="L70"/>
      <c r="M70"/>
      <c r="N70"/>
      <c r="O70"/>
      <c r="P70"/>
      <c r="Q70"/>
      <c r="R70"/>
      <c r="S70"/>
      <c r="AD70"/>
      <c r="AE70"/>
      <c r="AF70"/>
      <c r="AG70"/>
      <c r="AS70" s="3" t="s">
        <v>98</v>
      </c>
      <c r="AV70" s="8">
        <v>14475.986299032353</v>
      </c>
      <c r="BC70" s="8">
        <v>14475.986299032353</v>
      </c>
      <c r="BD70"/>
    </row>
    <row r="71" spans="1:57" s="8" customFormat="1" x14ac:dyDescent="0.25">
      <c r="A71" s="3" t="s">
        <v>56</v>
      </c>
      <c r="B71" s="8">
        <v>48725896.083007053</v>
      </c>
      <c r="C71" s="8">
        <v>-30612.261067437998</v>
      </c>
      <c r="D71" s="8">
        <v>-329473.33899999998</v>
      </c>
      <c r="E71" s="8">
        <v>17005545.003529403</v>
      </c>
      <c r="F71" s="8">
        <v>-93822750</v>
      </c>
      <c r="G71" s="8">
        <v>-28451394.513530977</v>
      </c>
      <c r="H71"/>
      <c r="I71"/>
      <c r="K71"/>
      <c r="L71"/>
      <c r="M71"/>
      <c r="N71"/>
      <c r="O71"/>
      <c r="P71"/>
      <c r="Q71"/>
      <c r="R71"/>
      <c r="S71"/>
      <c r="AD71"/>
      <c r="AE71"/>
      <c r="AF71"/>
      <c r="AG71"/>
      <c r="AS71" s="3" t="s">
        <v>181</v>
      </c>
      <c r="AV71" s="8">
        <v>27668.2027522961</v>
      </c>
      <c r="BC71" s="8">
        <v>27668.2027522961</v>
      </c>
      <c r="BD71"/>
    </row>
    <row r="72" spans="1:57" s="8" customFormat="1" x14ac:dyDescent="0.25">
      <c r="A72"/>
      <c r="B72"/>
      <c r="C72"/>
      <c r="D72"/>
      <c r="E72"/>
      <c r="F72"/>
      <c r="G72"/>
      <c r="H72"/>
      <c r="I72"/>
      <c r="AD72"/>
      <c r="AE72"/>
      <c r="AF72"/>
      <c r="AG72"/>
      <c r="AS72" s="3" t="s">
        <v>37</v>
      </c>
      <c r="AV72" s="8">
        <v>1576042.4735642166</v>
      </c>
      <c r="AW72" s="8">
        <v>-827969.7</v>
      </c>
      <c r="BC72" s="8">
        <v>748072.77356421668</v>
      </c>
      <c r="BD72"/>
    </row>
    <row r="73" spans="1:57" s="8" customFormat="1" x14ac:dyDescent="0.25">
      <c r="A73"/>
      <c r="B73"/>
      <c r="C73"/>
      <c r="D73"/>
      <c r="E73"/>
      <c r="F73"/>
      <c r="G73"/>
      <c r="H73"/>
      <c r="I73"/>
      <c r="AD73"/>
      <c r="AE73"/>
      <c r="AF73"/>
      <c r="AG73"/>
      <c r="AQ73"/>
      <c r="AS73" s="3" t="s">
        <v>154</v>
      </c>
      <c r="AV73" s="8">
        <v>7290.5332064228714</v>
      </c>
      <c r="BC73" s="8">
        <v>7290.5332064228714</v>
      </c>
      <c r="BD73"/>
    </row>
    <row r="74" spans="1:57" s="8" customFormat="1" x14ac:dyDescent="0.25">
      <c r="K74"/>
      <c r="AE74"/>
      <c r="AF74"/>
      <c r="AG74"/>
      <c r="AQ74"/>
      <c r="AS74" s="3" t="s">
        <v>155</v>
      </c>
      <c r="AV74" s="8">
        <v>6256.6543580955404</v>
      </c>
      <c r="BC74" s="8">
        <v>6256.6543580955404</v>
      </c>
      <c r="BD74"/>
    </row>
    <row r="75" spans="1:57" x14ac:dyDescent="0.25">
      <c r="AE75" s="8"/>
      <c r="AH75" s="8"/>
      <c r="AI75" s="8"/>
      <c r="AJ75" s="8"/>
      <c r="AK75" s="8"/>
      <c r="AL75" s="8"/>
      <c r="AM75" s="8"/>
      <c r="AP75"/>
      <c r="AS75" s="3" t="s">
        <v>156</v>
      </c>
      <c r="AT75" s="8"/>
      <c r="AU75" s="8"/>
      <c r="AV75" s="8">
        <v>8.8686409626250899</v>
      </c>
      <c r="AW75" s="8"/>
      <c r="AX75" s="8"/>
      <c r="AY75" s="8"/>
      <c r="AZ75" s="8"/>
      <c r="BA75" s="8"/>
      <c r="BB75" s="8"/>
      <c r="BC75" s="8">
        <v>8.8686409626250899</v>
      </c>
      <c r="BE75" s="8"/>
    </row>
    <row r="76" spans="1:57" x14ac:dyDescent="0.25">
      <c r="AN76"/>
      <c r="AO76"/>
      <c r="AP76"/>
      <c r="AS76" s="3" t="s">
        <v>25</v>
      </c>
      <c r="AT76" s="8"/>
      <c r="AU76" s="8"/>
      <c r="AV76" s="8">
        <v>2.582820857668378</v>
      </c>
      <c r="AW76" s="8"/>
      <c r="AX76" s="8"/>
      <c r="AY76" s="8"/>
      <c r="AZ76" s="8"/>
      <c r="BA76" s="8"/>
      <c r="BB76" s="8"/>
      <c r="BC76" s="8">
        <v>2.582820857668378</v>
      </c>
      <c r="BE76" s="8"/>
    </row>
    <row r="77" spans="1:57" x14ac:dyDescent="0.25">
      <c r="AN77"/>
      <c r="AO77"/>
      <c r="AP77"/>
      <c r="AS77" s="3" t="s">
        <v>179</v>
      </c>
      <c r="AT77" s="8"/>
      <c r="AU77" s="8"/>
      <c r="AV77" s="8">
        <v>2.6601917850581499E-4</v>
      </c>
      <c r="AW77" s="8"/>
      <c r="AX77" s="8"/>
      <c r="AY77" s="8"/>
      <c r="AZ77" s="8"/>
      <c r="BA77" s="8"/>
      <c r="BB77" s="8"/>
      <c r="BC77" s="8">
        <v>2.6601917850581499E-4</v>
      </c>
      <c r="BE77" s="8"/>
    </row>
    <row r="78" spans="1:57" x14ac:dyDescent="0.25">
      <c r="A78" s="8"/>
      <c r="B78" s="8"/>
      <c r="C78" s="8"/>
      <c r="D78" s="8"/>
      <c r="E78" s="8"/>
      <c r="F78" s="8"/>
      <c r="G78" s="8"/>
      <c r="H78" s="8"/>
      <c r="I78" s="8"/>
      <c r="AN78"/>
      <c r="AO78"/>
      <c r="AP78"/>
      <c r="AS78" s="3" t="s">
        <v>157</v>
      </c>
      <c r="AT78" s="8"/>
      <c r="AU78" s="8"/>
      <c r="AV78" s="8">
        <v>2.2172842281770701E-4</v>
      </c>
      <c r="AW78" s="8"/>
      <c r="AX78" s="8"/>
      <c r="AY78" s="8"/>
      <c r="AZ78" s="8"/>
      <c r="BA78" s="8"/>
      <c r="BB78" s="8"/>
      <c r="BC78" s="8">
        <v>2.2172842281770701E-4</v>
      </c>
      <c r="BE78" s="8"/>
    </row>
    <row r="79" spans="1:57" x14ac:dyDescent="0.25">
      <c r="AN79"/>
      <c r="AO79"/>
      <c r="AP79"/>
      <c r="AS79" s="3" t="s">
        <v>158</v>
      </c>
      <c r="AT79" s="8"/>
      <c r="AU79" s="8"/>
      <c r="AV79" s="8">
        <v>19.997862390323</v>
      </c>
      <c r="AW79" s="8"/>
      <c r="AX79" s="8"/>
      <c r="AY79" s="8"/>
      <c r="AZ79" s="8"/>
      <c r="BA79" s="8"/>
      <c r="BB79" s="8"/>
      <c r="BC79" s="8">
        <v>19.997862390323</v>
      </c>
      <c r="BE79" s="8"/>
    </row>
    <row r="80" spans="1:57" x14ac:dyDescent="0.25">
      <c r="AN80"/>
      <c r="AO80"/>
      <c r="AP80"/>
      <c r="AS80" s="3" t="s">
        <v>159</v>
      </c>
      <c r="AT80" s="8"/>
      <c r="AU80" s="8"/>
      <c r="AV80" s="8">
        <v>117.39513185528631</v>
      </c>
      <c r="AW80" s="8"/>
      <c r="AX80" s="8"/>
      <c r="AY80" s="8"/>
      <c r="AZ80" s="8"/>
      <c r="BA80" s="8"/>
      <c r="BB80" s="8"/>
      <c r="BC80" s="8">
        <v>117.39513185528631</v>
      </c>
      <c r="BE80" s="8"/>
    </row>
    <row r="81" spans="9:57" x14ac:dyDescent="0.25">
      <c r="AN81"/>
      <c r="AO81"/>
      <c r="AP81"/>
      <c r="AS81" s="3" t="s">
        <v>95</v>
      </c>
      <c r="AT81" s="8"/>
      <c r="AU81" s="8">
        <v>50544676.376692511</v>
      </c>
      <c r="AV81" s="8"/>
      <c r="AW81" s="8"/>
      <c r="AX81" s="8"/>
      <c r="AY81" s="8"/>
      <c r="AZ81" s="8"/>
      <c r="BA81" s="8"/>
      <c r="BB81" s="8"/>
      <c r="BC81" s="8">
        <v>50544676.376692511</v>
      </c>
      <c r="BE81" s="8"/>
    </row>
    <row r="82" spans="9:57" x14ac:dyDescent="0.25">
      <c r="AN82"/>
      <c r="AO82"/>
      <c r="AP82"/>
      <c r="AS82" s="3" t="s">
        <v>92</v>
      </c>
      <c r="AT82" s="8"/>
      <c r="AU82" s="8"/>
      <c r="AV82" s="8">
        <v>-60016630.873781368</v>
      </c>
      <c r="AW82" s="8"/>
      <c r="AX82" s="8"/>
      <c r="AY82" s="8"/>
      <c r="AZ82" s="8"/>
      <c r="BA82" s="8"/>
      <c r="BB82" s="8"/>
      <c r="BC82" s="8">
        <v>-60016630.873781368</v>
      </c>
      <c r="BE82" s="8"/>
    </row>
    <row r="83" spans="9:57" x14ac:dyDescent="0.25">
      <c r="I83" s="8"/>
      <c r="AN83"/>
      <c r="AO83"/>
      <c r="AP83"/>
      <c r="AS83" s="3" t="s">
        <v>160</v>
      </c>
      <c r="AT83" s="8"/>
      <c r="AU83" s="8"/>
      <c r="AV83" s="8">
        <v>0.34621618871566701</v>
      </c>
      <c r="AW83" s="8"/>
      <c r="AX83" s="8"/>
      <c r="AY83" s="8"/>
      <c r="AZ83" s="8"/>
      <c r="BA83" s="8"/>
      <c r="BB83" s="8"/>
      <c r="BC83" s="8">
        <v>0.34621618871566701</v>
      </c>
      <c r="BE83" s="8"/>
    </row>
    <row r="84" spans="9:57" x14ac:dyDescent="0.25">
      <c r="I84" s="8"/>
      <c r="AN84"/>
      <c r="AO84"/>
      <c r="AP84"/>
      <c r="AS84" s="3" t="s">
        <v>38</v>
      </c>
      <c r="AT84" s="8"/>
      <c r="AU84" s="8"/>
      <c r="AV84" s="8">
        <v>22870871.379113588</v>
      </c>
      <c r="AW84" s="8"/>
      <c r="AX84" s="8"/>
      <c r="AY84" s="8"/>
      <c r="AZ84" s="8"/>
      <c r="BA84" s="8"/>
      <c r="BB84" s="8"/>
      <c r="BC84" s="8">
        <v>22870871.379113588</v>
      </c>
      <c r="BE84" s="8"/>
    </row>
    <row r="85" spans="9:57" x14ac:dyDescent="0.25">
      <c r="I85" s="8"/>
      <c r="AN85"/>
      <c r="AO85"/>
      <c r="AS85" s="3" t="s">
        <v>96</v>
      </c>
      <c r="AT85" s="8"/>
      <c r="AU85" s="8"/>
      <c r="AV85" s="8">
        <v>0</v>
      </c>
      <c r="AW85" s="8"/>
      <c r="AX85" s="8"/>
      <c r="AY85" s="8"/>
      <c r="AZ85" s="8"/>
      <c r="BA85" s="8"/>
      <c r="BB85" s="8"/>
      <c r="BC85" s="8">
        <v>0</v>
      </c>
      <c r="BE85" s="8"/>
    </row>
    <row r="86" spans="9:57" x14ac:dyDescent="0.25">
      <c r="I86" s="8"/>
      <c r="AS86" s="3" t="s">
        <v>196</v>
      </c>
      <c r="AT86" s="8"/>
      <c r="AU86" s="8"/>
      <c r="AV86" s="8">
        <v>-1.395094484201119</v>
      </c>
      <c r="AW86" s="8"/>
      <c r="AX86" s="8"/>
      <c r="AY86" s="8"/>
      <c r="AZ86" s="8"/>
      <c r="BA86" s="8"/>
      <c r="BB86" s="8"/>
      <c r="BC86" s="8">
        <v>-1.395094484201119</v>
      </c>
      <c r="BE86" s="8"/>
    </row>
    <row r="87" spans="9:57" x14ac:dyDescent="0.25">
      <c r="I87" s="8"/>
      <c r="AF87"/>
      <c r="AG87"/>
      <c r="AS87" s="3" t="s">
        <v>161</v>
      </c>
      <c r="AT87" s="8"/>
      <c r="AU87" s="8"/>
      <c r="AV87" s="8">
        <v>2.25420236368514E-4</v>
      </c>
      <c r="AW87" s="8"/>
      <c r="AX87" s="8"/>
      <c r="AY87" s="8"/>
      <c r="AZ87" s="8"/>
      <c r="BA87" s="8"/>
      <c r="BB87" s="8"/>
      <c r="BC87" s="8">
        <v>2.25420236368514E-4</v>
      </c>
      <c r="BE87" s="8"/>
    </row>
    <row r="88" spans="9:57" x14ac:dyDescent="0.25">
      <c r="I88" s="8"/>
      <c r="AF88"/>
      <c r="AG88"/>
      <c r="AS88" s="3" t="s">
        <v>257</v>
      </c>
      <c r="AT88" s="8"/>
      <c r="AU88" s="8"/>
      <c r="AV88" s="8">
        <v>182220.348791973</v>
      </c>
      <c r="AW88" s="8"/>
      <c r="AX88" s="8"/>
      <c r="AY88" s="8"/>
      <c r="AZ88" s="8"/>
      <c r="BA88" s="8"/>
      <c r="BB88" s="8"/>
      <c r="BC88" s="8">
        <v>182220.348791973</v>
      </c>
      <c r="BE88" s="8"/>
    </row>
    <row r="89" spans="9:57" x14ac:dyDescent="0.25">
      <c r="I89" s="8"/>
      <c r="AF89"/>
      <c r="AG89"/>
      <c r="AS89" s="3" t="s">
        <v>185</v>
      </c>
      <c r="AT89" s="8"/>
      <c r="AU89" s="8"/>
      <c r="AV89" s="8">
        <v>281459.93846142199</v>
      </c>
      <c r="AW89" s="8"/>
      <c r="AX89" s="8"/>
      <c r="AY89" s="8"/>
      <c r="AZ89" s="8"/>
      <c r="BA89" s="8"/>
      <c r="BB89" s="8"/>
      <c r="BC89" s="8">
        <v>281459.93846142199</v>
      </c>
      <c r="BE89" s="8"/>
    </row>
    <row r="90" spans="9:57" x14ac:dyDescent="0.25">
      <c r="I90" s="8"/>
      <c r="AF90"/>
      <c r="AG90"/>
      <c r="AS90" s="3" t="s">
        <v>162</v>
      </c>
      <c r="AT90" s="8"/>
      <c r="AU90" s="8"/>
      <c r="AV90" s="8">
        <v>2672.5893784244149</v>
      </c>
      <c r="AW90" s="8"/>
      <c r="AX90" s="8"/>
      <c r="AY90" s="8"/>
      <c r="AZ90" s="8"/>
      <c r="BA90" s="8"/>
      <c r="BB90" s="8"/>
      <c r="BC90" s="8">
        <v>2672.5893784244149</v>
      </c>
      <c r="BE90" s="8"/>
    </row>
    <row r="91" spans="9:57" x14ac:dyDescent="0.25">
      <c r="AF91"/>
      <c r="AG91"/>
      <c r="AP91"/>
      <c r="AS91" s="3" t="s">
        <v>163</v>
      </c>
      <c r="AT91" s="8"/>
      <c r="AU91" s="8"/>
      <c r="AV91" s="8">
        <v>234.31166277531884</v>
      </c>
      <c r="AW91" s="8"/>
      <c r="AX91" s="8"/>
      <c r="AY91" s="8"/>
      <c r="AZ91" s="8"/>
      <c r="BA91" s="8"/>
      <c r="BB91" s="8"/>
      <c r="BC91" s="8">
        <v>234.31166277531884</v>
      </c>
      <c r="BE91" s="8"/>
    </row>
    <row r="92" spans="9:57" x14ac:dyDescent="0.25">
      <c r="AF92"/>
      <c r="AG92"/>
      <c r="AH92" s="8"/>
      <c r="AO92"/>
      <c r="AP92"/>
      <c r="AS92" s="3" t="s">
        <v>99</v>
      </c>
      <c r="AT92" s="8"/>
      <c r="AU92" s="8"/>
      <c r="AV92" s="8">
        <v>43421.863354855188</v>
      </c>
      <c r="AW92" s="8"/>
      <c r="AX92" s="8"/>
      <c r="AY92" s="8"/>
      <c r="AZ92" s="8"/>
      <c r="BA92" s="8"/>
      <c r="BB92" s="8"/>
      <c r="BC92" s="8">
        <v>43421.863354855188</v>
      </c>
      <c r="BE92" s="8"/>
    </row>
    <row r="93" spans="9:57" x14ac:dyDescent="0.25">
      <c r="AF93"/>
      <c r="AG93"/>
      <c r="AH93" s="8"/>
      <c r="AO93"/>
      <c r="AP93"/>
      <c r="AS93" s="3" t="s">
        <v>164</v>
      </c>
      <c r="AT93" s="8"/>
      <c r="AU93" s="8"/>
      <c r="AV93" s="8">
        <v>174.26541521408944</v>
      </c>
      <c r="AW93" s="8"/>
      <c r="AX93" s="8"/>
      <c r="AY93" s="8"/>
      <c r="AZ93" s="8"/>
      <c r="BA93" s="8"/>
      <c r="BB93" s="8"/>
      <c r="BC93" s="8">
        <v>174.26541521408944</v>
      </c>
      <c r="BE93" s="8"/>
    </row>
    <row r="94" spans="9:57" x14ac:dyDescent="0.25">
      <c r="AF94"/>
      <c r="AG94"/>
      <c r="AH94" s="8"/>
      <c r="AO94"/>
      <c r="AP94"/>
      <c r="AS94" s="3" t="s">
        <v>171</v>
      </c>
      <c r="AT94" s="8"/>
      <c r="AU94" s="8"/>
      <c r="AV94" s="8">
        <v>688.71214889128601</v>
      </c>
      <c r="AW94" s="8"/>
      <c r="AX94" s="8"/>
      <c r="AY94" s="8"/>
      <c r="AZ94" s="8"/>
      <c r="BA94" s="8"/>
      <c r="BB94" s="8"/>
      <c r="BC94" s="8">
        <v>688.71214889128601</v>
      </c>
      <c r="BE94" s="8"/>
    </row>
    <row r="95" spans="9:57" x14ac:dyDescent="0.25">
      <c r="AF95"/>
      <c r="AG95"/>
      <c r="AH95" s="8"/>
      <c r="AO95"/>
      <c r="AP95"/>
      <c r="AS95" s="3" t="s">
        <v>117</v>
      </c>
      <c r="AT95" s="8"/>
      <c r="AU95" s="8"/>
      <c r="AV95" s="8">
        <v>19.32006318989286</v>
      </c>
      <c r="AW95" s="8"/>
      <c r="AX95" s="8"/>
      <c r="AY95" s="8"/>
      <c r="AZ95" s="8"/>
      <c r="BA95" s="8"/>
      <c r="BB95" s="8"/>
      <c r="BC95" s="8">
        <v>19.32006318989286</v>
      </c>
      <c r="BE95" s="8"/>
    </row>
    <row r="96" spans="9:57" x14ac:dyDescent="0.25">
      <c r="AF96"/>
      <c r="AG96"/>
      <c r="AH96" s="8"/>
      <c r="AO96"/>
      <c r="AP96"/>
      <c r="AS96" s="3" t="s">
        <v>165</v>
      </c>
      <c r="AT96" s="8"/>
      <c r="AU96" s="8"/>
      <c r="AV96" s="8">
        <v>9.8461120696399299E-3</v>
      </c>
      <c r="AW96" s="8"/>
      <c r="AX96" s="8"/>
      <c r="AY96" s="8"/>
      <c r="AZ96" s="8"/>
      <c r="BA96" s="8"/>
      <c r="BB96" s="8"/>
      <c r="BC96" s="8">
        <v>9.8461120696399299E-3</v>
      </c>
      <c r="BE96" s="8"/>
    </row>
    <row r="97" spans="2:57" x14ac:dyDescent="0.25">
      <c r="AF97"/>
      <c r="AG97"/>
      <c r="AH97" s="8"/>
      <c r="AO97"/>
      <c r="AP97"/>
      <c r="AS97" s="3" t="s">
        <v>26</v>
      </c>
      <c r="AT97" s="8"/>
      <c r="AU97" s="8"/>
      <c r="AV97" s="8">
        <v>93670.485278223292</v>
      </c>
      <c r="AW97" s="8">
        <v>-88413.518760000006</v>
      </c>
      <c r="AX97" s="8"/>
      <c r="AY97" s="8"/>
      <c r="AZ97" s="8"/>
      <c r="BA97" s="8"/>
      <c r="BB97" s="8"/>
      <c r="BC97" s="8">
        <v>5256.9665182232857</v>
      </c>
      <c r="BE97" s="8"/>
    </row>
    <row r="98" spans="2:57" x14ac:dyDescent="0.25">
      <c r="B98" s="8"/>
      <c r="C98" s="8"/>
      <c r="D98" s="8"/>
      <c r="E98" s="8"/>
      <c r="F98" s="8"/>
      <c r="G98" s="8"/>
      <c r="H98" s="8"/>
      <c r="AF98"/>
      <c r="AG98"/>
      <c r="AH98" s="8"/>
      <c r="AO98"/>
      <c r="AP98"/>
      <c r="AS98" s="3" t="s">
        <v>278</v>
      </c>
      <c r="AT98" s="8"/>
      <c r="AU98" s="8"/>
      <c r="AV98" s="8"/>
      <c r="AW98" s="8"/>
      <c r="AX98" s="8"/>
      <c r="AY98" s="8"/>
      <c r="AZ98" s="8"/>
      <c r="BA98" s="8"/>
      <c r="BB98" s="8"/>
      <c r="BC98" s="8"/>
      <c r="BE98" s="8"/>
    </row>
    <row r="99" spans="2:57" x14ac:dyDescent="0.25">
      <c r="AF99"/>
      <c r="AG99"/>
      <c r="AH99" s="8"/>
      <c r="AO99"/>
      <c r="AP99"/>
      <c r="AS99" s="3" t="s">
        <v>416</v>
      </c>
      <c r="AT99" s="8"/>
      <c r="AU99" s="8"/>
      <c r="AV99" s="8">
        <v>172564.61571339701</v>
      </c>
      <c r="AW99" s="8"/>
      <c r="AX99" s="8"/>
      <c r="AY99" s="8"/>
      <c r="AZ99" s="8"/>
      <c r="BA99" s="8"/>
      <c r="BB99" s="8"/>
      <c r="BC99" s="8">
        <v>172564.61571339701</v>
      </c>
      <c r="BE99" s="8"/>
    </row>
    <row r="100" spans="2:57" x14ac:dyDescent="0.25">
      <c r="AF100"/>
      <c r="AG100"/>
      <c r="AH100" s="8"/>
      <c r="AO100"/>
      <c r="AP100"/>
      <c r="AS100" s="3" t="s">
        <v>797</v>
      </c>
      <c r="AT100" s="8"/>
      <c r="AU100" s="8"/>
      <c r="AV100" s="8">
        <v>515301.05266681401</v>
      </c>
      <c r="AW100" s="8"/>
      <c r="AX100" s="8"/>
      <c r="AY100" s="8"/>
      <c r="AZ100" s="8"/>
      <c r="BA100" s="8"/>
      <c r="BB100" s="8"/>
      <c r="BC100" s="8">
        <v>515301.05266681401</v>
      </c>
      <c r="BE100" s="8"/>
    </row>
    <row r="101" spans="2:57" x14ac:dyDescent="0.25">
      <c r="AF101"/>
      <c r="AG101"/>
      <c r="AH101" s="8"/>
      <c r="AI101" s="8"/>
      <c r="AN101"/>
      <c r="AO101"/>
      <c r="AP101"/>
      <c r="AS101" s="3" t="s">
        <v>290</v>
      </c>
      <c r="AT101" s="8"/>
      <c r="AU101" s="8"/>
      <c r="AV101" s="8">
        <v>3355.0192806686136</v>
      </c>
      <c r="AW101" s="8"/>
      <c r="AX101" s="8"/>
      <c r="AY101" s="8"/>
      <c r="AZ101" s="8"/>
      <c r="BA101" s="8"/>
      <c r="BB101" s="8"/>
      <c r="BC101" s="8">
        <v>3355.0192806686136</v>
      </c>
      <c r="BE101" s="8"/>
    </row>
    <row r="102" spans="2:57" x14ac:dyDescent="0.25">
      <c r="AF102"/>
      <c r="AG102"/>
      <c r="AH102" s="8"/>
      <c r="AI102" s="8"/>
      <c r="AN102"/>
      <c r="AO102"/>
      <c r="AP102"/>
      <c r="AS102" s="3" t="s">
        <v>291</v>
      </c>
      <c r="AT102" s="8"/>
      <c r="AU102" s="8"/>
      <c r="AV102" s="8">
        <v>4.0479294959959199E-6</v>
      </c>
      <c r="AW102" s="8"/>
      <c r="AX102" s="8"/>
      <c r="AY102" s="8"/>
      <c r="AZ102" s="8"/>
      <c r="BA102" s="8"/>
      <c r="BB102" s="8"/>
      <c r="BC102" s="8">
        <v>4.0479294959959199E-6</v>
      </c>
      <c r="BE102" s="8"/>
    </row>
    <row r="103" spans="2:57" x14ac:dyDescent="0.25">
      <c r="V103" s="8"/>
      <c r="W103" s="8"/>
      <c r="X103" s="8"/>
      <c r="Y103" s="8"/>
      <c r="Z103" s="8"/>
      <c r="AA103" s="8"/>
      <c r="AB103" s="8"/>
      <c r="AC103" s="8"/>
      <c r="AD103" s="8"/>
      <c r="AF103"/>
      <c r="AG103"/>
      <c r="AH103" s="8"/>
      <c r="AI103" s="8"/>
      <c r="AN103"/>
      <c r="AO103"/>
      <c r="AP103"/>
      <c r="AS103" s="3" t="s">
        <v>301</v>
      </c>
      <c r="AT103" s="8"/>
      <c r="AU103" s="8"/>
      <c r="AV103" s="8">
        <v>0</v>
      </c>
      <c r="AW103" s="8"/>
      <c r="AX103" s="8"/>
      <c r="AY103" s="8"/>
      <c r="AZ103" s="8"/>
      <c r="BA103" s="8"/>
      <c r="BB103" s="8"/>
      <c r="BC103" s="8">
        <v>0</v>
      </c>
      <c r="BE103" s="8"/>
    </row>
    <row r="104" spans="2:57" x14ac:dyDescent="0.25"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H104" s="8"/>
      <c r="AI104" s="8"/>
      <c r="AN104"/>
      <c r="AO104"/>
      <c r="AS104" s="3" t="s">
        <v>302</v>
      </c>
      <c r="AT104" s="8"/>
      <c r="AU104" s="8"/>
      <c r="AV104" s="8">
        <v>0</v>
      </c>
      <c r="AW104" s="8"/>
      <c r="AX104" s="8"/>
      <c r="AY104" s="8"/>
      <c r="AZ104" s="8"/>
      <c r="BA104" s="8"/>
      <c r="BB104" s="8"/>
      <c r="BC104" s="8">
        <v>0</v>
      </c>
      <c r="BE104" s="8"/>
    </row>
    <row r="105" spans="2:57" x14ac:dyDescent="0.25">
      <c r="U105" s="8"/>
      <c r="AE105" s="8"/>
      <c r="AH105" s="8"/>
      <c r="AI105" s="8"/>
      <c r="AS105" s="3" t="s">
        <v>303</v>
      </c>
      <c r="AT105" s="8"/>
      <c r="AU105" s="8"/>
      <c r="AV105" s="8">
        <v>0</v>
      </c>
      <c r="AW105" s="8"/>
      <c r="AX105" s="8"/>
      <c r="AY105" s="8"/>
      <c r="AZ105" s="8"/>
      <c r="BA105" s="8"/>
      <c r="BB105" s="8"/>
      <c r="BC105" s="8">
        <v>0</v>
      </c>
      <c r="BE105" s="8"/>
    </row>
    <row r="106" spans="2:57" x14ac:dyDescent="0.25">
      <c r="U106" s="8"/>
      <c r="AS106" s="3" t="s">
        <v>315</v>
      </c>
      <c r="AT106" s="8"/>
      <c r="AU106" s="8"/>
      <c r="AV106" s="8">
        <v>0</v>
      </c>
      <c r="AW106" s="8"/>
      <c r="AX106" s="8"/>
      <c r="AY106" s="8"/>
      <c r="AZ106" s="8"/>
      <c r="BA106" s="8"/>
      <c r="BB106" s="8"/>
      <c r="BC106" s="8">
        <v>0</v>
      </c>
      <c r="BE106" s="8"/>
    </row>
    <row r="107" spans="2:57" x14ac:dyDescent="0.25">
      <c r="U107" s="8"/>
      <c r="AS107" s="3" t="s">
        <v>418</v>
      </c>
      <c r="AT107" s="8"/>
      <c r="AU107" s="8"/>
      <c r="AV107" s="8">
        <v>0</v>
      </c>
      <c r="AW107" s="8"/>
      <c r="AX107" s="8"/>
      <c r="AY107" s="8"/>
      <c r="AZ107" s="8"/>
      <c r="BA107" s="8"/>
      <c r="BB107" s="8"/>
      <c r="BC107" s="8">
        <v>0</v>
      </c>
      <c r="BE107" s="8"/>
    </row>
    <row r="108" spans="2:57" x14ac:dyDescent="0.25">
      <c r="U108" s="8"/>
      <c r="AS108" s="3" t="s">
        <v>419</v>
      </c>
      <c r="AT108" s="8"/>
      <c r="AU108" s="8"/>
      <c r="AV108" s="8">
        <v>0</v>
      </c>
      <c r="AW108" s="8"/>
      <c r="AX108" s="8"/>
      <c r="AY108" s="8"/>
      <c r="AZ108" s="8"/>
      <c r="BA108" s="8"/>
      <c r="BB108" s="8"/>
      <c r="BC108" s="8">
        <v>0</v>
      </c>
      <c r="BE108" s="8"/>
    </row>
    <row r="109" spans="2:57" x14ac:dyDescent="0.25">
      <c r="U109" s="8"/>
      <c r="AS109" s="3" t="s">
        <v>428</v>
      </c>
      <c r="AT109" s="8"/>
      <c r="AU109" s="8"/>
      <c r="AV109" s="8">
        <v>0</v>
      </c>
      <c r="AW109" s="8"/>
      <c r="AX109" s="8"/>
      <c r="AY109" s="8"/>
      <c r="AZ109" s="8"/>
      <c r="BA109" s="8"/>
      <c r="BB109" s="8"/>
      <c r="BC109" s="8">
        <v>0</v>
      </c>
      <c r="BE109" s="8"/>
    </row>
    <row r="110" spans="2:57" x14ac:dyDescent="0.25">
      <c r="U110" s="8"/>
      <c r="AS110" s="3" t="s">
        <v>429</v>
      </c>
      <c r="AT110" s="8"/>
      <c r="AU110" s="8"/>
      <c r="AV110" s="8">
        <v>0</v>
      </c>
      <c r="AW110" s="8"/>
      <c r="AX110" s="8"/>
      <c r="AY110" s="8"/>
      <c r="AZ110" s="8"/>
      <c r="BA110" s="8"/>
      <c r="BB110" s="8"/>
      <c r="BC110" s="8">
        <v>0</v>
      </c>
      <c r="BE110" s="8"/>
    </row>
    <row r="111" spans="2:57" x14ac:dyDescent="0.25">
      <c r="U111" s="8"/>
      <c r="AS111" s="3" t="s">
        <v>430</v>
      </c>
      <c r="AT111" s="8"/>
      <c r="AU111" s="8"/>
      <c r="AV111" s="8">
        <v>0</v>
      </c>
      <c r="AW111" s="8"/>
      <c r="AX111" s="8"/>
      <c r="AY111" s="8"/>
      <c r="AZ111" s="8"/>
      <c r="BA111" s="8"/>
      <c r="BB111" s="8"/>
      <c r="BC111" s="8">
        <v>0</v>
      </c>
      <c r="BE111" s="8"/>
    </row>
    <row r="112" spans="2:57" x14ac:dyDescent="0.25">
      <c r="U112" s="8"/>
      <c r="AS112" s="3" t="s">
        <v>431</v>
      </c>
      <c r="AT112" s="8"/>
      <c r="AU112" s="8"/>
      <c r="AV112" s="8">
        <v>0</v>
      </c>
      <c r="AW112" s="8"/>
      <c r="AX112" s="8"/>
      <c r="AY112" s="8"/>
      <c r="AZ112" s="8"/>
      <c r="BA112" s="8"/>
      <c r="BB112" s="8"/>
      <c r="BC112" s="8">
        <v>0</v>
      </c>
      <c r="BE112" s="8"/>
    </row>
    <row r="113" spans="21:57" x14ac:dyDescent="0.25">
      <c r="U113" s="8"/>
      <c r="AS113" s="3" t="s">
        <v>413</v>
      </c>
      <c r="AT113" s="8"/>
      <c r="AU113" s="8"/>
      <c r="AV113" s="8">
        <v>263.86036920974038</v>
      </c>
      <c r="AW113" s="8"/>
      <c r="AX113" s="8"/>
      <c r="AY113" s="8"/>
      <c r="AZ113" s="8"/>
      <c r="BA113" s="8"/>
      <c r="BB113" s="8"/>
      <c r="BC113" s="8">
        <v>263.86036920974038</v>
      </c>
      <c r="BE113" s="8"/>
    </row>
    <row r="114" spans="21:57" x14ac:dyDescent="0.25">
      <c r="U114" s="8"/>
      <c r="AS114" s="3" t="s">
        <v>414</v>
      </c>
      <c r="AT114" s="8"/>
      <c r="AU114" s="8"/>
      <c r="AV114" s="8">
        <v>3.8731446776873781</v>
      </c>
      <c r="AW114" s="8"/>
      <c r="AX114" s="8"/>
      <c r="AY114" s="8"/>
      <c r="AZ114" s="8"/>
      <c r="BA114" s="8"/>
      <c r="BB114" s="8"/>
      <c r="BC114" s="8">
        <v>3.8731446776873781</v>
      </c>
      <c r="BD114" s="8"/>
      <c r="BE114" s="8"/>
    </row>
    <row r="115" spans="21:57" x14ac:dyDescent="0.25">
      <c r="U115" s="8"/>
      <c r="AS115" s="3" t="s">
        <v>432</v>
      </c>
      <c r="AT115" s="8"/>
      <c r="AU115" s="8"/>
      <c r="AV115" s="8">
        <v>0</v>
      </c>
      <c r="AW115" s="8"/>
      <c r="AX115" s="8"/>
      <c r="AY115" s="8"/>
      <c r="AZ115" s="8"/>
      <c r="BA115" s="8"/>
      <c r="BB115" s="8"/>
      <c r="BC115" s="8">
        <v>0</v>
      </c>
      <c r="BD115" s="8"/>
      <c r="BE115" s="8"/>
    </row>
    <row r="116" spans="21:57" x14ac:dyDescent="0.25">
      <c r="U116" s="8"/>
      <c r="AS116" s="3" t="s">
        <v>415</v>
      </c>
      <c r="AT116" s="8"/>
      <c r="AU116" s="8"/>
      <c r="AV116" s="8">
        <v>400.0609424978793</v>
      </c>
      <c r="AW116" s="8"/>
      <c r="AX116" s="8"/>
      <c r="AY116" s="8"/>
      <c r="AZ116" s="8"/>
      <c r="BA116" s="8"/>
      <c r="BB116" s="8"/>
      <c r="BC116" s="8">
        <v>400.0609424978793</v>
      </c>
      <c r="BD116" s="8"/>
      <c r="BE116" s="8"/>
    </row>
    <row r="117" spans="21:57" x14ac:dyDescent="0.25">
      <c r="U117" s="8"/>
      <c r="W117" s="41"/>
      <c r="AS117" s="3" t="s">
        <v>442</v>
      </c>
      <c r="AT117" s="8"/>
      <c r="AU117" s="8"/>
      <c r="AV117" s="8">
        <v>0</v>
      </c>
      <c r="AW117" s="8"/>
      <c r="AX117" s="8"/>
      <c r="AY117" s="8"/>
      <c r="AZ117" s="8"/>
      <c r="BA117" s="8"/>
      <c r="BB117" s="8"/>
      <c r="BC117" s="8">
        <v>0</v>
      </c>
      <c r="BD117" s="8"/>
      <c r="BE117" s="8"/>
    </row>
    <row r="118" spans="21:57" x14ac:dyDescent="0.25">
      <c r="U118" s="8"/>
      <c r="AS118" s="3" t="s">
        <v>443</v>
      </c>
      <c r="AT118" s="8"/>
      <c r="AU118" s="8"/>
      <c r="AV118" s="8">
        <v>0</v>
      </c>
      <c r="AW118" s="8"/>
      <c r="AX118" s="8"/>
      <c r="AY118" s="8"/>
      <c r="AZ118" s="8"/>
      <c r="BA118" s="8"/>
      <c r="BB118" s="8"/>
      <c r="BC118" s="8">
        <v>0</v>
      </c>
      <c r="BD118" s="8"/>
      <c r="BE118" s="8"/>
    </row>
    <row r="119" spans="21:57" x14ac:dyDescent="0.25">
      <c r="U119" s="8"/>
      <c r="AS119" s="3" t="s">
        <v>444</v>
      </c>
      <c r="AT119" s="8"/>
      <c r="AU119" s="8"/>
      <c r="AV119" s="8">
        <v>2877.3571273807302</v>
      </c>
      <c r="AW119" s="8"/>
      <c r="AX119" s="8"/>
      <c r="AY119" s="8"/>
      <c r="AZ119" s="8"/>
      <c r="BA119" s="8"/>
      <c r="BB119" s="8"/>
      <c r="BC119" s="8">
        <v>2877.3571273807302</v>
      </c>
      <c r="BD119" s="8"/>
      <c r="BE119" s="8"/>
    </row>
    <row r="120" spans="21:57" x14ac:dyDescent="0.25">
      <c r="U120" s="8"/>
      <c r="AS120" s="3" t="s">
        <v>445</v>
      </c>
      <c r="AT120" s="8"/>
      <c r="AU120" s="8"/>
      <c r="AV120" s="8">
        <v>0</v>
      </c>
      <c r="AW120" s="8"/>
      <c r="AX120" s="8"/>
      <c r="AY120" s="8"/>
      <c r="AZ120" s="8"/>
      <c r="BA120" s="8"/>
      <c r="BB120" s="8"/>
      <c r="BC120" s="8">
        <v>0</v>
      </c>
      <c r="BD120" s="8"/>
      <c r="BE120" s="8"/>
    </row>
    <row r="121" spans="21:57" x14ac:dyDescent="0.25">
      <c r="U121" s="8"/>
      <c r="AS121" s="3" t="s">
        <v>446</v>
      </c>
      <c r="AT121" s="8"/>
      <c r="AU121" s="8"/>
      <c r="AV121" s="8">
        <v>0</v>
      </c>
      <c r="AW121" s="8"/>
      <c r="AX121" s="8"/>
      <c r="AY121" s="8"/>
      <c r="AZ121" s="8"/>
      <c r="BA121" s="8"/>
      <c r="BB121" s="8"/>
      <c r="BC121" s="8">
        <v>0</v>
      </c>
      <c r="BD121" s="8"/>
      <c r="BE121" s="8"/>
    </row>
    <row r="122" spans="21:57" x14ac:dyDescent="0.25">
      <c r="U122" s="8"/>
      <c r="AS122" s="3" t="s">
        <v>447</v>
      </c>
      <c r="AT122" s="8"/>
      <c r="AU122" s="8"/>
      <c r="AV122" s="8">
        <v>0</v>
      </c>
      <c r="AW122" s="8"/>
      <c r="AX122" s="8"/>
      <c r="AY122" s="8"/>
      <c r="AZ122" s="8"/>
      <c r="BA122" s="8"/>
      <c r="BB122" s="8"/>
      <c r="BC122" s="8">
        <v>0</v>
      </c>
      <c r="BD122" s="8"/>
      <c r="BE122" s="8"/>
    </row>
    <row r="123" spans="21:57" x14ac:dyDescent="0.25">
      <c r="U123" s="8"/>
      <c r="AS123" s="3" t="s">
        <v>457</v>
      </c>
      <c r="AT123" s="8"/>
      <c r="AU123" s="8"/>
      <c r="AV123" s="8">
        <v>0</v>
      </c>
      <c r="AW123" s="8"/>
      <c r="AX123" s="8"/>
      <c r="AY123" s="8"/>
      <c r="AZ123" s="8"/>
      <c r="BA123" s="8"/>
      <c r="BB123" s="8"/>
      <c r="BC123" s="8">
        <v>0</v>
      </c>
      <c r="BD123" s="8"/>
      <c r="BE123" s="8"/>
    </row>
    <row r="124" spans="21:57" x14ac:dyDescent="0.25">
      <c r="U124" s="8"/>
      <c r="AS124" s="3" t="s">
        <v>458</v>
      </c>
      <c r="AT124" s="8"/>
      <c r="AU124" s="8"/>
      <c r="AV124" s="8">
        <v>0</v>
      </c>
      <c r="AW124" s="8"/>
      <c r="AX124" s="8"/>
      <c r="AY124" s="8"/>
      <c r="AZ124" s="8"/>
      <c r="BA124" s="8"/>
      <c r="BB124" s="8"/>
      <c r="BC124" s="8">
        <v>0</v>
      </c>
      <c r="BD124" s="8"/>
      <c r="BE124" s="8"/>
    </row>
    <row r="125" spans="21:57" x14ac:dyDescent="0.25">
      <c r="U125" s="8"/>
      <c r="AS125" s="3" t="s">
        <v>459</v>
      </c>
      <c r="AT125" s="8"/>
      <c r="AU125" s="8"/>
      <c r="AV125" s="8">
        <v>0</v>
      </c>
      <c r="AW125" s="8"/>
      <c r="AX125" s="8"/>
      <c r="AY125" s="8"/>
      <c r="AZ125" s="8"/>
      <c r="BA125" s="8"/>
      <c r="BB125" s="8"/>
      <c r="BC125" s="8">
        <v>0</v>
      </c>
      <c r="BD125" s="8"/>
      <c r="BE125" s="8"/>
    </row>
    <row r="126" spans="21:57" x14ac:dyDescent="0.25">
      <c r="U126" s="8"/>
      <c r="AS126" s="3" t="s">
        <v>460</v>
      </c>
      <c r="AT126" s="8"/>
      <c r="AU126" s="8"/>
      <c r="AV126" s="8">
        <v>0</v>
      </c>
      <c r="AW126" s="8"/>
      <c r="AX126" s="8"/>
      <c r="AY126" s="8"/>
      <c r="AZ126" s="8"/>
      <c r="BA126" s="8"/>
      <c r="BB126" s="8"/>
      <c r="BC126" s="8">
        <v>0</v>
      </c>
      <c r="BD126" s="8"/>
      <c r="BE126" s="8"/>
    </row>
    <row r="127" spans="21:57" x14ac:dyDescent="0.25">
      <c r="U127" s="8"/>
      <c r="AS127" s="3" t="s">
        <v>798</v>
      </c>
      <c r="AT127" s="8"/>
      <c r="AU127" s="8"/>
      <c r="AV127" s="8">
        <v>3931.5398297420629</v>
      </c>
      <c r="AW127" s="8"/>
      <c r="AX127" s="8"/>
      <c r="AY127" s="8"/>
      <c r="AZ127" s="8"/>
      <c r="BA127" s="8"/>
      <c r="BB127" s="8"/>
      <c r="BC127" s="8">
        <v>3931.5398297420629</v>
      </c>
      <c r="BD127" s="8"/>
      <c r="BE127" s="8"/>
    </row>
    <row r="128" spans="21:57" x14ac:dyDescent="0.25">
      <c r="U128" s="8"/>
      <c r="AS128" s="3" t="s">
        <v>802</v>
      </c>
      <c r="AT128" s="8"/>
      <c r="AU128" s="8"/>
      <c r="AV128" s="8">
        <v>0</v>
      </c>
      <c r="AW128" s="8"/>
      <c r="AX128" s="8"/>
      <c r="AY128" s="8"/>
      <c r="AZ128" s="8"/>
      <c r="BA128" s="8"/>
      <c r="BB128" s="8"/>
      <c r="BC128" s="8">
        <v>0</v>
      </c>
      <c r="BD128" s="8"/>
      <c r="BE128" s="8"/>
    </row>
    <row r="129" spans="21:57" x14ac:dyDescent="0.25">
      <c r="U129" s="8"/>
      <c r="AS129" s="3" t="s">
        <v>892</v>
      </c>
      <c r="AT129" s="8"/>
      <c r="AU129" s="8"/>
      <c r="AV129" s="8">
        <v>0</v>
      </c>
      <c r="AW129" s="8"/>
      <c r="AX129" s="8"/>
      <c r="AY129" s="8"/>
      <c r="AZ129" s="8"/>
      <c r="BA129" s="8"/>
      <c r="BB129" s="8"/>
      <c r="BC129" s="8">
        <v>0</v>
      </c>
      <c r="BD129" s="8"/>
      <c r="BE129" s="8"/>
    </row>
    <row r="130" spans="21:57" x14ac:dyDescent="0.25">
      <c r="U130" s="8"/>
      <c r="AS130" s="3" t="s">
        <v>893</v>
      </c>
      <c r="AT130" s="8"/>
      <c r="AU130" s="8"/>
      <c r="AV130" s="8">
        <v>0</v>
      </c>
      <c r="AW130" s="8"/>
      <c r="AX130" s="8"/>
      <c r="AY130" s="8"/>
      <c r="AZ130" s="8"/>
      <c r="BA130" s="8"/>
      <c r="BB130" s="8"/>
      <c r="BC130" s="8">
        <v>0</v>
      </c>
      <c r="BD130" s="8"/>
      <c r="BE130" s="8"/>
    </row>
    <row r="131" spans="21:57" x14ac:dyDescent="0.25">
      <c r="U131" s="8"/>
      <c r="AS131" s="3" t="s">
        <v>894</v>
      </c>
      <c r="AT131" s="8"/>
      <c r="AU131" s="8"/>
      <c r="AV131" s="8">
        <v>0</v>
      </c>
      <c r="AW131" s="8"/>
      <c r="AX131" s="8"/>
      <c r="AY131" s="8"/>
      <c r="AZ131" s="8"/>
      <c r="BA131" s="8"/>
      <c r="BB131" s="8"/>
      <c r="BC131" s="8">
        <v>0</v>
      </c>
      <c r="BD131" s="8"/>
      <c r="BE131" s="8"/>
    </row>
    <row r="132" spans="21:57" x14ac:dyDescent="0.25">
      <c r="U132" s="8"/>
      <c r="AS132" s="3" t="s">
        <v>904</v>
      </c>
      <c r="AT132" s="8"/>
      <c r="AU132" s="8"/>
      <c r="AV132" s="8">
        <v>0</v>
      </c>
      <c r="AW132" s="8"/>
      <c r="AX132" s="8"/>
      <c r="AY132" s="8"/>
      <c r="AZ132" s="8"/>
      <c r="BA132" s="8"/>
      <c r="BB132" s="8"/>
      <c r="BC132" s="8">
        <v>0</v>
      </c>
      <c r="BD132" s="8"/>
      <c r="BE132" s="8"/>
    </row>
    <row r="133" spans="21:57" x14ac:dyDescent="0.25">
      <c r="U133" s="8"/>
      <c r="AS133" s="3" t="s">
        <v>930</v>
      </c>
      <c r="AT133" s="8"/>
      <c r="AU133" s="8"/>
      <c r="AV133" s="8">
        <v>0</v>
      </c>
      <c r="AW133" s="8"/>
      <c r="AX133" s="8"/>
      <c r="AY133" s="8"/>
      <c r="AZ133" s="8"/>
      <c r="BA133" s="8"/>
      <c r="BB133" s="8"/>
      <c r="BC133" s="8">
        <v>0</v>
      </c>
      <c r="BD133" s="8"/>
      <c r="BE133" s="8"/>
    </row>
    <row r="134" spans="21:57" x14ac:dyDescent="0.25">
      <c r="U134" s="8"/>
      <c r="AS134" s="3" t="s">
        <v>931</v>
      </c>
      <c r="AT134" s="8"/>
      <c r="AU134" s="8"/>
      <c r="AV134" s="8">
        <v>0</v>
      </c>
      <c r="AW134" s="8"/>
      <c r="AX134" s="8"/>
      <c r="AY134" s="8"/>
      <c r="AZ134" s="8"/>
      <c r="BA134" s="8"/>
      <c r="BB134" s="8"/>
      <c r="BC134" s="8">
        <v>0</v>
      </c>
      <c r="BD134" s="8"/>
      <c r="BE134" s="8"/>
    </row>
    <row r="135" spans="21:57" x14ac:dyDescent="0.25">
      <c r="U135" s="8"/>
      <c r="AS135" s="3" t="s">
        <v>932</v>
      </c>
      <c r="AT135" s="8"/>
      <c r="AU135" s="8"/>
      <c r="AV135" s="8">
        <v>0</v>
      </c>
      <c r="AW135" s="8"/>
      <c r="AX135" s="8"/>
      <c r="AY135" s="8"/>
      <c r="AZ135" s="8"/>
      <c r="BA135" s="8"/>
      <c r="BB135" s="8"/>
      <c r="BC135" s="8">
        <v>0</v>
      </c>
      <c r="BD135" s="8"/>
      <c r="BE135" s="8"/>
    </row>
    <row r="136" spans="21:57" x14ac:dyDescent="0.25">
      <c r="U136" s="8"/>
      <c r="AS136" s="3" t="s">
        <v>964</v>
      </c>
      <c r="AT136" s="8"/>
      <c r="AU136" s="8"/>
      <c r="AV136" s="8">
        <v>0</v>
      </c>
      <c r="AW136" s="8"/>
      <c r="AX136" s="8"/>
      <c r="AY136" s="8"/>
      <c r="AZ136" s="8"/>
      <c r="BA136" s="8"/>
      <c r="BB136" s="8"/>
      <c r="BC136" s="8">
        <v>0</v>
      </c>
      <c r="BD136" s="8"/>
      <c r="BE136" s="8"/>
    </row>
    <row r="137" spans="21:57" x14ac:dyDescent="0.25">
      <c r="U137" s="8"/>
      <c r="AS137" s="3" t="s">
        <v>973</v>
      </c>
      <c r="AT137" s="8"/>
      <c r="AU137" s="8"/>
      <c r="AV137" s="8">
        <v>54419.487239838643</v>
      </c>
      <c r="AW137" s="8"/>
      <c r="AX137" s="8"/>
      <c r="AY137" s="8"/>
      <c r="AZ137" s="8"/>
      <c r="BA137" s="8"/>
      <c r="BB137" s="8"/>
      <c r="BC137" s="8">
        <v>54419.487239838643</v>
      </c>
      <c r="BD137" s="8"/>
      <c r="BE137" s="8"/>
    </row>
    <row r="138" spans="21:57" x14ac:dyDescent="0.25">
      <c r="U138" s="8"/>
      <c r="AS138" s="3" t="s">
        <v>56</v>
      </c>
      <c r="AT138" s="8"/>
      <c r="AU138" s="8">
        <v>51412610.806054726</v>
      </c>
      <c r="AV138" s="8">
        <v>-16978690.183038354</v>
      </c>
      <c r="AW138" s="8">
        <v>108180974.97364089</v>
      </c>
      <c r="AX138" s="8"/>
      <c r="AY138" s="8">
        <v>-42105860.605219647</v>
      </c>
      <c r="AZ138" s="8">
        <v>-95420850</v>
      </c>
      <c r="BA138" s="8">
        <v>-703758.88195221906</v>
      </c>
      <c r="BB138" s="8">
        <v>1598100</v>
      </c>
      <c r="BC138" s="8">
        <v>5982526.1094854036</v>
      </c>
    </row>
    <row r="139" spans="21:57" x14ac:dyDescent="0.25">
      <c r="U139" s="8"/>
    </row>
    <row r="140" spans="21:57" x14ac:dyDescent="0.25">
      <c r="U140" s="8"/>
    </row>
    <row r="141" spans="21:57" x14ac:dyDescent="0.25">
      <c r="U141" s="8"/>
    </row>
    <row r="142" spans="21:57" x14ac:dyDescent="0.25">
      <c r="U142" s="8"/>
    </row>
    <row r="143" spans="21:57" x14ac:dyDescent="0.25">
      <c r="U143" s="8"/>
    </row>
    <row r="144" spans="21:57" x14ac:dyDescent="0.25">
      <c r="U144" s="8"/>
    </row>
    <row r="145" spans="21:21" x14ac:dyDescent="0.25">
      <c r="U145" s="8"/>
    </row>
    <row r="146" spans="21:21" x14ac:dyDescent="0.25">
      <c r="U146" s="8"/>
    </row>
    <row r="147" spans="21:21" x14ac:dyDescent="0.25">
      <c r="U147" s="8"/>
    </row>
    <row r="148" spans="21:21" x14ac:dyDescent="0.25">
      <c r="U148" s="8"/>
    </row>
    <row r="149" spans="21:21" x14ac:dyDescent="0.25">
      <c r="U149" s="8"/>
    </row>
    <row r="150" spans="21:21" x14ac:dyDescent="0.25">
      <c r="U150" s="8"/>
    </row>
    <row r="151" spans="21:21" x14ac:dyDescent="0.25">
      <c r="U151" s="8"/>
    </row>
    <row r="152" spans="21:21" x14ac:dyDescent="0.25">
      <c r="U152" s="8"/>
    </row>
    <row r="153" spans="21:21" x14ac:dyDescent="0.25">
      <c r="U153" s="8"/>
    </row>
    <row r="154" spans="21:21" x14ac:dyDescent="0.25">
      <c r="U154" s="8"/>
    </row>
    <row r="155" spans="21:21" x14ac:dyDescent="0.25">
      <c r="U155" s="8"/>
    </row>
    <row r="156" spans="21:21" x14ac:dyDescent="0.25">
      <c r="U156" s="8"/>
    </row>
    <row r="157" spans="21:21" x14ac:dyDescent="0.25">
      <c r="U157" s="8"/>
    </row>
    <row r="158" spans="21:21" x14ac:dyDescent="0.25">
      <c r="U158" s="8"/>
    </row>
    <row r="159" spans="21:21" x14ac:dyDescent="0.25">
      <c r="U159" s="8"/>
    </row>
    <row r="160" spans="21:21" x14ac:dyDescent="0.25">
      <c r="U160" s="8"/>
    </row>
    <row r="161" spans="21:21" x14ac:dyDescent="0.25">
      <c r="U161" s="8"/>
    </row>
    <row r="162" spans="21:21" x14ac:dyDescent="0.25">
      <c r="U162" s="8"/>
    </row>
    <row r="163" spans="21:21" x14ac:dyDescent="0.25">
      <c r="U163" s="8"/>
    </row>
    <row r="164" spans="21:21" x14ac:dyDescent="0.25">
      <c r="U164" s="8"/>
    </row>
    <row r="165" spans="21:21" x14ac:dyDescent="0.25">
      <c r="U165" s="8"/>
    </row>
    <row r="166" spans="21:21" x14ac:dyDescent="0.25">
      <c r="U166" s="8"/>
    </row>
    <row r="167" spans="21:21" x14ac:dyDescent="0.25">
      <c r="U167" s="8"/>
    </row>
    <row r="168" spans="21:21" x14ac:dyDescent="0.25">
      <c r="U168" s="8"/>
    </row>
    <row r="169" spans="21:21" x14ac:dyDescent="0.25">
      <c r="U169" s="8"/>
    </row>
    <row r="170" spans="21:21" x14ac:dyDescent="0.25">
      <c r="U170" s="8"/>
    </row>
    <row r="171" spans="21:21" x14ac:dyDescent="0.25">
      <c r="U171" s="8"/>
    </row>
    <row r="172" spans="21:21" x14ac:dyDescent="0.25">
      <c r="U172" s="8"/>
    </row>
    <row r="173" spans="21:21" x14ac:dyDescent="0.25">
      <c r="U173" s="8"/>
    </row>
    <row r="174" spans="21:21" x14ac:dyDescent="0.25">
      <c r="U174" s="8"/>
    </row>
    <row r="175" spans="21:21" x14ac:dyDescent="0.25">
      <c r="U175" s="8"/>
    </row>
    <row r="176" spans="21:21" x14ac:dyDescent="0.25">
      <c r="U176" s="8"/>
    </row>
    <row r="177" spans="21:39" x14ac:dyDescent="0.25">
      <c r="U177" s="8"/>
    </row>
    <row r="178" spans="21:39" x14ac:dyDescent="0.25">
      <c r="U178" s="8"/>
    </row>
    <row r="179" spans="21:39" x14ac:dyDescent="0.25">
      <c r="U179" s="8"/>
    </row>
    <row r="180" spans="21:39" x14ac:dyDescent="0.25">
      <c r="U180" s="8"/>
    </row>
    <row r="181" spans="21:39" x14ac:dyDescent="0.25">
      <c r="U181" s="8"/>
    </row>
    <row r="182" spans="21:39" x14ac:dyDescent="0.25">
      <c r="U182" s="8"/>
    </row>
    <row r="183" spans="21:39" x14ac:dyDescent="0.25">
      <c r="U183" s="8"/>
    </row>
    <row r="184" spans="21:39" x14ac:dyDescent="0.25">
      <c r="U184" s="8"/>
    </row>
    <row r="185" spans="21:39" x14ac:dyDescent="0.25">
      <c r="U185" s="8"/>
    </row>
    <row r="186" spans="21:39" x14ac:dyDescent="0.25">
      <c r="U186" s="8"/>
    </row>
    <row r="187" spans="21:39" x14ac:dyDescent="0.25">
      <c r="U187" s="8"/>
    </row>
    <row r="188" spans="21:39" x14ac:dyDescent="0.25">
      <c r="U188" s="8"/>
    </row>
    <row r="189" spans="21:39" x14ac:dyDescent="0.25">
      <c r="U189" s="8"/>
    </row>
    <row r="190" spans="21:39" s="8" customFormat="1" x14ac:dyDescent="0.25">
      <c r="AE190"/>
      <c r="AH190"/>
      <c r="AI190"/>
      <c r="AJ190"/>
      <c r="AK190"/>
      <c r="AL190"/>
      <c r="AM190"/>
    </row>
    <row r="191" spans="21:39" s="8" customFormat="1" x14ac:dyDescent="0.25"/>
    <row r="192" spans="21:39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pans="31:39" s="8" customFormat="1" x14ac:dyDescent="0.25"/>
    <row r="226" spans="31:39" s="8" customFormat="1" x14ac:dyDescent="0.25"/>
    <row r="227" spans="31:39" s="8" customFormat="1" x14ac:dyDescent="0.25"/>
    <row r="228" spans="31:39" s="8" customFormat="1" x14ac:dyDescent="0.25"/>
    <row r="229" spans="31:39" s="8" customFormat="1" x14ac:dyDescent="0.25"/>
    <row r="230" spans="31:39" x14ac:dyDescent="0.25">
      <c r="AE230" s="8"/>
      <c r="AH230" s="8"/>
      <c r="AI230" s="8"/>
      <c r="AJ230" s="8"/>
      <c r="AK230" s="8"/>
      <c r="AL230" s="8"/>
      <c r="AM230" s="8"/>
    </row>
  </sheetData>
  <pageMargins left="0.7" right="0.7" top="0.75" bottom="0.75" header="0.3" footer="0.3"/>
  <pageSetup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J554"/>
  <sheetViews>
    <sheetView zoomScale="75" zoomScaleNormal="75" workbookViewId="0">
      <pane xSplit="16" ySplit="1" topLeftCell="Q2" activePane="bottomRight" state="frozenSplit"/>
      <selection pane="topRight" activeCell="Q1" sqref="Q1"/>
      <selection pane="bottomLeft" activeCell="A2" sqref="A2"/>
      <selection pane="bottomRight" activeCell="A2" sqref="A2:M496"/>
    </sheetView>
  </sheetViews>
  <sheetFormatPr defaultColWidth="9.140625" defaultRowHeight="15" x14ac:dyDescent="0.25"/>
  <cols>
    <col min="1" max="1" width="3.28515625" style="73" bestFit="1" customWidth="1"/>
    <col min="2" max="2" width="22" style="73" customWidth="1"/>
    <col min="3" max="3" width="12.7109375" style="73" bestFit="1" customWidth="1"/>
    <col min="4" max="4" width="23.28515625" style="73" bestFit="1" customWidth="1"/>
    <col min="5" max="5" width="23.140625" style="73" bestFit="1" customWidth="1"/>
    <col min="6" max="6" width="19.85546875" style="102" bestFit="1" customWidth="1"/>
    <col min="7" max="7" width="13" style="154" bestFit="1" customWidth="1"/>
    <col min="8" max="8" width="15.28515625" style="158" bestFit="1" customWidth="1"/>
    <col min="9" max="9" width="14.42578125" style="73" bestFit="1" customWidth="1"/>
    <col min="10" max="10" width="16.28515625" style="73" bestFit="1" customWidth="1"/>
    <col min="11" max="11" width="17.28515625" style="73" bestFit="1" customWidth="1"/>
    <col min="12" max="12" width="8.7109375" style="73" bestFit="1" customWidth="1"/>
    <col min="13" max="13" width="10.85546875" style="73" bestFit="1" customWidth="1"/>
    <col min="14" max="14" width="12.7109375" style="74" bestFit="1" customWidth="1"/>
    <col min="15" max="15" width="20.5703125" style="160" bestFit="1" customWidth="1"/>
    <col min="16" max="16" width="14.42578125" style="74" bestFit="1" customWidth="1"/>
    <col min="17" max="17" width="14.5703125" style="75" bestFit="1" customWidth="1"/>
    <col min="18" max="18" width="9.85546875" style="75" bestFit="1" customWidth="1"/>
    <col min="19" max="19" width="11" style="75" bestFit="1" customWidth="1"/>
    <col min="20" max="20" width="19.7109375" style="75" bestFit="1" customWidth="1"/>
    <col min="21" max="21" width="17.85546875" style="75" bestFit="1" customWidth="1"/>
    <col min="22" max="22" width="15.7109375" style="75" bestFit="1" customWidth="1"/>
    <col min="23" max="23" width="10.42578125" style="76" customWidth="1"/>
    <col min="24" max="24" width="14.42578125" style="75" bestFit="1" customWidth="1"/>
    <col min="25" max="25" width="17.42578125" style="73" bestFit="1" customWidth="1"/>
    <col min="26" max="26" width="21.85546875" style="77" bestFit="1" customWidth="1"/>
    <col min="27" max="27" width="12.5703125" style="77" bestFit="1" customWidth="1"/>
    <col min="28" max="28" width="13.7109375" style="77" bestFit="1" customWidth="1"/>
    <col min="29" max="30" width="1" style="77" customWidth="1"/>
    <col min="31" max="31" width="9.7109375" style="77" bestFit="1" customWidth="1"/>
    <col min="32" max="32" width="9" style="77" bestFit="1" customWidth="1"/>
    <col min="33" max="33" width="1" style="77" customWidth="1"/>
    <col min="34" max="35" width="9.140625" style="77"/>
    <col min="36" max="36" width="13.42578125" style="77" bestFit="1" customWidth="1"/>
    <col min="37" max="16384" width="9.140625" style="77"/>
  </cols>
  <sheetData>
    <row r="1" spans="1:36" s="11" customFormat="1" x14ac:dyDescent="0.25">
      <c r="A1" s="12" t="s">
        <v>433</v>
      </c>
      <c r="B1" s="70" t="s">
        <v>435</v>
      </c>
      <c r="C1" s="12" t="s">
        <v>420</v>
      </c>
      <c r="D1" s="12" t="s">
        <v>1</v>
      </c>
      <c r="E1" s="12" t="s">
        <v>2</v>
      </c>
      <c r="F1" s="43" t="s">
        <v>3</v>
      </c>
      <c r="G1" s="65" t="s">
        <v>4</v>
      </c>
      <c r="H1" s="155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282</v>
      </c>
      <c r="O1" s="43" t="s">
        <v>283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67</v>
      </c>
      <c r="V1" s="13" t="s">
        <v>68</v>
      </c>
      <c r="W1" s="38" t="s">
        <v>69</v>
      </c>
      <c r="X1" s="13" t="s">
        <v>70</v>
      </c>
      <c r="Y1" s="12" t="s">
        <v>216</v>
      </c>
      <c r="Z1" s="11" t="s">
        <v>254</v>
      </c>
      <c r="AA1" s="11" t="s">
        <v>826</v>
      </c>
      <c r="AB1" t="s">
        <v>313</v>
      </c>
    </row>
    <row r="2" spans="1:36" customFormat="1" x14ac:dyDescent="0.25">
      <c r="A2" s="14">
        <v>0</v>
      </c>
      <c r="B2" s="71">
        <v>44938.916666666664</v>
      </c>
      <c r="C2" s="14" t="s">
        <v>11</v>
      </c>
      <c r="D2" s="14" t="s">
        <v>12</v>
      </c>
      <c r="E2" s="14" t="s">
        <v>16</v>
      </c>
      <c r="F2" s="100">
        <v>147376</v>
      </c>
      <c r="G2" s="152">
        <v>14737600</v>
      </c>
      <c r="H2" s="156">
        <v>18094.104153970002</v>
      </c>
      <c r="I2" s="14">
        <v>8.05923838</v>
      </c>
      <c r="J2" s="14" t="s">
        <v>17</v>
      </c>
      <c r="K2" s="15">
        <v>73050.333333333328</v>
      </c>
      <c r="L2" s="14">
        <v>0</v>
      </c>
      <c r="M2" s="14" t="s">
        <v>14</v>
      </c>
      <c r="N2" s="45">
        <f t="shared" ref="N2:N58" si="0">IF($C2="","",IF(OR($J2="SWAP",$J2="FUTURE",$J2="CME FUTURE"),IF($L2=1,ROUND($G2/$H2/$F2,3),POWER(10,ROUND(LOG($G2/$F2),1))),1))</f>
        <v>100</v>
      </c>
      <c r="O2" s="159">
        <f t="shared" ref="O2:O65" si="1">IF($C2="","",IF(OR($J2="SWAP",$J2="FUTURE",$J2="CME FUTURE"),IF($L2=1,$F2*$N2,$AB$2*$F2*$N2/$H2),F2))</f>
        <v>814.49735640912866</v>
      </c>
      <c r="P2" s="47">
        <f t="shared" ref="P2:P65" si="2">IF($C2="","",IF(OR($J2="SWAP",$J2="FUTURE",$J2="CME FUTURE"),IF(NOT(ISERROR(VLOOKUP($M2,SpotUSDRateTable,2,FALSE))),VLOOKUP($M2,SpotUSDRateTable,2,FALSE),$H2)*O2,VLOOKUP($M2,SpotUSDRateTable,2,FALSE)*O2))</f>
        <v>15369229.58754302</v>
      </c>
      <c r="Q2" s="25">
        <f>IF($C2="","",IF(OR($J2="SWAP",$J2="FUTURE",$J2="CME FUTURE"),INT($K2-$B2),0))</f>
        <v>28111</v>
      </c>
      <c r="R2" s="26" t="str">
        <f>IF($C2="","",IF(OR($E2="USD",$E2="EUR"),"CASH",IF($Q2=0,"COIN",IF($Q2&gt;720,"PERP",IF($J2="FUTURE",TEXT($K2-1,"mmm yy"),"CME "&amp;TEXT($K2-1,"mmm yy"))))))</f>
        <v>PERP</v>
      </c>
      <c r="S2" s="26" t="str">
        <f t="shared" ref="S2:S55" si="3">IF($C2="","",IF($J2="CME FUTURE",IF($G2&gt;0,"LONG","SHORT"),IF($G2&gt;0,"LONG","SHORT")))</f>
        <v>LONG</v>
      </c>
      <c r="T2" s="26" t="str">
        <f>IF($C2="","",$R2&amp;" "&amp;$S2)</f>
        <v>PERP LONG</v>
      </c>
      <c r="U2" s="17">
        <f>IF($C2="","",$G2*(1+$W2))</f>
        <v>14737600</v>
      </c>
      <c r="V2" s="17">
        <f>IF($C2="","",$H2*(1+$W2))</f>
        <v>18094.104153970002</v>
      </c>
      <c r="W2" s="39">
        <f>IF($C2="","",IF(DefaultScenario,IF(OR(AND(Default_Exchange="ALL",NOT(ISERROR(MATCH($C2,$AF$6:$AF$37,0)))),$C2=Default_Exchange),IF($G2&gt;0,-LGD,0),0),IF(OR($J2="SWAP",$J2="FUTURE",$J2="CME FUTURE"),IF('Futures &amp; Perps Shifted'!$AE$31,VLOOKUP($M2,'Futures &amp; Perps Shifted'!$AE$32:$AO$76,MATCH($R2,'Futures &amp; Perps Shifted'!$AE$30:$AO$30,0),FALSE),0),0)))</f>
        <v>0</v>
      </c>
      <c r="X2" s="17">
        <f>IF($C2="","",$U2-$G2)</f>
        <v>0</v>
      </c>
      <c r="Y2" s="14" t="str">
        <f t="shared" ref="Y2:Y47" si="4">IF($C2="","",IF(ISERROR(SEARCH("-",$D2)),$C2,LEFT($D2,SEARCH("-",$D2)-1)))</f>
        <v>BINE</v>
      </c>
      <c r="Z2" t="str">
        <f>IF($C2="","",$M2&amp;" "&amp;$T2)</f>
        <v>BTC PERP LONG</v>
      </c>
      <c r="AA2" t="b">
        <f>IF($C2="","",IF(ISERROR(VLOOKUP($Y2,Mappings!$A:$C,3,FALSE)),FALSE,VLOOKUP($Y2,Mappings!$A:$C,3,FALSE)))</f>
        <v>1</v>
      </c>
      <c r="AB2" s="44">
        <v>1</v>
      </c>
      <c r="AE2" t="s">
        <v>273</v>
      </c>
      <c r="AF2" t="b">
        <v>0</v>
      </c>
      <c r="AH2">
        <f>IF($C2="","",IF($A2="",0,IF($L2=1,ROUND($G2/$H2/$F2,3),POWER(10,ROUND(LOG($G2/$F2),1)))))</f>
        <v>100</v>
      </c>
      <c r="AI2">
        <f t="shared" ref="AI2:AI33" si="5">IF($C2="","",IF($A2="",0,IF($L2=1,$F2*$AH2,$AB$2*$F2*$AH2/$H2)))</f>
        <v>814.49735640912866</v>
      </c>
      <c r="AJ2">
        <f t="shared" ref="AJ2:AJ33" si="6">IF($C2="","",IF($A2="",0,VLOOKUP($M2,SpotUSDRateTable,2,FALSE)*AI2))</f>
        <v>15369229.58754302</v>
      </c>
    </row>
    <row r="3" spans="1:36" customFormat="1" x14ac:dyDescent="0.25">
      <c r="A3" s="14">
        <v>1</v>
      </c>
      <c r="B3" s="71">
        <v>44938.916666666664</v>
      </c>
      <c r="C3" s="14" t="s">
        <v>11</v>
      </c>
      <c r="D3" s="14" t="s">
        <v>12</v>
      </c>
      <c r="E3" s="14" t="s">
        <v>463</v>
      </c>
      <c r="F3" s="100">
        <v>625634</v>
      </c>
      <c r="G3" s="152">
        <v>6256340</v>
      </c>
      <c r="H3" s="156">
        <v>1385.94</v>
      </c>
      <c r="I3" s="14">
        <v>-13.973289210000001</v>
      </c>
      <c r="J3" s="14" t="s">
        <v>17</v>
      </c>
      <c r="K3" s="15">
        <v>73050.333333333328</v>
      </c>
      <c r="L3" s="14">
        <v>0</v>
      </c>
      <c r="M3" s="14" t="s">
        <v>15</v>
      </c>
      <c r="N3" s="45">
        <f t="shared" si="0"/>
        <v>10</v>
      </c>
      <c r="O3" s="159">
        <f t="shared" si="1"/>
        <v>4514.149241669913</v>
      </c>
      <c r="P3" s="47">
        <f t="shared" si="2"/>
        <v>6400786.1088370252</v>
      </c>
      <c r="Q3" s="25">
        <f t="shared" ref="Q3:Q66" si="7">IF($C3="","",IF(OR($J3="SWAP",$J3="FUTURE",$J3="CME FUTURE"),INT($K3-$B3),0))</f>
        <v>28111</v>
      </c>
      <c r="R3" s="26" t="str">
        <f t="shared" ref="R3:R66" si="8">IF($C3="","",IF(OR($E3="USD",$E3="EUR"),"CASH",IF($Q3=0,"COIN",IF($Q3&gt;720,"PERP",IF($J3="FUTURE",TEXT($K3-1,"mmm yy"),"CME "&amp;TEXT($K3-1,"mmm yy"))))))</f>
        <v>PERP</v>
      </c>
      <c r="S3" s="26" t="str">
        <f t="shared" si="3"/>
        <v>LONG</v>
      </c>
      <c r="T3" s="26" t="str">
        <f t="shared" ref="T3:T66" si="9">IF($C3="","",$R3&amp;" "&amp;$S3)</f>
        <v>PERP LONG</v>
      </c>
      <c r="U3" s="17">
        <f t="shared" ref="U3:U66" si="10">IF($C3="","",$G3*(1+$W3))</f>
        <v>6256340</v>
      </c>
      <c r="V3" s="17">
        <f t="shared" ref="V3:V66" si="11">IF($C3="","",$H3*(1+$W3))</f>
        <v>1385.94</v>
      </c>
      <c r="W3" s="39">
        <f>IF($C3="","",IF(DefaultScenario,IF(OR(AND(Default_Exchange="ALL",NOT(ISERROR(MATCH($C3,$AF$6:$AF$37,0)))),$C3=Default_Exchange),IF($G3&gt;0,-LGD,0),0),IF(OR($J3="SWAP",$J3="FUTURE",$J3="CME FUTURE"),IF('Futures &amp; Perps Shifted'!$AE$31,VLOOKUP($M3,'Futures &amp; Perps Shifted'!$AE$32:$AO$76,MATCH($R3,'Futures &amp; Perps Shifted'!$AE$30:$AO$30,0),FALSE),0),0)))</f>
        <v>0</v>
      </c>
      <c r="X3" s="17">
        <f t="shared" ref="X3:X66" si="12">IF($C3="","",$U3-$G3)</f>
        <v>0</v>
      </c>
      <c r="Y3" s="14" t="str">
        <f t="shared" si="4"/>
        <v>BINE</v>
      </c>
      <c r="Z3" t="str">
        <f t="shared" ref="Z3:Z66" si="13">IF($C3="","",$M3&amp;" "&amp;$T3)</f>
        <v>ETH PERP LONG</v>
      </c>
      <c r="AA3" t="b">
        <f>IF($C3="","",IF(ISERROR(VLOOKUP($Y3,Mappings!$A:$C,3,FALSE)),FALSE,VLOOKUP($Y3,Mappings!$A:$C,3,FALSE)))</f>
        <v>1</v>
      </c>
      <c r="AE3" t="s">
        <v>270</v>
      </c>
      <c r="AF3" t="s">
        <v>275</v>
      </c>
      <c r="AH3">
        <f t="shared" ref="AH3:AH66" si="14">IF($C3="","",IF($A3="",0,IF($L3=1,ROUND($G3/$H3/$F3,3),POWER(10,ROUND(LOG($G3/$F3),1)))))</f>
        <v>10</v>
      </c>
      <c r="AI3">
        <f t="shared" si="5"/>
        <v>4514.149241669913</v>
      </c>
      <c r="AJ3">
        <f t="shared" si="6"/>
        <v>6400786.1088370252</v>
      </c>
    </row>
    <row r="4" spans="1:36" customFormat="1" x14ac:dyDescent="0.25">
      <c r="A4" s="14">
        <v>2</v>
      </c>
      <c r="B4" s="71">
        <v>44938.916666666664</v>
      </c>
      <c r="C4" s="14" t="s">
        <v>11</v>
      </c>
      <c r="D4" s="14" t="s">
        <v>12</v>
      </c>
      <c r="E4" s="14" t="s">
        <v>938</v>
      </c>
      <c r="F4" s="100">
        <v>-104512</v>
      </c>
      <c r="G4" s="152">
        <v>-10451200</v>
      </c>
      <c r="H4" s="156">
        <v>18207.291577249998</v>
      </c>
      <c r="I4" s="14">
        <v>-30.56990704</v>
      </c>
      <c r="J4" s="14" t="s">
        <v>13</v>
      </c>
      <c r="K4" s="15">
        <v>45016.333333333336</v>
      </c>
      <c r="L4" s="14">
        <v>0</v>
      </c>
      <c r="M4" s="14" t="s">
        <v>14</v>
      </c>
      <c r="N4" s="45">
        <f t="shared" si="0"/>
        <v>100</v>
      </c>
      <c r="O4" s="159">
        <f t="shared" si="1"/>
        <v>-574.01178839024965</v>
      </c>
      <c r="P4" s="47">
        <f t="shared" si="2"/>
        <v>-10831365.985790243</v>
      </c>
      <c r="Q4" s="25">
        <f t="shared" si="7"/>
        <v>77</v>
      </c>
      <c r="R4" s="26" t="str">
        <f t="shared" si="8"/>
        <v>Mar 23</v>
      </c>
      <c r="S4" s="26" t="str">
        <f t="shared" si="3"/>
        <v>SHORT</v>
      </c>
      <c r="T4" s="26" t="str">
        <f t="shared" si="9"/>
        <v>Mar 23 SHORT</v>
      </c>
      <c r="U4" s="17">
        <f t="shared" si="10"/>
        <v>-10555712</v>
      </c>
      <c r="V4" s="17">
        <f t="shared" si="11"/>
        <v>18389.364493022498</v>
      </c>
      <c r="W4" s="39">
        <f>IF($C4="","",IF(DefaultScenario,IF(OR(AND(Default_Exchange="ALL",NOT(ISERROR(MATCH($C4,$AF$6:$AF$37,0)))),$C4=Default_Exchange),IF($G4&gt;0,-LGD,0),0),IF(OR($J4="SWAP",$J4="FUTURE",$J4="CME FUTURE"),IF('Futures &amp; Perps Shifted'!$AE$31,VLOOKUP($M4,'Futures &amp; Perps Shifted'!$AE$32:$AO$76,MATCH($R4,'Futures &amp; Perps Shifted'!$AE$30:$AO$30,0),FALSE),0),0)))</f>
        <v>0.01</v>
      </c>
      <c r="X4" s="17">
        <f t="shared" si="12"/>
        <v>-104512</v>
      </c>
      <c r="Y4" s="14" t="str">
        <f t="shared" si="4"/>
        <v>BINE</v>
      </c>
      <c r="Z4" t="str">
        <f t="shared" si="13"/>
        <v>BTC Mar 23 SHORT</v>
      </c>
      <c r="AA4" t="b">
        <f>IF($C4="","",IF(ISERROR(VLOOKUP($Y4,Mappings!$A:$C,3,FALSE)),FALSE,VLOOKUP($Y4,Mappings!$A:$C,3,FALSE)))</f>
        <v>1</v>
      </c>
      <c r="AE4" t="s">
        <v>274</v>
      </c>
      <c r="AF4" s="35">
        <v>1</v>
      </c>
      <c r="AH4">
        <f t="shared" si="14"/>
        <v>100</v>
      </c>
      <c r="AI4">
        <f t="shared" si="5"/>
        <v>-574.01178839024965</v>
      </c>
      <c r="AJ4">
        <f t="shared" si="6"/>
        <v>-10831365.985790243</v>
      </c>
    </row>
    <row r="5" spans="1:36" customFormat="1" x14ac:dyDescent="0.25">
      <c r="A5" s="14">
        <v>3</v>
      </c>
      <c r="B5" s="71">
        <v>44938.916666666664</v>
      </c>
      <c r="C5" s="14" t="s">
        <v>11</v>
      </c>
      <c r="D5" s="14" t="s">
        <v>12</v>
      </c>
      <c r="E5" s="14" t="s">
        <v>939</v>
      </c>
      <c r="F5" s="100">
        <v>-4149</v>
      </c>
      <c r="G5" s="152">
        <v>-414900</v>
      </c>
      <c r="H5" s="156">
        <v>18286.597918250001</v>
      </c>
      <c r="I5" s="14">
        <v>-1.2599456499999999</v>
      </c>
      <c r="J5" s="14" t="s">
        <v>13</v>
      </c>
      <c r="K5" s="15">
        <v>45107.333333333336</v>
      </c>
      <c r="L5" s="14">
        <v>0</v>
      </c>
      <c r="M5" s="14" t="s">
        <v>14</v>
      </c>
      <c r="N5" s="45">
        <f t="shared" si="0"/>
        <v>100</v>
      </c>
      <c r="O5" s="159">
        <f t="shared" si="1"/>
        <v>-22.688747346816783</v>
      </c>
      <c r="P5" s="47">
        <f t="shared" si="2"/>
        <v>-428127.31592443079</v>
      </c>
      <c r="Q5" s="25">
        <f t="shared" si="7"/>
        <v>168</v>
      </c>
      <c r="R5" s="26" t="str">
        <f t="shared" si="8"/>
        <v>Jun 23</v>
      </c>
      <c r="S5" s="26" t="str">
        <f t="shared" si="3"/>
        <v>SHORT</v>
      </c>
      <c r="T5" s="26" t="str">
        <f t="shared" si="9"/>
        <v>Jun 23 SHORT</v>
      </c>
      <c r="U5" s="17">
        <f t="shared" si="10"/>
        <v>-419049</v>
      </c>
      <c r="V5" s="17">
        <f t="shared" si="11"/>
        <v>18469.463897432503</v>
      </c>
      <c r="W5" s="39">
        <f>IF($C5="","",IF(DefaultScenario,IF(OR(AND(Default_Exchange="ALL",NOT(ISERROR(MATCH($C5,$AF$6:$AF$37,0)))),$C5=Default_Exchange),IF($G5&gt;0,-LGD,0),0),IF(OR($J5="SWAP",$J5="FUTURE",$J5="CME FUTURE"),IF('Futures &amp; Perps Shifted'!$AE$31,VLOOKUP($M5,'Futures &amp; Perps Shifted'!$AE$32:$AO$76,MATCH($R5,'Futures &amp; Perps Shifted'!$AE$30:$AO$30,0),FALSE),0),0)))</f>
        <v>0.01</v>
      </c>
      <c r="X5" s="17">
        <f t="shared" si="12"/>
        <v>-4149</v>
      </c>
      <c r="Y5" s="14" t="str">
        <f t="shared" si="4"/>
        <v>BINE</v>
      </c>
      <c r="Z5" t="str">
        <f t="shared" si="13"/>
        <v>BTC Jun 23 SHORT</v>
      </c>
      <c r="AA5" t="b">
        <f>IF($C5="","",IF(ISERROR(VLOOKUP($Y5,Mappings!$A:$C,3,FALSE)),FALSE,VLOOKUP($Y5,Mappings!$A:$C,3,FALSE)))</f>
        <v>1</v>
      </c>
      <c r="AB5" s="77"/>
      <c r="AH5">
        <f t="shared" si="14"/>
        <v>100</v>
      </c>
      <c r="AI5">
        <f t="shared" si="5"/>
        <v>-22.688747346816783</v>
      </c>
      <c r="AJ5">
        <f t="shared" si="6"/>
        <v>-428127.31592443079</v>
      </c>
    </row>
    <row r="6" spans="1:36" customFormat="1" x14ac:dyDescent="0.25">
      <c r="A6" s="14">
        <v>4</v>
      </c>
      <c r="B6" s="71">
        <v>44938.916666666664</v>
      </c>
      <c r="C6" s="14" t="s">
        <v>11</v>
      </c>
      <c r="D6" s="14" t="s">
        <v>12</v>
      </c>
      <c r="E6" s="14" t="s">
        <v>940</v>
      </c>
      <c r="F6" s="100">
        <v>-479349</v>
      </c>
      <c r="G6" s="152">
        <v>-4793490</v>
      </c>
      <c r="H6" s="156">
        <v>1393.8903773100001</v>
      </c>
      <c r="I6" s="14">
        <v>-146.20890825999999</v>
      </c>
      <c r="J6" s="14" t="s">
        <v>13</v>
      </c>
      <c r="K6" s="15">
        <v>45016.333333333336</v>
      </c>
      <c r="L6" s="14">
        <v>0</v>
      </c>
      <c r="M6" s="14" t="s">
        <v>15</v>
      </c>
      <c r="N6" s="45">
        <f t="shared" si="0"/>
        <v>10</v>
      </c>
      <c r="O6" s="159">
        <f t="shared" si="1"/>
        <v>-3438.9289703331756</v>
      </c>
      <c r="P6" s="47">
        <f t="shared" si="2"/>
        <v>-4876189.8652785774</v>
      </c>
      <c r="Q6" s="25">
        <f t="shared" si="7"/>
        <v>77</v>
      </c>
      <c r="R6" s="26" t="str">
        <f t="shared" si="8"/>
        <v>Mar 23</v>
      </c>
      <c r="S6" s="26" t="str">
        <f t="shared" si="3"/>
        <v>SHORT</v>
      </c>
      <c r="T6" s="26" t="str">
        <f t="shared" si="9"/>
        <v>Mar 23 SHORT</v>
      </c>
      <c r="U6" s="17">
        <f>IF($C6="","",$G6*(1+$W6))</f>
        <v>-4841424.9000000004</v>
      </c>
      <c r="V6" s="17">
        <f t="shared" si="11"/>
        <v>1407.8292810831001</v>
      </c>
      <c r="W6" s="39">
        <f>IF($C6="","",IF(DefaultScenario,IF(OR(AND(Default_Exchange="ALL",NOT(ISERROR(MATCH($C6,$AF$6:$AF$37,0)))),$C6=Default_Exchange),IF($G6&gt;0,-LGD,0),0),IF(OR($J6="SWAP",$J6="FUTURE",$J6="CME FUTURE"),IF('Futures &amp; Perps Shifted'!$AE$31,VLOOKUP($M6,'Futures &amp; Perps Shifted'!$AE$32:$AO$76,MATCH($R6,'Futures &amp; Perps Shifted'!$AE$30:$AO$30,0),FALSE),0),0)))</f>
        <v>0.01</v>
      </c>
      <c r="X6" s="17">
        <f t="shared" si="12"/>
        <v>-47934.900000000373</v>
      </c>
      <c r="Y6" s="14" t="str">
        <f t="shared" si="4"/>
        <v>BINE</v>
      </c>
      <c r="Z6" t="str">
        <f t="shared" si="13"/>
        <v>ETH Mar 23 SHORT</v>
      </c>
      <c r="AA6" t="b">
        <f>IF($C6="","",IF(ISERROR(VLOOKUP($Y6,Mappings!$A:$C,3,FALSE)),FALSE,VLOOKUP($Y6,Mappings!$A:$C,3,FALSE)))</f>
        <v>1</v>
      </c>
      <c r="AB6" s="77"/>
      <c r="AF6" s="14" t="s">
        <v>11</v>
      </c>
      <c r="AH6">
        <f t="shared" si="14"/>
        <v>10</v>
      </c>
      <c r="AI6">
        <f t="shared" si="5"/>
        <v>-3438.9289703331756</v>
      </c>
      <c r="AJ6">
        <f t="shared" si="6"/>
        <v>-4876189.8652785774</v>
      </c>
    </row>
    <row r="7" spans="1:36" customFormat="1" x14ac:dyDescent="0.25">
      <c r="A7" s="14">
        <v>5</v>
      </c>
      <c r="B7" s="71">
        <v>44938.916666666664</v>
      </c>
      <c r="C7" s="14" t="s">
        <v>11</v>
      </c>
      <c r="D7" s="14" t="s">
        <v>18</v>
      </c>
      <c r="E7" s="14" t="s">
        <v>464</v>
      </c>
      <c r="F7" s="100">
        <v>6000</v>
      </c>
      <c r="G7" s="152">
        <v>46674</v>
      </c>
      <c r="H7" s="156">
        <v>7.7789999999999999</v>
      </c>
      <c r="I7" s="14">
        <v>-19982.307659999999</v>
      </c>
      <c r="J7" s="14" t="s">
        <v>17</v>
      </c>
      <c r="K7" s="15">
        <v>73050.333333333328</v>
      </c>
      <c r="L7" s="14">
        <v>1</v>
      </c>
      <c r="M7" s="14" t="s">
        <v>19</v>
      </c>
      <c r="N7" s="45">
        <f t="shared" si="0"/>
        <v>1</v>
      </c>
      <c r="O7" s="159">
        <f t="shared" si="1"/>
        <v>6000</v>
      </c>
      <c r="P7" s="47">
        <f t="shared" si="2"/>
        <v>46674</v>
      </c>
      <c r="Q7" s="25">
        <f t="shared" si="7"/>
        <v>28111</v>
      </c>
      <c r="R7" s="26" t="str">
        <f t="shared" si="8"/>
        <v>PERP</v>
      </c>
      <c r="S7" s="26" t="str">
        <f t="shared" si="3"/>
        <v>LONG</v>
      </c>
      <c r="T7" s="26" t="str">
        <f t="shared" si="9"/>
        <v>PERP LONG</v>
      </c>
      <c r="U7" s="17">
        <f t="shared" si="10"/>
        <v>46674</v>
      </c>
      <c r="V7" s="17">
        <f t="shared" si="11"/>
        <v>7.7789999999999999</v>
      </c>
      <c r="W7" s="39">
        <f>IF($C7="","",IF(DefaultScenario,IF(OR(AND(Default_Exchange="ALL",NOT(ISERROR(MATCH($C7,$AF$6:$AF$37,0)))),$C7=Default_Exchange),IF($G7&gt;0,-LGD,0),0),IF(OR($J7="SWAP",$J7="FUTURE",$J7="CME FUTURE"),IF('Futures &amp; Perps Shifted'!$AE$31,VLOOKUP($M7,'Futures &amp; Perps Shifted'!$AE$32:$AO$76,MATCH($R7,'Futures &amp; Perps Shifted'!$AE$30:$AO$30,0),FALSE),0),0)))</f>
        <v>0</v>
      </c>
      <c r="X7" s="17">
        <f t="shared" si="12"/>
        <v>0</v>
      </c>
      <c r="Y7" s="14" t="str">
        <f t="shared" si="4"/>
        <v>BINE</v>
      </c>
      <c r="Z7" t="str">
        <f t="shared" si="13"/>
        <v>AXS PERP LONG</v>
      </c>
      <c r="AA7" t="b">
        <f>IF($C7="","",IF(ISERROR(VLOOKUP($Y7,Mappings!$A:$C,3,FALSE)),FALSE,VLOOKUP($Y7,Mappings!$A:$C,3,FALSE)))</f>
        <v>1</v>
      </c>
      <c r="AF7" s="14" t="s">
        <v>32</v>
      </c>
      <c r="AH7">
        <f t="shared" si="14"/>
        <v>1</v>
      </c>
      <c r="AI7">
        <f t="shared" si="5"/>
        <v>6000</v>
      </c>
      <c r="AJ7" t="e">
        <f t="shared" si="6"/>
        <v>#N/A</v>
      </c>
    </row>
    <row r="8" spans="1:36" customFormat="1" x14ac:dyDescent="0.25">
      <c r="A8" s="14">
        <v>6</v>
      </c>
      <c r="B8" s="71">
        <v>44938.916666666664</v>
      </c>
      <c r="C8" s="14" t="s">
        <v>11</v>
      </c>
      <c r="D8" s="14" t="s">
        <v>18</v>
      </c>
      <c r="E8" s="14" t="s">
        <v>21</v>
      </c>
      <c r="F8" s="100">
        <v>3173.0729999999999</v>
      </c>
      <c r="G8" s="152">
        <v>57410092.481700003</v>
      </c>
      <c r="H8" s="156">
        <v>18092.900000000001</v>
      </c>
      <c r="I8" s="14">
        <v>509661.76956808998</v>
      </c>
      <c r="J8" s="14" t="s">
        <v>17</v>
      </c>
      <c r="K8" s="15">
        <v>73050.333333333328</v>
      </c>
      <c r="L8" s="14">
        <v>1</v>
      </c>
      <c r="M8" s="14" t="s">
        <v>14</v>
      </c>
      <c r="N8" s="45">
        <f t="shared" si="0"/>
        <v>1</v>
      </c>
      <c r="O8" s="159">
        <f t="shared" si="1"/>
        <v>3173.0729999999999</v>
      </c>
      <c r="P8" s="47">
        <f t="shared" si="2"/>
        <v>59874580.379285462</v>
      </c>
      <c r="Q8" s="25">
        <f t="shared" si="7"/>
        <v>28111</v>
      </c>
      <c r="R8" s="26" t="str">
        <f t="shared" si="8"/>
        <v>PERP</v>
      </c>
      <c r="S8" s="26" t="str">
        <f t="shared" si="3"/>
        <v>LONG</v>
      </c>
      <c r="T8" s="26" t="str">
        <f t="shared" si="9"/>
        <v>PERP LONG</v>
      </c>
      <c r="U8" s="17">
        <f t="shared" si="10"/>
        <v>57410092.481700003</v>
      </c>
      <c r="V8" s="17">
        <f t="shared" si="11"/>
        <v>18092.900000000001</v>
      </c>
      <c r="W8" s="39">
        <f>IF($C8="","",IF(DefaultScenario,IF(OR(AND(Default_Exchange="ALL",NOT(ISERROR(MATCH($C8,$AF$6:$AF$37,0)))),$C8=Default_Exchange),IF($G8&gt;0,-LGD,0),0),IF(OR($J8="SWAP",$J8="FUTURE",$J8="CME FUTURE"),IF('Futures &amp; Perps Shifted'!$AE$31,VLOOKUP($M8,'Futures &amp; Perps Shifted'!$AE$32:$AO$76,MATCH($R8,'Futures &amp; Perps Shifted'!$AE$30:$AO$30,0),FALSE),0),0)))</f>
        <v>0</v>
      </c>
      <c r="X8" s="17">
        <f t="shared" si="12"/>
        <v>0</v>
      </c>
      <c r="Y8" s="14" t="str">
        <f t="shared" si="4"/>
        <v>BINE</v>
      </c>
      <c r="Z8" t="str">
        <f t="shared" si="13"/>
        <v>BTC PERP LONG</v>
      </c>
      <c r="AA8" t="b">
        <f>IF($C8="","",IF(ISERROR(VLOOKUP($Y8,Mappings!$A:$C,3,FALSE)),FALSE,VLOOKUP($Y8,Mappings!$A:$C,3,FALSE)))</f>
        <v>1</v>
      </c>
      <c r="AF8" s="14" t="s">
        <v>36</v>
      </c>
      <c r="AH8">
        <f t="shared" si="14"/>
        <v>1</v>
      </c>
      <c r="AI8">
        <f t="shared" si="5"/>
        <v>3173.0729999999999</v>
      </c>
      <c r="AJ8">
        <f t="shared" si="6"/>
        <v>59874580.379285462</v>
      </c>
    </row>
    <row r="9" spans="1:36" customFormat="1" x14ac:dyDescent="0.25">
      <c r="A9" s="14">
        <v>7</v>
      </c>
      <c r="B9" s="71">
        <v>44938.916666666664</v>
      </c>
      <c r="C9" s="14" t="s">
        <v>11</v>
      </c>
      <c r="D9" s="14" t="s">
        <v>18</v>
      </c>
      <c r="E9" s="14" t="s">
        <v>466</v>
      </c>
      <c r="F9" s="100">
        <v>-913.74099999999999</v>
      </c>
      <c r="G9" s="152">
        <v>-106367.432730634</v>
      </c>
      <c r="H9" s="156">
        <v>116.40873369000001</v>
      </c>
      <c r="I9" s="14">
        <v>-12761.84731121</v>
      </c>
      <c r="J9" s="14" t="s">
        <v>17</v>
      </c>
      <c r="K9" s="15">
        <v>73050.333333333328</v>
      </c>
      <c r="L9" s="14">
        <v>1</v>
      </c>
      <c r="M9" s="14" t="s">
        <v>20</v>
      </c>
      <c r="N9" s="45">
        <f t="shared" si="0"/>
        <v>1</v>
      </c>
      <c r="O9" s="159">
        <f t="shared" si="1"/>
        <v>-913.74099999999999</v>
      </c>
      <c r="P9" s="47">
        <f t="shared" si="2"/>
        <v>-109384.36103886497</v>
      </c>
      <c r="Q9" s="25">
        <f t="shared" si="7"/>
        <v>28111</v>
      </c>
      <c r="R9" s="26" t="str">
        <f t="shared" si="8"/>
        <v>PERP</v>
      </c>
      <c r="S9" s="26" t="str">
        <f t="shared" si="3"/>
        <v>SHORT</v>
      </c>
      <c r="T9" s="26" t="str">
        <f t="shared" si="9"/>
        <v>PERP SHORT</v>
      </c>
      <c r="U9" s="17">
        <f t="shared" si="10"/>
        <v>-106367.432730634</v>
      </c>
      <c r="V9" s="17">
        <f t="shared" si="11"/>
        <v>116.40873369000001</v>
      </c>
      <c r="W9" s="39">
        <f>IF($C9="","",IF(DefaultScenario,IF(OR(AND(Default_Exchange="ALL",NOT(ISERROR(MATCH($C9,$AF$6:$AF$37,0)))),$C9=Default_Exchange),IF($G9&gt;0,-LGD,0),0),IF(OR($J9="SWAP",$J9="FUTURE",$J9="CME FUTURE"),IF('Futures &amp; Perps Shifted'!$AE$31,VLOOKUP($M9,'Futures &amp; Perps Shifted'!$AE$32:$AO$76,MATCH($R9,'Futures &amp; Perps Shifted'!$AE$30:$AO$30,0),FALSE),0),0)))</f>
        <v>0</v>
      </c>
      <c r="X9" s="17">
        <f t="shared" si="12"/>
        <v>0</v>
      </c>
      <c r="Y9" s="14" t="str">
        <f t="shared" si="4"/>
        <v>BINE</v>
      </c>
      <c r="Z9" t="str">
        <f t="shared" si="13"/>
        <v>BCH PERP SHORT</v>
      </c>
      <c r="AA9" t="b">
        <f>IF($C9="","",IF(ISERROR(VLOOKUP($Y9,Mappings!$A:$C,3,FALSE)),FALSE,VLOOKUP($Y9,Mappings!$A:$C,3,FALSE)))</f>
        <v>1</v>
      </c>
      <c r="AF9" s="14" t="s">
        <v>39</v>
      </c>
      <c r="AH9">
        <f t="shared" si="14"/>
        <v>1</v>
      </c>
      <c r="AI9">
        <f t="shared" si="5"/>
        <v>-913.74099999999999</v>
      </c>
      <c r="AJ9">
        <f t="shared" si="6"/>
        <v>-109384.36103886497</v>
      </c>
    </row>
    <row r="10" spans="1:36" customFormat="1" x14ac:dyDescent="0.25">
      <c r="A10" s="14">
        <v>8</v>
      </c>
      <c r="B10" s="71">
        <v>44938.916666666664</v>
      </c>
      <c r="C10" s="14" t="s">
        <v>11</v>
      </c>
      <c r="D10" s="14" t="s">
        <v>18</v>
      </c>
      <c r="E10" s="14" t="s">
        <v>465</v>
      </c>
      <c r="F10" s="100">
        <v>-528044.5</v>
      </c>
      <c r="G10" s="152">
        <v>-505167.59513000998</v>
      </c>
      <c r="H10" s="156">
        <v>0.95667617999999999</v>
      </c>
      <c r="I10" s="14">
        <v>3559.7063878499998</v>
      </c>
      <c r="J10" s="14" t="s">
        <v>17</v>
      </c>
      <c r="K10" s="15">
        <v>73050.333333333328</v>
      </c>
      <c r="L10" s="14">
        <v>1</v>
      </c>
      <c r="M10" s="14" t="s">
        <v>23</v>
      </c>
      <c r="N10" s="45">
        <f t="shared" si="0"/>
        <v>1</v>
      </c>
      <c r="O10" s="159">
        <f t="shared" si="1"/>
        <v>-528044.5</v>
      </c>
      <c r="P10" s="47">
        <f t="shared" si="2"/>
        <v>-522892.0935442833</v>
      </c>
      <c r="Q10" s="25">
        <f t="shared" si="7"/>
        <v>28111</v>
      </c>
      <c r="R10" s="26" t="str">
        <f t="shared" si="8"/>
        <v>PERP</v>
      </c>
      <c r="S10" s="26" t="str">
        <f t="shared" si="3"/>
        <v>SHORT</v>
      </c>
      <c r="T10" s="26" t="str">
        <f t="shared" si="9"/>
        <v>PERP SHORT</v>
      </c>
      <c r="U10" s="17">
        <f t="shared" si="10"/>
        <v>-505167.59513000998</v>
      </c>
      <c r="V10" s="17">
        <f t="shared" si="11"/>
        <v>0.95667617999999999</v>
      </c>
      <c r="W10" s="39">
        <f>IF($C10="","",IF(DefaultScenario,IF(OR(AND(Default_Exchange="ALL",NOT(ISERROR(MATCH($C10,$AF$6:$AF$37,0)))),$C10=Default_Exchange),IF($G10&gt;0,-LGD,0),0),IF(OR($J10="SWAP",$J10="FUTURE",$J10="CME FUTURE"),IF('Futures &amp; Perps Shifted'!$AE$31,VLOOKUP($M10,'Futures &amp; Perps Shifted'!$AE$32:$AO$76,MATCH($R10,'Futures &amp; Perps Shifted'!$AE$30:$AO$30,0),FALSE),0),0)))</f>
        <v>0</v>
      </c>
      <c r="X10" s="17">
        <f t="shared" si="12"/>
        <v>0</v>
      </c>
      <c r="Y10" s="14" t="str">
        <f t="shared" si="4"/>
        <v>BINE</v>
      </c>
      <c r="Z10" t="str">
        <f t="shared" si="13"/>
        <v>EOS PERP SHORT</v>
      </c>
      <c r="AA10" t="b">
        <f>IF($C10="","",IF(ISERROR(VLOOKUP($Y10,Mappings!$A:$C,3,FALSE)),FALSE,VLOOKUP($Y10,Mappings!$A:$C,3,FALSE)))</f>
        <v>1</v>
      </c>
      <c r="AF10" s="14" t="s">
        <v>45</v>
      </c>
      <c r="AH10">
        <f t="shared" si="14"/>
        <v>1</v>
      </c>
      <c r="AI10">
        <f t="shared" si="5"/>
        <v>-528044.5</v>
      </c>
      <c r="AJ10">
        <f t="shared" si="6"/>
        <v>-522892.0935442833</v>
      </c>
    </row>
    <row r="11" spans="1:36" customFormat="1" x14ac:dyDescent="0.25">
      <c r="A11" s="14">
        <v>9</v>
      </c>
      <c r="B11" s="71">
        <v>44938.916666666664</v>
      </c>
      <c r="C11" s="14" t="s">
        <v>11</v>
      </c>
      <c r="D11" s="14" t="s">
        <v>18</v>
      </c>
      <c r="E11" s="14" t="s">
        <v>467</v>
      </c>
      <c r="F11" s="100">
        <v>-1426.922</v>
      </c>
      <c r="G11" s="152">
        <v>-1978555.7759799999</v>
      </c>
      <c r="H11" s="156">
        <v>1386.59</v>
      </c>
      <c r="I11" s="14">
        <v>2827.5681731300001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5">
        <f t="shared" si="0"/>
        <v>1</v>
      </c>
      <c r="O11" s="159">
        <f t="shared" si="1"/>
        <v>-1426.922</v>
      </c>
      <c r="P11" s="47">
        <f t="shared" si="2"/>
        <v>-2023287.6732748942</v>
      </c>
      <c r="Q11" s="25">
        <f t="shared" si="7"/>
        <v>28111</v>
      </c>
      <c r="R11" s="26" t="str">
        <f t="shared" si="8"/>
        <v>PERP</v>
      </c>
      <c r="S11" s="26" t="str">
        <f t="shared" si="3"/>
        <v>SHORT</v>
      </c>
      <c r="T11" s="26" t="str">
        <f t="shared" si="9"/>
        <v>PERP SHORT</v>
      </c>
      <c r="U11" s="17">
        <f t="shared" si="10"/>
        <v>-1978555.7759799999</v>
      </c>
      <c r="V11" s="17">
        <f t="shared" si="11"/>
        <v>1386.59</v>
      </c>
      <c r="W11" s="39">
        <f>IF($C11="","",IF(DefaultScenario,IF(OR(AND(Default_Exchange="ALL",NOT(ISERROR(MATCH($C11,$AF$6:$AF$37,0)))),$C11=Default_Exchange),IF($G11&gt;0,-LGD,0),0),IF(OR($J11="SWAP",$J11="FUTURE",$J11="CME FUTURE"),IF('Futures &amp; Perps Shifted'!$AE$31,VLOOKUP($M11,'Futures &amp; Perps Shifted'!$AE$32:$AO$76,MATCH($R11,'Futures &amp; Perps Shifted'!$AE$30:$AO$30,0),FALSE),0),0)))</f>
        <v>0</v>
      </c>
      <c r="X11" s="17">
        <f t="shared" si="12"/>
        <v>0</v>
      </c>
      <c r="Y11" s="14" t="str">
        <f t="shared" si="4"/>
        <v>BINE</v>
      </c>
      <c r="Z11" t="str">
        <f t="shared" si="13"/>
        <v>ETH PERP SHORT</v>
      </c>
      <c r="AA11" t="b">
        <f>IF($C11="","",IF(ISERROR(VLOOKUP($Y11,Mappings!$A:$C,3,FALSE)),FALSE,VLOOKUP($Y11,Mappings!$A:$C,3,FALSE)))</f>
        <v>1</v>
      </c>
      <c r="AF11" s="14" t="s">
        <v>217</v>
      </c>
      <c r="AH11">
        <f t="shared" si="14"/>
        <v>1</v>
      </c>
      <c r="AI11">
        <f t="shared" si="5"/>
        <v>-1426.922</v>
      </c>
      <c r="AJ11">
        <f t="shared" si="6"/>
        <v>-2023287.6732748942</v>
      </c>
    </row>
    <row r="12" spans="1:36" customFormat="1" x14ac:dyDescent="0.25">
      <c r="A12" s="14">
        <v>10</v>
      </c>
      <c r="B12" s="71">
        <v>44938.916666666664</v>
      </c>
      <c r="C12" s="14" t="s">
        <v>11</v>
      </c>
      <c r="D12" s="14" t="s">
        <v>18</v>
      </c>
      <c r="E12" s="14" t="s">
        <v>468</v>
      </c>
      <c r="F12" s="100">
        <v>-2444.4380000000001</v>
      </c>
      <c r="G12" s="152">
        <v>-203475.01912000001</v>
      </c>
      <c r="H12" s="156">
        <v>83.24</v>
      </c>
      <c r="I12" s="14">
        <v>796.80756375999999</v>
      </c>
      <c r="J12" s="14" t="s">
        <v>17</v>
      </c>
      <c r="K12" s="15">
        <v>73050.333333333328</v>
      </c>
      <c r="L12" s="14">
        <v>1</v>
      </c>
      <c r="M12" s="14" t="s">
        <v>24</v>
      </c>
      <c r="N12" s="45">
        <f t="shared" si="0"/>
        <v>1</v>
      </c>
      <c r="O12" s="159">
        <f t="shared" si="1"/>
        <v>-2444.4380000000001</v>
      </c>
      <c r="P12" s="47">
        <f t="shared" si="2"/>
        <v>-210134.22911014734</v>
      </c>
      <c r="Q12" s="25">
        <f t="shared" si="7"/>
        <v>28111</v>
      </c>
      <c r="R12" s="26" t="str">
        <f t="shared" si="8"/>
        <v>PERP</v>
      </c>
      <c r="S12" s="26" t="str">
        <f t="shared" si="3"/>
        <v>SHORT</v>
      </c>
      <c r="T12" s="26" t="str">
        <f t="shared" si="9"/>
        <v>PERP SHORT</v>
      </c>
      <c r="U12" s="17">
        <f t="shared" si="10"/>
        <v>-203475.01912000001</v>
      </c>
      <c r="V12" s="17">
        <f t="shared" si="11"/>
        <v>83.24</v>
      </c>
      <c r="W12" s="39">
        <f>IF($C12="","",IF(DefaultScenario,IF(OR(AND(Default_Exchange="ALL",NOT(ISERROR(MATCH($C12,$AF$6:$AF$37,0)))),$C12=Default_Exchange),IF($G12&gt;0,-LGD,0),0),IF(OR($J12="SWAP",$J12="FUTURE",$J12="CME FUTURE"),IF('Futures &amp; Perps Shifted'!$AE$31,VLOOKUP($M12,'Futures &amp; Perps Shifted'!$AE$32:$AO$76,MATCH($R12,'Futures &amp; Perps Shifted'!$AE$30:$AO$30,0),FALSE),0),0)))</f>
        <v>0</v>
      </c>
      <c r="X12" s="17">
        <f t="shared" si="12"/>
        <v>0</v>
      </c>
      <c r="Y12" s="14" t="str">
        <f t="shared" si="4"/>
        <v>BINE</v>
      </c>
      <c r="Z12" t="str">
        <f t="shared" si="13"/>
        <v>LTC PERP SHORT</v>
      </c>
      <c r="AA12" t="b">
        <f>IF($C12="","",IF(ISERROR(VLOOKUP($Y12,Mappings!$A:$C,3,FALSE)),FALSE,VLOOKUP($Y12,Mappings!$A:$C,3,FALSE)))</f>
        <v>1</v>
      </c>
      <c r="AF12" s="14" t="s">
        <v>97</v>
      </c>
      <c r="AH12">
        <f t="shared" si="14"/>
        <v>1</v>
      </c>
      <c r="AI12">
        <f t="shared" si="5"/>
        <v>-2444.4380000000001</v>
      </c>
      <c r="AJ12">
        <f t="shared" si="6"/>
        <v>-210134.22911014734</v>
      </c>
    </row>
    <row r="13" spans="1:36" customFormat="1" x14ac:dyDescent="0.25">
      <c r="A13" s="14">
        <v>11</v>
      </c>
      <c r="B13" s="71">
        <v>44938.916666666664</v>
      </c>
      <c r="C13" s="14" t="s">
        <v>11</v>
      </c>
      <c r="D13" s="14" t="s">
        <v>18</v>
      </c>
      <c r="E13" s="14" t="s">
        <v>859</v>
      </c>
      <c r="F13" s="100">
        <v>-24000</v>
      </c>
      <c r="G13" s="152">
        <v>-28512</v>
      </c>
      <c r="H13" s="156">
        <v>1.1879999999999999</v>
      </c>
      <c r="I13" s="14">
        <v>-648.70007999999996</v>
      </c>
      <c r="J13" s="14" t="s">
        <v>17</v>
      </c>
      <c r="K13" s="15">
        <v>73050.333333333328</v>
      </c>
      <c r="L13" s="14">
        <v>1</v>
      </c>
      <c r="M13" s="14" t="s">
        <v>150</v>
      </c>
      <c r="N13" s="45">
        <f t="shared" si="0"/>
        <v>1</v>
      </c>
      <c r="O13" s="159">
        <f t="shared" si="1"/>
        <v>-24000</v>
      </c>
      <c r="P13" s="47">
        <f t="shared" si="2"/>
        <v>-29094.527941029119</v>
      </c>
      <c r="Q13" s="25">
        <f t="shared" si="7"/>
        <v>28111</v>
      </c>
      <c r="R13" s="26" t="str">
        <f t="shared" si="8"/>
        <v>PERP</v>
      </c>
      <c r="S13" s="26" t="str">
        <f t="shared" si="3"/>
        <v>SHORT</v>
      </c>
      <c r="T13" s="26" t="str">
        <f t="shared" si="9"/>
        <v>PERP SHORT</v>
      </c>
      <c r="U13" s="17">
        <f t="shared" si="10"/>
        <v>-28512</v>
      </c>
      <c r="V13" s="17">
        <f t="shared" si="11"/>
        <v>1.1879999999999999</v>
      </c>
      <c r="W13" s="39">
        <f>IF($C13="","",IF(DefaultScenario,IF(OR(AND(Default_Exchange="ALL",NOT(ISERROR(MATCH($C13,$AF$6:$AF$37,0)))),$C13=Default_Exchange),IF($G13&gt;0,-LGD,0),0),IF(OR($J13="SWAP",$J13="FUTURE",$J13="CME FUTURE"),IF('Futures &amp; Perps Shifted'!$AE$31,VLOOKUP($M13,'Futures &amp; Perps Shifted'!$AE$32:$AO$76,MATCH($R13,'Futures &amp; Perps Shifted'!$AE$30:$AO$30,0),FALSE),0),0)))</f>
        <v>0</v>
      </c>
      <c r="X13" s="17">
        <f t="shared" si="12"/>
        <v>0</v>
      </c>
      <c r="Y13" s="14" t="str">
        <f t="shared" si="4"/>
        <v>BINE</v>
      </c>
      <c r="Z13" t="str">
        <f t="shared" si="13"/>
        <v>OMG PERP SHORT</v>
      </c>
      <c r="AA13" t="b">
        <f>IF($C13="","",IF(ISERROR(VLOOKUP($Y13,Mappings!$A:$C,3,FALSE)),FALSE,VLOOKUP($Y13,Mappings!$A:$C,3,FALSE)))</f>
        <v>1</v>
      </c>
      <c r="AF13" s="14" t="s">
        <v>101</v>
      </c>
      <c r="AH13">
        <f t="shared" si="14"/>
        <v>1</v>
      </c>
      <c r="AI13">
        <f t="shared" si="5"/>
        <v>-24000</v>
      </c>
      <c r="AJ13">
        <f t="shared" si="6"/>
        <v>-29094.527941029119</v>
      </c>
    </row>
    <row r="14" spans="1:36" customFormat="1" x14ac:dyDescent="0.25">
      <c r="A14" s="14">
        <v>12</v>
      </c>
      <c r="B14" s="71">
        <v>44938.916666666664</v>
      </c>
      <c r="C14" s="14" t="s">
        <v>11</v>
      </c>
      <c r="D14" s="14" t="s">
        <v>18</v>
      </c>
      <c r="E14" s="14" t="s">
        <v>469</v>
      </c>
      <c r="F14" s="100">
        <v>-3884601</v>
      </c>
      <c r="G14" s="152">
        <v>-88413.518760000006</v>
      </c>
      <c r="H14" s="156">
        <v>2.2759999999999999E-2</v>
      </c>
      <c r="I14" s="14">
        <v>7934.49177255</v>
      </c>
      <c r="J14" s="14" t="s">
        <v>17</v>
      </c>
      <c r="K14" s="15">
        <v>73050.333333333328</v>
      </c>
      <c r="L14" s="14">
        <v>1</v>
      </c>
      <c r="M14" s="14" t="s">
        <v>26</v>
      </c>
      <c r="N14" s="45">
        <f t="shared" si="0"/>
        <v>1</v>
      </c>
      <c r="O14" s="159">
        <f t="shared" si="1"/>
        <v>-3884601</v>
      </c>
      <c r="P14" s="47">
        <f t="shared" si="2"/>
        <v>-93131.288622527427</v>
      </c>
      <c r="Q14" s="25">
        <f t="shared" si="7"/>
        <v>28111</v>
      </c>
      <c r="R14" s="26" t="str">
        <f t="shared" si="8"/>
        <v>PERP</v>
      </c>
      <c r="S14" s="26" t="str">
        <f t="shared" si="3"/>
        <v>SHORT</v>
      </c>
      <c r="T14" s="26" t="str">
        <f t="shared" si="9"/>
        <v>PERP SHORT</v>
      </c>
      <c r="U14" s="17">
        <f t="shared" si="10"/>
        <v>-88413.518760000006</v>
      </c>
      <c r="V14" s="17">
        <f t="shared" si="11"/>
        <v>2.2759999999999999E-2</v>
      </c>
      <c r="W14" s="39">
        <f>IF($C14="","",IF(DefaultScenario,IF(OR(AND(Default_Exchange="ALL",NOT(ISERROR(MATCH($C14,$AF$6:$AF$37,0)))),$C14=Default_Exchange),IF($G14&gt;0,-LGD,0),0),IF(OR($J14="SWAP",$J14="FUTURE",$J14="CME FUTURE"),IF('Futures &amp; Perps Shifted'!$AE$31,VLOOKUP($M14,'Futures &amp; Perps Shifted'!$AE$32:$AO$76,MATCH($R14,'Futures &amp; Perps Shifted'!$AE$30:$AO$30,0),FALSE),0),0)))</f>
        <v>0</v>
      </c>
      <c r="X14" s="17">
        <f t="shared" si="12"/>
        <v>0</v>
      </c>
      <c r="Y14" s="14" t="str">
        <f t="shared" si="4"/>
        <v>BINE</v>
      </c>
      <c r="Z14" t="str">
        <f t="shared" si="13"/>
        <v>ZIL PERP SHORT</v>
      </c>
      <c r="AA14" t="b">
        <f>IF($C14="","",IF(ISERROR(VLOOKUP($Y14,Mappings!$A:$C,3,FALSE)),FALSE,VLOOKUP($Y14,Mappings!$A:$C,3,FALSE)))</f>
        <v>1</v>
      </c>
      <c r="AF14" s="14" t="s">
        <v>118</v>
      </c>
      <c r="AH14">
        <f t="shared" si="14"/>
        <v>1</v>
      </c>
      <c r="AI14">
        <f t="shared" si="5"/>
        <v>-3884601</v>
      </c>
      <c r="AJ14">
        <f t="shared" si="6"/>
        <v>-93131.288622527427</v>
      </c>
    </row>
    <row r="15" spans="1:36" customFormat="1" x14ac:dyDescent="0.25">
      <c r="A15" s="14">
        <v>13</v>
      </c>
      <c r="B15" s="71">
        <v>44938.916666666664</v>
      </c>
      <c r="C15" s="14" t="s">
        <v>11</v>
      </c>
      <c r="D15" s="14" t="s">
        <v>18</v>
      </c>
      <c r="E15" s="14" t="s">
        <v>470</v>
      </c>
      <c r="F15" s="100">
        <v>-200.97900000000001</v>
      </c>
      <c r="G15" s="152">
        <v>-7406.0761499999999</v>
      </c>
      <c r="H15" s="156">
        <v>36.85</v>
      </c>
      <c r="I15" s="14">
        <v>2554.9602190099999</v>
      </c>
      <c r="J15" s="14" t="s">
        <v>17</v>
      </c>
      <c r="K15" s="15">
        <v>73050.333333333328</v>
      </c>
      <c r="L15" s="14">
        <v>1</v>
      </c>
      <c r="M15" s="14" t="s">
        <v>31</v>
      </c>
      <c r="N15" s="45">
        <f t="shared" si="0"/>
        <v>1</v>
      </c>
      <c r="O15" s="159">
        <f t="shared" si="1"/>
        <v>-200.97900000000001</v>
      </c>
      <c r="P15" s="47">
        <f t="shared" si="2"/>
        <v>-7578.1982253313827</v>
      </c>
      <c r="Q15" s="25">
        <f t="shared" si="7"/>
        <v>28111</v>
      </c>
      <c r="R15" s="26" t="str">
        <f t="shared" si="8"/>
        <v>PERP</v>
      </c>
      <c r="S15" s="26" t="str">
        <f t="shared" si="3"/>
        <v>SHORT</v>
      </c>
      <c r="T15" s="26" t="str">
        <f t="shared" si="9"/>
        <v>PERP SHORT</v>
      </c>
      <c r="U15" s="17">
        <f t="shared" si="10"/>
        <v>-7406.0761499999999</v>
      </c>
      <c r="V15" s="17">
        <f t="shared" si="11"/>
        <v>36.85</v>
      </c>
      <c r="W15" s="39">
        <f>IF($C15="","",IF(DefaultScenario,IF(OR(AND(Default_Exchange="ALL",NOT(ISERROR(MATCH($C15,$AF$6:$AF$37,0)))),$C15=Default_Exchange),IF($G15&gt;0,-LGD,0),0),IF(OR($J15="SWAP",$J15="FUTURE",$J15="CME FUTURE"),IF('Futures &amp; Perps Shifted'!$AE$31,VLOOKUP($M15,'Futures &amp; Perps Shifted'!$AE$32:$AO$76,MATCH($R15,'Futures &amp; Perps Shifted'!$AE$30:$AO$30,0),FALSE),0),0)))</f>
        <v>0</v>
      </c>
      <c r="X15" s="17">
        <f t="shared" si="12"/>
        <v>0</v>
      </c>
      <c r="Y15" s="14" t="str">
        <f t="shared" si="4"/>
        <v>BINE</v>
      </c>
      <c r="Z15" t="str">
        <f t="shared" si="13"/>
        <v>COMP PERP SHORT</v>
      </c>
      <c r="AA15" t="b">
        <f>IF($C15="","",IF(ISERROR(VLOOKUP($Y15,Mappings!$A:$C,3,FALSE)),FALSE,VLOOKUP($Y15,Mappings!$A:$C,3,FALSE)))</f>
        <v>1</v>
      </c>
      <c r="AF15" s="14" t="s">
        <v>167</v>
      </c>
      <c r="AH15">
        <f t="shared" si="14"/>
        <v>1</v>
      </c>
      <c r="AI15">
        <f t="shared" si="5"/>
        <v>-200.97900000000001</v>
      </c>
      <c r="AJ15">
        <f t="shared" si="6"/>
        <v>-7578.1982253313827</v>
      </c>
    </row>
    <row r="16" spans="1:36" customFormat="1" x14ac:dyDescent="0.25">
      <c r="A16" s="14">
        <v>14</v>
      </c>
      <c r="B16" s="71">
        <v>44938.916666666664</v>
      </c>
      <c r="C16" s="14" t="s">
        <v>11</v>
      </c>
      <c r="D16" s="14" t="s">
        <v>18</v>
      </c>
      <c r="E16" s="14" t="s">
        <v>471</v>
      </c>
      <c r="F16" s="100">
        <v>-48333.69</v>
      </c>
      <c r="G16" s="152">
        <v>-299592.34933527501</v>
      </c>
      <c r="H16" s="156">
        <v>6.1984166600000004</v>
      </c>
      <c r="I16" s="14">
        <v>-435.06459378</v>
      </c>
      <c r="J16" s="14" t="s">
        <v>17</v>
      </c>
      <c r="K16" s="15">
        <v>73050.333333333328</v>
      </c>
      <c r="L16" s="14">
        <v>1</v>
      </c>
      <c r="M16" s="14" t="s">
        <v>27</v>
      </c>
      <c r="N16" s="45">
        <f t="shared" si="0"/>
        <v>1</v>
      </c>
      <c r="O16" s="159">
        <f t="shared" si="1"/>
        <v>-48333.69</v>
      </c>
      <c r="P16" s="47">
        <f t="shared" si="2"/>
        <v>-308433.30104275077</v>
      </c>
      <c r="Q16" s="25">
        <f t="shared" si="7"/>
        <v>28111</v>
      </c>
      <c r="R16" s="26" t="str">
        <f t="shared" si="8"/>
        <v>PERP</v>
      </c>
      <c r="S16" s="26" t="str">
        <f t="shared" si="3"/>
        <v>SHORT</v>
      </c>
      <c r="T16" s="26" t="str">
        <f t="shared" si="9"/>
        <v>PERP SHORT</v>
      </c>
      <c r="U16" s="17">
        <f t="shared" si="10"/>
        <v>-299592.34933527501</v>
      </c>
      <c r="V16" s="17">
        <f t="shared" si="11"/>
        <v>6.1984166600000004</v>
      </c>
      <c r="W16" s="39">
        <f>IF($C16="","",IF(DefaultScenario,IF(OR(AND(Default_Exchange="ALL",NOT(ISERROR(MATCH($C16,$AF$6:$AF$37,0)))),$C16=Default_Exchange),IF($G16&gt;0,-LGD,0),0),IF(OR($J16="SWAP",$J16="FUTURE",$J16="CME FUTURE"),IF('Futures &amp; Perps Shifted'!$AE$31,VLOOKUP($M16,'Futures &amp; Perps Shifted'!$AE$32:$AO$76,MATCH($R16,'Futures &amp; Perps Shifted'!$AE$30:$AO$30,0),FALSE),0),0)))</f>
        <v>0</v>
      </c>
      <c r="X16" s="17">
        <f t="shared" si="12"/>
        <v>0</v>
      </c>
      <c r="Y16" s="14" t="str">
        <f t="shared" si="4"/>
        <v>BINE</v>
      </c>
      <c r="Z16" t="str">
        <f t="shared" si="13"/>
        <v>LINK PERP SHORT</v>
      </c>
      <c r="AA16" t="b">
        <f>IF($C16="","",IF(ISERROR(VLOOKUP($Y16,Mappings!$A:$C,3,FALSE)),FALSE,VLOOKUP($Y16,Mappings!$A:$C,3,FALSE)))</f>
        <v>1</v>
      </c>
      <c r="AF16" s="14" t="s">
        <v>172</v>
      </c>
      <c r="AH16">
        <f t="shared" si="14"/>
        <v>1</v>
      </c>
      <c r="AI16">
        <f t="shared" si="5"/>
        <v>-48333.69</v>
      </c>
      <c r="AJ16">
        <f t="shared" si="6"/>
        <v>-308433.30104275077</v>
      </c>
    </row>
    <row r="17" spans="1:36" customFormat="1" x14ac:dyDescent="0.25">
      <c r="A17" s="14">
        <v>15</v>
      </c>
      <c r="B17" s="71">
        <v>44938.916666666664</v>
      </c>
      <c r="C17" s="14" t="s">
        <v>11</v>
      </c>
      <c r="D17" s="14" t="s">
        <v>18</v>
      </c>
      <c r="E17" s="14" t="s">
        <v>941</v>
      </c>
      <c r="F17" s="100">
        <v>-266.39499999999998</v>
      </c>
      <c r="G17" s="152">
        <v>-4850799.5077376002</v>
      </c>
      <c r="H17" s="156">
        <v>18209.048622300001</v>
      </c>
      <c r="I17" s="14">
        <v>-251374.41690672</v>
      </c>
      <c r="J17" s="14" t="s">
        <v>13</v>
      </c>
      <c r="K17" s="15">
        <v>45016.333333333336</v>
      </c>
      <c r="L17" s="14">
        <v>1</v>
      </c>
      <c r="M17" s="14" t="s">
        <v>14</v>
      </c>
      <c r="N17" s="45">
        <f t="shared" si="0"/>
        <v>1</v>
      </c>
      <c r="O17" s="159">
        <f t="shared" si="1"/>
        <v>-266.39499999999998</v>
      </c>
      <c r="P17" s="47">
        <f t="shared" si="2"/>
        <v>-5026763.9099824522</v>
      </c>
      <c r="Q17" s="25">
        <f t="shared" si="7"/>
        <v>77</v>
      </c>
      <c r="R17" s="26" t="str">
        <f t="shared" si="8"/>
        <v>Mar 23</v>
      </c>
      <c r="S17" s="26" t="str">
        <f t="shared" si="3"/>
        <v>SHORT</v>
      </c>
      <c r="T17" s="26" t="str">
        <f t="shared" si="9"/>
        <v>Mar 23 SHORT</v>
      </c>
      <c r="U17" s="17">
        <f t="shared" si="10"/>
        <v>-4899307.5028149765</v>
      </c>
      <c r="V17" s="17">
        <f t="shared" si="11"/>
        <v>18391.139108523003</v>
      </c>
      <c r="W17" s="39">
        <f>IF($C17="","",IF(DefaultScenario,IF(OR(AND(Default_Exchange="ALL",NOT(ISERROR(MATCH($C17,$AF$6:$AF$37,0)))),$C17=Default_Exchange),IF($G17&gt;0,-LGD,0),0),IF(OR($J17="SWAP",$J17="FUTURE",$J17="CME FUTURE"),IF('Futures &amp; Perps Shifted'!$AE$31,VLOOKUP($M17,'Futures &amp; Perps Shifted'!$AE$32:$AO$76,MATCH($R17,'Futures &amp; Perps Shifted'!$AE$30:$AO$30,0),FALSE),0),0)))</f>
        <v>0.01</v>
      </c>
      <c r="X17" s="17">
        <f t="shared" si="12"/>
        <v>-48507.995077376254</v>
      </c>
      <c r="Y17" s="14" t="str">
        <f t="shared" si="4"/>
        <v>BINE</v>
      </c>
      <c r="Z17" t="str">
        <f t="shared" si="13"/>
        <v>BTC Mar 23 SHORT</v>
      </c>
      <c r="AA17" t="b">
        <f>IF($C17="","",IF(ISERROR(VLOOKUP($Y17,Mappings!$A:$C,3,FALSE)),FALSE,VLOOKUP($Y17,Mappings!$A:$C,3,FALSE)))</f>
        <v>1</v>
      </c>
      <c r="AF17" s="14" t="s">
        <v>173</v>
      </c>
      <c r="AH17">
        <f t="shared" si="14"/>
        <v>1</v>
      </c>
      <c r="AI17">
        <f t="shared" si="5"/>
        <v>-266.39499999999998</v>
      </c>
      <c r="AJ17">
        <f t="shared" si="6"/>
        <v>-5026763.9099824522</v>
      </c>
    </row>
    <row r="18" spans="1:36" customFormat="1" x14ac:dyDescent="0.25">
      <c r="A18" s="14">
        <v>16</v>
      </c>
      <c r="B18" s="71">
        <v>44938.916666666664</v>
      </c>
      <c r="C18" s="14" t="s">
        <v>11</v>
      </c>
      <c r="D18" s="14" t="s">
        <v>18</v>
      </c>
      <c r="E18" s="14" t="s">
        <v>942</v>
      </c>
      <c r="F18" s="100">
        <v>-4870.1139999999996</v>
      </c>
      <c r="G18" s="152">
        <v>-6789470.4172550198</v>
      </c>
      <c r="H18" s="156">
        <v>1394.1091352799999</v>
      </c>
      <c r="I18" s="14">
        <v>-412443.21422740998</v>
      </c>
      <c r="J18" s="14" t="s">
        <v>13</v>
      </c>
      <c r="K18" s="15">
        <v>45016.333333333336</v>
      </c>
      <c r="L18" s="14">
        <v>1</v>
      </c>
      <c r="M18" s="14" t="s">
        <v>15</v>
      </c>
      <c r="N18" s="45">
        <f t="shared" si="0"/>
        <v>1</v>
      </c>
      <c r="O18" s="159">
        <f t="shared" si="1"/>
        <v>-4870.1139999999996</v>
      </c>
      <c r="P18" s="47">
        <f t="shared" si="2"/>
        <v>-6905522.2525432268</v>
      </c>
      <c r="Q18" s="25">
        <f t="shared" si="7"/>
        <v>77</v>
      </c>
      <c r="R18" s="26" t="str">
        <f t="shared" si="8"/>
        <v>Mar 23</v>
      </c>
      <c r="S18" s="26" t="str">
        <f t="shared" si="3"/>
        <v>SHORT</v>
      </c>
      <c r="T18" s="26" t="str">
        <f t="shared" si="9"/>
        <v>Mar 23 SHORT</v>
      </c>
      <c r="U18" s="17">
        <f t="shared" si="10"/>
        <v>-6857365.1214275705</v>
      </c>
      <c r="V18" s="17">
        <f t="shared" si="11"/>
        <v>1408.0502266327999</v>
      </c>
      <c r="W18" s="39">
        <f>IF($C18="","",IF(DefaultScenario,IF(OR(AND(Default_Exchange="ALL",NOT(ISERROR(MATCH($C18,$AF$6:$AF$37,0)))),$C18=Default_Exchange),IF($G18&gt;0,-LGD,0),0),IF(OR($J18="SWAP",$J18="FUTURE",$J18="CME FUTURE"),IF('Futures &amp; Perps Shifted'!$AE$31,VLOOKUP($M18,'Futures &amp; Perps Shifted'!$AE$32:$AO$76,MATCH($R18,'Futures &amp; Perps Shifted'!$AE$30:$AO$30,0),FALSE),0),0)))</f>
        <v>0.01</v>
      </c>
      <c r="X18" s="17">
        <f t="shared" si="12"/>
        <v>-67894.704172550701</v>
      </c>
      <c r="Y18" s="14" t="str">
        <f t="shared" si="4"/>
        <v>BINE</v>
      </c>
      <c r="Z18" t="str">
        <f t="shared" si="13"/>
        <v>ETH Mar 23 SHORT</v>
      </c>
      <c r="AA18" t="b">
        <f>IF($C18="","",IF(ISERROR(VLOOKUP($Y18,Mappings!$A:$C,3,FALSE)),FALSE,VLOOKUP($Y18,Mappings!$A:$C,3,FALSE)))</f>
        <v>1</v>
      </c>
      <c r="AF18" s="14" t="s">
        <v>45</v>
      </c>
      <c r="AH18">
        <f t="shared" si="14"/>
        <v>1</v>
      </c>
      <c r="AI18">
        <f t="shared" si="5"/>
        <v>-4870.1139999999996</v>
      </c>
      <c r="AJ18">
        <f t="shared" si="6"/>
        <v>-6905522.2525432268</v>
      </c>
    </row>
    <row r="19" spans="1:36" customFormat="1" x14ac:dyDescent="0.25">
      <c r="A19" s="14">
        <v>17</v>
      </c>
      <c r="B19" s="71">
        <v>44938.916666666664</v>
      </c>
      <c r="C19" s="14" t="s">
        <v>11</v>
      </c>
      <c r="D19" s="14" t="s">
        <v>299</v>
      </c>
      <c r="E19" s="14" t="s">
        <v>21</v>
      </c>
      <c r="F19" s="100">
        <v>43.820999999999998</v>
      </c>
      <c r="G19" s="152">
        <v>792539.29350559402</v>
      </c>
      <c r="H19" s="156">
        <v>18085.833128080001</v>
      </c>
      <c r="I19" s="14">
        <v>-778.06830797999999</v>
      </c>
      <c r="J19" s="14" t="s">
        <v>17</v>
      </c>
      <c r="K19" s="15">
        <v>73050.333333333328</v>
      </c>
      <c r="L19" s="14">
        <v>1</v>
      </c>
      <c r="M19" s="14" t="s">
        <v>14</v>
      </c>
      <c r="N19" s="45">
        <f t="shared" si="0"/>
        <v>1</v>
      </c>
      <c r="O19" s="159">
        <f t="shared" si="1"/>
        <v>43.820999999999998</v>
      </c>
      <c r="P19" s="47">
        <f t="shared" si="2"/>
        <v>826884.21816978941</v>
      </c>
      <c r="Q19" s="25">
        <f t="shared" si="7"/>
        <v>28111</v>
      </c>
      <c r="R19" s="26" t="str">
        <f t="shared" si="8"/>
        <v>PERP</v>
      </c>
      <c r="S19" s="26" t="str">
        <f t="shared" si="3"/>
        <v>LONG</v>
      </c>
      <c r="T19" s="26" t="str">
        <f t="shared" si="9"/>
        <v>PERP LONG</v>
      </c>
      <c r="U19" s="17">
        <f t="shared" si="10"/>
        <v>792539.29350559402</v>
      </c>
      <c r="V19" s="17">
        <f t="shared" si="11"/>
        <v>18085.833128080001</v>
      </c>
      <c r="W19" s="39">
        <f>IF($C19="","",IF(DefaultScenario,IF(OR(AND(Default_Exchange="ALL",NOT(ISERROR(MATCH($C19,$AF$6:$AF$37,0)))),$C19=Default_Exchange),IF($G19&gt;0,-LGD,0),0),IF(OR($J19="SWAP",$J19="FUTURE",$J19="CME FUTURE"),IF('Futures &amp; Perps Shifted'!$AE$31,VLOOKUP($M19,'Futures &amp; Perps Shifted'!$AE$32:$AO$76,MATCH($R19,'Futures &amp; Perps Shifted'!$AE$30:$AO$30,0),FALSE),0),0)))</f>
        <v>0</v>
      </c>
      <c r="X19" s="17">
        <f t="shared" si="12"/>
        <v>0</v>
      </c>
      <c r="Y19" s="14" t="str">
        <f t="shared" si="4"/>
        <v>BINE</v>
      </c>
      <c r="Z19" t="str">
        <f t="shared" si="13"/>
        <v>BTC PERP LONG</v>
      </c>
      <c r="AA19" t="b">
        <f>IF($C19="","",IF(ISERROR(VLOOKUP($Y19,Mappings!$A:$C,3,FALSE)),FALSE,VLOOKUP($Y19,Mappings!$A:$C,3,FALSE)))</f>
        <v>1</v>
      </c>
      <c r="AF19" s="14" t="s">
        <v>184</v>
      </c>
      <c r="AH19">
        <f t="shared" si="14"/>
        <v>1</v>
      </c>
      <c r="AI19">
        <f t="shared" si="5"/>
        <v>43.820999999999998</v>
      </c>
      <c r="AJ19">
        <f t="shared" si="6"/>
        <v>826884.21816978941</v>
      </c>
    </row>
    <row r="20" spans="1:36" customFormat="1" x14ac:dyDescent="0.25">
      <c r="A20" s="14">
        <v>18</v>
      </c>
      <c r="B20" s="71">
        <v>44938.916666666664</v>
      </c>
      <c r="C20" s="14" t="s">
        <v>32</v>
      </c>
      <c r="D20" s="14" t="s">
        <v>33</v>
      </c>
      <c r="E20" s="14" t="s">
        <v>34</v>
      </c>
      <c r="F20" s="100">
        <v>-1.4123000000000001</v>
      </c>
      <c r="G20" s="152">
        <v>-25561.317002344</v>
      </c>
      <c r="H20" s="156">
        <v>18099.0703125</v>
      </c>
      <c r="I20" s="14">
        <v>2002.1107440000001</v>
      </c>
      <c r="J20" s="14" t="s">
        <v>17</v>
      </c>
      <c r="K20" s="15">
        <v>73050.333333333328</v>
      </c>
      <c r="L20" s="14">
        <v>1</v>
      </c>
      <c r="M20" s="14" t="s">
        <v>14</v>
      </c>
      <c r="N20" s="45">
        <f t="shared" si="0"/>
        <v>1</v>
      </c>
      <c r="O20" s="159">
        <f t="shared" si="1"/>
        <v>-1.4123000000000001</v>
      </c>
      <c r="P20" s="47">
        <f t="shared" si="2"/>
        <v>-26649.519210451468</v>
      </c>
      <c r="Q20" s="25">
        <f t="shared" si="7"/>
        <v>28111</v>
      </c>
      <c r="R20" s="26" t="str">
        <f t="shared" si="8"/>
        <v>PERP</v>
      </c>
      <c r="S20" s="26" t="str">
        <f t="shared" si="3"/>
        <v>SHORT</v>
      </c>
      <c r="T20" s="26" t="str">
        <f t="shared" si="9"/>
        <v>PERP SHORT</v>
      </c>
      <c r="U20" s="17">
        <f t="shared" si="10"/>
        <v>-25561.317002344</v>
      </c>
      <c r="V20" s="17">
        <f t="shared" si="11"/>
        <v>18099.0703125</v>
      </c>
      <c r="W20" s="39">
        <f>IF($C20="","",IF(DefaultScenario,IF(OR(AND(Default_Exchange="ALL",NOT(ISERROR(MATCH($C20,$AF$6:$AF$37,0)))),$C20=Default_Exchange),IF($G20&gt;0,-LGD,0),0),IF(OR($J20="SWAP",$J20="FUTURE",$J20="CME FUTURE"),IF('Futures &amp; Perps Shifted'!$AE$31,VLOOKUP($M20,'Futures &amp; Perps Shifted'!$AE$32:$AO$76,MATCH($R20,'Futures &amp; Perps Shifted'!$AE$30:$AO$30,0),FALSE),0),0)))</f>
        <v>0</v>
      </c>
      <c r="X20" s="17">
        <f t="shared" si="12"/>
        <v>0</v>
      </c>
      <c r="Y20" s="14" t="str">
        <f t="shared" si="4"/>
        <v>DYDX</v>
      </c>
      <c r="Z20" t="str">
        <f t="shared" si="13"/>
        <v>BTC PERP SHORT</v>
      </c>
      <c r="AA20" t="b">
        <f>IF($C20="","",IF(ISERROR(VLOOKUP($Y20,Mappings!$A:$C,3,FALSE)),FALSE,VLOOKUP($Y20,Mappings!$A:$C,3,FALSE)))</f>
        <v>1</v>
      </c>
      <c r="AF20" s="14" t="s">
        <v>186</v>
      </c>
      <c r="AH20">
        <f t="shared" si="14"/>
        <v>1</v>
      </c>
      <c r="AI20">
        <f t="shared" si="5"/>
        <v>-1.4123000000000001</v>
      </c>
      <c r="AJ20">
        <f t="shared" si="6"/>
        <v>-26649.519210451468</v>
      </c>
    </row>
    <row r="21" spans="1:36" customFormat="1" x14ac:dyDescent="0.25">
      <c r="A21" s="14">
        <v>19</v>
      </c>
      <c r="B21" s="71">
        <v>44938.916666666664</v>
      </c>
      <c r="C21" s="14" t="s">
        <v>32</v>
      </c>
      <c r="D21" s="14" t="s">
        <v>33</v>
      </c>
      <c r="E21" s="14" t="s">
        <v>472</v>
      </c>
      <c r="F21" s="100">
        <v>-426.6</v>
      </c>
      <c r="G21" s="152">
        <v>-5050.9440650939996</v>
      </c>
      <c r="H21" s="156">
        <v>11.840000153</v>
      </c>
      <c r="I21" s="14">
        <v>4327.0327079999997</v>
      </c>
      <c r="J21" s="14" t="s">
        <v>17</v>
      </c>
      <c r="K21" s="15">
        <v>73050.333333333328</v>
      </c>
      <c r="L21" s="14">
        <v>1</v>
      </c>
      <c r="M21" s="14" t="s">
        <v>35</v>
      </c>
      <c r="N21" s="45">
        <f t="shared" si="0"/>
        <v>1</v>
      </c>
      <c r="O21" s="159">
        <f t="shared" si="1"/>
        <v>-426.6</v>
      </c>
      <c r="P21" s="47">
        <f t="shared" si="2"/>
        <v>-5236.3835356980007</v>
      </c>
      <c r="Q21" s="25">
        <f t="shared" si="7"/>
        <v>28111</v>
      </c>
      <c r="R21" s="26" t="str">
        <f t="shared" si="8"/>
        <v>PERP</v>
      </c>
      <c r="S21" s="26" t="str">
        <f t="shared" si="3"/>
        <v>SHORT</v>
      </c>
      <c r="T21" s="26" t="str">
        <f t="shared" si="9"/>
        <v>PERP SHORT</v>
      </c>
      <c r="U21" s="17">
        <f t="shared" si="10"/>
        <v>-5050.9440650939996</v>
      </c>
      <c r="V21" s="17">
        <f t="shared" si="11"/>
        <v>11.840000153</v>
      </c>
      <c r="W21" s="39">
        <f>IF($C21="","",IF(DefaultScenario,IF(OR(AND(Default_Exchange="ALL",NOT(ISERROR(MATCH($C21,$AF$6:$AF$37,0)))),$C21=Default_Exchange),IF($G21&gt;0,-LGD,0),0),IF(OR($J21="SWAP",$J21="FUTURE",$J21="CME FUTURE"),IF('Futures &amp; Perps Shifted'!$AE$31,VLOOKUP($M21,'Futures &amp; Perps Shifted'!$AE$32:$AO$76,MATCH($R21,'Futures &amp; Perps Shifted'!$AE$30:$AO$30,0),FALSE),0),0)))</f>
        <v>0</v>
      </c>
      <c r="X21" s="17">
        <f t="shared" si="12"/>
        <v>0</v>
      </c>
      <c r="Y21" s="14" t="str">
        <f t="shared" si="4"/>
        <v>DYDX</v>
      </c>
      <c r="Z21" t="str">
        <f t="shared" si="13"/>
        <v>ATOM PERP SHORT</v>
      </c>
      <c r="AA21" t="b">
        <f>IF($C21="","",IF(ISERROR(VLOOKUP($Y21,Mappings!$A:$C,3,FALSE)),FALSE,VLOOKUP($Y21,Mappings!$A:$C,3,FALSE)))</f>
        <v>1</v>
      </c>
      <c r="AH21">
        <f t="shared" si="14"/>
        <v>1</v>
      </c>
      <c r="AI21">
        <f t="shared" si="5"/>
        <v>-426.6</v>
      </c>
      <c r="AJ21">
        <f t="shared" si="6"/>
        <v>-5236.3835356980007</v>
      </c>
    </row>
    <row r="22" spans="1:36" customFormat="1" x14ac:dyDescent="0.25">
      <c r="A22" s="14">
        <v>20</v>
      </c>
      <c r="B22" s="71">
        <v>44938.916666666664</v>
      </c>
      <c r="C22" s="14" t="s">
        <v>39</v>
      </c>
      <c r="D22" s="14" t="s">
        <v>41</v>
      </c>
      <c r="E22" s="14" t="s">
        <v>936</v>
      </c>
      <c r="F22" s="100">
        <v>-3391</v>
      </c>
      <c r="G22" s="152">
        <v>-339100</v>
      </c>
      <c r="H22" s="156">
        <v>18121.599999999999</v>
      </c>
      <c r="I22" s="14">
        <v>1.3929805E-2</v>
      </c>
      <c r="J22" s="14" t="s">
        <v>17</v>
      </c>
      <c r="K22" s="15">
        <v>73050.333333333328</v>
      </c>
      <c r="L22" s="14">
        <v>0</v>
      </c>
      <c r="M22" s="14" t="s">
        <v>14</v>
      </c>
      <c r="N22" s="45">
        <f t="shared" si="0"/>
        <v>100</v>
      </c>
      <c r="O22" s="159">
        <f t="shared" si="1"/>
        <v>-18.71247571958326</v>
      </c>
      <c r="P22" s="47">
        <f t="shared" si="2"/>
        <v>-353096.708322694</v>
      </c>
      <c r="Q22" s="25">
        <f t="shared" si="7"/>
        <v>28111</v>
      </c>
      <c r="R22" s="26" t="str">
        <f t="shared" si="8"/>
        <v>PERP</v>
      </c>
      <c r="S22" s="26" t="str">
        <f t="shared" si="3"/>
        <v>SHORT</v>
      </c>
      <c r="T22" s="26" t="str">
        <f t="shared" si="9"/>
        <v>PERP SHORT</v>
      </c>
      <c r="U22" s="17">
        <f t="shared" si="10"/>
        <v>-339100</v>
      </c>
      <c r="V22" s="17">
        <f t="shared" si="11"/>
        <v>18121.599999999999</v>
      </c>
      <c r="W22" s="39">
        <f>IF($C22="","",IF(DefaultScenario,IF(OR(AND(Default_Exchange="ALL",NOT(ISERROR(MATCH($C22,$AF$6:$AF$37,0)))),$C22=Default_Exchange),IF($G22&gt;0,-LGD,0),0),IF(OR($J22="SWAP",$J22="FUTURE",$J22="CME FUTURE"),IF('Futures &amp; Perps Shifted'!$AE$31,VLOOKUP($M22,'Futures &amp; Perps Shifted'!$AE$32:$AO$76,MATCH($R22,'Futures &amp; Perps Shifted'!$AE$30:$AO$30,0),FALSE),0),0)))</f>
        <v>0</v>
      </c>
      <c r="X22" s="17">
        <f t="shared" si="12"/>
        <v>0</v>
      </c>
      <c r="Y22" s="14" t="str">
        <f t="shared" si="4"/>
        <v>HUBI</v>
      </c>
      <c r="Z22" t="str">
        <f t="shared" si="13"/>
        <v>BTC PERP SHORT</v>
      </c>
      <c r="AA22" t="b">
        <f>IF($C22="","",IF(ISERROR(VLOOKUP($Y22,Mappings!$A:$C,3,FALSE)),FALSE,VLOOKUP($Y22,Mappings!$A:$C,3,FALSE)))</f>
        <v>1</v>
      </c>
      <c r="AH22">
        <f t="shared" si="14"/>
        <v>100</v>
      </c>
      <c r="AI22">
        <f t="shared" si="5"/>
        <v>-18.71247571958326</v>
      </c>
      <c r="AJ22">
        <f t="shared" si="6"/>
        <v>-353096.708322694</v>
      </c>
    </row>
    <row r="23" spans="1:36" customFormat="1" x14ac:dyDescent="0.25">
      <c r="A23" s="14">
        <v>21</v>
      </c>
      <c r="B23" s="71">
        <v>44938.916666666664</v>
      </c>
      <c r="C23" s="14" t="s">
        <v>39</v>
      </c>
      <c r="D23" s="14" t="s">
        <v>41</v>
      </c>
      <c r="E23" s="14" t="s">
        <v>836</v>
      </c>
      <c r="F23" s="100">
        <v>-149</v>
      </c>
      <c r="G23" s="152">
        <v>-1490</v>
      </c>
      <c r="H23" s="156">
        <v>1383.98</v>
      </c>
      <c r="I23" s="14">
        <v>1.2433458E-2</v>
      </c>
      <c r="J23" s="14" t="s">
        <v>17</v>
      </c>
      <c r="K23" s="15">
        <v>73050.333333333328</v>
      </c>
      <c r="L23" s="14">
        <v>0</v>
      </c>
      <c r="M23" s="14" t="s">
        <v>15</v>
      </c>
      <c r="N23" s="45">
        <f t="shared" si="0"/>
        <v>10</v>
      </c>
      <c r="O23" s="159">
        <f t="shared" si="1"/>
        <v>-1.0766051532536598</v>
      </c>
      <c r="P23" s="47">
        <f t="shared" si="2"/>
        <v>-1526.5599209784123</v>
      </c>
      <c r="Q23" s="25">
        <f t="shared" si="7"/>
        <v>28111</v>
      </c>
      <c r="R23" s="26" t="str">
        <f t="shared" si="8"/>
        <v>PERP</v>
      </c>
      <c r="S23" s="26" t="str">
        <f t="shared" si="3"/>
        <v>SHORT</v>
      </c>
      <c r="T23" s="26" t="str">
        <f t="shared" si="9"/>
        <v>PERP SHORT</v>
      </c>
      <c r="U23" s="17">
        <f t="shared" si="10"/>
        <v>-1490</v>
      </c>
      <c r="V23" s="17">
        <f t="shared" si="11"/>
        <v>1383.98</v>
      </c>
      <c r="W23" s="39">
        <f>IF($C23="","",IF(DefaultScenario,IF(OR(AND(Default_Exchange="ALL",NOT(ISERROR(MATCH($C23,$AF$6:$AF$37,0)))),$C23=Default_Exchange),IF($G23&gt;0,-LGD,0),0),IF(OR($J23="SWAP",$J23="FUTURE",$J23="CME FUTURE"),IF('Futures &amp; Perps Shifted'!$AE$31,VLOOKUP($M23,'Futures &amp; Perps Shifted'!$AE$32:$AO$76,MATCH($R23,'Futures &amp; Perps Shifted'!$AE$30:$AO$30,0),FALSE),0),0)))</f>
        <v>0</v>
      </c>
      <c r="X23" s="17">
        <f t="shared" si="12"/>
        <v>0</v>
      </c>
      <c r="Y23" s="14" t="str">
        <f t="shared" si="4"/>
        <v>HUBI</v>
      </c>
      <c r="Z23" t="str">
        <f t="shared" si="13"/>
        <v>ETH PERP SHORT</v>
      </c>
      <c r="AA23" t="b">
        <f>IF($C23="","",IF(ISERROR(VLOOKUP($Y23,Mappings!$A:$C,3,FALSE)),FALSE,VLOOKUP($Y23,Mappings!$A:$C,3,FALSE)))</f>
        <v>1</v>
      </c>
      <c r="AH23">
        <f t="shared" si="14"/>
        <v>10</v>
      </c>
      <c r="AI23">
        <f t="shared" si="5"/>
        <v>-1.0766051532536598</v>
      </c>
      <c r="AJ23">
        <f t="shared" si="6"/>
        <v>-1526.5599209784123</v>
      </c>
    </row>
    <row r="24" spans="1:36" customFormat="1" x14ac:dyDescent="0.25">
      <c r="A24" s="14">
        <v>22</v>
      </c>
      <c r="B24" s="71">
        <v>44938.916666666664</v>
      </c>
      <c r="C24" s="14" t="s">
        <v>39</v>
      </c>
      <c r="D24" s="14" t="s">
        <v>42</v>
      </c>
      <c r="E24" s="14" t="s">
        <v>434</v>
      </c>
      <c r="F24" s="100">
        <v>0.64600000000000002</v>
      </c>
      <c r="G24" s="152">
        <v>11685.429400000001</v>
      </c>
      <c r="H24" s="156">
        <v>18088.900000000001</v>
      </c>
      <c r="I24" s="14">
        <v>-20.413599999999999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f t="shared" si="0"/>
        <v>1</v>
      </c>
      <c r="O24" s="159">
        <f t="shared" si="1"/>
        <v>0.64600000000000002</v>
      </c>
      <c r="P24" s="47">
        <f t="shared" si="2"/>
        <v>12189.753883701513</v>
      </c>
      <c r="Q24" s="25">
        <f t="shared" si="7"/>
        <v>28111</v>
      </c>
      <c r="R24" s="26" t="str">
        <f t="shared" si="8"/>
        <v>PERP</v>
      </c>
      <c r="S24" s="26" t="str">
        <f t="shared" si="3"/>
        <v>LONG</v>
      </c>
      <c r="T24" s="26" t="str">
        <f t="shared" si="9"/>
        <v>PERP LONG</v>
      </c>
      <c r="U24" s="17">
        <f t="shared" si="10"/>
        <v>11685.429400000001</v>
      </c>
      <c r="V24" s="17">
        <f t="shared" si="11"/>
        <v>18088.900000000001</v>
      </c>
      <c r="W24" s="39">
        <f>IF($C24="","",IF(DefaultScenario,IF(OR(AND(Default_Exchange="ALL",NOT(ISERROR(MATCH($C24,$AF$6:$AF$37,0)))),$C24=Default_Exchange),IF($G24&gt;0,-LGD,0),0),IF(OR($J24="SWAP",$J24="FUTURE",$J24="CME FUTURE"),IF('Futures &amp; Perps Shifted'!$AE$31,VLOOKUP($M24,'Futures &amp; Perps Shifted'!$AE$32:$AO$76,MATCH($R24,'Futures &amp; Perps Shifted'!$AE$30:$AO$30,0),FALSE),0),0)))</f>
        <v>0</v>
      </c>
      <c r="X24" s="17">
        <f t="shared" si="12"/>
        <v>0</v>
      </c>
      <c r="Y24" s="14" t="str">
        <f t="shared" si="4"/>
        <v>HUBI</v>
      </c>
      <c r="Z24" t="str">
        <f t="shared" si="13"/>
        <v>BTC PERP LONG</v>
      </c>
      <c r="AA24" t="b">
        <f>IF($C24="","",IF(ISERROR(VLOOKUP($Y24,Mappings!$A:$C,3,FALSE)),FALSE,VLOOKUP($Y24,Mappings!$A:$C,3,FALSE)))</f>
        <v>1</v>
      </c>
      <c r="AH24">
        <f t="shared" si="14"/>
        <v>1</v>
      </c>
      <c r="AI24">
        <f t="shared" si="5"/>
        <v>0.64600000000000002</v>
      </c>
      <c r="AJ24">
        <f t="shared" si="6"/>
        <v>12189.753883701513</v>
      </c>
    </row>
    <row r="25" spans="1:36" customFormat="1" x14ac:dyDescent="0.25">
      <c r="A25" s="14">
        <v>23</v>
      </c>
      <c r="B25" s="71">
        <v>44938.916666666664</v>
      </c>
      <c r="C25" s="14" t="s">
        <v>39</v>
      </c>
      <c r="D25" s="14" t="s">
        <v>42</v>
      </c>
      <c r="E25" s="14" t="s">
        <v>839</v>
      </c>
      <c r="F25" s="100">
        <v>-0.41</v>
      </c>
      <c r="G25" s="152">
        <v>-568.76840000000004</v>
      </c>
      <c r="H25" s="156">
        <v>1387.24</v>
      </c>
      <c r="I25" s="14">
        <v>5.0430000000000001</v>
      </c>
      <c r="J25" s="14" t="s">
        <v>17</v>
      </c>
      <c r="K25" s="15">
        <v>73050.333333333328</v>
      </c>
      <c r="L25" s="14">
        <v>1</v>
      </c>
      <c r="M25" s="14" t="s">
        <v>15</v>
      </c>
      <c r="N25" s="45">
        <f t="shared" si="0"/>
        <v>1</v>
      </c>
      <c r="O25" s="159">
        <f t="shared" si="1"/>
        <v>-0.41</v>
      </c>
      <c r="P25" s="47">
        <f t="shared" si="2"/>
        <v>-581.35479447559612</v>
      </c>
      <c r="Q25" s="25">
        <f t="shared" si="7"/>
        <v>28111</v>
      </c>
      <c r="R25" s="26" t="str">
        <f t="shared" si="8"/>
        <v>PERP</v>
      </c>
      <c r="S25" s="26" t="str">
        <f t="shared" si="3"/>
        <v>SHORT</v>
      </c>
      <c r="T25" s="26" t="str">
        <f t="shared" si="9"/>
        <v>PERP SHORT</v>
      </c>
      <c r="U25" s="17">
        <f t="shared" si="10"/>
        <v>-568.76840000000004</v>
      </c>
      <c r="V25" s="17">
        <f t="shared" si="11"/>
        <v>1387.24</v>
      </c>
      <c r="W25" s="39">
        <f>IF($C25="","",IF(DefaultScenario,IF(OR(AND(Default_Exchange="ALL",NOT(ISERROR(MATCH($C25,$AF$6:$AF$37,0)))),$C25=Default_Exchange),IF($G25&gt;0,-LGD,0),0),IF(OR($J25="SWAP",$J25="FUTURE",$J25="CME FUTURE"),IF('Futures &amp; Perps Shifted'!$AE$31,VLOOKUP($M25,'Futures &amp; Perps Shifted'!$AE$32:$AO$76,MATCH($R25,'Futures &amp; Perps Shifted'!$AE$30:$AO$30,0),FALSE),0),0)))</f>
        <v>0</v>
      </c>
      <c r="X25" s="17">
        <f t="shared" si="12"/>
        <v>0</v>
      </c>
      <c r="Y25" s="14" t="str">
        <f t="shared" si="4"/>
        <v>HUBI</v>
      </c>
      <c r="Z25" t="str">
        <f t="shared" si="13"/>
        <v>ETH PERP SHORT</v>
      </c>
      <c r="AA25" t="b">
        <f>IF($C25="","",IF(ISERROR(VLOOKUP($Y25,Mappings!$A:$C,3,FALSE)),FALSE,VLOOKUP($Y25,Mappings!$A:$C,3,FALSE)))</f>
        <v>1</v>
      </c>
      <c r="AH25">
        <f t="shared" si="14"/>
        <v>1</v>
      </c>
      <c r="AI25">
        <f t="shared" si="5"/>
        <v>-0.41</v>
      </c>
      <c r="AJ25">
        <f t="shared" si="6"/>
        <v>-581.35479447559612</v>
      </c>
    </row>
    <row r="26" spans="1:36" customFormat="1" x14ac:dyDescent="0.25">
      <c r="A26" s="14">
        <v>24</v>
      </c>
      <c r="B26" s="71">
        <v>44938.916666666664</v>
      </c>
      <c r="C26" s="14" t="s">
        <v>45</v>
      </c>
      <c r="D26" s="14" t="s">
        <v>46</v>
      </c>
      <c r="E26" s="14" t="s">
        <v>49</v>
      </c>
      <c r="F26" s="100">
        <v>51768</v>
      </c>
      <c r="G26" s="152">
        <v>5176800</v>
      </c>
      <c r="H26" s="156">
        <v>18107.900000000001</v>
      </c>
      <c r="I26" s="14">
        <v>0.42231638799999999</v>
      </c>
      <c r="J26" s="14" t="s">
        <v>17</v>
      </c>
      <c r="K26" s="15">
        <v>73050.333333333328</v>
      </c>
      <c r="L26" s="14">
        <v>0</v>
      </c>
      <c r="M26" s="14" t="s">
        <v>14</v>
      </c>
      <c r="N26" s="45">
        <f t="shared" si="0"/>
        <v>100</v>
      </c>
      <c r="O26" s="159">
        <f t="shared" si="1"/>
        <v>285.88627063325947</v>
      </c>
      <c r="P26" s="47">
        <f t="shared" si="2"/>
        <v>5394556.1575057525</v>
      </c>
      <c r="Q26" s="25">
        <f t="shared" si="7"/>
        <v>28111</v>
      </c>
      <c r="R26" s="26" t="str">
        <f t="shared" si="8"/>
        <v>PERP</v>
      </c>
      <c r="S26" s="26" t="str">
        <f t="shared" si="3"/>
        <v>LONG</v>
      </c>
      <c r="T26" s="26" t="str">
        <f t="shared" si="9"/>
        <v>PERP LONG</v>
      </c>
      <c r="U26" s="17">
        <f t="shared" si="10"/>
        <v>5176800</v>
      </c>
      <c r="V26" s="17">
        <f t="shared" si="11"/>
        <v>18107.900000000001</v>
      </c>
      <c r="W26" s="39">
        <f>IF($C26="","",IF(DefaultScenario,IF(OR(AND(Default_Exchange="ALL",NOT(ISERROR(MATCH($C26,$AF$6:$AF$37,0)))),$C26=Default_Exchange),IF($G26&gt;0,-LGD,0),0),IF(OR($J26="SWAP",$J26="FUTURE",$J26="CME FUTURE"),IF('Futures &amp; Perps Shifted'!$AE$31,VLOOKUP($M26,'Futures &amp; Perps Shifted'!$AE$32:$AO$76,MATCH($R26,'Futures &amp; Perps Shifted'!$AE$30:$AO$30,0),FALSE),0),0)))</f>
        <v>0</v>
      </c>
      <c r="X26" s="17">
        <f t="shared" si="12"/>
        <v>0</v>
      </c>
      <c r="Y26" s="14" t="str">
        <f t="shared" si="4"/>
        <v>OKEX</v>
      </c>
      <c r="Z26" t="str">
        <f t="shared" si="13"/>
        <v>BTC PERP LONG</v>
      </c>
      <c r="AA26" t="b">
        <f>IF($C26="","",IF(ISERROR(VLOOKUP($Y26,Mappings!$A:$C,3,FALSE)),FALSE,VLOOKUP($Y26,Mappings!$A:$C,3,FALSE)))</f>
        <v>1</v>
      </c>
      <c r="AH26">
        <f t="shared" si="14"/>
        <v>100</v>
      </c>
      <c r="AI26">
        <f t="shared" si="5"/>
        <v>285.88627063325947</v>
      </c>
      <c r="AJ26">
        <f t="shared" si="6"/>
        <v>5394556.1575057525</v>
      </c>
    </row>
    <row r="27" spans="1:36" customFormat="1" x14ac:dyDescent="0.25">
      <c r="A27" s="14">
        <v>25</v>
      </c>
      <c r="B27" s="71">
        <v>44938.916666666664</v>
      </c>
      <c r="C27" s="14" t="s">
        <v>45</v>
      </c>
      <c r="D27" s="14" t="s">
        <v>46</v>
      </c>
      <c r="E27" s="14" t="s">
        <v>474</v>
      </c>
      <c r="F27" s="100">
        <v>253470</v>
      </c>
      <c r="G27" s="152">
        <v>2534700</v>
      </c>
      <c r="H27" s="156">
        <v>1387.43</v>
      </c>
      <c r="I27" s="14">
        <v>-7.4565637440000003</v>
      </c>
      <c r="J27" s="14" t="s">
        <v>17</v>
      </c>
      <c r="K27" s="15">
        <v>73050.333333333328</v>
      </c>
      <c r="L27" s="14">
        <v>0</v>
      </c>
      <c r="M27" s="14" t="s">
        <v>15</v>
      </c>
      <c r="N27" s="45">
        <f t="shared" si="0"/>
        <v>10</v>
      </c>
      <c r="O27" s="159">
        <f t="shared" si="1"/>
        <v>1826.902978889025</v>
      </c>
      <c r="P27" s="47">
        <f t="shared" si="2"/>
        <v>2590436.1117533743</v>
      </c>
      <c r="Q27" s="25">
        <f t="shared" si="7"/>
        <v>28111</v>
      </c>
      <c r="R27" s="26" t="str">
        <f t="shared" si="8"/>
        <v>PERP</v>
      </c>
      <c r="S27" s="26" t="str">
        <f t="shared" si="3"/>
        <v>LONG</v>
      </c>
      <c r="T27" s="26" t="str">
        <f t="shared" si="9"/>
        <v>PERP LONG</v>
      </c>
      <c r="U27" s="17">
        <f t="shared" si="10"/>
        <v>2534700</v>
      </c>
      <c r="V27" s="17">
        <f t="shared" si="11"/>
        <v>1387.43</v>
      </c>
      <c r="W27" s="39">
        <f>IF($C27="","",IF(DefaultScenario,IF(OR(AND(Default_Exchange="ALL",NOT(ISERROR(MATCH($C27,$AF$6:$AF$37,0)))),$C27=Default_Exchange),IF($G27&gt;0,-LGD,0),0),IF(OR($J27="SWAP",$J27="FUTURE",$J27="CME FUTURE"),IF('Futures &amp; Perps Shifted'!$AE$31,VLOOKUP($M27,'Futures &amp; Perps Shifted'!$AE$32:$AO$76,MATCH($R27,'Futures &amp; Perps Shifted'!$AE$30:$AO$30,0),FALSE),0),0)))</f>
        <v>0</v>
      </c>
      <c r="X27" s="17">
        <f t="shared" si="12"/>
        <v>0</v>
      </c>
      <c r="Y27" s="14" t="str">
        <f t="shared" si="4"/>
        <v>OKEX</v>
      </c>
      <c r="Z27" t="str">
        <f t="shared" si="13"/>
        <v>ETH PERP LONG</v>
      </c>
      <c r="AA27" t="b">
        <f>IF($C27="","",IF(ISERROR(VLOOKUP($Y27,Mappings!$A:$C,3,FALSE)),FALSE,VLOOKUP($Y27,Mappings!$A:$C,3,FALSE)))</f>
        <v>1</v>
      </c>
      <c r="AH27">
        <f t="shared" si="14"/>
        <v>10</v>
      </c>
      <c r="AI27">
        <f t="shared" si="5"/>
        <v>1826.902978889025</v>
      </c>
      <c r="AJ27">
        <f t="shared" si="6"/>
        <v>2590436.1117533743</v>
      </c>
    </row>
    <row r="28" spans="1:36" customFormat="1" x14ac:dyDescent="0.25">
      <c r="A28" s="14">
        <v>26</v>
      </c>
      <c r="B28" s="71">
        <v>44938.916666666664</v>
      </c>
      <c r="C28" s="14" t="s">
        <v>45</v>
      </c>
      <c r="D28" s="14" t="s">
        <v>46</v>
      </c>
      <c r="E28" s="14" t="s">
        <v>47</v>
      </c>
      <c r="F28" s="100">
        <v>79404</v>
      </c>
      <c r="G28" s="152">
        <v>14377840.766630201</v>
      </c>
      <c r="H28" s="156">
        <v>18107.2</v>
      </c>
      <c r="I28" s="14">
        <v>54412.331657442002</v>
      </c>
      <c r="J28" s="14" t="s">
        <v>17</v>
      </c>
      <c r="K28" s="15">
        <v>73050.333333333328</v>
      </c>
      <c r="L28" s="14">
        <v>1</v>
      </c>
      <c r="M28" s="14" t="s">
        <v>14</v>
      </c>
      <c r="N28" s="45">
        <f t="shared" si="0"/>
        <v>0.01</v>
      </c>
      <c r="O28" s="159">
        <f t="shared" si="1"/>
        <v>794.04</v>
      </c>
      <c r="P28" s="47">
        <f t="shared" si="2"/>
        <v>14983207.699403016</v>
      </c>
      <c r="Q28" s="25">
        <f t="shared" si="7"/>
        <v>28111</v>
      </c>
      <c r="R28" s="26" t="str">
        <f t="shared" si="8"/>
        <v>PERP</v>
      </c>
      <c r="S28" s="26" t="str">
        <f t="shared" si="3"/>
        <v>LONG</v>
      </c>
      <c r="T28" s="26" t="str">
        <f t="shared" si="9"/>
        <v>PERP LONG</v>
      </c>
      <c r="U28" s="17">
        <f t="shared" si="10"/>
        <v>14377840.766630201</v>
      </c>
      <c r="V28" s="17">
        <f t="shared" si="11"/>
        <v>18107.2</v>
      </c>
      <c r="W28" s="39">
        <f>IF($C28="","",IF(DefaultScenario,IF(OR(AND(Default_Exchange="ALL",NOT(ISERROR(MATCH($C28,$AF$6:$AF$37,0)))),$C28=Default_Exchange),IF($G28&gt;0,-LGD,0),0),IF(OR($J28="SWAP",$J28="FUTURE",$J28="CME FUTURE"),IF('Futures &amp; Perps Shifted'!$AE$31,VLOOKUP($M28,'Futures &amp; Perps Shifted'!$AE$32:$AO$76,MATCH($R28,'Futures &amp; Perps Shifted'!$AE$30:$AO$30,0),FALSE),0),0)))</f>
        <v>0</v>
      </c>
      <c r="X28" s="17">
        <f t="shared" si="12"/>
        <v>0</v>
      </c>
      <c r="Y28" s="14" t="str">
        <f t="shared" si="4"/>
        <v>OKEX</v>
      </c>
      <c r="Z28" t="str">
        <f t="shared" si="13"/>
        <v>BTC PERP LONG</v>
      </c>
      <c r="AA28" t="b">
        <f>IF($C28="","",IF(ISERROR(VLOOKUP($Y28,Mappings!$A:$C,3,FALSE)),FALSE,VLOOKUP($Y28,Mappings!$A:$C,3,FALSE)))</f>
        <v>1</v>
      </c>
      <c r="AH28">
        <f t="shared" si="14"/>
        <v>0.01</v>
      </c>
      <c r="AI28">
        <f t="shared" si="5"/>
        <v>794.04</v>
      </c>
      <c r="AJ28">
        <f t="shared" si="6"/>
        <v>14983207.699403016</v>
      </c>
    </row>
    <row r="29" spans="1:36" customFormat="1" x14ac:dyDescent="0.25">
      <c r="A29" s="14">
        <v>27</v>
      </c>
      <c r="B29" s="71">
        <v>44938.916666666664</v>
      </c>
      <c r="C29" s="14" t="s">
        <v>45</v>
      </c>
      <c r="D29" s="14" t="s">
        <v>46</v>
      </c>
      <c r="E29" s="14" t="s">
        <v>475</v>
      </c>
      <c r="F29" s="100">
        <v>82157</v>
      </c>
      <c r="G29" s="152">
        <v>11400187.646876</v>
      </c>
      <c r="H29" s="156">
        <v>1387.61</v>
      </c>
      <c r="I29" s="14">
        <v>-52344.481048977003</v>
      </c>
      <c r="J29" s="14" t="s">
        <v>17</v>
      </c>
      <c r="K29" s="15">
        <v>73050.333333333328</v>
      </c>
      <c r="L29" s="14">
        <v>1</v>
      </c>
      <c r="M29" s="14" t="s">
        <v>15</v>
      </c>
      <c r="N29" s="45">
        <f t="shared" si="0"/>
        <v>0.1</v>
      </c>
      <c r="O29" s="159">
        <f t="shared" si="1"/>
        <v>8215.7000000000007</v>
      </c>
      <c r="P29" s="47">
        <f t="shared" si="2"/>
        <v>11649357.524324769</v>
      </c>
      <c r="Q29" s="25">
        <f t="shared" si="7"/>
        <v>28111</v>
      </c>
      <c r="R29" s="26" t="str">
        <f t="shared" si="8"/>
        <v>PERP</v>
      </c>
      <c r="S29" s="26" t="str">
        <f t="shared" si="3"/>
        <v>LONG</v>
      </c>
      <c r="T29" s="26" t="str">
        <f t="shared" si="9"/>
        <v>PERP LONG</v>
      </c>
      <c r="U29" s="17">
        <f t="shared" si="10"/>
        <v>11400187.646876</v>
      </c>
      <c r="V29" s="17">
        <f t="shared" si="11"/>
        <v>1387.61</v>
      </c>
      <c r="W29" s="39">
        <f>IF($C29="","",IF(DefaultScenario,IF(OR(AND(Default_Exchange="ALL",NOT(ISERROR(MATCH($C29,$AF$6:$AF$37,0)))),$C29=Default_Exchange),IF($G29&gt;0,-LGD,0),0),IF(OR($J29="SWAP",$J29="FUTURE",$J29="CME FUTURE"),IF('Futures &amp; Perps Shifted'!$AE$31,VLOOKUP($M29,'Futures &amp; Perps Shifted'!$AE$32:$AO$76,MATCH($R29,'Futures &amp; Perps Shifted'!$AE$30:$AO$30,0),FALSE),0),0)))</f>
        <v>0</v>
      </c>
      <c r="X29" s="17">
        <f t="shared" si="12"/>
        <v>0</v>
      </c>
      <c r="Y29" s="14" t="str">
        <f t="shared" si="4"/>
        <v>OKEX</v>
      </c>
      <c r="Z29" t="str">
        <f t="shared" si="13"/>
        <v>ETH PERP LONG</v>
      </c>
      <c r="AA29" t="b">
        <f>IF($C29="","",IF(ISERROR(VLOOKUP($Y29,Mappings!$A:$C,3,FALSE)),FALSE,VLOOKUP($Y29,Mappings!$A:$C,3,FALSE)))</f>
        <v>1</v>
      </c>
      <c r="AH29">
        <f t="shared" si="14"/>
        <v>0.1</v>
      </c>
      <c r="AI29">
        <f t="shared" si="5"/>
        <v>8215.7000000000007</v>
      </c>
      <c r="AJ29">
        <f t="shared" si="6"/>
        <v>11649357.524324769</v>
      </c>
    </row>
    <row r="30" spans="1:36" customFormat="1" x14ac:dyDescent="0.25">
      <c r="A30" s="14">
        <v>28</v>
      </c>
      <c r="B30" s="71">
        <v>44938.916666666664</v>
      </c>
      <c r="C30" s="14" t="s">
        <v>45</v>
      </c>
      <c r="D30" s="14" t="s">
        <v>46</v>
      </c>
      <c r="E30" s="14" t="s">
        <v>948</v>
      </c>
      <c r="F30" s="100">
        <v>5176</v>
      </c>
      <c r="G30" s="152">
        <v>721772.50675524794</v>
      </c>
      <c r="H30" s="156">
        <v>1394.46</v>
      </c>
      <c r="I30" s="14">
        <v>39943.057889452</v>
      </c>
      <c r="J30" s="14" t="s">
        <v>13</v>
      </c>
      <c r="K30" s="15">
        <v>45016.333333333336</v>
      </c>
      <c r="L30" s="14">
        <v>1</v>
      </c>
      <c r="M30" s="14" t="s">
        <v>15</v>
      </c>
      <c r="N30" s="45">
        <f t="shared" si="0"/>
        <v>0.1</v>
      </c>
      <c r="O30" s="159">
        <f t="shared" si="1"/>
        <v>517.6</v>
      </c>
      <c r="P30" s="47">
        <f t="shared" si="2"/>
        <v>733924.97956236242</v>
      </c>
      <c r="Q30" s="25">
        <f t="shared" si="7"/>
        <v>77</v>
      </c>
      <c r="R30" s="26" t="str">
        <f t="shared" si="8"/>
        <v>Mar 23</v>
      </c>
      <c r="S30" s="26" t="str">
        <f t="shared" si="3"/>
        <v>LONG</v>
      </c>
      <c r="T30" s="26" t="str">
        <f t="shared" si="9"/>
        <v>Mar 23 LONG</v>
      </c>
      <c r="U30" s="17">
        <f t="shared" si="10"/>
        <v>728990.23182280047</v>
      </c>
      <c r="V30" s="17">
        <f t="shared" si="11"/>
        <v>1408.4046000000001</v>
      </c>
      <c r="W30" s="39">
        <f>IF($C30="","",IF(DefaultScenario,IF(OR(AND(Default_Exchange="ALL",NOT(ISERROR(MATCH($C30,$AF$6:$AF$37,0)))),$C30=Default_Exchange),IF($G30&gt;0,-LGD,0),0),IF(OR($J30="SWAP",$J30="FUTURE",$J30="CME FUTURE"),IF('Futures &amp; Perps Shifted'!$AE$31,VLOOKUP($M30,'Futures &amp; Perps Shifted'!$AE$32:$AO$76,MATCH($R30,'Futures &amp; Perps Shifted'!$AE$30:$AO$30,0),FALSE),0),0)))</f>
        <v>0.01</v>
      </c>
      <c r="X30" s="17">
        <f t="shared" si="12"/>
        <v>7217.7250675525283</v>
      </c>
      <c r="Y30" s="14" t="str">
        <f t="shared" si="4"/>
        <v>OKEX</v>
      </c>
      <c r="Z30" t="str">
        <f t="shared" si="13"/>
        <v>ETH Mar 23 LONG</v>
      </c>
      <c r="AA30" t="b">
        <f>IF($C30="","",IF(ISERROR(VLOOKUP($Y30,Mappings!$A:$C,3,FALSE)),FALSE,VLOOKUP($Y30,Mappings!$A:$C,3,FALSE)))</f>
        <v>1</v>
      </c>
      <c r="AH30">
        <f t="shared" si="14"/>
        <v>0.1</v>
      </c>
      <c r="AI30">
        <f t="shared" si="5"/>
        <v>517.6</v>
      </c>
      <c r="AJ30">
        <f t="shared" si="6"/>
        <v>733924.97956236242</v>
      </c>
    </row>
    <row r="31" spans="1:36" customFormat="1" x14ac:dyDescent="0.25">
      <c r="A31" s="14">
        <v>29</v>
      </c>
      <c r="B31" s="71">
        <v>44938.916666666664</v>
      </c>
      <c r="C31" s="14" t="s">
        <v>45</v>
      </c>
      <c r="D31" s="14" t="s">
        <v>46</v>
      </c>
      <c r="E31" s="14" t="s">
        <v>962</v>
      </c>
      <c r="F31" s="100">
        <v>717</v>
      </c>
      <c r="G31" s="152">
        <v>100017.916490383</v>
      </c>
      <c r="H31" s="156">
        <v>1394.95</v>
      </c>
      <c r="I31" s="14">
        <v>4057.562043167</v>
      </c>
      <c r="J31" s="14" t="s">
        <v>13</v>
      </c>
      <c r="K31" s="15">
        <v>45107.333333333336</v>
      </c>
      <c r="L31" s="14">
        <v>1</v>
      </c>
      <c r="M31" s="14" t="s">
        <v>15</v>
      </c>
      <c r="N31" s="45">
        <f t="shared" si="0"/>
        <v>0.1</v>
      </c>
      <c r="O31" s="159">
        <f t="shared" si="1"/>
        <v>71.7</v>
      </c>
      <c r="P31" s="47">
        <f t="shared" si="2"/>
        <v>101666.19210707377</v>
      </c>
      <c r="Q31" s="25">
        <f t="shared" si="7"/>
        <v>168</v>
      </c>
      <c r="R31" s="26" t="str">
        <f t="shared" si="8"/>
        <v>Jun 23</v>
      </c>
      <c r="S31" s="26" t="str">
        <f t="shared" si="3"/>
        <v>LONG</v>
      </c>
      <c r="T31" s="26" t="str">
        <f t="shared" si="9"/>
        <v>Jun 23 LONG</v>
      </c>
      <c r="U31" s="17">
        <f t="shared" si="10"/>
        <v>101018.09565528683</v>
      </c>
      <c r="V31" s="17">
        <f t="shared" si="11"/>
        <v>1408.8995</v>
      </c>
      <c r="W31" s="39">
        <f>IF($C31="","",IF(DefaultScenario,IF(OR(AND(Default_Exchange="ALL",NOT(ISERROR(MATCH($C31,$AF$6:$AF$37,0)))),$C31=Default_Exchange),IF($G31&gt;0,-LGD,0),0),IF(OR($J31="SWAP",$J31="FUTURE",$J31="CME FUTURE"),IF('Futures &amp; Perps Shifted'!$AE$31,VLOOKUP($M31,'Futures &amp; Perps Shifted'!$AE$32:$AO$76,MATCH($R31,'Futures &amp; Perps Shifted'!$AE$30:$AO$30,0),FALSE),0),0)))</f>
        <v>0.01</v>
      </c>
      <c r="X31" s="17">
        <f t="shared" si="12"/>
        <v>1000.179164903835</v>
      </c>
      <c r="Y31" s="14" t="str">
        <f t="shared" si="4"/>
        <v>OKEX</v>
      </c>
      <c r="Z31" t="str">
        <f t="shared" si="13"/>
        <v>ETH Jun 23 LONG</v>
      </c>
      <c r="AA31" t="b">
        <f>IF($C31="","",IF(ISERROR(VLOOKUP($Y31,Mappings!$A:$C,3,FALSE)),FALSE,VLOOKUP($Y31,Mappings!$A:$C,3,FALSE)))</f>
        <v>1</v>
      </c>
      <c r="AH31">
        <f t="shared" si="14"/>
        <v>0.1</v>
      </c>
      <c r="AI31">
        <f t="shared" si="5"/>
        <v>71.7</v>
      </c>
      <c r="AJ31">
        <f t="shared" si="6"/>
        <v>101666.19210707377</v>
      </c>
    </row>
    <row r="32" spans="1:36" customFormat="1" x14ac:dyDescent="0.25">
      <c r="A32" s="14">
        <v>30</v>
      </c>
      <c r="B32" s="71">
        <v>44938.916666666664</v>
      </c>
      <c r="C32" s="14" t="s">
        <v>45</v>
      </c>
      <c r="D32" s="14" t="s">
        <v>46</v>
      </c>
      <c r="E32" s="14" t="s">
        <v>473</v>
      </c>
      <c r="F32" s="100">
        <v>-2250</v>
      </c>
      <c r="G32" s="152">
        <v>-21550.5</v>
      </c>
      <c r="H32" s="156">
        <v>0.95779999999999998</v>
      </c>
      <c r="I32" s="14">
        <v>-36.667999999999999</v>
      </c>
      <c r="J32" s="14" t="s">
        <v>17</v>
      </c>
      <c r="K32" s="15">
        <v>73050.333333333328</v>
      </c>
      <c r="L32" s="14">
        <v>1</v>
      </c>
      <c r="M32" s="14" t="s">
        <v>23</v>
      </c>
      <c r="N32" s="45">
        <f t="shared" si="0"/>
        <v>10</v>
      </c>
      <c r="O32" s="159">
        <f t="shared" si="1"/>
        <v>-22500</v>
      </c>
      <c r="P32" s="47">
        <f t="shared" si="2"/>
        <v>-22280.455728156194</v>
      </c>
      <c r="Q32" s="25">
        <f t="shared" si="7"/>
        <v>28111</v>
      </c>
      <c r="R32" s="26" t="str">
        <f t="shared" si="8"/>
        <v>PERP</v>
      </c>
      <c r="S32" s="26" t="str">
        <f t="shared" si="3"/>
        <v>SHORT</v>
      </c>
      <c r="T32" s="26" t="str">
        <f t="shared" si="9"/>
        <v>PERP SHORT</v>
      </c>
      <c r="U32" s="17">
        <f t="shared" si="10"/>
        <v>-21550.5</v>
      </c>
      <c r="V32" s="17">
        <f t="shared" si="11"/>
        <v>0.95779999999999998</v>
      </c>
      <c r="W32" s="39">
        <f>IF($C32="","",IF(DefaultScenario,IF(OR(AND(Default_Exchange="ALL",NOT(ISERROR(MATCH($C32,$AF$6:$AF$37,0)))),$C32=Default_Exchange),IF($G32&gt;0,-LGD,0),0),IF(OR($J32="SWAP",$J32="FUTURE",$J32="CME FUTURE"),IF('Futures &amp; Perps Shifted'!$AE$31,VLOOKUP($M32,'Futures &amp; Perps Shifted'!$AE$32:$AO$76,MATCH($R32,'Futures &amp; Perps Shifted'!$AE$30:$AO$30,0),FALSE),0),0)))</f>
        <v>0</v>
      </c>
      <c r="X32" s="17">
        <f t="shared" si="12"/>
        <v>0</v>
      </c>
      <c r="Y32" s="14" t="str">
        <f t="shared" si="4"/>
        <v>OKEX</v>
      </c>
      <c r="Z32" t="str">
        <f t="shared" si="13"/>
        <v>EOS PERP SHORT</v>
      </c>
      <c r="AA32" t="b">
        <f>IF($C32="","",IF(ISERROR(VLOOKUP($Y32,Mappings!$A:$C,3,FALSE)),FALSE,VLOOKUP($Y32,Mappings!$A:$C,3,FALSE)))</f>
        <v>1</v>
      </c>
      <c r="AH32">
        <f t="shared" si="14"/>
        <v>10</v>
      </c>
      <c r="AI32">
        <f t="shared" si="5"/>
        <v>-22500</v>
      </c>
      <c r="AJ32">
        <f t="shared" si="6"/>
        <v>-22280.455728156194</v>
      </c>
    </row>
    <row r="33" spans="1:36" customFormat="1" x14ac:dyDescent="0.25">
      <c r="A33" s="14">
        <v>31</v>
      </c>
      <c r="B33" s="71">
        <v>44938.916666666664</v>
      </c>
      <c r="C33" s="14" t="s">
        <v>45</v>
      </c>
      <c r="D33" s="14" t="s">
        <v>46</v>
      </c>
      <c r="E33" s="14" t="s">
        <v>943</v>
      </c>
      <c r="F33" s="100">
        <v>-91454</v>
      </c>
      <c r="G33" s="152">
        <v>-9145400</v>
      </c>
      <c r="H33" s="156">
        <v>18209.599999999999</v>
      </c>
      <c r="I33" s="14">
        <v>-20.628144206999998</v>
      </c>
      <c r="J33" s="14" t="s">
        <v>13</v>
      </c>
      <c r="K33" s="15">
        <v>45016.333333333336</v>
      </c>
      <c r="L33" s="14">
        <v>0</v>
      </c>
      <c r="M33" s="14" t="s">
        <v>14</v>
      </c>
      <c r="N33" s="45">
        <f t="shared" si="0"/>
        <v>100</v>
      </c>
      <c r="O33" s="159">
        <f t="shared" si="1"/>
        <v>-502.22959318161855</v>
      </c>
      <c r="P33" s="47">
        <f t="shared" si="2"/>
        <v>-9476865.5325007215</v>
      </c>
      <c r="Q33" s="25">
        <f t="shared" si="7"/>
        <v>77</v>
      </c>
      <c r="R33" s="26" t="str">
        <f t="shared" si="8"/>
        <v>Mar 23</v>
      </c>
      <c r="S33" s="26" t="str">
        <f t="shared" si="3"/>
        <v>SHORT</v>
      </c>
      <c r="T33" s="26" t="str">
        <f t="shared" si="9"/>
        <v>Mar 23 SHORT</v>
      </c>
      <c r="U33" s="17">
        <f t="shared" si="10"/>
        <v>-9236854</v>
      </c>
      <c r="V33" s="17">
        <f t="shared" si="11"/>
        <v>18391.696</v>
      </c>
      <c r="W33" s="39">
        <f>IF($C33="","",IF(DefaultScenario,IF(OR(AND(Default_Exchange="ALL",NOT(ISERROR(MATCH($C33,$AF$6:$AF$37,0)))),$C33=Default_Exchange),IF($G33&gt;0,-LGD,0),0),IF(OR($J33="SWAP",$J33="FUTURE",$J33="CME FUTURE"),IF('Futures &amp; Perps Shifted'!$AE$31,VLOOKUP($M33,'Futures &amp; Perps Shifted'!$AE$32:$AO$76,MATCH($R33,'Futures &amp; Perps Shifted'!$AE$30:$AO$30,0),FALSE),0),0)))</f>
        <v>0.01</v>
      </c>
      <c r="X33" s="17">
        <f t="shared" si="12"/>
        <v>-91454</v>
      </c>
      <c r="Y33" s="14" t="str">
        <f t="shared" si="4"/>
        <v>OKEX</v>
      </c>
      <c r="Z33" t="str">
        <f t="shared" si="13"/>
        <v>BTC Mar 23 SHORT</v>
      </c>
      <c r="AA33" t="b">
        <f>IF($C33="","",IF(ISERROR(VLOOKUP($Y33,Mappings!$A:$C,3,FALSE)),FALSE,VLOOKUP($Y33,Mappings!$A:$C,3,FALSE)))</f>
        <v>1</v>
      </c>
      <c r="AH33">
        <f t="shared" si="14"/>
        <v>100</v>
      </c>
      <c r="AI33">
        <f t="shared" si="5"/>
        <v>-502.22959318161855</v>
      </c>
      <c r="AJ33">
        <f t="shared" si="6"/>
        <v>-9476865.5325007215</v>
      </c>
    </row>
    <row r="34" spans="1:36" customFormat="1" x14ac:dyDescent="0.25">
      <c r="A34" s="14">
        <v>32</v>
      </c>
      <c r="B34" s="71">
        <v>44938.916666666664</v>
      </c>
      <c r="C34" s="14" t="s">
        <v>45</v>
      </c>
      <c r="D34" s="14" t="s">
        <v>46</v>
      </c>
      <c r="E34" s="14" t="s">
        <v>944</v>
      </c>
      <c r="F34" s="100">
        <v>-3192</v>
      </c>
      <c r="G34" s="152">
        <v>-319200</v>
      </c>
      <c r="H34" s="156">
        <v>18290.599999999999</v>
      </c>
      <c r="I34" s="14">
        <v>-0.190820879</v>
      </c>
      <c r="J34" s="14" t="s">
        <v>13</v>
      </c>
      <c r="K34" s="15">
        <v>45107.333333333336</v>
      </c>
      <c r="L34" s="14">
        <v>0</v>
      </c>
      <c r="M34" s="14" t="s">
        <v>14</v>
      </c>
      <c r="N34" s="45">
        <f t="shared" si="0"/>
        <v>100</v>
      </c>
      <c r="O34" s="159">
        <f t="shared" si="1"/>
        <v>-17.451587154057275</v>
      </c>
      <c r="P34" s="47">
        <f t="shared" si="2"/>
        <v>-329304.26050762401</v>
      </c>
      <c r="Q34" s="25">
        <f t="shared" si="7"/>
        <v>168</v>
      </c>
      <c r="R34" s="26" t="str">
        <f t="shared" si="8"/>
        <v>Jun 23</v>
      </c>
      <c r="S34" s="26" t="str">
        <f t="shared" si="3"/>
        <v>SHORT</v>
      </c>
      <c r="T34" s="26" t="str">
        <f t="shared" si="9"/>
        <v>Jun 23 SHORT</v>
      </c>
      <c r="U34" s="17">
        <f t="shared" si="10"/>
        <v>-322392</v>
      </c>
      <c r="V34" s="17">
        <f t="shared" si="11"/>
        <v>18473.505999999998</v>
      </c>
      <c r="W34" s="39">
        <f>IF($C34="","",IF(DefaultScenario,IF(OR(AND(Default_Exchange="ALL",NOT(ISERROR(MATCH($C34,$AF$6:$AF$37,0)))),$C34=Default_Exchange),IF($G34&gt;0,-LGD,0),0),IF(OR($J34="SWAP",$J34="FUTURE",$J34="CME FUTURE"),IF('Futures &amp; Perps Shifted'!$AE$31,VLOOKUP($M34,'Futures &amp; Perps Shifted'!$AE$32:$AO$76,MATCH($R34,'Futures &amp; Perps Shifted'!$AE$30:$AO$30,0),FALSE),0),0)))</f>
        <v>0.01</v>
      </c>
      <c r="X34" s="17">
        <f t="shared" si="12"/>
        <v>-3192</v>
      </c>
      <c r="Y34" s="14" t="str">
        <f t="shared" si="4"/>
        <v>OKEX</v>
      </c>
      <c r="Z34" t="str">
        <f t="shared" si="13"/>
        <v>BTC Jun 23 SHORT</v>
      </c>
      <c r="AA34" t="b">
        <f>IF($C34="","",IF(ISERROR(VLOOKUP($Y34,Mappings!$A:$C,3,FALSE)),FALSE,VLOOKUP($Y34,Mappings!$A:$C,3,FALSE)))</f>
        <v>1</v>
      </c>
      <c r="AH34">
        <f t="shared" si="14"/>
        <v>100</v>
      </c>
      <c r="AI34">
        <f t="shared" ref="AI34:AI65" si="15">IF($C34="","",IF($A34="",0,IF($L34=1,$F34*$AH34,$AB$2*$F34*$AH34/$H34)))</f>
        <v>-17.451587154057275</v>
      </c>
      <c r="AJ34">
        <f t="shared" ref="AJ34:AJ65" si="16">IF($C34="","",IF($A34="",0,VLOOKUP($M34,SpotUSDRateTable,2,FALSE)*AI34))</f>
        <v>-329304.26050762401</v>
      </c>
    </row>
    <row r="35" spans="1:36" customFormat="1" x14ac:dyDescent="0.25">
      <c r="A35" s="14">
        <v>33</v>
      </c>
      <c r="B35" s="71">
        <v>44938.916666666664</v>
      </c>
      <c r="C35" s="14" t="s">
        <v>45</v>
      </c>
      <c r="D35" s="14" t="s">
        <v>46</v>
      </c>
      <c r="E35" s="14" t="s">
        <v>947</v>
      </c>
      <c r="F35" s="100">
        <v>-621487</v>
      </c>
      <c r="G35" s="152">
        <v>-6214870</v>
      </c>
      <c r="H35" s="156">
        <v>1395.47</v>
      </c>
      <c r="I35" s="14">
        <v>-292.53851759200001</v>
      </c>
      <c r="J35" s="14" t="s">
        <v>13</v>
      </c>
      <c r="K35" s="15">
        <v>45016.333333333336</v>
      </c>
      <c r="L35" s="14">
        <v>0</v>
      </c>
      <c r="M35" s="14" t="s">
        <v>15</v>
      </c>
      <c r="N35" s="45">
        <f t="shared" si="0"/>
        <v>10</v>
      </c>
      <c r="O35" s="159">
        <f t="shared" si="1"/>
        <v>-4453.6034454341543</v>
      </c>
      <c r="P35" s="47">
        <f t="shared" si="2"/>
        <v>-6314935.8919419013</v>
      </c>
      <c r="Q35" s="25">
        <f t="shared" si="7"/>
        <v>77</v>
      </c>
      <c r="R35" s="26" t="str">
        <f t="shared" si="8"/>
        <v>Mar 23</v>
      </c>
      <c r="S35" s="26" t="str">
        <f t="shared" si="3"/>
        <v>SHORT</v>
      </c>
      <c r="T35" s="26" t="str">
        <f t="shared" si="9"/>
        <v>Mar 23 SHORT</v>
      </c>
      <c r="U35" s="17">
        <f t="shared" si="10"/>
        <v>-6277018.7000000002</v>
      </c>
      <c r="V35" s="17">
        <f t="shared" si="11"/>
        <v>1409.4247</v>
      </c>
      <c r="W35" s="39">
        <f>IF($C35="","",IF(DefaultScenario,IF(OR(AND(Default_Exchange="ALL",NOT(ISERROR(MATCH($C35,$AF$6:$AF$37,0)))),$C35=Default_Exchange),IF($G35&gt;0,-LGD,0),0),IF(OR($J35="SWAP",$J35="FUTURE",$J35="CME FUTURE"),IF('Futures &amp; Perps Shifted'!$AE$31,VLOOKUP($M35,'Futures &amp; Perps Shifted'!$AE$32:$AO$76,MATCH($R35,'Futures &amp; Perps Shifted'!$AE$30:$AO$30,0),FALSE),0),0)))</f>
        <v>0.01</v>
      </c>
      <c r="X35" s="17">
        <f t="shared" si="12"/>
        <v>-62148.700000000186</v>
      </c>
      <c r="Y35" s="14" t="str">
        <f t="shared" si="4"/>
        <v>OKEX</v>
      </c>
      <c r="Z35" t="str">
        <f t="shared" si="13"/>
        <v>ETH Mar 23 SHORT</v>
      </c>
      <c r="AA35" t="b">
        <f>IF($C35="","",IF(ISERROR(VLOOKUP($Y35,Mappings!$A:$C,3,FALSE)),FALSE,VLOOKUP($Y35,Mappings!$A:$C,3,FALSE)))</f>
        <v>1</v>
      </c>
      <c r="AH35">
        <f t="shared" si="14"/>
        <v>10</v>
      </c>
      <c r="AI35">
        <f t="shared" si="15"/>
        <v>-4453.6034454341543</v>
      </c>
      <c r="AJ35">
        <f t="shared" si="16"/>
        <v>-6314935.8919419013</v>
      </c>
    </row>
    <row r="36" spans="1:36" customFormat="1" x14ac:dyDescent="0.25">
      <c r="A36" s="14">
        <v>34</v>
      </c>
      <c r="B36" s="71">
        <v>44938.916666666664</v>
      </c>
      <c r="C36" s="14" t="s">
        <v>45</v>
      </c>
      <c r="D36" s="14" t="s">
        <v>46</v>
      </c>
      <c r="E36" s="14" t="s">
        <v>476</v>
      </c>
      <c r="F36" s="100">
        <v>-22276</v>
      </c>
      <c r="G36" s="152">
        <v>-138289.408</v>
      </c>
      <c r="H36" s="156">
        <v>6.2080000000000002</v>
      </c>
      <c r="I36" s="14">
        <v>170.00881966399999</v>
      </c>
      <c r="J36" s="14" t="s">
        <v>17</v>
      </c>
      <c r="K36" s="15">
        <v>73050.333333333328</v>
      </c>
      <c r="L36" s="14">
        <v>1</v>
      </c>
      <c r="M36" s="14" t="s">
        <v>27</v>
      </c>
      <c r="N36" s="45">
        <f t="shared" si="0"/>
        <v>1</v>
      </c>
      <c r="O36" s="159">
        <f t="shared" si="1"/>
        <v>-22276</v>
      </c>
      <c r="P36" s="47">
        <f t="shared" si="2"/>
        <v>-142150.541662106</v>
      </c>
      <c r="Q36" s="25">
        <f t="shared" si="7"/>
        <v>28111</v>
      </c>
      <c r="R36" s="26" t="str">
        <f t="shared" si="8"/>
        <v>PERP</v>
      </c>
      <c r="S36" s="26" t="str">
        <f t="shared" si="3"/>
        <v>SHORT</v>
      </c>
      <c r="T36" s="26" t="str">
        <f t="shared" si="9"/>
        <v>PERP SHORT</v>
      </c>
      <c r="U36" s="17">
        <f t="shared" si="10"/>
        <v>-138289.408</v>
      </c>
      <c r="V36" s="17">
        <f t="shared" si="11"/>
        <v>6.2080000000000002</v>
      </c>
      <c r="W36" s="39">
        <f>IF($C36="","",IF(DefaultScenario,IF(OR(AND(Default_Exchange="ALL",NOT(ISERROR(MATCH($C36,$AF$6:$AF$37,0)))),$C36=Default_Exchange),IF($G36&gt;0,-LGD,0),0),IF(OR($J36="SWAP",$J36="FUTURE",$J36="CME FUTURE"),IF('Futures &amp; Perps Shifted'!$AE$31,VLOOKUP($M36,'Futures &amp; Perps Shifted'!$AE$32:$AO$76,MATCH($R36,'Futures &amp; Perps Shifted'!$AE$30:$AO$30,0),FALSE),0),0)))</f>
        <v>0</v>
      </c>
      <c r="X36" s="17">
        <f t="shared" si="12"/>
        <v>0</v>
      </c>
      <c r="Y36" s="14" t="str">
        <f t="shared" si="4"/>
        <v>OKEX</v>
      </c>
      <c r="Z36" t="str">
        <f t="shared" si="13"/>
        <v>LINK PERP SHORT</v>
      </c>
      <c r="AA36" t="b">
        <f>IF($C36="","",IF(ISERROR(VLOOKUP($Y36,Mappings!$A:$C,3,FALSE)),FALSE,VLOOKUP($Y36,Mappings!$A:$C,3,FALSE)))</f>
        <v>1</v>
      </c>
      <c r="AH36">
        <f t="shared" si="14"/>
        <v>1</v>
      </c>
      <c r="AI36">
        <f t="shared" si="15"/>
        <v>-22276</v>
      </c>
      <c r="AJ36">
        <f t="shared" si="16"/>
        <v>-142150.541662106</v>
      </c>
    </row>
    <row r="37" spans="1:36" customFormat="1" x14ac:dyDescent="0.25">
      <c r="A37" s="14">
        <v>35</v>
      </c>
      <c r="B37" s="71">
        <v>44938.916666666664</v>
      </c>
      <c r="C37" s="14" t="s">
        <v>45</v>
      </c>
      <c r="D37" s="14" t="s">
        <v>46</v>
      </c>
      <c r="E37" s="14" t="s">
        <v>477</v>
      </c>
      <c r="F37" s="100">
        <v>-89029</v>
      </c>
      <c r="G37" s="152">
        <v>-827969.7</v>
      </c>
      <c r="H37" s="156">
        <v>9.3000000000000007E-6</v>
      </c>
      <c r="I37" s="14">
        <v>104940.705870498</v>
      </c>
      <c r="J37" s="14" t="s">
        <v>17</v>
      </c>
      <c r="K37" s="15">
        <v>73050.333333333328</v>
      </c>
      <c r="L37" s="14">
        <v>1</v>
      </c>
      <c r="M37" s="14" t="s">
        <v>37</v>
      </c>
      <c r="N37" s="45">
        <f t="shared" si="0"/>
        <v>1000000</v>
      </c>
      <c r="O37" s="159">
        <f t="shared" si="1"/>
        <v>-89029000000</v>
      </c>
      <c r="P37" s="47">
        <f t="shared" si="2"/>
        <v>-843227.78742992668</v>
      </c>
      <c r="Q37" s="25">
        <f t="shared" si="7"/>
        <v>28111</v>
      </c>
      <c r="R37" s="26" t="str">
        <f t="shared" si="8"/>
        <v>PERP</v>
      </c>
      <c r="S37" s="26" t="str">
        <f t="shared" si="3"/>
        <v>SHORT</v>
      </c>
      <c r="T37" s="26" t="str">
        <f t="shared" si="9"/>
        <v>PERP SHORT</v>
      </c>
      <c r="U37" s="17">
        <f t="shared" si="10"/>
        <v>-827969.7</v>
      </c>
      <c r="V37" s="17">
        <f t="shared" si="11"/>
        <v>9.3000000000000007E-6</v>
      </c>
      <c r="W37" s="39">
        <f>IF($C37="","",IF(DefaultScenario,IF(OR(AND(Default_Exchange="ALL",NOT(ISERROR(MATCH($C37,$AF$6:$AF$37,0)))),$C37=Default_Exchange),IF($G37&gt;0,-LGD,0),0),IF(OR($J37="SWAP",$J37="FUTURE",$J37="CME FUTURE"),IF('Futures &amp; Perps Shifted'!$AE$31,VLOOKUP($M37,'Futures &amp; Perps Shifted'!$AE$32:$AO$76,MATCH($R37,'Futures &amp; Perps Shifted'!$AE$30:$AO$30,0),FALSE),0),0)))</f>
        <v>0</v>
      </c>
      <c r="X37" s="17">
        <f t="shared" si="12"/>
        <v>0</v>
      </c>
      <c r="Y37" s="14" t="str">
        <f t="shared" si="4"/>
        <v>OKEX</v>
      </c>
      <c r="Z37" t="str">
        <f t="shared" si="13"/>
        <v>SHIB PERP SHORT</v>
      </c>
      <c r="AA37" t="b">
        <f>IF($C37="","",IF(ISERROR(VLOOKUP($Y37,Mappings!$A:$C,3,FALSE)),FALSE,VLOOKUP($Y37,Mappings!$A:$C,3,FALSE)))</f>
        <v>1</v>
      </c>
      <c r="AH37">
        <f t="shared" si="14"/>
        <v>1000000</v>
      </c>
      <c r="AI37">
        <f t="shared" si="15"/>
        <v>-89029000000</v>
      </c>
      <c r="AJ37">
        <f t="shared" si="16"/>
        <v>-843227.78742992668</v>
      </c>
    </row>
    <row r="38" spans="1:36" customFormat="1" x14ac:dyDescent="0.25">
      <c r="A38" s="14">
        <v>36</v>
      </c>
      <c r="B38" s="71">
        <v>44938.916666666664</v>
      </c>
      <c r="C38" s="14" t="s">
        <v>45</v>
      </c>
      <c r="D38" s="14" t="s">
        <v>46</v>
      </c>
      <c r="E38" s="14" t="s">
        <v>945</v>
      </c>
      <c r="F38" s="100">
        <v>-3200</v>
      </c>
      <c r="G38" s="152">
        <v>-582403.18698227406</v>
      </c>
      <c r="H38" s="156">
        <v>18200.099999999999</v>
      </c>
      <c r="I38" s="14">
        <v>2813.6667197510001</v>
      </c>
      <c r="J38" s="14" t="s">
        <v>13</v>
      </c>
      <c r="K38" s="15">
        <v>45016.333333333336</v>
      </c>
      <c r="L38" s="14">
        <v>1</v>
      </c>
      <c r="M38" s="14" t="s">
        <v>14</v>
      </c>
      <c r="N38" s="45">
        <f t="shared" si="0"/>
        <v>0.01</v>
      </c>
      <c r="O38" s="159">
        <f t="shared" si="1"/>
        <v>-32</v>
      </c>
      <c r="P38" s="47">
        <f t="shared" si="2"/>
        <v>-603826.817768496</v>
      </c>
      <c r="Q38" s="25">
        <f t="shared" si="7"/>
        <v>77</v>
      </c>
      <c r="R38" s="26" t="str">
        <f t="shared" si="8"/>
        <v>Mar 23</v>
      </c>
      <c r="S38" s="26" t="str">
        <f t="shared" si="3"/>
        <v>SHORT</v>
      </c>
      <c r="T38" s="26" t="str">
        <f t="shared" si="9"/>
        <v>Mar 23 SHORT</v>
      </c>
      <c r="U38" s="17">
        <f t="shared" si="10"/>
        <v>-588227.21885209682</v>
      </c>
      <c r="V38" s="17">
        <f t="shared" si="11"/>
        <v>18382.100999999999</v>
      </c>
      <c r="W38" s="39">
        <f>IF($C38="","",IF(DefaultScenario,IF(OR(AND(Default_Exchange="ALL",NOT(ISERROR(MATCH($C38,$AF$6:$AF$37,0)))),$C38=Default_Exchange),IF($G38&gt;0,-LGD,0),0),IF(OR($J38="SWAP",$J38="FUTURE",$J38="CME FUTURE"),IF('Futures &amp; Perps Shifted'!$AE$31,VLOOKUP($M38,'Futures &amp; Perps Shifted'!$AE$32:$AO$76,MATCH($R38,'Futures &amp; Perps Shifted'!$AE$30:$AO$30,0),FALSE),0),0)))</f>
        <v>0.01</v>
      </c>
      <c r="X38" s="17">
        <f t="shared" si="12"/>
        <v>-5824.0318698227638</v>
      </c>
      <c r="Y38" s="14" t="str">
        <f t="shared" si="4"/>
        <v>OKEX</v>
      </c>
      <c r="Z38" t="str">
        <f t="shared" si="13"/>
        <v>BTC Mar 23 SHORT</v>
      </c>
      <c r="AA38" t="b">
        <f>IF($C38="","",IF(ISERROR(VLOOKUP($Y38,Mappings!$A:$C,3,FALSE)),FALSE,VLOOKUP($Y38,Mappings!$A:$C,3,FALSE)))</f>
        <v>1</v>
      </c>
      <c r="AH38">
        <f t="shared" si="14"/>
        <v>0.01</v>
      </c>
      <c r="AI38">
        <f t="shared" si="15"/>
        <v>-32</v>
      </c>
      <c r="AJ38">
        <f t="shared" si="16"/>
        <v>-603826.817768496</v>
      </c>
    </row>
    <row r="39" spans="1:36" customFormat="1" x14ac:dyDescent="0.25">
      <c r="A39" s="14">
        <v>37</v>
      </c>
      <c r="B39" s="71">
        <v>44938.916666666664</v>
      </c>
      <c r="C39" s="14" t="s">
        <v>45</v>
      </c>
      <c r="D39" s="14" t="s">
        <v>46</v>
      </c>
      <c r="E39" s="14" t="s">
        <v>946</v>
      </c>
      <c r="F39" s="100">
        <v>-382</v>
      </c>
      <c r="G39" s="152">
        <v>-69676.798442601998</v>
      </c>
      <c r="H39" s="156">
        <v>18240</v>
      </c>
      <c r="I39" s="14">
        <v>-1602.914621053</v>
      </c>
      <c r="J39" s="14" t="s">
        <v>13</v>
      </c>
      <c r="K39" s="15">
        <v>45107.333333333336</v>
      </c>
      <c r="L39" s="14">
        <v>1</v>
      </c>
      <c r="M39" s="14" t="s">
        <v>14</v>
      </c>
      <c r="N39" s="45">
        <f t="shared" si="0"/>
        <v>0.01</v>
      </c>
      <c r="O39" s="159">
        <f t="shared" si="1"/>
        <v>-3.8200000000000003</v>
      </c>
      <c r="P39" s="47">
        <f t="shared" si="2"/>
        <v>-72081.826371114221</v>
      </c>
      <c r="Q39" s="25">
        <f t="shared" si="7"/>
        <v>168</v>
      </c>
      <c r="R39" s="26" t="str">
        <f t="shared" si="8"/>
        <v>Jun 23</v>
      </c>
      <c r="S39" s="26" t="str">
        <f t="shared" si="3"/>
        <v>SHORT</v>
      </c>
      <c r="T39" s="26" t="str">
        <f t="shared" si="9"/>
        <v>Jun 23 SHORT</v>
      </c>
      <c r="U39" s="17">
        <f t="shared" si="10"/>
        <v>-70373.566427028025</v>
      </c>
      <c r="V39" s="17">
        <f t="shared" si="11"/>
        <v>18422.400000000001</v>
      </c>
      <c r="W39" s="39">
        <f>IF($C39="","",IF(DefaultScenario,IF(OR(AND(Default_Exchange="ALL",NOT(ISERROR(MATCH($C39,$AF$6:$AF$37,0)))),$C39=Default_Exchange),IF($G39&gt;0,-LGD,0),0),IF(OR($J39="SWAP",$J39="FUTURE",$J39="CME FUTURE"),IF('Futures &amp; Perps Shifted'!$AE$31,VLOOKUP($M39,'Futures &amp; Perps Shifted'!$AE$32:$AO$76,MATCH($R39,'Futures &amp; Perps Shifted'!$AE$30:$AO$30,0),FALSE),0),0)))</f>
        <v>0.01</v>
      </c>
      <c r="X39" s="17">
        <f t="shared" si="12"/>
        <v>-696.7679844260274</v>
      </c>
      <c r="Y39" s="14" t="str">
        <f t="shared" si="4"/>
        <v>OKEX</v>
      </c>
      <c r="Z39" t="str">
        <f t="shared" si="13"/>
        <v>BTC Jun 23 SHORT</v>
      </c>
      <c r="AA39" t="b">
        <f>IF($C39="","",IF(ISERROR(VLOOKUP($Y39,Mappings!$A:$C,3,FALSE)),FALSE,VLOOKUP($Y39,Mappings!$A:$C,3,FALSE)))</f>
        <v>1</v>
      </c>
      <c r="AH39">
        <f t="shared" si="14"/>
        <v>0.01</v>
      </c>
      <c r="AI39">
        <f t="shared" si="15"/>
        <v>-3.8200000000000003</v>
      </c>
      <c r="AJ39">
        <f t="shared" si="16"/>
        <v>-72081.826371114221</v>
      </c>
    </row>
    <row r="40" spans="1:36" customFormat="1" x14ac:dyDescent="0.25">
      <c r="A40" s="14">
        <v>38</v>
      </c>
      <c r="B40" s="71">
        <v>44938.916666666664</v>
      </c>
      <c r="C40" s="14" t="s">
        <v>45</v>
      </c>
      <c r="D40" s="14" t="s">
        <v>51</v>
      </c>
      <c r="E40" s="14" t="s">
        <v>478</v>
      </c>
      <c r="F40" s="100">
        <v>17440</v>
      </c>
      <c r="G40" s="152">
        <v>13585.760202444</v>
      </c>
      <c r="H40" s="156">
        <v>7.79</v>
      </c>
      <c r="I40" s="14">
        <v>-17948.250061801002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5">
        <f t="shared" si="0"/>
        <v>0.1</v>
      </c>
      <c r="O40" s="159">
        <f t="shared" si="1"/>
        <v>1744</v>
      </c>
      <c r="P40" s="47">
        <f t="shared" si="2"/>
        <v>13585.76</v>
      </c>
      <c r="Q40" s="25">
        <f t="shared" si="7"/>
        <v>28111</v>
      </c>
      <c r="R40" s="26" t="str">
        <f t="shared" si="8"/>
        <v>PERP</v>
      </c>
      <c r="S40" s="26" t="str">
        <f t="shared" si="3"/>
        <v>LONG</v>
      </c>
      <c r="T40" s="26" t="str">
        <f t="shared" si="9"/>
        <v>PERP LONG</v>
      </c>
      <c r="U40" s="17">
        <f t="shared" si="10"/>
        <v>13585.760202444</v>
      </c>
      <c r="V40" s="17">
        <f t="shared" si="11"/>
        <v>7.79</v>
      </c>
      <c r="W40" s="39">
        <f>IF($C40="","",IF(DefaultScenario,IF(OR(AND(Default_Exchange="ALL",NOT(ISERROR(MATCH($C40,$AF$6:$AF$37,0)))),$C40=Default_Exchange),IF($G40&gt;0,-LGD,0),0),IF(OR($J40="SWAP",$J40="FUTURE",$J40="CME FUTURE"),IF('Futures &amp; Perps Shifted'!$AE$31,VLOOKUP($M40,'Futures &amp; Perps Shifted'!$AE$32:$AO$76,MATCH($R40,'Futures &amp; Perps Shifted'!$AE$30:$AO$30,0),FALSE),0),0)))</f>
        <v>0</v>
      </c>
      <c r="X40" s="17">
        <f t="shared" si="12"/>
        <v>0</v>
      </c>
      <c r="Y40" s="14" t="str">
        <f t="shared" si="4"/>
        <v>OKEX</v>
      </c>
      <c r="Z40" t="str">
        <f t="shared" si="13"/>
        <v>AXS PERP LONG</v>
      </c>
      <c r="AA40" t="b">
        <f>IF($C40="","",IF(ISERROR(VLOOKUP($Y40,Mappings!$A:$C,3,FALSE)),FALSE,VLOOKUP($Y40,Mappings!$A:$C,3,FALSE)))</f>
        <v>1</v>
      </c>
      <c r="AH40">
        <f t="shared" si="14"/>
        <v>0.1</v>
      </c>
      <c r="AI40">
        <f t="shared" si="15"/>
        <v>1744</v>
      </c>
      <c r="AJ40" t="e">
        <f t="shared" si="16"/>
        <v>#N/A</v>
      </c>
    </row>
    <row r="41" spans="1:36" customFormat="1" x14ac:dyDescent="0.25">
      <c r="A41" s="14">
        <v>39</v>
      </c>
      <c r="B41" s="71">
        <v>44938.916666666664</v>
      </c>
      <c r="C41" s="14" t="s">
        <v>265</v>
      </c>
      <c r="D41" s="14" t="s">
        <v>296</v>
      </c>
      <c r="E41" s="14" t="s">
        <v>966</v>
      </c>
      <c r="F41" s="100">
        <v>17</v>
      </c>
      <c r="G41" s="152">
        <v>1215500</v>
      </c>
      <c r="H41" s="156">
        <v>1430</v>
      </c>
      <c r="I41" s="14">
        <v>0</v>
      </c>
      <c r="J41" s="14" t="s">
        <v>280</v>
      </c>
      <c r="K41" s="15">
        <v>44982</v>
      </c>
      <c r="L41" s="14">
        <v>1</v>
      </c>
      <c r="M41" s="14" t="s">
        <v>15</v>
      </c>
      <c r="N41" s="45">
        <f t="shared" si="0"/>
        <v>50</v>
      </c>
      <c r="O41" s="159">
        <f t="shared" si="1"/>
        <v>850</v>
      </c>
      <c r="P41" s="47">
        <f t="shared" si="2"/>
        <v>1205247.7446445285</v>
      </c>
      <c r="Q41" s="25">
        <f t="shared" si="7"/>
        <v>43</v>
      </c>
      <c r="R41" s="26" t="str">
        <f t="shared" si="8"/>
        <v>CME Feb 23</v>
      </c>
      <c r="S41" s="26" t="str">
        <f t="shared" si="3"/>
        <v>LONG</v>
      </c>
      <c r="T41" s="26" t="str">
        <f t="shared" si="9"/>
        <v>CME Feb 23 LONG</v>
      </c>
      <c r="U41" s="17">
        <f t="shared" si="10"/>
        <v>1227655</v>
      </c>
      <c r="V41" s="17">
        <f t="shared" si="11"/>
        <v>1444.3</v>
      </c>
      <c r="W41" s="39">
        <f>IF($C41="","",IF(DefaultScenario,IF(OR(AND(Default_Exchange="ALL",NOT(ISERROR(MATCH($C41,$AF$6:$AF$37,0)))),$C41=Default_Exchange),IF($G41&gt;0,-LGD,0),0),IF(OR($J41="SWAP",$J41="FUTURE",$J41="CME FUTURE"),IF('Futures &amp; Perps Shifted'!$AE$31,VLOOKUP($M41,'Futures &amp; Perps Shifted'!$AE$32:$AO$76,MATCH($R41,'Futures &amp; Perps Shifted'!$AE$30:$AO$30,0),FALSE),0),0)))</f>
        <v>0.01</v>
      </c>
      <c r="X41" s="17">
        <f t="shared" si="12"/>
        <v>12155</v>
      </c>
      <c r="Y41" s="14" t="str">
        <f t="shared" si="4"/>
        <v>ED&amp;F</v>
      </c>
      <c r="Z41" t="str">
        <f t="shared" si="13"/>
        <v>ETH CME Feb 23 LONG</v>
      </c>
      <c r="AA41" t="b">
        <f>IF($C41="","",IF(ISERROR(VLOOKUP($Y41,Mappings!$A:$C,3,FALSE)),FALSE,VLOOKUP($Y41,Mappings!$A:$C,3,FALSE)))</f>
        <v>1</v>
      </c>
      <c r="AH41">
        <f t="shared" si="14"/>
        <v>50</v>
      </c>
      <c r="AI41">
        <f t="shared" si="15"/>
        <v>850</v>
      </c>
      <c r="AJ41">
        <f t="shared" si="16"/>
        <v>1205247.7446445285</v>
      </c>
    </row>
    <row r="42" spans="1:36" customFormat="1" x14ac:dyDescent="0.25">
      <c r="A42" s="14">
        <v>40</v>
      </c>
      <c r="B42" s="71">
        <v>44938.916666666664</v>
      </c>
      <c r="C42" s="14" t="s">
        <v>265</v>
      </c>
      <c r="D42" s="14" t="s">
        <v>296</v>
      </c>
      <c r="E42" s="14" t="s">
        <v>958</v>
      </c>
      <c r="F42" s="100">
        <v>-267</v>
      </c>
      <c r="G42" s="152">
        <v>-19183950</v>
      </c>
      <c r="H42" s="156">
        <v>1437</v>
      </c>
      <c r="I42" s="14">
        <v>0</v>
      </c>
      <c r="J42" s="14" t="s">
        <v>280</v>
      </c>
      <c r="K42" s="15">
        <v>44954</v>
      </c>
      <c r="L42" s="14">
        <v>1</v>
      </c>
      <c r="M42" s="14" t="s">
        <v>15</v>
      </c>
      <c r="N42" s="45">
        <f t="shared" si="0"/>
        <v>50</v>
      </c>
      <c r="O42" s="159">
        <f t="shared" si="1"/>
        <v>-13350</v>
      </c>
      <c r="P42" s="47">
        <f t="shared" si="2"/>
        <v>-18929479.283534653</v>
      </c>
      <c r="Q42" s="25">
        <f t="shared" si="7"/>
        <v>15</v>
      </c>
      <c r="R42" s="26" t="str">
        <f t="shared" si="8"/>
        <v>CME Jan 23</v>
      </c>
      <c r="S42" s="26" t="str">
        <f t="shared" si="3"/>
        <v>SHORT</v>
      </c>
      <c r="T42" s="26" t="str">
        <f t="shared" si="9"/>
        <v>CME Jan 23 SHORT</v>
      </c>
      <c r="U42" s="17">
        <f t="shared" si="10"/>
        <v>-19375789.5</v>
      </c>
      <c r="V42" s="17">
        <f t="shared" si="11"/>
        <v>1451.3700000000001</v>
      </c>
      <c r="W42" s="39">
        <f>IF($C42="","",IF(DefaultScenario,IF(OR(AND(Default_Exchange="ALL",NOT(ISERROR(MATCH($C42,$AF$6:$AF$37,0)))),$C42=Default_Exchange),IF($G42&gt;0,-LGD,0),0),IF(OR($J42="SWAP",$J42="FUTURE",$J42="CME FUTURE"),IF('Futures &amp; Perps Shifted'!$AE$31,VLOOKUP($M42,'Futures &amp; Perps Shifted'!$AE$32:$AO$76,MATCH($R42,'Futures &amp; Perps Shifted'!$AE$30:$AO$30,0),FALSE),0),0)))</f>
        <v>0.01</v>
      </c>
      <c r="X42" s="17">
        <f t="shared" si="12"/>
        <v>-191839.5</v>
      </c>
      <c r="Y42" s="14" t="str">
        <f t="shared" si="4"/>
        <v>ED&amp;F</v>
      </c>
      <c r="Z42" t="str">
        <f t="shared" si="13"/>
        <v>ETH CME Jan 23 SHORT</v>
      </c>
      <c r="AA42" t="b">
        <f>IF($C42="","",IF(ISERROR(VLOOKUP($Y42,Mappings!$A:$C,3,FALSE)),FALSE,VLOOKUP($Y42,Mappings!$A:$C,3,FALSE)))</f>
        <v>1</v>
      </c>
      <c r="AH42">
        <f t="shared" si="14"/>
        <v>50</v>
      </c>
      <c r="AI42">
        <f t="shared" si="15"/>
        <v>-13350</v>
      </c>
      <c r="AJ42">
        <f t="shared" si="16"/>
        <v>-18929479.283534653</v>
      </c>
    </row>
    <row r="43" spans="1:36" customFormat="1" x14ac:dyDescent="0.25">
      <c r="A43" s="14">
        <v>41</v>
      </c>
      <c r="B43" s="71">
        <v>44938.916666666664</v>
      </c>
      <c r="C43" s="14" t="s">
        <v>265</v>
      </c>
      <c r="D43" s="14" t="s">
        <v>296</v>
      </c>
      <c r="E43" s="14" t="s">
        <v>959</v>
      </c>
      <c r="F43" s="100">
        <v>-796</v>
      </c>
      <c r="G43" s="152">
        <v>-76236900</v>
      </c>
      <c r="H43" s="156">
        <v>19155</v>
      </c>
      <c r="I43" s="14">
        <v>0</v>
      </c>
      <c r="J43" s="14" t="s">
        <v>280</v>
      </c>
      <c r="K43" s="15">
        <v>44954</v>
      </c>
      <c r="L43" s="14">
        <v>1</v>
      </c>
      <c r="M43" s="14" t="s">
        <v>14</v>
      </c>
      <c r="N43" s="45">
        <f t="shared" si="0"/>
        <v>5</v>
      </c>
      <c r="O43" s="159">
        <f t="shared" si="1"/>
        <v>-3980</v>
      </c>
      <c r="P43" s="47">
        <f t="shared" si="2"/>
        <v>-75100960.459956691</v>
      </c>
      <c r="Q43" s="25">
        <f t="shared" si="7"/>
        <v>15</v>
      </c>
      <c r="R43" s="26" t="str">
        <f t="shared" si="8"/>
        <v>CME Jan 23</v>
      </c>
      <c r="S43" s="26" t="str">
        <f t="shared" si="3"/>
        <v>SHORT</v>
      </c>
      <c r="T43" s="26" t="str">
        <f t="shared" si="9"/>
        <v>CME Jan 23 SHORT</v>
      </c>
      <c r="U43" s="17">
        <f t="shared" si="10"/>
        <v>-76999269</v>
      </c>
      <c r="V43" s="17">
        <f t="shared" si="11"/>
        <v>19346.55</v>
      </c>
      <c r="W43" s="39">
        <f>IF($C43="","",IF(DefaultScenario,IF(OR(AND(Default_Exchange="ALL",NOT(ISERROR(MATCH($C43,$AF$6:$AF$37,0)))),$C43=Default_Exchange),IF($G43&gt;0,-LGD,0),0),IF(OR($J43="SWAP",$J43="FUTURE",$J43="CME FUTURE"),IF('Futures &amp; Perps Shifted'!$AE$31,VLOOKUP($M43,'Futures &amp; Perps Shifted'!$AE$32:$AO$76,MATCH($R43,'Futures &amp; Perps Shifted'!$AE$30:$AO$30,0),FALSE),0),0)))</f>
        <v>0.01</v>
      </c>
      <c r="X43" s="17">
        <f t="shared" si="12"/>
        <v>-762369</v>
      </c>
      <c r="Y43" s="14" t="str">
        <f t="shared" si="4"/>
        <v>ED&amp;F</v>
      </c>
      <c r="Z43" t="str">
        <f t="shared" si="13"/>
        <v>BTC CME Jan 23 SHORT</v>
      </c>
      <c r="AA43" t="b">
        <f>IF($C43="","",IF(ISERROR(VLOOKUP($Y43,Mappings!$A:$C,3,FALSE)),FALSE,VLOOKUP($Y43,Mappings!$A:$C,3,FALSE)))</f>
        <v>1</v>
      </c>
      <c r="AH43">
        <f t="shared" si="14"/>
        <v>5</v>
      </c>
      <c r="AI43">
        <f t="shared" si="15"/>
        <v>-3980</v>
      </c>
      <c r="AJ43">
        <f t="shared" si="16"/>
        <v>-75100960.459956691</v>
      </c>
    </row>
    <row r="44" spans="1:36" customFormat="1" x14ac:dyDescent="0.25">
      <c r="A44" s="14">
        <v>42</v>
      </c>
      <c r="B44" s="71">
        <v>44938.916666666664</v>
      </c>
      <c r="C44" s="14" t="s">
        <v>265</v>
      </c>
      <c r="D44" s="14" t="s">
        <v>296</v>
      </c>
      <c r="E44" s="14" t="s">
        <v>967</v>
      </c>
      <c r="F44" s="100">
        <v>4</v>
      </c>
      <c r="G44" s="152">
        <v>382600</v>
      </c>
      <c r="H44" s="156">
        <v>19130</v>
      </c>
      <c r="I44" s="14">
        <v>0</v>
      </c>
      <c r="J44" s="14" t="s">
        <v>280</v>
      </c>
      <c r="K44" s="15">
        <v>44982</v>
      </c>
      <c r="L44" s="14">
        <v>1</v>
      </c>
      <c r="M44" s="14" t="s">
        <v>14</v>
      </c>
      <c r="N44" s="45">
        <f t="shared" si="0"/>
        <v>5</v>
      </c>
      <c r="O44" s="159">
        <f t="shared" si="1"/>
        <v>20</v>
      </c>
      <c r="P44" s="47">
        <f t="shared" si="2"/>
        <v>377391.76110531</v>
      </c>
      <c r="Q44" s="25">
        <f t="shared" si="7"/>
        <v>43</v>
      </c>
      <c r="R44" s="26" t="str">
        <f t="shared" si="8"/>
        <v>CME Feb 23</v>
      </c>
      <c r="S44" s="26" t="str">
        <f t="shared" si="3"/>
        <v>LONG</v>
      </c>
      <c r="T44" s="26" t="str">
        <f t="shared" si="9"/>
        <v>CME Feb 23 LONG</v>
      </c>
      <c r="U44" s="17">
        <f t="shared" si="10"/>
        <v>386426</v>
      </c>
      <c r="V44" s="17">
        <f t="shared" si="11"/>
        <v>19321.3</v>
      </c>
      <c r="W44" s="39">
        <f>IF($C44="","",IF(DefaultScenario,IF(OR(AND(Default_Exchange="ALL",NOT(ISERROR(MATCH($C44,$AF$6:$AF$37,0)))),$C44=Default_Exchange),IF($G44&gt;0,-LGD,0),0),IF(OR($J44="SWAP",$J44="FUTURE",$J44="CME FUTURE"),IF('Futures &amp; Perps Shifted'!$AE$31,VLOOKUP($M44,'Futures &amp; Perps Shifted'!$AE$32:$AO$76,MATCH($R44,'Futures &amp; Perps Shifted'!$AE$30:$AO$30,0),FALSE),0),0)))</f>
        <v>0.01</v>
      </c>
      <c r="X44" s="17">
        <f t="shared" si="12"/>
        <v>3826</v>
      </c>
      <c r="Y44" s="14" t="str">
        <f t="shared" si="4"/>
        <v>ED&amp;F</v>
      </c>
      <c r="Z44" t="str">
        <f t="shared" si="13"/>
        <v>BTC CME Feb 23 LONG</v>
      </c>
      <c r="AA44" t="b">
        <f>IF($C44="","",IF(ISERROR(VLOOKUP($Y44,Mappings!$A:$C,3,FALSE)),FALSE,VLOOKUP($Y44,Mappings!$A:$C,3,FALSE)))</f>
        <v>1</v>
      </c>
      <c r="AH44">
        <f t="shared" si="14"/>
        <v>5</v>
      </c>
      <c r="AI44">
        <f t="shared" si="15"/>
        <v>20</v>
      </c>
      <c r="AJ44">
        <f t="shared" si="16"/>
        <v>377391.76110531</v>
      </c>
    </row>
    <row r="45" spans="1:36" customFormat="1" x14ac:dyDescent="0.25">
      <c r="A45" s="14">
        <v>43</v>
      </c>
      <c r="B45" s="71">
        <v>44939.000003356479</v>
      </c>
      <c r="C45" s="14" t="s">
        <v>11</v>
      </c>
      <c r="D45" s="14" t="s">
        <v>83</v>
      </c>
      <c r="E45" s="14" t="s">
        <v>116</v>
      </c>
      <c r="F45" s="100">
        <v>628.35861419000003</v>
      </c>
      <c r="G45" s="152">
        <v>42641.129708168803</v>
      </c>
      <c r="H45" s="156">
        <v>67.861136531304297</v>
      </c>
      <c r="I45" s="14">
        <v>0</v>
      </c>
      <c r="J45" s="14" t="s">
        <v>85</v>
      </c>
      <c r="K45" s="15">
        <v>44939.000003356479</v>
      </c>
      <c r="L45" s="14">
        <v>1</v>
      </c>
      <c r="M45" s="14" t="s">
        <v>116</v>
      </c>
      <c r="N45" s="45">
        <f t="shared" si="0"/>
        <v>1</v>
      </c>
      <c r="O45" s="159">
        <f t="shared" si="1"/>
        <v>628.35861419000003</v>
      </c>
      <c r="P45" s="47">
        <f t="shared" si="2"/>
        <v>42641.129708168752</v>
      </c>
      <c r="Q45" s="25">
        <f t="shared" si="7"/>
        <v>0</v>
      </c>
      <c r="R45" s="26" t="str">
        <f t="shared" si="8"/>
        <v>COIN</v>
      </c>
      <c r="S45" s="26" t="str">
        <f t="shared" si="3"/>
        <v>LONG</v>
      </c>
      <c r="T45" s="26" t="str">
        <f t="shared" si="9"/>
        <v>COIN LONG</v>
      </c>
      <c r="U45" s="17">
        <f t="shared" si="10"/>
        <v>42641.129708168803</v>
      </c>
      <c r="V45" s="17">
        <f t="shared" si="11"/>
        <v>67.861136531304297</v>
      </c>
      <c r="W45" s="39">
        <f>IF($C45="","",IF(DefaultScenario,IF(OR(AND(Default_Exchange="ALL",NOT(ISERROR(MATCH($C45,$AF$6:$AF$37,0)))),$C45=Default_Exchange),IF($G45&gt;0,-LGD,0),0),IF(OR($J45="SWAP",$J45="FUTURE",$J45="CME FUTURE"),IF('Futures &amp; Perps Shifted'!$AE$31,VLOOKUP($M45,'Futures &amp; Perps Shifted'!$AE$32:$AO$76,MATCH($R45,'Futures &amp; Perps Shifted'!$AE$30:$AO$30,0),FALSE),0),0)))</f>
        <v>0</v>
      </c>
      <c r="X45" s="17">
        <f t="shared" si="12"/>
        <v>0</v>
      </c>
      <c r="Y45" s="14" t="str">
        <f t="shared" si="4"/>
        <v>BINE</v>
      </c>
      <c r="Z45" t="str">
        <f t="shared" si="13"/>
        <v>AAVE COIN LONG</v>
      </c>
      <c r="AA45" t="b">
        <f>IF($C45="","",IF(ISERROR(VLOOKUP($Y45,Mappings!$A:$C,3,FALSE)),FALSE,VLOOKUP($Y45,Mappings!$A:$C,3,FALSE)))</f>
        <v>1</v>
      </c>
      <c r="AH45">
        <f t="shared" si="14"/>
        <v>1</v>
      </c>
      <c r="AI45">
        <f t="shared" si="15"/>
        <v>628.35861419000003</v>
      </c>
      <c r="AJ45">
        <f t="shared" si="16"/>
        <v>42641.129708168752</v>
      </c>
    </row>
    <row r="46" spans="1:36" customFormat="1" x14ac:dyDescent="0.25">
      <c r="A46" s="14">
        <v>44</v>
      </c>
      <c r="B46" s="71">
        <v>44939.000003356479</v>
      </c>
      <c r="C46" s="14" t="s">
        <v>11</v>
      </c>
      <c r="D46" s="14" t="s">
        <v>83</v>
      </c>
      <c r="E46" s="14" t="s">
        <v>84</v>
      </c>
      <c r="F46" s="100">
        <v>291912.33526399999</v>
      </c>
      <c r="G46" s="152">
        <v>96260.566435433502</v>
      </c>
      <c r="H46" s="156">
        <v>0.329758474743375</v>
      </c>
      <c r="I46" s="14">
        <v>0</v>
      </c>
      <c r="J46" s="14" t="s">
        <v>85</v>
      </c>
      <c r="K46" s="15">
        <v>44939.000003356479</v>
      </c>
      <c r="L46" s="14">
        <v>1</v>
      </c>
      <c r="M46" s="14" t="s">
        <v>84</v>
      </c>
      <c r="N46" s="45">
        <f t="shared" si="0"/>
        <v>1</v>
      </c>
      <c r="O46" s="159">
        <f t="shared" si="1"/>
        <v>291912.33526399999</v>
      </c>
      <c r="P46" s="47">
        <f t="shared" si="2"/>
        <v>96260.566435433357</v>
      </c>
      <c r="Q46" s="25">
        <f t="shared" si="7"/>
        <v>0</v>
      </c>
      <c r="R46" s="26" t="str">
        <f t="shared" si="8"/>
        <v>COIN</v>
      </c>
      <c r="S46" s="26" t="str">
        <f t="shared" si="3"/>
        <v>LONG</v>
      </c>
      <c r="T46" s="26" t="str">
        <f t="shared" si="9"/>
        <v>COIN LONG</v>
      </c>
      <c r="U46" s="17">
        <f t="shared" si="10"/>
        <v>96260.566435433502</v>
      </c>
      <c r="V46" s="17">
        <f t="shared" si="11"/>
        <v>0.329758474743375</v>
      </c>
      <c r="W46" s="39">
        <f>IF($C46="","",IF(DefaultScenario,IF(OR(AND(Default_Exchange="ALL",NOT(ISERROR(MATCH($C46,$AF$6:$AF$37,0)))),$C46=Default_Exchange),IF($G46&gt;0,-LGD,0),0),IF(OR($J46="SWAP",$J46="FUTURE",$J46="CME FUTURE"),IF('Futures &amp; Perps Shifted'!$AE$31,VLOOKUP($M46,'Futures &amp; Perps Shifted'!$AE$32:$AO$76,MATCH($R46,'Futures &amp; Perps Shifted'!$AE$30:$AO$30,0),FALSE),0),0)))</f>
        <v>0</v>
      </c>
      <c r="X46" s="17">
        <f t="shared" si="12"/>
        <v>0</v>
      </c>
      <c r="Y46" s="14" t="str">
        <f t="shared" si="4"/>
        <v>BINE</v>
      </c>
      <c r="Z46" t="str">
        <f t="shared" si="13"/>
        <v>ADA COIN LONG</v>
      </c>
      <c r="AA46" t="b">
        <f>IF($C46="","",IF(ISERROR(VLOOKUP($Y46,Mappings!$A:$C,3,FALSE)),FALSE,VLOOKUP($Y46,Mappings!$A:$C,3,FALSE)))</f>
        <v>1</v>
      </c>
      <c r="AH46">
        <f t="shared" si="14"/>
        <v>1</v>
      </c>
      <c r="AI46">
        <f t="shared" si="15"/>
        <v>291912.33526399999</v>
      </c>
      <c r="AJ46">
        <f t="shared" si="16"/>
        <v>96260.566435433357</v>
      </c>
    </row>
    <row r="47" spans="1:36" customFormat="1" x14ac:dyDescent="0.25">
      <c r="A47" s="14">
        <v>45</v>
      </c>
      <c r="B47" s="71">
        <v>44939.000003356479</v>
      </c>
      <c r="C47" s="14" t="s">
        <v>11</v>
      </c>
      <c r="D47" s="14" t="s">
        <v>83</v>
      </c>
      <c r="E47" s="14" t="s">
        <v>122</v>
      </c>
      <c r="F47" s="100">
        <v>215007.15676099999</v>
      </c>
      <c r="G47" s="152">
        <v>45694.716690300898</v>
      </c>
      <c r="H47" s="156">
        <v>0.21252649157671899</v>
      </c>
      <c r="I47" s="14">
        <v>0</v>
      </c>
      <c r="J47" s="14" t="s">
        <v>85</v>
      </c>
      <c r="K47" s="15">
        <v>44939.000003356479</v>
      </c>
      <c r="L47" s="14">
        <v>1</v>
      </c>
      <c r="M47" s="14" t="s">
        <v>122</v>
      </c>
      <c r="N47" s="45">
        <f t="shared" si="0"/>
        <v>1</v>
      </c>
      <c r="O47" s="159">
        <f t="shared" si="1"/>
        <v>215007.15676099999</v>
      </c>
      <c r="P47" s="47">
        <f t="shared" si="2"/>
        <v>45694.716690300964</v>
      </c>
      <c r="Q47" s="25">
        <f t="shared" si="7"/>
        <v>0</v>
      </c>
      <c r="R47" s="26" t="str">
        <f t="shared" si="8"/>
        <v>COIN</v>
      </c>
      <c r="S47" s="26" t="str">
        <f t="shared" si="3"/>
        <v>LONG</v>
      </c>
      <c r="T47" s="26" t="str">
        <f t="shared" si="9"/>
        <v>COIN LONG</v>
      </c>
      <c r="U47" s="17">
        <f t="shared" si="10"/>
        <v>45694.716690300898</v>
      </c>
      <c r="V47" s="17">
        <f t="shared" si="11"/>
        <v>0.21252649157671899</v>
      </c>
      <c r="W47" s="39">
        <f>IF($C47="","",IF(DefaultScenario,IF(OR(AND(Default_Exchange="ALL",NOT(ISERROR(MATCH($C47,$AF$6:$AF$37,0)))),$C47=Default_Exchange),IF($G47&gt;0,-LGD,0),0),IF(OR($J47="SWAP",$J47="FUTURE",$J47="CME FUTURE"),IF('Futures &amp; Perps Shifted'!$AE$31,VLOOKUP($M47,'Futures &amp; Perps Shifted'!$AE$32:$AO$76,MATCH($R47,'Futures &amp; Perps Shifted'!$AE$30:$AO$30,0),FALSE),0),0)))</f>
        <v>0</v>
      </c>
      <c r="X47" s="17">
        <f t="shared" si="12"/>
        <v>0</v>
      </c>
      <c r="Y47" s="14" t="str">
        <f t="shared" si="4"/>
        <v>BINE</v>
      </c>
      <c r="Z47" t="str">
        <f t="shared" si="13"/>
        <v>ALGO COIN LONG</v>
      </c>
      <c r="AA47" t="b">
        <f>IF($C47="","",IF(ISERROR(VLOOKUP($Y47,Mappings!$A:$C,3,FALSE)),FALSE,VLOOKUP($Y47,Mappings!$A:$C,3,FALSE)))</f>
        <v>1</v>
      </c>
      <c r="AH47">
        <f t="shared" si="14"/>
        <v>1</v>
      </c>
      <c r="AI47">
        <f t="shared" si="15"/>
        <v>215007.15676099999</v>
      </c>
      <c r="AJ47">
        <f t="shared" si="16"/>
        <v>45694.716690300964</v>
      </c>
    </row>
    <row r="48" spans="1:36" customFormat="1" x14ac:dyDescent="0.25">
      <c r="A48" s="14">
        <v>46</v>
      </c>
      <c r="B48" s="71">
        <v>44939.000003356479</v>
      </c>
      <c r="C48" s="14" t="s">
        <v>11</v>
      </c>
      <c r="D48" s="14" t="s">
        <v>83</v>
      </c>
      <c r="E48" s="14" t="s">
        <v>35</v>
      </c>
      <c r="F48" s="100">
        <v>4.2548999999999998E-3</v>
      </c>
      <c r="G48" s="152">
        <v>5.2227586277640702E-2</v>
      </c>
      <c r="H48" s="156">
        <v>12.274691832390999</v>
      </c>
      <c r="I48" s="14">
        <v>0</v>
      </c>
      <c r="J48" s="14" t="s">
        <v>85</v>
      </c>
      <c r="K48" s="15">
        <v>44939.000003356479</v>
      </c>
      <c r="L48" s="14">
        <v>1</v>
      </c>
      <c r="M48" s="14" t="s">
        <v>35</v>
      </c>
      <c r="N48" s="45">
        <f t="shared" si="0"/>
        <v>1</v>
      </c>
      <c r="O48" s="159">
        <f t="shared" si="1"/>
        <v>4.2548999999999998E-3</v>
      </c>
      <c r="P48" s="47">
        <f t="shared" si="2"/>
        <v>5.2227586277640459E-2</v>
      </c>
      <c r="Q48" s="25">
        <f t="shared" si="7"/>
        <v>0</v>
      </c>
      <c r="R48" s="26" t="str">
        <f t="shared" si="8"/>
        <v>COIN</v>
      </c>
      <c r="S48" s="26" t="str">
        <f t="shared" si="3"/>
        <v>LONG</v>
      </c>
      <c r="T48" s="26" t="str">
        <f t="shared" si="9"/>
        <v>COIN LONG</v>
      </c>
      <c r="U48" s="17">
        <f t="shared" si="10"/>
        <v>5.2227586277640702E-2</v>
      </c>
      <c r="V48" s="17">
        <f t="shared" si="11"/>
        <v>12.274691832390999</v>
      </c>
      <c r="W48" s="39">
        <f>IF($C48="","",IF(DefaultScenario,IF(OR(AND(Default_Exchange="ALL",NOT(ISERROR(MATCH($C48,$AF$6:$AF$37,0)))),$C48=Default_Exchange),IF($G48&gt;0,-LGD,0),0),IF(OR($J48="SWAP",$J48="FUTURE",$J48="CME FUTURE"),IF('Futures &amp; Perps Shifted'!$AE$31,VLOOKUP($M48,'Futures &amp; Perps Shifted'!$AE$32:$AO$76,MATCH($R48,'Futures &amp; Perps Shifted'!$AE$30:$AO$30,0),FALSE),0),0)))</f>
        <v>0</v>
      </c>
      <c r="X48" s="17">
        <f t="shared" si="12"/>
        <v>0</v>
      </c>
      <c r="Y48" s="14" t="str">
        <f>IF($C48="","",IF(ISERROR(SEARCH("-",$D48)),$C48,LEFT($D48,SEARCH("-",$D48)-1)))</f>
        <v>BINE</v>
      </c>
      <c r="Z48" t="str">
        <f t="shared" si="13"/>
        <v>ATOM COIN LONG</v>
      </c>
      <c r="AA48" t="b">
        <f>IF($C48="","",IF(ISERROR(VLOOKUP($Y48,Mappings!$A:$C,3,FALSE)),FALSE,VLOOKUP($Y48,Mappings!$A:$C,3,FALSE)))</f>
        <v>1</v>
      </c>
      <c r="AH48">
        <f t="shared" si="14"/>
        <v>1</v>
      </c>
      <c r="AI48">
        <f t="shared" si="15"/>
        <v>4.2548999999999998E-3</v>
      </c>
      <c r="AJ48">
        <f t="shared" si="16"/>
        <v>5.2227586277640459E-2</v>
      </c>
    </row>
    <row r="49" spans="1:36" customFormat="1" x14ac:dyDescent="0.25">
      <c r="A49" s="14">
        <v>47</v>
      </c>
      <c r="B49" s="71">
        <v>44939.000003356479</v>
      </c>
      <c r="C49" s="14" t="s">
        <v>11</v>
      </c>
      <c r="D49" s="14" t="s">
        <v>83</v>
      </c>
      <c r="E49" s="14" t="s">
        <v>187</v>
      </c>
      <c r="F49" s="100">
        <v>3951.2305524499998</v>
      </c>
      <c r="G49" s="152">
        <v>61075.554606368001</v>
      </c>
      <c r="H49" s="156">
        <v>15.4573502597811</v>
      </c>
      <c r="I49" s="14">
        <v>0</v>
      </c>
      <c r="J49" s="14" t="s">
        <v>85</v>
      </c>
      <c r="K49" s="15">
        <v>44939.000003356479</v>
      </c>
      <c r="L49" s="14">
        <v>1</v>
      </c>
      <c r="M49" s="14" t="s">
        <v>187</v>
      </c>
      <c r="N49" s="45">
        <f t="shared" si="0"/>
        <v>1</v>
      </c>
      <c r="O49" s="159">
        <f t="shared" si="1"/>
        <v>3951.2305524499998</v>
      </c>
      <c r="P49" s="47">
        <f t="shared" si="2"/>
        <v>61075.554606368023</v>
      </c>
      <c r="Q49" s="25">
        <f t="shared" si="7"/>
        <v>0</v>
      </c>
      <c r="R49" s="26" t="str">
        <f t="shared" si="8"/>
        <v>COIN</v>
      </c>
      <c r="S49" s="26" t="str">
        <f t="shared" si="3"/>
        <v>LONG</v>
      </c>
      <c r="T49" s="26" t="str">
        <f t="shared" si="9"/>
        <v>COIN LONG</v>
      </c>
      <c r="U49" s="17">
        <f t="shared" si="10"/>
        <v>61075.554606368001</v>
      </c>
      <c r="V49" s="17">
        <f t="shared" si="11"/>
        <v>15.4573502597811</v>
      </c>
      <c r="W49" s="39">
        <f>IF($C49="","",IF(DefaultScenario,IF(OR(AND(Default_Exchange="ALL",NOT(ISERROR(MATCH($C49,$AF$6:$AF$37,0)))),$C49=Default_Exchange),IF($G49&gt;0,-LGD,0),0),IF(OR($J49="SWAP",$J49="FUTURE",$J49="CME FUTURE"),IF('Futures &amp; Perps Shifted'!$AE$31,VLOOKUP($M49,'Futures &amp; Perps Shifted'!$AE$32:$AO$76,MATCH($R49,'Futures &amp; Perps Shifted'!$AE$30:$AO$30,0),FALSE),0),0)))</f>
        <v>0</v>
      </c>
      <c r="X49" s="17">
        <f t="shared" si="12"/>
        <v>0</v>
      </c>
      <c r="Y49" s="14" t="str">
        <f t="shared" ref="Y49:Y112" si="17">IF($C49="","",IF(ISERROR(SEARCH("-",$D49)),$C49,LEFT($D49,SEARCH("-",$D49)-1)))</f>
        <v>BINE</v>
      </c>
      <c r="Z49" t="str">
        <f t="shared" si="13"/>
        <v>AVAX COIN LONG</v>
      </c>
      <c r="AA49" t="b">
        <f>IF($C49="","",IF(ISERROR(VLOOKUP($Y49,Mappings!$A:$C,3,FALSE)),FALSE,VLOOKUP($Y49,Mappings!$A:$C,3,FALSE)))</f>
        <v>1</v>
      </c>
      <c r="AH49">
        <f t="shared" si="14"/>
        <v>1</v>
      </c>
      <c r="AI49">
        <f t="shared" si="15"/>
        <v>3951.2305524499998</v>
      </c>
      <c r="AJ49">
        <f t="shared" si="16"/>
        <v>61075.554606368023</v>
      </c>
    </row>
    <row r="50" spans="1:36" customFormat="1" x14ac:dyDescent="0.25">
      <c r="A50" s="14">
        <v>48</v>
      </c>
      <c r="B50" s="71">
        <v>44939.000003356479</v>
      </c>
      <c r="C50" s="14" t="s">
        <v>11</v>
      </c>
      <c r="D50" s="14" t="s">
        <v>83</v>
      </c>
      <c r="E50" s="14" t="s">
        <v>124</v>
      </c>
      <c r="F50" s="100">
        <v>99068.070622019994</v>
      </c>
      <c r="G50" s="152">
        <v>20286.566598580001</v>
      </c>
      <c r="H50" s="156">
        <v>0.20477401519184199</v>
      </c>
      <c r="I50" s="14">
        <v>0</v>
      </c>
      <c r="J50" s="14" t="s">
        <v>85</v>
      </c>
      <c r="K50" s="15">
        <v>44939.000003356479</v>
      </c>
      <c r="L50" s="14">
        <v>1</v>
      </c>
      <c r="M50" s="14" t="s">
        <v>124</v>
      </c>
      <c r="N50" s="45">
        <f t="shared" si="0"/>
        <v>1</v>
      </c>
      <c r="O50" s="159">
        <f t="shared" si="1"/>
        <v>99068.070622019994</v>
      </c>
      <c r="P50" s="47">
        <f t="shared" si="2"/>
        <v>20286.566598579997</v>
      </c>
      <c r="Q50" s="25">
        <f t="shared" si="7"/>
        <v>0</v>
      </c>
      <c r="R50" s="26" t="str">
        <f t="shared" si="8"/>
        <v>COIN</v>
      </c>
      <c r="S50" s="26" t="str">
        <f t="shared" si="3"/>
        <v>LONG</v>
      </c>
      <c r="T50" s="26" t="str">
        <f t="shared" si="9"/>
        <v>COIN LONG</v>
      </c>
      <c r="U50" s="17">
        <f t="shared" si="10"/>
        <v>20286.566598580001</v>
      </c>
      <c r="V50" s="17">
        <f t="shared" si="11"/>
        <v>0.20477401519184199</v>
      </c>
      <c r="W50" s="39">
        <f>IF($C50="","",IF(DefaultScenario,IF(OR(AND(Default_Exchange="ALL",NOT(ISERROR(MATCH($C50,$AF$6:$AF$37,0)))),$C50=Default_Exchange),IF($G50&gt;0,-LGD,0),0),IF(OR($J50="SWAP",$J50="FUTURE",$J50="CME FUTURE"),IF('Futures &amp; Perps Shifted'!$AE$31,VLOOKUP($M50,'Futures &amp; Perps Shifted'!$AE$32:$AO$76,MATCH($R50,'Futures &amp; Perps Shifted'!$AE$30:$AO$30,0),FALSE),0),0)))</f>
        <v>0</v>
      </c>
      <c r="X50" s="17">
        <f t="shared" si="12"/>
        <v>0</v>
      </c>
      <c r="Y50" s="14" t="str">
        <f t="shared" si="17"/>
        <v>BINE</v>
      </c>
      <c r="Z50" t="str">
        <f t="shared" si="13"/>
        <v>BAT COIN LONG</v>
      </c>
      <c r="AA50" t="b">
        <f>IF($C50="","",IF(ISERROR(VLOOKUP($Y50,Mappings!$A:$C,3,FALSE)),FALSE,VLOOKUP($Y50,Mappings!$A:$C,3,FALSE)))</f>
        <v>1</v>
      </c>
      <c r="AH50">
        <f t="shared" si="14"/>
        <v>1</v>
      </c>
      <c r="AI50">
        <f t="shared" si="15"/>
        <v>99068.070622019994</v>
      </c>
      <c r="AJ50">
        <f t="shared" si="16"/>
        <v>20286.566598579997</v>
      </c>
    </row>
    <row r="51" spans="1:36" customFormat="1" x14ac:dyDescent="0.25">
      <c r="A51" s="14">
        <v>49</v>
      </c>
      <c r="B51" s="71">
        <v>44939.000003356479</v>
      </c>
      <c r="C51" s="14" t="s">
        <v>11</v>
      </c>
      <c r="D51" s="14" t="s">
        <v>83</v>
      </c>
      <c r="E51" s="14" t="s">
        <v>20</v>
      </c>
      <c r="F51" s="100">
        <v>647.60989974999995</v>
      </c>
      <c r="G51" s="152">
        <v>77525.682974275202</v>
      </c>
      <c r="H51" s="156">
        <v>119.710466137412</v>
      </c>
      <c r="I51" s="14">
        <v>0</v>
      </c>
      <c r="J51" s="14" t="s">
        <v>85</v>
      </c>
      <c r="K51" s="15">
        <v>44939.000003356479</v>
      </c>
      <c r="L51" s="14">
        <v>1</v>
      </c>
      <c r="M51" s="14" t="s">
        <v>20</v>
      </c>
      <c r="N51" s="45">
        <f t="shared" si="0"/>
        <v>1</v>
      </c>
      <c r="O51" s="159">
        <f t="shared" si="1"/>
        <v>647.60989974999995</v>
      </c>
      <c r="P51" s="47">
        <f t="shared" si="2"/>
        <v>77525.682974275143</v>
      </c>
      <c r="Q51" s="25">
        <f t="shared" si="7"/>
        <v>0</v>
      </c>
      <c r="R51" s="26" t="str">
        <f t="shared" si="8"/>
        <v>COIN</v>
      </c>
      <c r="S51" s="26" t="str">
        <f t="shared" si="3"/>
        <v>LONG</v>
      </c>
      <c r="T51" s="26" t="str">
        <f t="shared" si="9"/>
        <v>COIN LONG</v>
      </c>
      <c r="U51" s="17">
        <f t="shared" si="10"/>
        <v>77525.682974275202</v>
      </c>
      <c r="V51" s="17">
        <f t="shared" si="11"/>
        <v>119.710466137412</v>
      </c>
      <c r="W51" s="39">
        <f>IF($C51="","",IF(DefaultScenario,IF(OR(AND(Default_Exchange="ALL",NOT(ISERROR(MATCH($C51,$AF$6:$AF$37,0)))),$C51=Default_Exchange),IF($G51&gt;0,-LGD,0),0),IF(OR($J51="SWAP",$J51="FUTURE",$J51="CME FUTURE"),IF('Futures &amp; Perps Shifted'!$AE$31,VLOOKUP($M51,'Futures &amp; Perps Shifted'!$AE$32:$AO$76,MATCH($R51,'Futures &amp; Perps Shifted'!$AE$30:$AO$30,0),FALSE),0),0)))</f>
        <v>0</v>
      </c>
      <c r="X51" s="17">
        <f t="shared" si="12"/>
        <v>0</v>
      </c>
      <c r="Y51" s="14" t="str">
        <f t="shared" si="17"/>
        <v>BINE</v>
      </c>
      <c r="Z51" t="str">
        <f t="shared" si="13"/>
        <v>BCH COIN LONG</v>
      </c>
      <c r="AA51" t="b">
        <f>IF($C51="","",IF(ISERROR(VLOOKUP($Y51,Mappings!$A:$C,3,FALSE)),FALSE,VLOOKUP($Y51,Mappings!$A:$C,3,FALSE)))</f>
        <v>1</v>
      </c>
      <c r="AH51">
        <f t="shared" si="14"/>
        <v>1</v>
      </c>
      <c r="AI51">
        <f t="shared" si="15"/>
        <v>647.60989974999995</v>
      </c>
      <c r="AJ51">
        <f t="shared" si="16"/>
        <v>77525.682974275143</v>
      </c>
    </row>
    <row r="52" spans="1:36" customFormat="1" x14ac:dyDescent="0.25">
      <c r="A52" s="14">
        <v>50</v>
      </c>
      <c r="B52" s="71">
        <v>44939.000003356479</v>
      </c>
      <c r="C52" s="14" t="s">
        <v>11</v>
      </c>
      <c r="D52" s="14" t="s">
        <v>83</v>
      </c>
      <c r="E52" s="14" t="s">
        <v>87</v>
      </c>
      <c r="F52" s="100">
        <v>36.319834</v>
      </c>
      <c r="G52" s="152">
        <v>10453.2962784585</v>
      </c>
      <c r="H52" s="156">
        <v>287.81233632451398</v>
      </c>
      <c r="I52" s="14">
        <v>0</v>
      </c>
      <c r="J52" s="14" t="s">
        <v>85</v>
      </c>
      <c r="K52" s="15">
        <v>44939.000003356479</v>
      </c>
      <c r="L52" s="14">
        <v>1</v>
      </c>
      <c r="M52" s="14" t="s">
        <v>87</v>
      </c>
      <c r="N52" s="45">
        <f t="shared" si="0"/>
        <v>1</v>
      </c>
      <c r="O52" s="159">
        <f t="shared" si="1"/>
        <v>36.319834</v>
      </c>
      <c r="P52" s="47">
        <f t="shared" si="2"/>
        <v>10453.296278458518</v>
      </c>
      <c r="Q52" s="25">
        <f t="shared" si="7"/>
        <v>0</v>
      </c>
      <c r="R52" s="26" t="str">
        <f t="shared" si="8"/>
        <v>COIN</v>
      </c>
      <c r="S52" s="26" t="str">
        <f t="shared" si="3"/>
        <v>LONG</v>
      </c>
      <c r="T52" s="26" t="str">
        <f t="shared" si="9"/>
        <v>COIN LONG</v>
      </c>
      <c r="U52" s="17">
        <f t="shared" si="10"/>
        <v>10453.2962784585</v>
      </c>
      <c r="V52" s="17">
        <f t="shared" si="11"/>
        <v>287.81233632451398</v>
      </c>
      <c r="W52" s="39">
        <f>IF($C52="","",IF(DefaultScenario,IF(OR(AND(Default_Exchange="ALL",NOT(ISERROR(MATCH($C52,$AF$6:$AF$37,0)))),$C52=Default_Exchange),IF($G52&gt;0,-LGD,0),0),IF(OR($J52="SWAP",$J52="FUTURE",$J52="CME FUTURE"),IF('Futures &amp; Perps Shifted'!$AE$31,VLOOKUP($M52,'Futures &amp; Perps Shifted'!$AE$32:$AO$76,MATCH($R52,'Futures &amp; Perps Shifted'!$AE$30:$AO$30,0),FALSE),0),0)))</f>
        <v>0</v>
      </c>
      <c r="X52" s="17">
        <f t="shared" si="12"/>
        <v>0</v>
      </c>
      <c r="Y52" s="14" t="str">
        <f t="shared" si="17"/>
        <v>BINE</v>
      </c>
      <c r="Z52" t="str">
        <f t="shared" si="13"/>
        <v>BNB COIN LONG</v>
      </c>
      <c r="AA52" t="b">
        <f>IF($C52="","",IF(ISERROR(VLOOKUP($Y52,Mappings!$A:$C,3,FALSE)),FALSE,VLOOKUP($Y52,Mappings!$A:$C,3,FALSE)))</f>
        <v>1</v>
      </c>
      <c r="AH52">
        <f t="shared" si="14"/>
        <v>1</v>
      </c>
      <c r="AI52">
        <f t="shared" si="15"/>
        <v>36.319834</v>
      </c>
      <c r="AJ52">
        <f t="shared" si="16"/>
        <v>10453.296278458518</v>
      </c>
    </row>
    <row r="53" spans="1:36" customFormat="1" x14ac:dyDescent="0.25">
      <c r="A53" s="14">
        <v>51</v>
      </c>
      <c r="B53" s="71">
        <v>44939.000003356479</v>
      </c>
      <c r="C53" s="14" t="s">
        <v>11</v>
      </c>
      <c r="D53" s="14" t="s">
        <v>83</v>
      </c>
      <c r="E53" s="14" t="s">
        <v>14</v>
      </c>
      <c r="F53" s="100">
        <v>54.877967439999999</v>
      </c>
      <c r="G53" s="152">
        <v>1035524.63890307</v>
      </c>
      <c r="H53" s="156">
        <v>18869.5880552655</v>
      </c>
      <c r="I53" s="14">
        <v>0</v>
      </c>
      <c r="J53" s="14" t="s">
        <v>85</v>
      </c>
      <c r="K53" s="15">
        <v>44939.000003356479</v>
      </c>
      <c r="L53" s="14">
        <v>1</v>
      </c>
      <c r="M53" s="14" t="s">
        <v>14</v>
      </c>
      <c r="N53" s="45">
        <f t="shared" si="0"/>
        <v>1</v>
      </c>
      <c r="O53" s="159">
        <f t="shared" si="1"/>
        <v>54.877967439999999</v>
      </c>
      <c r="P53" s="47">
        <f t="shared" si="2"/>
        <v>1035524.638903073</v>
      </c>
      <c r="Q53" s="25">
        <f t="shared" si="7"/>
        <v>0</v>
      </c>
      <c r="R53" s="26" t="str">
        <f t="shared" si="8"/>
        <v>COIN</v>
      </c>
      <c r="S53" s="26" t="str">
        <f t="shared" si="3"/>
        <v>LONG</v>
      </c>
      <c r="T53" s="26" t="str">
        <f t="shared" si="9"/>
        <v>COIN LONG</v>
      </c>
      <c r="U53" s="17">
        <f t="shared" si="10"/>
        <v>1035524.63890307</v>
      </c>
      <c r="V53" s="17">
        <f t="shared" si="11"/>
        <v>18869.5880552655</v>
      </c>
      <c r="W53" s="39">
        <f>IF($C53="","",IF(DefaultScenario,IF(OR(AND(Default_Exchange="ALL",NOT(ISERROR(MATCH($C53,$AF$6:$AF$37,0)))),$C53=Default_Exchange),IF($G53&gt;0,-LGD,0),0),IF(OR($J53="SWAP",$J53="FUTURE",$J53="CME FUTURE"),IF('Futures &amp; Perps Shifted'!$AE$31,VLOOKUP($M53,'Futures &amp; Perps Shifted'!$AE$32:$AO$76,MATCH($R53,'Futures &amp; Perps Shifted'!$AE$30:$AO$30,0),FALSE),0),0)))</f>
        <v>0</v>
      </c>
      <c r="X53" s="17">
        <f t="shared" si="12"/>
        <v>0</v>
      </c>
      <c r="Y53" s="14" t="str">
        <f t="shared" si="17"/>
        <v>BINE</v>
      </c>
      <c r="Z53" t="str">
        <f t="shared" si="13"/>
        <v>BTC COIN LONG</v>
      </c>
      <c r="AA53" t="b">
        <f>IF($C53="","",IF(ISERROR(VLOOKUP($Y53,Mappings!$A:$C,3,FALSE)),FALSE,VLOOKUP($Y53,Mappings!$A:$C,3,FALSE)))</f>
        <v>1</v>
      </c>
      <c r="AH53">
        <f t="shared" si="14"/>
        <v>1</v>
      </c>
      <c r="AI53">
        <f t="shared" si="15"/>
        <v>54.877967439999999</v>
      </c>
      <c r="AJ53">
        <f t="shared" si="16"/>
        <v>1035524.638903073</v>
      </c>
    </row>
    <row r="54" spans="1:36" customFormat="1" x14ac:dyDescent="0.25">
      <c r="A54" s="14">
        <v>52</v>
      </c>
      <c r="B54" s="71">
        <v>44939.000003356479</v>
      </c>
      <c r="C54" s="14" t="s">
        <v>11</v>
      </c>
      <c r="D54" s="14" t="s">
        <v>83</v>
      </c>
      <c r="E54" s="14" t="s">
        <v>88</v>
      </c>
      <c r="F54" s="100">
        <v>926.54662797000003</v>
      </c>
      <c r="G54" s="152">
        <v>926.84225655627404</v>
      </c>
      <c r="H54" s="156">
        <v>1.00031906498534</v>
      </c>
      <c r="I54" s="14">
        <v>0</v>
      </c>
      <c r="J54" s="14" t="s">
        <v>85</v>
      </c>
      <c r="K54" s="15">
        <v>44939.000003356479</v>
      </c>
      <c r="L54" s="14">
        <v>1</v>
      </c>
      <c r="M54" s="14" t="s">
        <v>88</v>
      </c>
      <c r="N54" s="45">
        <f t="shared" si="0"/>
        <v>1</v>
      </c>
      <c r="O54" s="159">
        <f t="shared" si="1"/>
        <v>926.54662797000003</v>
      </c>
      <c r="P54" s="47">
        <f t="shared" si="2"/>
        <v>926.84225655627006</v>
      </c>
      <c r="Q54" s="25">
        <f t="shared" si="7"/>
        <v>0</v>
      </c>
      <c r="R54" s="26" t="str">
        <f t="shared" si="8"/>
        <v>COIN</v>
      </c>
      <c r="S54" s="26" t="str">
        <f t="shared" si="3"/>
        <v>LONG</v>
      </c>
      <c r="T54" s="26" t="str">
        <f t="shared" si="9"/>
        <v>COIN LONG</v>
      </c>
      <c r="U54" s="17">
        <f t="shared" si="10"/>
        <v>926.84225655627404</v>
      </c>
      <c r="V54" s="17">
        <f t="shared" si="11"/>
        <v>1.00031906498534</v>
      </c>
      <c r="W54" s="39">
        <f>IF($C54="","",IF(DefaultScenario,IF(OR(AND(Default_Exchange="ALL",NOT(ISERROR(MATCH($C54,$AF$6:$AF$37,0)))),$C54=Default_Exchange),IF($G54&gt;0,-LGD,0),0),IF(OR($J54="SWAP",$J54="FUTURE",$J54="CME FUTURE"),IF('Futures &amp; Perps Shifted'!$AE$31,VLOOKUP($M54,'Futures &amp; Perps Shifted'!$AE$32:$AO$76,MATCH($R54,'Futures &amp; Perps Shifted'!$AE$30:$AO$30,0),FALSE),0),0)))</f>
        <v>0</v>
      </c>
      <c r="X54" s="17">
        <f t="shared" si="12"/>
        <v>0</v>
      </c>
      <c r="Y54" s="14" t="str">
        <f t="shared" si="17"/>
        <v>BINE</v>
      </c>
      <c r="Z54" t="str">
        <f t="shared" si="13"/>
        <v>BUSD COIN LONG</v>
      </c>
      <c r="AA54" t="b">
        <f>IF($C54="","",IF(ISERROR(VLOOKUP($Y54,Mappings!$A:$C,3,FALSE)),FALSE,VLOOKUP($Y54,Mappings!$A:$C,3,FALSE)))</f>
        <v>1</v>
      </c>
      <c r="AH54">
        <f t="shared" si="14"/>
        <v>1</v>
      </c>
      <c r="AI54">
        <f t="shared" si="15"/>
        <v>926.54662797000003</v>
      </c>
      <c r="AJ54">
        <f t="shared" si="16"/>
        <v>926.84225655627006</v>
      </c>
    </row>
    <row r="55" spans="1:36" customFormat="1" x14ac:dyDescent="0.25">
      <c r="A55" s="14">
        <v>53</v>
      </c>
      <c r="B55" s="71">
        <v>44939.000003356479</v>
      </c>
      <c r="C55" s="14" t="s">
        <v>11</v>
      </c>
      <c r="D55" s="14" t="s">
        <v>83</v>
      </c>
      <c r="E55" s="14" t="s">
        <v>31</v>
      </c>
      <c r="F55" s="100">
        <v>2144.7124639100002</v>
      </c>
      <c r="G55" s="152">
        <v>80869.425103363305</v>
      </c>
      <c r="H55" s="156">
        <v>37.706418209521303</v>
      </c>
      <c r="I55" s="14">
        <v>0</v>
      </c>
      <c r="J55" s="14" t="s">
        <v>85</v>
      </c>
      <c r="K55" s="15">
        <v>44939.000003356479</v>
      </c>
      <c r="L55" s="14">
        <v>1</v>
      </c>
      <c r="M55" s="14" t="s">
        <v>31</v>
      </c>
      <c r="N55" s="45">
        <f t="shared" si="0"/>
        <v>1</v>
      </c>
      <c r="O55" s="159">
        <f t="shared" si="1"/>
        <v>2144.7124639100002</v>
      </c>
      <c r="P55" s="47">
        <f t="shared" si="2"/>
        <v>80869.425103363334</v>
      </c>
      <c r="Q55" s="25">
        <f t="shared" si="7"/>
        <v>0</v>
      </c>
      <c r="R55" s="26" t="str">
        <f t="shared" si="8"/>
        <v>COIN</v>
      </c>
      <c r="S55" s="26" t="str">
        <f t="shared" si="3"/>
        <v>LONG</v>
      </c>
      <c r="T55" s="26" t="str">
        <f t="shared" si="9"/>
        <v>COIN LONG</v>
      </c>
      <c r="U55" s="17">
        <f t="shared" si="10"/>
        <v>80869.425103363305</v>
      </c>
      <c r="V55" s="17">
        <f t="shared" si="11"/>
        <v>37.706418209521303</v>
      </c>
      <c r="W55" s="39">
        <f>IF($C55="","",IF(DefaultScenario,IF(OR(AND(Default_Exchange="ALL",NOT(ISERROR(MATCH($C55,$AF$6:$AF$37,0)))),$C55=Default_Exchange),IF($G55&gt;0,-LGD,0),0),IF(OR($J55="SWAP",$J55="FUTURE",$J55="CME FUTURE"),IF('Futures &amp; Perps Shifted'!$AE$31,VLOOKUP($M55,'Futures &amp; Perps Shifted'!$AE$32:$AO$76,MATCH($R55,'Futures &amp; Perps Shifted'!$AE$30:$AO$30,0),FALSE),0),0)))</f>
        <v>0</v>
      </c>
      <c r="X55" s="17">
        <f t="shared" si="12"/>
        <v>0</v>
      </c>
      <c r="Y55" s="14" t="str">
        <f t="shared" si="17"/>
        <v>BINE</v>
      </c>
      <c r="Z55" t="str">
        <f t="shared" si="13"/>
        <v>COMP COIN LONG</v>
      </c>
      <c r="AA55" t="b">
        <f>IF($C55="","",IF(ISERROR(VLOOKUP($Y55,Mappings!$A:$C,3,FALSE)),FALSE,VLOOKUP($Y55,Mappings!$A:$C,3,FALSE)))</f>
        <v>1</v>
      </c>
      <c r="AH55">
        <f t="shared" si="14"/>
        <v>1</v>
      </c>
      <c r="AI55">
        <f t="shared" si="15"/>
        <v>2144.7124639100002</v>
      </c>
      <c r="AJ55">
        <f t="shared" si="16"/>
        <v>80869.425103363334</v>
      </c>
    </row>
    <row r="56" spans="1:36" customFormat="1" x14ac:dyDescent="0.25">
      <c r="A56" s="14">
        <v>54</v>
      </c>
      <c r="B56" s="71">
        <v>44939.000003356479</v>
      </c>
      <c r="C56" s="14" t="s">
        <v>11</v>
      </c>
      <c r="D56" s="14" t="s">
        <v>83</v>
      </c>
      <c r="E56" s="14" t="s">
        <v>188</v>
      </c>
      <c r="F56" s="100">
        <v>1.5637979999999999E-2</v>
      </c>
      <c r="G56" s="152">
        <v>1.0776384243842E-2</v>
      </c>
      <c r="H56" s="156">
        <v>0.68911612905516495</v>
      </c>
      <c r="I56" s="14">
        <v>0</v>
      </c>
      <c r="J56" s="14" t="s">
        <v>85</v>
      </c>
      <c r="K56" s="24">
        <v>44939.000003356479</v>
      </c>
      <c r="L56" s="14">
        <v>1</v>
      </c>
      <c r="M56" s="14" t="s">
        <v>188</v>
      </c>
      <c r="N56" s="45">
        <f t="shared" si="0"/>
        <v>1</v>
      </c>
      <c r="O56" s="159">
        <f t="shared" si="1"/>
        <v>1.5637979999999999E-2</v>
      </c>
      <c r="P56" s="47">
        <f t="shared" si="2"/>
        <v>1.0776384243842087E-2</v>
      </c>
      <c r="Q56" s="25">
        <f t="shared" si="7"/>
        <v>0</v>
      </c>
      <c r="R56" s="26" t="str">
        <f t="shared" si="8"/>
        <v>COIN</v>
      </c>
      <c r="S56" s="26" t="str">
        <f>IF($C56="","",IF($J56="CME FUTURE",IF($G56&gt;0,"LONG","SHORT"),IF($G56&gt;0,"LONG","SHORT")))</f>
        <v>LONG</v>
      </c>
      <c r="T56" s="26" t="str">
        <f t="shared" si="9"/>
        <v>COIN LONG</v>
      </c>
      <c r="U56" s="17">
        <f t="shared" si="10"/>
        <v>1.0776384243842E-2</v>
      </c>
      <c r="V56" s="17">
        <f t="shared" si="11"/>
        <v>0.68911612905516495</v>
      </c>
      <c r="W56" s="39">
        <f>IF($C56="","",IF(DefaultScenario,IF(OR(AND(Default_Exchange="ALL",NOT(ISERROR(MATCH($C56,$AF$6:$AF$37,0)))),$C56=Default_Exchange),IF($G56&gt;0,-LGD,0),0),IF(OR($J56="SWAP",$J56="FUTURE",$J56="CME FUTURE"),IF('Futures &amp; Perps Shifted'!$AE$31,VLOOKUP($M56,'Futures &amp; Perps Shifted'!$AE$32:$AO$76,MATCH($R56,'Futures &amp; Perps Shifted'!$AE$30:$AO$30,0),FALSE),0),0)))</f>
        <v>0</v>
      </c>
      <c r="X56" s="17">
        <f t="shared" si="12"/>
        <v>0</v>
      </c>
      <c r="Y56" s="14" t="str">
        <f t="shared" si="17"/>
        <v>BINE</v>
      </c>
      <c r="Z56" t="str">
        <f t="shared" si="13"/>
        <v>CRV COIN LONG</v>
      </c>
      <c r="AA56" t="b">
        <f>IF($C56="","",IF(ISERROR(VLOOKUP($Y56,Mappings!$A:$C,3,FALSE)),FALSE,VLOOKUP($Y56,Mappings!$A:$C,3,FALSE)))</f>
        <v>1</v>
      </c>
      <c r="AH56">
        <f t="shared" si="14"/>
        <v>1</v>
      </c>
      <c r="AI56">
        <f t="shared" si="15"/>
        <v>1.5637979999999999E-2</v>
      </c>
      <c r="AJ56">
        <f t="shared" si="16"/>
        <v>1.0776384243842087E-2</v>
      </c>
    </row>
    <row r="57" spans="1:36" customFormat="1" x14ac:dyDescent="0.25">
      <c r="A57" s="14">
        <v>55</v>
      </c>
      <c r="B57" s="71">
        <v>44939.000003356479</v>
      </c>
      <c r="C57" s="14" t="s">
        <v>11</v>
      </c>
      <c r="D57" s="14" t="s">
        <v>83</v>
      </c>
      <c r="E57" s="14" t="s">
        <v>132</v>
      </c>
      <c r="F57" s="100">
        <v>897.22841947999996</v>
      </c>
      <c r="G57" s="152">
        <v>44284.042928966599</v>
      </c>
      <c r="H57" s="156">
        <v>49.356487119112799</v>
      </c>
      <c r="I57" s="14">
        <v>0</v>
      </c>
      <c r="J57" s="14" t="s">
        <v>85</v>
      </c>
      <c r="K57" s="24">
        <v>44939.000003356479</v>
      </c>
      <c r="L57" s="14">
        <v>1</v>
      </c>
      <c r="M57" s="14" t="s">
        <v>132</v>
      </c>
      <c r="N57" s="45">
        <f t="shared" si="0"/>
        <v>1</v>
      </c>
      <c r="O57" s="159">
        <f t="shared" si="1"/>
        <v>897.22841947999996</v>
      </c>
      <c r="P57" s="47">
        <f t="shared" si="2"/>
        <v>44284.042928966555</v>
      </c>
      <c r="Q57" s="25">
        <f t="shared" si="7"/>
        <v>0</v>
      </c>
      <c r="R57" s="26" t="str">
        <f t="shared" si="8"/>
        <v>COIN</v>
      </c>
      <c r="S57" s="26" t="str">
        <f t="shared" ref="S57:S120" si="18">IF($C57="","",IF($J57="CME FUTURE",IF($G57&gt;0,"LONG","SHORT"),IF($G57&gt;0,"LONG","SHORT")))</f>
        <v>LONG</v>
      </c>
      <c r="T57" s="26" t="str">
        <f t="shared" si="9"/>
        <v>COIN LONG</v>
      </c>
      <c r="U57" s="17">
        <f t="shared" si="10"/>
        <v>44284.042928966599</v>
      </c>
      <c r="V57" s="17">
        <f t="shared" si="11"/>
        <v>49.356487119112799</v>
      </c>
      <c r="W57" s="39">
        <f>IF($C57="","",IF(DefaultScenario,IF(OR(AND(Default_Exchange="ALL",NOT(ISERROR(MATCH($C57,$AF$6:$AF$37,0)))),$C57=Default_Exchange),IF($G57&gt;0,-LGD,0),0),IF(OR($J57="SWAP",$J57="FUTURE",$J57="CME FUTURE"),IF('Futures &amp; Perps Shifted'!$AE$31,VLOOKUP($M57,'Futures &amp; Perps Shifted'!$AE$32:$AO$76,MATCH($R57,'Futures &amp; Perps Shifted'!$AE$30:$AO$30,0),FALSE),0),0)))</f>
        <v>0</v>
      </c>
      <c r="X57" s="17">
        <f t="shared" si="12"/>
        <v>0</v>
      </c>
      <c r="Y57" s="14" t="str">
        <f t="shared" si="17"/>
        <v>BINE</v>
      </c>
      <c r="Z57" t="str">
        <f t="shared" si="13"/>
        <v>DASH COIN LONG</v>
      </c>
      <c r="AA57" t="b">
        <f>IF($C57="","",IF(ISERROR(VLOOKUP($Y57,Mappings!$A:$C,3,FALSE)),FALSE,VLOOKUP($Y57,Mappings!$A:$C,3,FALSE)))</f>
        <v>1</v>
      </c>
      <c r="AH57">
        <f t="shared" si="14"/>
        <v>1</v>
      </c>
      <c r="AI57">
        <f t="shared" si="15"/>
        <v>897.22841947999996</v>
      </c>
      <c r="AJ57">
        <f t="shared" si="16"/>
        <v>44284.042928966555</v>
      </c>
    </row>
    <row r="58" spans="1:36" customFormat="1" x14ac:dyDescent="0.25">
      <c r="A58" s="14">
        <v>56</v>
      </c>
      <c r="B58" s="71">
        <v>44939.000003356479</v>
      </c>
      <c r="C58" s="14" t="s">
        <v>11</v>
      </c>
      <c r="D58" s="14" t="s">
        <v>83</v>
      </c>
      <c r="E58" s="14" t="s">
        <v>190</v>
      </c>
      <c r="F58" s="100">
        <v>572364.17811884999</v>
      </c>
      <c r="G58" s="152">
        <v>45952.679301803502</v>
      </c>
      <c r="H58" s="156">
        <v>8.0285736002614697E-2</v>
      </c>
      <c r="I58" s="14">
        <v>0</v>
      </c>
      <c r="J58" s="14" t="s">
        <v>85</v>
      </c>
      <c r="K58" s="24">
        <v>44939.000003356479</v>
      </c>
      <c r="L58" s="14">
        <v>1</v>
      </c>
      <c r="M58" s="14" t="s">
        <v>190</v>
      </c>
      <c r="N58" s="45">
        <f t="shared" si="0"/>
        <v>1</v>
      </c>
      <c r="O58" s="159">
        <f t="shared" si="1"/>
        <v>572364.17811884999</v>
      </c>
      <c r="P58" s="47">
        <f t="shared" si="2"/>
        <v>45952.679301803524</v>
      </c>
      <c r="Q58" s="25">
        <f t="shared" si="7"/>
        <v>0</v>
      </c>
      <c r="R58" s="26" t="str">
        <f t="shared" si="8"/>
        <v>COIN</v>
      </c>
      <c r="S58" s="26" t="str">
        <f t="shared" si="18"/>
        <v>LONG</v>
      </c>
      <c r="T58" s="26" t="str">
        <f t="shared" si="9"/>
        <v>COIN LONG</v>
      </c>
      <c r="U58" s="17">
        <f t="shared" si="10"/>
        <v>45952.679301803502</v>
      </c>
      <c r="V58" s="17">
        <f t="shared" si="11"/>
        <v>8.0285736002614697E-2</v>
      </c>
      <c r="W58" s="39">
        <f>IF($C58="","",IF(DefaultScenario,IF(OR(AND(Default_Exchange="ALL",NOT(ISERROR(MATCH($C58,$AF$6:$AF$37,0)))),$C58=Default_Exchange),IF($G58&gt;0,-LGD,0),0),IF(OR($J58="SWAP",$J58="FUTURE",$J58="CME FUTURE"),IF('Futures &amp; Perps Shifted'!$AE$31,VLOOKUP($M58,'Futures &amp; Perps Shifted'!$AE$32:$AO$76,MATCH($R58,'Futures &amp; Perps Shifted'!$AE$30:$AO$30,0),FALSE),0),0)))</f>
        <v>0</v>
      </c>
      <c r="X58" s="17">
        <f t="shared" si="12"/>
        <v>0</v>
      </c>
      <c r="Y58" s="14" t="str">
        <f t="shared" si="17"/>
        <v>BINE</v>
      </c>
      <c r="Z58" t="str">
        <f t="shared" si="13"/>
        <v>DOGE COIN LONG</v>
      </c>
      <c r="AA58" t="b">
        <f>IF($C58="","",IF(ISERROR(VLOOKUP($Y58,Mappings!$A:$C,3,FALSE)),FALSE,VLOOKUP($Y58,Mappings!$A:$C,3,FALSE)))</f>
        <v>1</v>
      </c>
      <c r="AH58">
        <f t="shared" si="14"/>
        <v>1</v>
      </c>
      <c r="AI58">
        <f t="shared" si="15"/>
        <v>572364.17811884999</v>
      </c>
      <c r="AJ58">
        <f t="shared" si="16"/>
        <v>45952.679301803524</v>
      </c>
    </row>
    <row r="59" spans="1:36" customFormat="1" x14ac:dyDescent="0.25">
      <c r="A59" s="14">
        <v>57</v>
      </c>
      <c r="B59" s="71">
        <v>44939.000003356479</v>
      </c>
      <c r="C59" s="14" t="s">
        <v>11</v>
      </c>
      <c r="D59" s="14" t="s">
        <v>83</v>
      </c>
      <c r="E59" s="14" t="s">
        <v>22</v>
      </c>
      <c r="F59" s="100">
        <v>4160.7489116799998</v>
      </c>
      <c r="G59" s="152">
        <v>21758.5446436567</v>
      </c>
      <c r="H59" s="156">
        <v>5.2294779390740098</v>
      </c>
      <c r="I59" s="14">
        <v>0</v>
      </c>
      <c r="J59" s="14" t="s">
        <v>85</v>
      </c>
      <c r="K59" s="24">
        <v>44939.000003356479</v>
      </c>
      <c r="L59" s="14">
        <v>1</v>
      </c>
      <c r="M59" s="14" t="s">
        <v>22</v>
      </c>
      <c r="N59" s="45">
        <f t="shared" ref="N59:N122" si="19">IF($C59="","",IF(OR($J59="SWAP",$J59="FUTURE",$J59="CME FUTURE"),IF($L59=1,ROUND($G59/$H59/$F59,3),POWER(10,ROUND(LOG($G59/$F59),1))),1))</f>
        <v>1</v>
      </c>
      <c r="O59" s="159">
        <f t="shared" si="1"/>
        <v>4160.7489116799998</v>
      </c>
      <c r="P59" s="47">
        <f t="shared" si="2"/>
        <v>21758.544643656754</v>
      </c>
      <c r="Q59" s="25">
        <f t="shared" si="7"/>
        <v>0</v>
      </c>
      <c r="R59" s="26" t="str">
        <f t="shared" si="8"/>
        <v>COIN</v>
      </c>
      <c r="S59" s="26" t="str">
        <f t="shared" si="18"/>
        <v>LONG</v>
      </c>
      <c r="T59" s="26" t="str">
        <f t="shared" si="9"/>
        <v>COIN LONG</v>
      </c>
      <c r="U59" s="17">
        <f t="shared" si="10"/>
        <v>21758.5446436567</v>
      </c>
      <c r="V59" s="17">
        <f t="shared" si="11"/>
        <v>5.2294779390740098</v>
      </c>
      <c r="W59" s="39">
        <f>IF($C59="","",IF(DefaultScenario,IF(OR(AND(Default_Exchange="ALL",NOT(ISERROR(MATCH($C59,$AF$6:$AF$37,0)))),$C59=Default_Exchange),IF($G59&gt;0,-LGD,0),0),IF(OR($J59="SWAP",$J59="FUTURE",$J59="CME FUTURE"),IF('Futures &amp; Perps Shifted'!$AE$31,VLOOKUP($M59,'Futures &amp; Perps Shifted'!$AE$32:$AO$76,MATCH($R59,'Futures &amp; Perps Shifted'!$AE$30:$AO$30,0),FALSE),0),0)))</f>
        <v>0</v>
      </c>
      <c r="X59" s="17">
        <f t="shared" si="12"/>
        <v>0</v>
      </c>
      <c r="Y59" s="14" t="str">
        <f t="shared" si="17"/>
        <v>BINE</v>
      </c>
      <c r="Z59" t="str">
        <f t="shared" si="13"/>
        <v>DOT COIN LONG</v>
      </c>
      <c r="AA59" t="b">
        <f>IF($C59="","",IF(ISERROR(VLOOKUP($Y59,Mappings!$A:$C,3,FALSE)),FALSE,VLOOKUP($Y59,Mappings!$A:$C,3,FALSE)))</f>
        <v>1</v>
      </c>
      <c r="AH59">
        <f t="shared" si="14"/>
        <v>1</v>
      </c>
      <c r="AI59">
        <f t="shared" si="15"/>
        <v>4160.7489116799998</v>
      </c>
      <c r="AJ59">
        <f t="shared" si="16"/>
        <v>21758.544643656754</v>
      </c>
    </row>
    <row r="60" spans="1:36" customFormat="1" x14ac:dyDescent="0.25">
      <c r="A60" s="14">
        <v>58</v>
      </c>
      <c r="B60" s="71">
        <v>44939.000003356479</v>
      </c>
      <c r="C60" s="14" t="s">
        <v>11</v>
      </c>
      <c r="D60" s="14" t="s">
        <v>83</v>
      </c>
      <c r="E60" s="14" t="s">
        <v>28</v>
      </c>
      <c r="F60" s="100">
        <v>46415.886590100003</v>
      </c>
      <c r="G60" s="152">
        <v>14114.894680797301</v>
      </c>
      <c r="H60" s="156">
        <v>0.304096198903759</v>
      </c>
      <c r="I60" s="14">
        <v>0</v>
      </c>
      <c r="J60" s="14" t="s">
        <v>85</v>
      </c>
      <c r="K60" s="24">
        <v>44939.000003356479</v>
      </c>
      <c r="L60" s="14">
        <v>1</v>
      </c>
      <c r="M60" s="14" t="s">
        <v>28</v>
      </c>
      <c r="N60" s="45">
        <f t="shared" si="19"/>
        <v>1</v>
      </c>
      <c r="O60" s="159">
        <f t="shared" si="1"/>
        <v>46415.886590100003</v>
      </c>
      <c r="P60" s="47">
        <f t="shared" si="2"/>
        <v>14114.89468079737</v>
      </c>
      <c r="Q60" s="25">
        <f t="shared" si="7"/>
        <v>0</v>
      </c>
      <c r="R60" s="26" t="str">
        <f t="shared" si="8"/>
        <v>COIN</v>
      </c>
      <c r="S60" s="26" t="str">
        <f t="shared" si="18"/>
        <v>LONG</v>
      </c>
      <c r="T60" s="26" t="str">
        <f t="shared" si="9"/>
        <v>COIN LONG</v>
      </c>
      <c r="U60" s="17">
        <f t="shared" si="10"/>
        <v>14114.894680797301</v>
      </c>
      <c r="V60" s="17">
        <f t="shared" si="11"/>
        <v>0.304096198903759</v>
      </c>
      <c r="W60" s="39">
        <f>IF($C60="","",IF(DefaultScenario,IF(OR(AND(Default_Exchange="ALL",NOT(ISERROR(MATCH($C60,$AF$6:$AF$37,0)))),$C60=Default_Exchange),IF($G60&gt;0,-LGD,0),0),IF(OR($J60="SWAP",$J60="FUTURE",$J60="CME FUTURE"),IF('Futures &amp; Perps Shifted'!$AE$31,VLOOKUP($M60,'Futures &amp; Perps Shifted'!$AE$32:$AO$76,MATCH($R60,'Futures &amp; Perps Shifted'!$AE$30:$AO$30,0),FALSE),0),0)))</f>
        <v>0</v>
      </c>
      <c r="X60" s="17">
        <f t="shared" si="12"/>
        <v>0</v>
      </c>
      <c r="Y60" s="14" t="str">
        <f t="shared" si="17"/>
        <v>BINE</v>
      </c>
      <c r="Z60" t="str">
        <f t="shared" si="13"/>
        <v>ENJ COIN LONG</v>
      </c>
      <c r="AA60" t="b">
        <f>IF($C60="","",IF(ISERROR(VLOOKUP($Y60,Mappings!$A:$C,3,FALSE)),FALSE,VLOOKUP($Y60,Mappings!$A:$C,3,FALSE)))</f>
        <v>1</v>
      </c>
      <c r="AH60">
        <f t="shared" si="14"/>
        <v>1</v>
      </c>
      <c r="AI60">
        <f t="shared" si="15"/>
        <v>46415.886590100003</v>
      </c>
      <c r="AJ60">
        <f t="shared" si="16"/>
        <v>14114.89468079737</v>
      </c>
    </row>
    <row r="61" spans="1:36" customFormat="1" x14ac:dyDescent="0.25">
      <c r="A61" s="14">
        <v>59</v>
      </c>
      <c r="B61" s="71">
        <v>44939.000003356479</v>
      </c>
      <c r="C61" s="14" t="s">
        <v>11</v>
      </c>
      <c r="D61" s="14" t="s">
        <v>83</v>
      </c>
      <c r="E61" s="14" t="s">
        <v>23</v>
      </c>
      <c r="F61" s="100">
        <v>91912.112699999998</v>
      </c>
      <c r="G61" s="152">
        <v>91015.278128606806</v>
      </c>
      <c r="H61" s="156">
        <v>0.990242476806942</v>
      </c>
      <c r="I61" s="14">
        <v>0</v>
      </c>
      <c r="J61" s="14" t="s">
        <v>85</v>
      </c>
      <c r="K61" s="24">
        <v>44939.000003356479</v>
      </c>
      <c r="L61" s="14">
        <v>1</v>
      </c>
      <c r="M61" s="14" t="s">
        <v>23</v>
      </c>
      <c r="N61" s="45">
        <f t="shared" si="19"/>
        <v>1</v>
      </c>
      <c r="O61" s="159">
        <f t="shared" si="1"/>
        <v>91912.112699999998</v>
      </c>
      <c r="P61" s="47">
        <f t="shared" si="2"/>
        <v>91015.278128606791</v>
      </c>
      <c r="Q61" s="25">
        <f t="shared" si="7"/>
        <v>0</v>
      </c>
      <c r="R61" s="26" t="str">
        <f t="shared" si="8"/>
        <v>COIN</v>
      </c>
      <c r="S61" s="26" t="str">
        <f t="shared" si="18"/>
        <v>LONG</v>
      </c>
      <c r="T61" s="26" t="str">
        <f t="shared" si="9"/>
        <v>COIN LONG</v>
      </c>
      <c r="U61" s="17">
        <f t="shared" si="10"/>
        <v>91015.278128606806</v>
      </c>
      <c r="V61" s="17">
        <f t="shared" si="11"/>
        <v>0.990242476806942</v>
      </c>
      <c r="W61" s="39">
        <f>IF($C61="","",IF(DefaultScenario,IF(OR(AND(Default_Exchange="ALL",NOT(ISERROR(MATCH($C61,$AF$6:$AF$37,0)))),$C61=Default_Exchange),IF($G61&gt;0,-LGD,0),0),IF(OR($J61="SWAP",$J61="FUTURE",$J61="CME FUTURE"),IF('Futures &amp; Perps Shifted'!$AE$31,VLOOKUP($M61,'Futures &amp; Perps Shifted'!$AE$32:$AO$76,MATCH($R61,'Futures &amp; Perps Shifted'!$AE$30:$AO$30,0),FALSE),0),0)))</f>
        <v>0</v>
      </c>
      <c r="X61" s="17">
        <f t="shared" si="12"/>
        <v>0</v>
      </c>
      <c r="Y61" s="14" t="str">
        <f t="shared" si="17"/>
        <v>BINE</v>
      </c>
      <c r="Z61" t="str">
        <f t="shared" si="13"/>
        <v>EOS COIN LONG</v>
      </c>
      <c r="AA61" t="b">
        <f>IF($C61="","",IF(ISERROR(VLOOKUP($Y61,Mappings!$A:$C,3,FALSE)),FALSE,VLOOKUP($Y61,Mappings!$A:$C,3,FALSE)))</f>
        <v>1</v>
      </c>
      <c r="AH61">
        <f t="shared" si="14"/>
        <v>1</v>
      </c>
      <c r="AI61">
        <f t="shared" si="15"/>
        <v>91912.112699999998</v>
      </c>
      <c r="AJ61">
        <f t="shared" si="16"/>
        <v>91015.278128606791</v>
      </c>
    </row>
    <row r="62" spans="1:36" customFormat="1" x14ac:dyDescent="0.25">
      <c r="A62" s="14">
        <v>60</v>
      </c>
      <c r="B62" s="71">
        <v>44939.000003356479</v>
      </c>
      <c r="C62" s="14" t="s">
        <v>11</v>
      </c>
      <c r="D62" s="14" t="s">
        <v>83</v>
      </c>
      <c r="E62" s="14" t="s">
        <v>15</v>
      </c>
      <c r="F62" s="100">
        <v>30.1417</v>
      </c>
      <c r="G62" s="152">
        <v>42739.0775820614</v>
      </c>
      <c r="H62" s="156">
        <v>1417.9385231112101</v>
      </c>
      <c r="I62" s="14">
        <v>0</v>
      </c>
      <c r="J62" s="14" t="s">
        <v>85</v>
      </c>
      <c r="K62" s="24">
        <v>44939.000003356479</v>
      </c>
      <c r="L62" s="14">
        <v>1</v>
      </c>
      <c r="M62" s="14" t="s">
        <v>15</v>
      </c>
      <c r="N62" s="45">
        <f t="shared" si="19"/>
        <v>1</v>
      </c>
      <c r="O62" s="159">
        <f t="shared" si="1"/>
        <v>30.1417</v>
      </c>
      <c r="P62" s="47">
        <f t="shared" si="2"/>
        <v>42739.07758206116</v>
      </c>
      <c r="Q62" s="25">
        <f t="shared" si="7"/>
        <v>0</v>
      </c>
      <c r="R62" s="26" t="str">
        <f t="shared" si="8"/>
        <v>COIN</v>
      </c>
      <c r="S62" s="26" t="str">
        <f t="shared" si="18"/>
        <v>LONG</v>
      </c>
      <c r="T62" s="26" t="str">
        <f t="shared" si="9"/>
        <v>COIN LONG</v>
      </c>
      <c r="U62" s="17">
        <f t="shared" si="10"/>
        <v>42739.0775820614</v>
      </c>
      <c r="V62" s="17">
        <f t="shared" si="11"/>
        <v>1417.9385231112101</v>
      </c>
      <c r="W62" s="39">
        <f>IF($C62="","",IF(DefaultScenario,IF(OR(AND(Default_Exchange="ALL",NOT(ISERROR(MATCH($C62,$AF$6:$AF$37,0)))),$C62=Default_Exchange),IF($G62&gt;0,-LGD,0),0),IF(OR($J62="SWAP",$J62="FUTURE",$J62="CME FUTURE"),IF('Futures &amp; Perps Shifted'!$AE$31,VLOOKUP($M62,'Futures &amp; Perps Shifted'!$AE$32:$AO$76,MATCH($R62,'Futures &amp; Perps Shifted'!$AE$30:$AO$30,0),FALSE),0),0)))</f>
        <v>0</v>
      </c>
      <c r="X62" s="17">
        <f t="shared" si="12"/>
        <v>0</v>
      </c>
      <c r="Y62" s="14" t="str">
        <f t="shared" si="17"/>
        <v>BINE</v>
      </c>
      <c r="Z62" t="str">
        <f t="shared" si="13"/>
        <v>ETH COIN LONG</v>
      </c>
      <c r="AA62" t="b">
        <f>IF($C62="","",IF(ISERROR(VLOOKUP($Y62,Mappings!$A:$C,3,FALSE)),FALSE,VLOOKUP($Y62,Mappings!$A:$C,3,FALSE)))</f>
        <v>1</v>
      </c>
      <c r="AH62">
        <f t="shared" si="14"/>
        <v>1</v>
      </c>
      <c r="AI62">
        <f t="shared" si="15"/>
        <v>30.1417</v>
      </c>
      <c r="AJ62">
        <f t="shared" si="16"/>
        <v>42739.07758206116</v>
      </c>
    </row>
    <row r="63" spans="1:36" customFormat="1" x14ac:dyDescent="0.25">
      <c r="A63" s="14">
        <v>61</v>
      </c>
      <c r="B63" s="71">
        <v>44939.000003356479</v>
      </c>
      <c r="C63" s="14" t="s">
        <v>11</v>
      </c>
      <c r="D63" s="14" t="s">
        <v>83</v>
      </c>
      <c r="E63" s="14" t="s">
        <v>107</v>
      </c>
      <c r="F63" s="100">
        <v>799777.3893865</v>
      </c>
      <c r="G63" s="152">
        <v>867934.41851001699</v>
      </c>
      <c r="H63" s="156">
        <v>1.0852200000000001</v>
      </c>
      <c r="I63" s="14">
        <v>0</v>
      </c>
      <c r="J63" s="14" t="s">
        <v>85</v>
      </c>
      <c r="K63" s="24">
        <v>44939.000003356479</v>
      </c>
      <c r="L63" s="14">
        <v>1</v>
      </c>
      <c r="M63" s="14" t="s">
        <v>107</v>
      </c>
      <c r="N63" s="45">
        <f t="shared" si="19"/>
        <v>1</v>
      </c>
      <c r="O63" s="159">
        <f t="shared" si="1"/>
        <v>799777.3893865</v>
      </c>
      <c r="P63" s="47">
        <f t="shared" si="2"/>
        <v>867934.41851001757</v>
      </c>
      <c r="Q63" s="25">
        <f t="shared" si="7"/>
        <v>0</v>
      </c>
      <c r="R63" s="26" t="str">
        <f t="shared" si="8"/>
        <v>CASH</v>
      </c>
      <c r="S63" s="26" t="str">
        <f t="shared" si="18"/>
        <v>LONG</v>
      </c>
      <c r="T63" s="26" t="str">
        <f t="shared" si="9"/>
        <v>CASH LONG</v>
      </c>
      <c r="U63" s="17">
        <f t="shared" si="10"/>
        <v>867934.41851001699</v>
      </c>
      <c r="V63" s="17">
        <f t="shared" si="11"/>
        <v>1.0852200000000001</v>
      </c>
      <c r="W63" s="39">
        <f>IF($C63="","",IF(DefaultScenario,IF(OR(AND(Default_Exchange="ALL",NOT(ISERROR(MATCH($C63,$AF$6:$AF$37,0)))),$C63=Default_Exchange),IF($G63&gt;0,-LGD,0),0),IF(OR($J63="SWAP",$J63="FUTURE",$J63="CME FUTURE"),IF('Futures &amp; Perps Shifted'!$AE$31,VLOOKUP($M63,'Futures &amp; Perps Shifted'!$AE$32:$AO$76,MATCH($R63,'Futures &amp; Perps Shifted'!$AE$30:$AO$30,0),FALSE),0),0)))</f>
        <v>0</v>
      </c>
      <c r="X63" s="17">
        <f t="shared" si="12"/>
        <v>0</v>
      </c>
      <c r="Y63" s="14" t="str">
        <f t="shared" si="17"/>
        <v>BINE</v>
      </c>
      <c r="Z63" t="str">
        <f t="shared" si="13"/>
        <v>EUR CASH LONG</v>
      </c>
      <c r="AA63" t="b">
        <f>IF($C63="","",IF(ISERROR(VLOOKUP($Y63,Mappings!$A:$C,3,FALSE)),FALSE,VLOOKUP($Y63,Mappings!$A:$C,3,FALSE)))</f>
        <v>1</v>
      </c>
      <c r="AH63">
        <f t="shared" si="14"/>
        <v>1</v>
      </c>
      <c r="AI63">
        <f t="shared" si="15"/>
        <v>799777.3893865</v>
      </c>
      <c r="AJ63">
        <f t="shared" si="16"/>
        <v>867934.41851001757</v>
      </c>
    </row>
    <row r="64" spans="1:36" customFormat="1" x14ac:dyDescent="0.25">
      <c r="A64" s="14">
        <v>62</v>
      </c>
      <c r="B64" s="71">
        <v>44939.000003356479</v>
      </c>
      <c r="C64" s="14" t="s">
        <v>11</v>
      </c>
      <c r="D64" s="14" t="s">
        <v>83</v>
      </c>
      <c r="E64" s="14" t="s">
        <v>30</v>
      </c>
      <c r="F64" s="100">
        <v>0.19800000000000001</v>
      </c>
      <c r="G64" s="152">
        <v>0.7629464615821</v>
      </c>
      <c r="H64" s="156">
        <v>3.8532649574853499</v>
      </c>
      <c r="I64" s="14">
        <v>0</v>
      </c>
      <c r="J64" s="14" t="s">
        <v>85</v>
      </c>
      <c r="K64" s="24">
        <v>44939.000003356479</v>
      </c>
      <c r="L64" s="14">
        <v>1</v>
      </c>
      <c r="M64" s="14" t="s">
        <v>30</v>
      </c>
      <c r="N64" s="45">
        <f t="shared" si="19"/>
        <v>1</v>
      </c>
      <c r="O64" s="159">
        <f t="shared" si="1"/>
        <v>0.19800000000000001</v>
      </c>
      <c r="P64" s="47">
        <f t="shared" si="2"/>
        <v>0.76294646158209933</v>
      </c>
      <c r="Q64" s="25">
        <f t="shared" si="7"/>
        <v>0</v>
      </c>
      <c r="R64" s="26" t="str">
        <f t="shared" si="8"/>
        <v>COIN</v>
      </c>
      <c r="S64" s="26" t="str">
        <f t="shared" si="18"/>
        <v>LONG</v>
      </c>
      <c r="T64" s="26" t="str">
        <f t="shared" si="9"/>
        <v>COIN LONG</v>
      </c>
      <c r="U64" s="17">
        <f t="shared" si="10"/>
        <v>0.7629464615821</v>
      </c>
      <c r="V64" s="17">
        <f t="shared" si="11"/>
        <v>3.8532649574853499</v>
      </c>
      <c r="W64" s="39">
        <f>IF($C64="","",IF(DefaultScenario,IF(OR(AND(Default_Exchange="ALL",NOT(ISERROR(MATCH($C64,$AF$6:$AF$37,0)))),$C64=Default_Exchange),IF($G64&gt;0,-LGD,0),0),IF(OR($J64="SWAP",$J64="FUTURE",$J64="CME FUTURE"),IF('Futures &amp; Perps Shifted'!$AE$31,VLOOKUP($M64,'Futures &amp; Perps Shifted'!$AE$32:$AO$76,MATCH($R64,'Futures &amp; Perps Shifted'!$AE$30:$AO$30,0),FALSE),0),0)))</f>
        <v>0</v>
      </c>
      <c r="X64" s="17">
        <f t="shared" si="12"/>
        <v>0</v>
      </c>
      <c r="Y64" s="14" t="str">
        <f t="shared" si="17"/>
        <v>BINE</v>
      </c>
      <c r="Z64" t="str">
        <f t="shared" si="13"/>
        <v>FIL COIN LONG</v>
      </c>
      <c r="AA64" t="b">
        <f>IF($C64="","",IF(ISERROR(VLOOKUP($Y64,Mappings!$A:$C,3,FALSE)),FALSE,VLOOKUP($Y64,Mappings!$A:$C,3,FALSE)))</f>
        <v>1</v>
      </c>
      <c r="AH64">
        <f t="shared" si="14"/>
        <v>1</v>
      </c>
      <c r="AI64">
        <f t="shared" si="15"/>
        <v>0.19800000000000001</v>
      </c>
      <c r="AJ64">
        <f t="shared" si="16"/>
        <v>0.76294646158209933</v>
      </c>
    </row>
    <row r="65" spans="1:36" customFormat="1" x14ac:dyDescent="0.25">
      <c r="A65" s="14">
        <v>63</v>
      </c>
      <c r="B65" s="71">
        <v>44939.000003356479</v>
      </c>
      <c r="C65" s="14" t="s">
        <v>11</v>
      </c>
      <c r="D65" s="14" t="s">
        <v>83</v>
      </c>
      <c r="E65" s="14" t="s">
        <v>191</v>
      </c>
      <c r="F65" s="100">
        <v>270803.45285949</v>
      </c>
      <c r="G65" s="152">
        <v>74050.348254760494</v>
      </c>
      <c r="H65" s="156">
        <v>0.27344683929559199</v>
      </c>
      <c r="I65" s="14">
        <v>0</v>
      </c>
      <c r="J65" s="14" t="s">
        <v>85</v>
      </c>
      <c r="K65" s="24">
        <v>44939.000003356479</v>
      </c>
      <c r="L65" s="14">
        <v>1</v>
      </c>
      <c r="M65" s="14" t="s">
        <v>191</v>
      </c>
      <c r="N65" s="45">
        <f t="shared" si="19"/>
        <v>1</v>
      </c>
      <c r="O65" s="159">
        <f t="shared" si="1"/>
        <v>270803.45285949</v>
      </c>
      <c r="P65" s="47">
        <f t="shared" si="2"/>
        <v>74050.348254760378</v>
      </c>
      <c r="Q65" s="25">
        <f t="shared" si="7"/>
        <v>0</v>
      </c>
      <c r="R65" s="26" t="str">
        <f t="shared" si="8"/>
        <v>COIN</v>
      </c>
      <c r="S65" s="26" t="str">
        <f t="shared" si="18"/>
        <v>LONG</v>
      </c>
      <c r="T65" s="26" t="str">
        <f t="shared" si="9"/>
        <v>COIN LONG</v>
      </c>
      <c r="U65" s="17">
        <f t="shared" si="10"/>
        <v>74050.348254760494</v>
      </c>
      <c r="V65" s="17">
        <f t="shared" si="11"/>
        <v>0.27344683929559199</v>
      </c>
      <c r="W65" s="39">
        <f>IF($C65="","",IF(DefaultScenario,IF(OR(AND(Default_Exchange="ALL",NOT(ISERROR(MATCH($C65,$AF$6:$AF$37,0)))),$C65=Default_Exchange),IF($G65&gt;0,-LGD,0),0),IF(OR($J65="SWAP",$J65="FUTURE",$J65="CME FUTURE"),IF('Futures &amp; Perps Shifted'!$AE$31,VLOOKUP($M65,'Futures &amp; Perps Shifted'!$AE$32:$AO$76,MATCH($R65,'Futures &amp; Perps Shifted'!$AE$30:$AO$30,0),FALSE),0),0)))</f>
        <v>0</v>
      </c>
      <c r="X65" s="17">
        <f t="shared" si="12"/>
        <v>0</v>
      </c>
      <c r="Y65" s="14" t="str">
        <f t="shared" si="17"/>
        <v>BINE</v>
      </c>
      <c r="Z65" t="str">
        <f t="shared" si="13"/>
        <v>FTM COIN LONG</v>
      </c>
      <c r="AA65" t="b">
        <f>IF($C65="","",IF(ISERROR(VLOOKUP($Y65,Mappings!$A:$C,3,FALSE)),FALSE,VLOOKUP($Y65,Mappings!$A:$C,3,FALSE)))</f>
        <v>1</v>
      </c>
      <c r="AH65">
        <f t="shared" si="14"/>
        <v>1</v>
      </c>
      <c r="AI65">
        <f t="shared" si="15"/>
        <v>270803.45285949</v>
      </c>
      <c r="AJ65">
        <f t="shared" si="16"/>
        <v>74050.348254760378</v>
      </c>
    </row>
    <row r="66" spans="1:36" customFormat="1" x14ac:dyDescent="0.25">
      <c r="A66" s="14">
        <v>64</v>
      </c>
      <c r="B66" s="71">
        <v>44939.000003356479</v>
      </c>
      <c r="C66" s="14" t="s">
        <v>11</v>
      </c>
      <c r="D66" s="14" t="s">
        <v>83</v>
      </c>
      <c r="E66" s="14" t="s">
        <v>415</v>
      </c>
      <c r="F66" s="100">
        <v>186945.44699999999</v>
      </c>
      <c r="G66" s="152">
        <v>13740.856450371801</v>
      </c>
      <c r="H66" s="156">
        <v>7.3501958303225604E-2</v>
      </c>
      <c r="I66" s="14">
        <v>0</v>
      </c>
      <c r="J66" s="14" t="s">
        <v>85</v>
      </c>
      <c r="K66" s="24">
        <v>44939.000003356479</v>
      </c>
      <c r="L66" s="14">
        <v>1</v>
      </c>
      <c r="M66" s="14" t="s">
        <v>415</v>
      </c>
      <c r="N66" s="45">
        <f t="shared" si="19"/>
        <v>1</v>
      </c>
      <c r="O66" s="159">
        <f t="shared" ref="O66:O129" si="20">IF($C66="","",IF(OR($J66="SWAP",$J66="FUTURE",$J66="CME FUTURE"),IF($L66=1,$F66*$N66,$AB$2*$F66*$N66/$H66),F66))</f>
        <v>186945.44699999999</v>
      </c>
      <c r="P66" s="47">
        <f t="shared" ref="P66:P129" si="21">IF($C66="","",IF(OR($J66="SWAP",$J66="FUTURE",$J66="CME FUTURE"),IF(NOT(ISERROR(VLOOKUP($M66,SpotUSDRateTable,2,FALSE))),VLOOKUP($M66,SpotUSDRateTable,2,FALSE),$H66)*O66,VLOOKUP($M66,SpotUSDRateTable,2,FALSE)*O66))</f>
        <v>13740.856450371872</v>
      </c>
      <c r="Q66" s="25">
        <f t="shared" si="7"/>
        <v>0</v>
      </c>
      <c r="R66" s="26" t="str">
        <f t="shared" si="8"/>
        <v>COIN</v>
      </c>
      <c r="S66" s="26" t="str">
        <f t="shared" si="18"/>
        <v>LONG</v>
      </c>
      <c r="T66" s="26" t="str">
        <f t="shared" si="9"/>
        <v>COIN LONG</v>
      </c>
      <c r="U66" s="17">
        <f t="shared" si="10"/>
        <v>13740.856450371801</v>
      </c>
      <c r="V66" s="17">
        <f t="shared" si="11"/>
        <v>7.3501958303225604E-2</v>
      </c>
      <c r="W66" s="39">
        <f>IF($C66="","",IF(DefaultScenario,IF(OR(AND(Default_Exchange="ALL",NOT(ISERROR(MATCH($C66,$AF$6:$AF$37,0)))),$C66=Default_Exchange),IF($G66&gt;0,-LGD,0),0),IF(OR($J66="SWAP",$J66="FUTURE",$J66="CME FUTURE"),IF('Futures &amp; Perps Shifted'!$AE$31,VLOOKUP($M66,'Futures &amp; Perps Shifted'!$AE$32:$AO$76,MATCH($R66,'Futures &amp; Perps Shifted'!$AE$30:$AO$30,0),FALSE),0),0)))</f>
        <v>0</v>
      </c>
      <c r="X66" s="17">
        <f t="shared" si="12"/>
        <v>0</v>
      </c>
      <c r="Y66" s="14" t="str">
        <f t="shared" si="17"/>
        <v>BINE</v>
      </c>
      <c r="Z66" t="str">
        <f t="shared" si="13"/>
        <v>GRT COIN LONG</v>
      </c>
      <c r="AA66" t="b">
        <f>IF($C66="","",IF(ISERROR(VLOOKUP($Y66,Mappings!$A:$C,3,FALSE)),FALSE,VLOOKUP($Y66,Mappings!$A:$C,3,FALSE)))</f>
        <v>1</v>
      </c>
      <c r="AH66">
        <f t="shared" si="14"/>
        <v>1</v>
      </c>
      <c r="AI66">
        <f t="shared" ref="AI66:AI78" si="22">IF($C66="","",IF($A66="",0,IF($L66=1,$F66*$AH66,$AB$2*$F66*$AH66/$H66)))</f>
        <v>186945.44699999999</v>
      </c>
      <c r="AJ66">
        <f t="shared" ref="AJ66:AJ79" si="23">IF($C66="","",IF($A66="",0,VLOOKUP($M66,SpotUSDRateTable,2,FALSE)*AI66))</f>
        <v>13740.856450371872</v>
      </c>
    </row>
    <row r="67" spans="1:36" customFormat="1" x14ac:dyDescent="0.25">
      <c r="A67" s="14">
        <v>65</v>
      </c>
      <c r="B67" s="71">
        <v>44939.000003356479</v>
      </c>
      <c r="C67" s="14" t="s">
        <v>11</v>
      </c>
      <c r="D67" s="14" t="s">
        <v>83</v>
      </c>
      <c r="E67" s="14" t="s">
        <v>135</v>
      </c>
      <c r="F67" s="100">
        <v>249422.74733057999</v>
      </c>
      <c r="G67" s="152">
        <v>11884.4044656608</v>
      </c>
      <c r="H67" s="156">
        <v>4.7647636764699498E-2</v>
      </c>
      <c r="I67" s="14">
        <v>0</v>
      </c>
      <c r="J67" s="14" t="s">
        <v>85</v>
      </c>
      <c r="K67" s="24">
        <v>44939.000003356479</v>
      </c>
      <c r="L67" s="14">
        <v>1</v>
      </c>
      <c r="M67" s="14" t="s">
        <v>135</v>
      </c>
      <c r="N67" s="45">
        <f t="shared" si="19"/>
        <v>1</v>
      </c>
      <c r="O67" s="159">
        <f t="shared" si="20"/>
        <v>249422.74733057999</v>
      </c>
      <c r="P67" s="47">
        <f t="shared" si="21"/>
        <v>11884.404465660897</v>
      </c>
      <c r="Q67" s="25">
        <f t="shared" ref="Q67:Q130" si="24">IF($C67="","",IF(OR($J67="SWAP",$J67="FUTURE",$J67="CME FUTURE"),INT($K67-$B67),0))</f>
        <v>0</v>
      </c>
      <c r="R67" s="26" t="str">
        <f t="shared" ref="R67:R130" si="25">IF($C67="","",IF(OR($E67="USD",$E67="EUR"),"CASH",IF($Q67=0,"COIN",IF($Q67&gt;720,"PERP",IF($J67="FUTURE",TEXT($K67-1,"mmm yy"),"CME "&amp;TEXT($K67-1,"mmm yy"))))))</f>
        <v>COIN</v>
      </c>
      <c r="S67" s="26" t="str">
        <f t="shared" si="18"/>
        <v>LONG</v>
      </c>
      <c r="T67" s="26" t="str">
        <f t="shared" ref="T67:T130" si="26">IF($C67="","",$R67&amp;" "&amp;$S67)</f>
        <v>COIN LONG</v>
      </c>
      <c r="U67" s="17">
        <f t="shared" ref="U67:U130" si="27">IF($C67="","",$G67*(1+$W67))</f>
        <v>11884.4044656608</v>
      </c>
      <c r="V67" s="17">
        <f t="shared" ref="V67:V130" si="28">IF($C67="","",$H67*(1+$W67))</f>
        <v>4.7647636764699498E-2</v>
      </c>
      <c r="W67" s="39">
        <f>IF($C67="","",IF(DefaultScenario,IF(OR(AND(Default_Exchange="ALL",NOT(ISERROR(MATCH($C67,$AF$6:$AF$37,0)))),$C67=Default_Exchange),IF($G67&gt;0,-LGD,0),0),IF(OR($J67="SWAP",$J67="FUTURE",$J67="CME FUTURE"),IF('Futures &amp; Perps Shifted'!$AE$31,VLOOKUP($M67,'Futures &amp; Perps Shifted'!$AE$32:$AO$76,MATCH($R67,'Futures &amp; Perps Shifted'!$AE$30:$AO$30,0),FALSE),0),0)))</f>
        <v>0</v>
      </c>
      <c r="X67" s="17">
        <f t="shared" ref="X67:X130" si="29">IF($C67="","",$U67-$G67)</f>
        <v>0</v>
      </c>
      <c r="Y67" s="14" t="str">
        <f t="shared" si="17"/>
        <v>BINE</v>
      </c>
      <c r="Z67" t="str">
        <f t="shared" ref="Z67:Z130" si="30">IF($C67="","",$M67&amp;" "&amp;$T67)</f>
        <v>HBAR COIN LONG</v>
      </c>
      <c r="AA67" t="b">
        <f>IF($C67="","",IF(ISERROR(VLOOKUP($Y67,Mappings!$A:$C,3,FALSE)),FALSE,VLOOKUP($Y67,Mappings!$A:$C,3,FALSE)))</f>
        <v>1</v>
      </c>
      <c r="AH67">
        <f t="shared" ref="AH67:AH79" si="31">IF($C67="","",IF($A67="",0,IF($L67=1,ROUND($G67/$H67/$F67,3),POWER(10,ROUND(LOG($G67/$F67),1)))))</f>
        <v>1</v>
      </c>
      <c r="AI67">
        <f t="shared" si="22"/>
        <v>249422.74733057999</v>
      </c>
      <c r="AJ67">
        <f t="shared" si="23"/>
        <v>11884.404465660897</v>
      </c>
    </row>
    <row r="68" spans="1:36" customFormat="1" x14ac:dyDescent="0.25">
      <c r="A68" s="14">
        <v>66</v>
      </c>
      <c r="B68" s="71">
        <v>44939.000003356479</v>
      </c>
      <c r="C68" s="14" t="s">
        <v>11</v>
      </c>
      <c r="D68" s="14" t="s">
        <v>83</v>
      </c>
      <c r="E68" s="14" t="s">
        <v>27</v>
      </c>
      <c r="F68" s="100">
        <v>8419.0230946600004</v>
      </c>
      <c r="G68" s="152">
        <v>53724.577714657004</v>
      </c>
      <c r="H68" s="156">
        <v>6.38133155243787</v>
      </c>
      <c r="I68" s="14">
        <v>0</v>
      </c>
      <c r="J68" s="14" t="s">
        <v>85</v>
      </c>
      <c r="K68" s="24">
        <v>44939.000003356479</v>
      </c>
      <c r="L68" s="14">
        <v>1</v>
      </c>
      <c r="M68" s="14" t="s">
        <v>27</v>
      </c>
      <c r="N68" s="45">
        <f t="shared" si="19"/>
        <v>1</v>
      </c>
      <c r="O68" s="159">
        <f t="shared" si="20"/>
        <v>8419.0230946600004</v>
      </c>
      <c r="P68" s="47">
        <f t="shared" si="21"/>
        <v>53724.577714656982</v>
      </c>
      <c r="Q68" s="25">
        <f t="shared" si="24"/>
        <v>0</v>
      </c>
      <c r="R68" s="26" t="str">
        <f t="shared" si="25"/>
        <v>COIN</v>
      </c>
      <c r="S68" s="26" t="str">
        <f t="shared" si="18"/>
        <v>LONG</v>
      </c>
      <c r="T68" s="26" t="str">
        <f t="shared" si="26"/>
        <v>COIN LONG</v>
      </c>
      <c r="U68" s="17">
        <f t="shared" si="27"/>
        <v>53724.577714657004</v>
      </c>
      <c r="V68" s="17">
        <f t="shared" si="28"/>
        <v>6.38133155243787</v>
      </c>
      <c r="W68" s="39">
        <f>IF($C68="","",IF(DefaultScenario,IF(OR(AND(Default_Exchange="ALL",NOT(ISERROR(MATCH($C68,$AF$6:$AF$37,0)))),$C68=Default_Exchange),IF($G68&gt;0,-LGD,0),0),IF(OR($J68="SWAP",$J68="FUTURE",$J68="CME FUTURE"),IF('Futures &amp; Perps Shifted'!$AE$31,VLOOKUP($M68,'Futures &amp; Perps Shifted'!$AE$32:$AO$76,MATCH($R68,'Futures &amp; Perps Shifted'!$AE$30:$AO$30,0),FALSE),0),0)))</f>
        <v>0</v>
      </c>
      <c r="X68" s="17">
        <f t="shared" si="29"/>
        <v>0</v>
      </c>
      <c r="Y68" s="14" t="str">
        <f t="shared" si="17"/>
        <v>BINE</v>
      </c>
      <c r="Z68" t="str">
        <f t="shared" si="30"/>
        <v>LINK COIN LONG</v>
      </c>
      <c r="AA68" t="b">
        <f>IF($C68="","",IF(ISERROR(VLOOKUP($Y68,Mappings!$A:$C,3,FALSE)),FALSE,VLOOKUP($Y68,Mappings!$A:$C,3,FALSE)))</f>
        <v>1</v>
      </c>
      <c r="AH68">
        <f t="shared" si="31"/>
        <v>1</v>
      </c>
      <c r="AI68">
        <f t="shared" si="22"/>
        <v>8419.0230946600004</v>
      </c>
      <c r="AJ68">
        <f t="shared" si="23"/>
        <v>53724.577714656982</v>
      </c>
    </row>
    <row r="69" spans="1:36" customFormat="1" x14ac:dyDescent="0.25">
      <c r="A69" s="14">
        <v>67</v>
      </c>
      <c r="B69" s="71">
        <v>44939.000003356479</v>
      </c>
      <c r="C69" s="14" t="s">
        <v>11</v>
      </c>
      <c r="D69" s="14" t="s">
        <v>83</v>
      </c>
      <c r="E69" s="14" t="s">
        <v>24</v>
      </c>
      <c r="F69" s="100">
        <v>975.24722336000002</v>
      </c>
      <c r="G69" s="152">
        <v>83836.376080131799</v>
      </c>
      <c r="H69" s="156">
        <v>85.964229450756093</v>
      </c>
      <c r="I69" s="14">
        <v>0</v>
      </c>
      <c r="J69" s="14" t="s">
        <v>85</v>
      </c>
      <c r="K69" s="24">
        <v>44939.000003356479</v>
      </c>
      <c r="L69" s="14">
        <v>1</v>
      </c>
      <c r="M69" s="14" t="s">
        <v>24</v>
      </c>
      <c r="N69" s="45">
        <f t="shared" si="19"/>
        <v>1</v>
      </c>
      <c r="O69" s="159">
        <f t="shared" si="20"/>
        <v>975.24722336000002</v>
      </c>
      <c r="P69" s="47">
        <f t="shared" si="21"/>
        <v>83836.376080131813</v>
      </c>
      <c r="Q69" s="25">
        <f t="shared" si="24"/>
        <v>0</v>
      </c>
      <c r="R69" s="26" t="str">
        <f t="shared" si="25"/>
        <v>COIN</v>
      </c>
      <c r="S69" s="26" t="str">
        <f t="shared" si="18"/>
        <v>LONG</v>
      </c>
      <c r="T69" s="26" t="str">
        <f t="shared" si="26"/>
        <v>COIN LONG</v>
      </c>
      <c r="U69" s="17">
        <f t="shared" si="27"/>
        <v>83836.376080131799</v>
      </c>
      <c r="V69" s="17">
        <f t="shared" si="28"/>
        <v>85.964229450756093</v>
      </c>
      <c r="W69" s="39">
        <f>IF($C69="","",IF(DefaultScenario,IF(OR(AND(Default_Exchange="ALL",NOT(ISERROR(MATCH($C69,$AF$6:$AF$37,0)))),$C69=Default_Exchange),IF($G69&gt;0,-LGD,0),0),IF(OR($J69="SWAP",$J69="FUTURE",$J69="CME FUTURE"),IF('Futures &amp; Perps Shifted'!$AE$31,VLOOKUP($M69,'Futures &amp; Perps Shifted'!$AE$32:$AO$76,MATCH($R69,'Futures &amp; Perps Shifted'!$AE$30:$AO$30,0),FALSE),0),0)))</f>
        <v>0</v>
      </c>
      <c r="X69" s="17">
        <f t="shared" si="29"/>
        <v>0</v>
      </c>
      <c r="Y69" s="14" t="str">
        <f t="shared" si="17"/>
        <v>BINE</v>
      </c>
      <c r="Z69" t="str">
        <f t="shared" si="30"/>
        <v>LTC COIN LONG</v>
      </c>
      <c r="AA69" t="b">
        <f>IF($C69="","",IF(ISERROR(VLOOKUP($Y69,Mappings!$A:$C,3,FALSE)),FALSE,VLOOKUP($Y69,Mappings!$A:$C,3,FALSE)))</f>
        <v>1</v>
      </c>
      <c r="AH69">
        <f t="shared" si="31"/>
        <v>1</v>
      </c>
      <c r="AI69">
        <f t="shared" si="22"/>
        <v>975.24722336000002</v>
      </c>
      <c r="AJ69">
        <f t="shared" si="23"/>
        <v>83836.376080131813</v>
      </c>
    </row>
    <row r="70" spans="1:36" customFormat="1" x14ac:dyDescent="0.25">
      <c r="A70" s="14">
        <v>68</v>
      </c>
      <c r="B70" s="71">
        <v>44939.000003356479</v>
      </c>
      <c r="C70" s="14" t="s">
        <v>11</v>
      </c>
      <c r="D70" s="14" t="s">
        <v>83</v>
      </c>
      <c r="E70" s="14" t="s">
        <v>192</v>
      </c>
      <c r="F70" s="100">
        <v>54984.847193989997</v>
      </c>
      <c r="G70" s="152">
        <v>22678.630462443802</v>
      </c>
      <c r="H70" s="156">
        <v>0.41245236860315698</v>
      </c>
      <c r="I70" s="14">
        <v>0</v>
      </c>
      <c r="J70" s="14" t="s">
        <v>85</v>
      </c>
      <c r="K70" s="24">
        <v>44939.000003356479</v>
      </c>
      <c r="L70" s="14">
        <v>1</v>
      </c>
      <c r="M70" s="14" t="s">
        <v>192</v>
      </c>
      <c r="N70" s="45">
        <f t="shared" si="19"/>
        <v>1</v>
      </c>
      <c r="O70" s="159">
        <f t="shared" si="20"/>
        <v>54984.847193989997</v>
      </c>
      <c r="P70" s="47">
        <f t="shared" si="21"/>
        <v>22678.630462443823</v>
      </c>
      <c r="Q70" s="25">
        <f t="shared" si="24"/>
        <v>0</v>
      </c>
      <c r="R70" s="26" t="str">
        <f t="shared" si="25"/>
        <v>COIN</v>
      </c>
      <c r="S70" s="26" t="str">
        <f t="shared" si="18"/>
        <v>LONG</v>
      </c>
      <c r="T70" s="26" t="str">
        <f t="shared" si="26"/>
        <v>COIN LONG</v>
      </c>
      <c r="U70" s="17">
        <f t="shared" si="27"/>
        <v>22678.630462443802</v>
      </c>
      <c r="V70" s="17">
        <f t="shared" si="28"/>
        <v>0.41245236860315698</v>
      </c>
      <c r="W70" s="39">
        <f>IF($C70="","",IF(DefaultScenario,IF(OR(AND(Default_Exchange="ALL",NOT(ISERROR(MATCH($C70,$AF$6:$AF$37,0)))),$C70=Default_Exchange),IF($G70&gt;0,-LGD,0),0),IF(OR($J70="SWAP",$J70="FUTURE",$J70="CME FUTURE"),IF('Futures &amp; Perps Shifted'!$AE$31,VLOOKUP($M70,'Futures &amp; Perps Shifted'!$AE$32:$AO$76,MATCH($R70,'Futures &amp; Perps Shifted'!$AE$30:$AO$30,0),FALSE),0),0)))</f>
        <v>0</v>
      </c>
      <c r="X70" s="17">
        <f t="shared" si="29"/>
        <v>0</v>
      </c>
      <c r="Y70" s="14" t="str">
        <f t="shared" si="17"/>
        <v>BINE</v>
      </c>
      <c r="Z70" t="str">
        <f t="shared" si="30"/>
        <v>MANA COIN LONG</v>
      </c>
      <c r="AA70" t="b">
        <f>IF($C70="","",IF(ISERROR(VLOOKUP($Y70,Mappings!$A:$C,3,FALSE)),FALSE,VLOOKUP($Y70,Mappings!$A:$C,3,FALSE)))</f>
        <v>1</v>
      </c>
      <c r="AH70">
        <f t="shared" si="31"/>
        <v>1</v>
      </c>
      <c r="AI70">
        <f t="shared" si="22"/>
        <v>54984.847193989997</v>
      </c>
      <c r="AJ70">
        <f t="shared" si="23"/>
        <v>22678.630462443823</v>
      </c>
    </row>
    <row r="71" spans="1:36" customFormat="1" x14ac:dyDescent="0.25">
      <c r="A71" s="14">
        <v>69</v>
      </c>
      <c r="B71" s="71">
        <v>44939.000003356479</v>
      </c>
      <c r="C71" s="14" t="s">
        <v>11</v>
      </c>
      <c r="D71" s="14" t="s">
        <v>83</v>
      </c>
      <c r="E71" s="14" t="s">
        <v>193</v>
      </c>
      <c r="F71" s="100">
        <v>47252.316829759999</v>
      </c>
      <c r="G71" s="152">
        <v>43296.783539646203</v>
      </c>
      <c r="H71" s="156">
        <v>0.91628911436523497</v>
      </c>
      <c r="I71" s="14">
        <v>0</v>
      </c>
      <c r="J71" s="14" t="s">
        <v>85</v>
      </c>
      <c r="K71" s="24">
        <v>44939.000003356479</v>
      </c>
      <c r="L71" s="14">
        <v>1</v>
      </c>
      <c r="M71" s="14" t="s">
        <v>193</v>
      </c>
      <c r="N71" s="45">
        <f t="shared" si="19"/>
        <v>1</v>
      </c>
      <c r="O71" s="159">
        <f t="shared" si="20"/>
        <v>47252.316829759999</v>
      </c>
      <c r="P71" s="47">
        <f t="shared" si="21"/>
        <v>43296.783539646276</v>
      </c>
      <c r="Q71" s="25">
        <f t="shared" si="24"/>
        <v>0</v>
      </c>
      <c r="R71" s="26" t="str">
        <f t="shared" si="25"/>
        <v>COIN</v>
      </c>
      <c r="S71" s="26" t="str">
        <f t="shared" si="18"/>
        <v>LONG</v>
      </c>
      <c r="T71" s="26" t="str">
        <f t="shared" si="26"/>
        <v>COIN LONG</v>
      </c>
      <c r="U71" s="17">
        <f t="shared" si="27"/>
        <v>43296.783539646203</v>
      </c>
      <c r="V71" s="17">
        <f t="shared" si="28"/>
        <v>0.91628911436523497</v>
      </c>
      <c r="W71" s="39">
        <f>IF($C71="","",IF(DefaultScenario,IF(OR(AND(Default_Exchange="ALL",NOT(ISERROR(MATCH($C71,$AF$6:$AF$37,0)))),$C71=Default_Exchange),IF($G71&gt;0,-LGD,0),0),IF(OR($J71="SWAP",$J71="FUTURE",$J71="CME FUTURE"),IF('Futures &amp; Perps Shifted'!$AE$31,VLOOKUP($M71,'Futures &amp; Perps Shifted'!$AE$32:$AO$76,MATCH($R71,'Futures &amp; Perps Shifted'!$AE$30:$AO$30,0),FALSE),0),0)))</f>
        <v>0</v>
      </c>
      <c r="X71" s="17">
        <f t="shared" si="29"/>
        <v>0</v>
      </c>
      <c r="Y71" s="14" t="str">
        <f t="shared" si="17"/>
        <v>BINE</v>
      </c>
      <c r="Z71" t="str">
        <f t="shared" si="30"/>
        <v>MATIC COIN LONG</v>
      </c>
      <c r="AA71" t="b">
        <f>IF($C71="","",IF(ISERROR(VLOOKUP($Y71,Mappings!$A:$C,3,FALSE)),FALSE,VLOOKUP($Y71,Mappings!$A:$C,3,FALSE)))</f>
        <v>1</v>
      </c>
      <c r="AH71">
        <f t="shared" si="31"/>
        <v>1</v>
      </c>
      <c r="AI71">
        <f t="shared" si="22"/>
        <v>47252.316829759999</v>
      </c>
      <c r="AJ71">
        <f t="shared" si="23"/>
        <v>43296.783539646276</v>
      </c>
    </row>
    <row r="72" spans="1:36" customFormat="1" x14ac:dyDescent="0.25">
      <c r="A72" s="14">
        <v>70</v>
      </c>
      <c r="B72" s="71">
        <v>44939.000003356479</v>
      </c>
      <c r="C72" s="14" t="s">
        <v>11</v>
      </c>
      <c r="D72" s="14" t="s">
        <v>83</v>
      </c>
      <c r="E72" s="14" t="s">
        <v>413</v>
      </c>
      <c r="F72" s="100">
        <v>11.133492329999999</v>
      </c>
      <c r="G72" s="152">
        <v>7265.4461614147704</v>
      </c>
      <c r="H72" s="156">
        <v>652.57566503526505</v>
      </c>
      <c r="I72" s="14">
        <v>0</v>
      </c>
      <c r="J72" s="14" t="s">
        <v>85</v>
      </c>
      <c r="K72" s="24">
        <v>44939.000003356479</v>
      </c>
      <c r="L72" s="14">
        <v>1</v>
      </c>
      <c r="M72" s="14" t="s">
        <v>413</v>
      </c>
      <c r="N72" s="45">
        <f t="shared" si="19"/>
        <v>1</v>
      </c>
      <c r="O72" s="159">
        <f t="shared" si="20"/>
        <v>11.133492329999999</v>
      </c>
      <c r="P72" s="47">
        <f t="shared" si="21"/>
        <v>7265.4461614147722</v>
      </c>
      <c r="Q72" s="25">
        <f t="shared" si="24"/>
        <v>0</v>
      </c>
      <c r="R72" s="26" t="str">
        <f t="shared" si="25"/>
        <v>COIN</v>
      </c>
      <c r="S72" s="26" t="str">
        <f t="shared" si="18"/>
        <v>LONG</v>
      </c>
      <c r="T72" s="26" t="str">
        <f t="shared" si="26"/>
        <v>COIN LONG</v>
      </c>
      <c r="U72" s="17">
        <f t="shared" si="27"/>
        <v>7265.4461614147704</v>
      </c>
      <c r="V72" s="17">
        <f t="shared" si="28"/>
        <v>652.57566503526505</v>
      </c>
      <c r="W72" s="39">
        <f>IF($C72="","",IF(DefaultScenario,IF(OR(AND(Default_Exchange="ALL",NOT(ISERROR(MATCH($C72,$AF$6:$AF$37,0)))),$C72=Default_Exchange),IF($G72&gt;0,-LGD,0),0),IF(OR($J72="SWAP",$J72="FUTURE",$J72="CME FUTURE"),IF('Futures &amp; Perps Shifted'!$AE$31,VLOOKUP($M72,'Futures &amp; Perps Shifted'!$AE$32:$AO$76,MATCH($R72,'Futures &amp; Perps Shifted'!$AE$30:$AO$30,0),FALSE),0),0)))</f>
        <v>0</v>
      </c>
      <c r="X72" s="17">
        <f t="shared" si="29"/>
        <v>0</v>
      </c>
      <c r="Y72" s="14" t="str">
        <f t="shared" si="17"/>
        <v>BINE</v>
      </c>
      <c r="Z72" t="str">
        <f t="shared" si="30"/>
        <v>MKR COIN LONG</v>
      </c>
      <c r="AA72" t="b">
        <f>IF($C72="","",IF(ISERROR(VLOOKUP($Y72,Mappings!$A:$C,3,FALSE)),FALSE,VLOOKUP($Y72,Mappings!$A:$C,3,FALSE)))</f>
        <v>1</v>
      </c>
      <c r="AH72">
        <f t="shared" si="31"/>
        <v>1</v>
      </c>
      <c r="AI72">
        <f t="shared" si="22"/>
        <v>11.133492329999999</v>
      </c>
      <c r="AJ72">
        <f t="shared" si="23"/>
        <v>7265.4461614147722</v>
      </c>
    </row>
    <row r="73" spans="1:36" customFormat="1" x14ac:dyDescent="0.25">
      <c r="A73" s="14">
        <v>71</v>
      </c>
      <c r="B73" s="71">
        <v>44939.000003356479</v>
      </c>
      <c r="C73" s="14" t="s">
        <v>11</v>
      </c>
      <c r="D73" s="14" t="s">
        <v>83</v>
      </c>
      <c r="E73" s="14" t="s">
        <v>150</v>
      </c>
      <c r="F73" s="100">
        <v>24199.849819300001</v>
      </c>
      <c r="G73" s="152">
        <v>29336.8002806806</v>
      </c>
      <c r="H73" s="156">
        <v>1.21227199754288</v>
      </c>
      <c r="I73" s="14">
        <v>0</v>
      </c>
      <c r="J73" s="14" t="s">
        <v>85</v>
      </c>
      <c r="K73" s="24">
        <v>44939.000003356479</v>
      </c>
      <c r="L73" s="14">
        <v>1</v>
      </c>
      <c r="M73" s="14" t="s">
        <v>150</v>
      </c>
      <c r="N73" s="45">
        <f t="shared" si="19"/>
        <v>1</v>
      </c>
      <c r="O73" s="159">
        <f t="shared" si="20"/>
        <v>24199.849819300001</v>
      </c>
      <c r="P73" s="47">
        <f t="shared" si="21"/>
        <v>29336.800280680516</v>
      </c>
      <c r="Q73" s="25">
        <f t="shared" si="24"/>
        <v>0</v>
      </c>
      <c r="R73" s="26" t="str">
        <f t="shared" si="25"/>
        <v>COIN</v>
      </c>
      <c r="S73" s="26" t="str">
        <f t="shared" si="18"/>
        <v>LONG</v>
      </c>
      <c r="T73" s="26" t="str">
        <f t="shared" si="26"/>
        <v>COIN LONG</v>
      </c>
      <c r="U73" s="17">
        <f t="shared" si="27"/>
        <v>29336.8002806806</v>
      </c>
      <c r="V73" s="17">
        <f t="shared" si="28"/>
        <v>1.21227199754288</v>
      </c>
      <c r="W73" s="39">
        <f>IF($C73="","",IF(DefaultScenario,IF(OR(AND(Default_Exchange="ALL",NOT(ISERROR(MATCH($C73,$AF$6:$AF$37,0)))),$C73=Default_Exchange),IF($G73&gt;0,-LGD,0),0),IF(OR($J73="SWAP",$J73="FUTURE",$J73="CME FUTURE"),IF('Futures &amp; Perps Shifted'!$AE$31,VLOOKUP($M73,'Futures &amp; Perps Shifted'!$AE$32:$AO$76,MATCH($R73,'Futures &amp; Perps Shifted'!$AE$30:$AO$30,0),FALSE),0),0)))</f>
        <v>0</v>
      </c>
      <c r="X73" s="17">
        <f t="shared" si="29"/>
        <v>0</v>
      </c>
      <c r="Y73" s="14" t="str">
        <f t="shared" si="17"/>
        <v>BINE</v>
      </c>
      <c r="Z73" t="str">
        <f t="shared" si="30"/>
        <v>OMG COIN LONG</v>
      </c>
      <c r="AA73" t="b">
        <f>IF($C73="","",IF(ISERROR(VLOOKUP($Y73,Mappings!$A:$C,3,FALSE)),FALSE,VLOOKUP($Y73,Mappings!$A:$C,3,FALSE)))</f>
        <v>1</v>
      </c>
      <c r="AH73">
        <f t="shared" si="31"/>
        <v>1</v>
      </c>
      <c r="AI73">
        <f t="shared" si="22"/>
        <v>24199.849819300001</v>
      </c>
      <c r="AJ73">
        <f t="shared" si="23"/>
        <v>29336.800280680516</v>
      </c>
    </row>
    <row r="74" spans="1:36" customFormat="1" x14ac:dyDescent="0.25">
      <c r="A74" s="14">
        <v>72</v>
      </c>
      <c r="B74" s="71">
        <v>44939.000003356479</v>
      </c>
      <c r="C74" s="14" t="s">
        <v>11</v>
      </c>
      <c r="D74" s="14" t="s">
        <v>83</v>
      </c>
      <c r="E74" s="14" t="s">
        <v>89</v>
      </c>
      <c r="F74" s="100">
        <v>313858.75941951998</v>
      </c>
      <c r="G74" s="152">
        <v>23011.9145554516</v>
      </c>
      <c r="H74" s="156">
        <v>7.3319331912265404E-2</v>
      </c>
      <c r="I74" s="14">
        <v>0</v>
      </c>
      <c r="J74" s="14" t="s">
        <v>85</v>
      </c>
      <c r="K74" s="24">
        <v>44939.000003356479</v>
      </c>
      <c r="L74" s="14">
        <v>1</v>
      </c>
      <c r="M74" s="14" t="s">
        <v>89</v>
      </c>
      <c r="N74" s="45">
        <f t="shared" si="19"/>
        <v>1</v>
      </c>
      <c r="O74" s="159">
        <f t="shared" si="20"/>
        <v>313858.75941951998</v>
      </c>
      <c r="P74" s="47">
        <f t="shared" si="21"/>
        <v>23011.91455545164</v>
      </c>
      <c r="Q74" s="25">
        <f t="shared" si="24"/>
        <v>0</v>
      </c>
      <c r="R74" s="26" t="str">
        <f t="shared" si="25"/>
        <v>COIN</v>
      </c>
      <c r="S74" s="26" t="str">
        <f t="shared" si="18"/>
        <v>LONG</v>
      </c>
      <c r="T74" s="26" t="str">
        <f t="shared" si="26"/>
        <v>COIN LONG</v>
      </c>
      <c r="U74" s="17">
        <f t="shared" si="27"/>
        <v>23011.9145554516</v>
      </c>
      <c r="V74" s="17">
        <f t="shared" si="28"/>
        <v>7.3319331912265404E-2</v>
      </c>
      <c r="W74" s="39">
        <f>IF($C74="","",IF(DefaultScenario,IF(OR(AND(Default_Exchange="ALL",NOT(ISERROR(MATCH($C74,$AF$6:$AF$37,0)))),$C74=Default_Exchange),IF($G74&gt;0,-LGD,0),0),IF(OR($J74="SWAP",$J74="FUTURE",$J74="CME FUTURE"),IF('Futures &amp; Perps Shifted'!$AE$31,VLOOKUP($M74,'Futures &amp; Perps Shifted'!$AE$32:$AO$76,MATCH($R74,'Futures &amp; Perps Shifted'!$AE$30:$AO$30,0),FALSE),0),0)))</f>
        <v>0</v>
      </c>
      <c r="X74" s="17">
        <f t="shared" si="29"/>
        <v>0</v>
      </c>
      <c r="Y74" s="14" t="str">
        <f t="shared" si="17"/>
        <v>BINE</v>
      </c>
      <c r="Z74" t="str">
        <f t="shared" si="30"/>
        <v>OXT COIN LONG</v>
      </c>
      <c r="AA74" t="b">
        <f>IF($C74="","",IF(ISERROR(VLOOKUP($Y74,Mappings!$A:$C,3,FALSE)),FALSE,VLOOKUP($Y74,Mappings!$A:$C,3,FALSE)))</f>
        <v>1</v>
      </c>
      <c r="AH74">
        <f t="shared" si="31"/>
        <v>1</v>
      </c>
      <c r="AI74">
        <f t="shared" si="22"/>
        <v>313858.75941951998</v>
      </c>
      <c r="AJ74">
        <f t="shared" si="23"/>
        <v>23011.91455545164</v>
      </c>
    </row>
    <row r="75" spans="1:36" customFormat="1" x14ac:dyDescent="0.25">
      <c r="A75" s="14">
        <v>73</v>
      </c>
      <c r="B75" s="71">
        <v>44939.000003356479</v>
      </c>
      <c r="C75" s="14" t="s">
        <v>11</v>
      </c>
      <c r="D75" s="23" t="s">
        <v>83</v>
      </c>
      <c r="E75" s="23" t="s">
        <v>37</v>
      </c>
      <c r="F75" s="101">
        <v>81762615062.479996</v>
      </c>
      <c r="G75" s="153">
        <v>774405.07018634095</v>
      </c>
      <c r="H75" s="157">
        <v>9.4713833405960602E-6</v>
      </c>
      <c r="I75" s="23">
        <v>0</v>
      </c>
      <c r="J75" s="14" t="s">
        <v>85</v>
      </c>
      <c r="K75" s="24">
        <v>44939.000003356479</v>
      </c>
      <c r="L75" s="23">
        <v>1</v>
      </c>
      <c r="M75" s="23" t="s">
        <v>37</v>
      </c>
      <c r="N75" s="45">
        <f t="shared" si="19"/>
        <v>1</v>
      </c>
      <c r="O75" s="159">
        <f t="shared" si="20"/>
        <v>81762615062.479996</v>
      </c>
      <c r="P75" s="47">
        <f t="shared" si="21"/>
        <v>774405.07018634153</v>
      </c>
      <c r="Q75" s="25">
        <f t="shared" si="24"/>
        <v>0</v>
      </c>
      <c r="R75" s="26" t="str">
        <f t="shared" si="25"/>
        <v>COIN</v>
      </c>
      <c r="S75" s="26" t="str">
        <f t="shared" si="18"/>
        <v>LONG</v>
      </c>
      <c r="T75" s="26" t="str">
        <f t="shared" si="26"/>
        <v>COIN LONG</v>
      </c>
      <c r="U75" s="17">
        <f t="shared" si="27"/>
        <v>774405.07018634095</v>
      </c>
      <c r="V75" s="17">
        <f t="shared" si="28"/>
        <v>9.4713833405960602E-6</v>
      </c>
      <c r="W75" s="39">
        <f>IF($C75="","",IF(DefaultScenario,IF(OR(AND(Default_Exchange="ALL",NOT(ISERROR(MATCH($C75,$AF$6:$AF$37,0)))),$C75=Default_Exchange),IF($G75&gt;0,-LGD,0),0),IF(OR($J75="SWAP",$J75="FUTURE",$J75="CME FUTURE"),IF('Futures &amp; Perps Shifted'!$AE$31,VLOOKUP($M75,'Futures &amp; Perps Shifted'!$AE$32:$AO$76,MATCH($R75,'Futures &amp; Perps Shifted'!$AE$30:$AO$30,0),FALSE),0),0)))</f>
        <v>0</v>
      </c>
      <c r="X75" s="17">
        <f t="shared" si="29"/>
        <v>0</v>
      </c>
      <c r="Y75" s="14" t="str">
        <f t="shared" si="17"/>
        <v>BINE</v>
      </c>
      <c r="Z75" t="str">
        <f t="shared" si="30"/>
        <v>SHIB COIN LONG</v>
      </c>
      <c r="AA75" t="b">
        <f>IF($C75="","",IF(ISERROR(VLOOKUP($Y75,Mappings!$A:$C,3,FALSE)),FALSE,VLOOKUP($Y75,Mappings!$A:$C,3,FALSE)))</f>
        <v>1</v>
      </c>
      <c r="AH75">
        <f t="shared" si="31"/>
        <v>1</v>
      </c>
      <c r="AI75">
        <f t="shared" si="22"/>
        <v>81762615062.479996</v>
      </c>
      <c r="AJ75">
        <f t="shared" si="23"/>
        <v>774405.07018634153</v>
      </c>
    </row>
    <row r="76" spans="1:36" customFormat="1" x14ac:dyDescent="0.25">
      <c r="A76" s="14">
        <v>74</v>
      </c>
      <c r="B76" s="71">
        <v>44939.000003356479</v>
      </c>
      <c r="C76" s="14" t="s">
        <v>11</v>
      </c>
      <c r="D76" s="23" t="s">
        <v>83</v>
      </c>
      <c r="E76" s="23" t="s">
        <v>154</v>
      </c>
      <c r="F76" s="101">
        <v>5426.8777341900004</v>
      </c>
      <c r="G76" s="153">
        <v>90189.520912775901</v>
      </c>
      <c r="H76" s="157">
        <v>16.6190441963655</v>
      </c>
      <c r="I76" s="23">
        <v>0</v>
      </c>
      <c r="J76" s="14" t="s">
        <v>85</v>
      </c>
      <c r="K76" s="24">
        <v>44939.000003356479</v>
      </c>
      <c r="L76" s="23">
        <v>1</v>
      </c>
      <c r="M76" s="23" t="s">
        <v>154</v>
      </c>
      <c r="N76" s="45">
        <f t="shared" si="19"/>
        <v>1</v>
      </c>
      <c r="O76" s="159">
        <f t="shared" si="20"/>
        <v>5426.8777341900004</v>
      </c>
      <c r="P76" s="47">
        <f t="shared" si="21"/>
        <v>90189.520912775479</v>
      </c>
      <c r="Q76" s="25">
        <f t="shared" si="24"/>
        <v>0</v>
      </c>
      <c r="R76" s="26" t="str">
        <f t="shared" si="25"/>
        <v>COIN</v>
      </c>
      <c r="S76" s="26" t="str">
        <f t="shared" si="18"/>
        <v>LONG</v>
      </c>
      <c r="T76" s="26" t="str">
        <f t="shared" si="26"/>
        <v>COIN LONG</v>
      </c>
      <c r="U76" s="17">
        <f t="shared" si="27"/>
        <v>90189.520912775901</v>
      </c>
      <c r="V76" s="17">
        <f t="shared" si="28"/>
        <v>16.6190441963655</v>
      </c>
      <c r="W76" s="39">
        <f>IF($C76="","",IF(DefaultScenario,IF(OR(AND(Default_Exchange="ALL",NOT(ISERROR(MATCH($C76,$AF$6:$AF$37,0)))),$C76=Default_Exchange),IF($G76&gt;0,-LGD,0),0),IF(OR($J76="SWAP",$J76="FUTURE",$J76="CME FUTURE"),IF('Futures &amp; Perps Shifted'!$AE$31,VLOOKUP($M76,'Futures &amp; Perps Shifted'!$AE$32:$AO$76,MATCH($R76,'Futures &amp; Perps Shifted'!$AE$30:$AO$30,0),FALSE),0),0)))</f>
        <v>0</v>
      </c>
      <c r="X76" s="17">
        <f t="shared" si="29"/>
        <v>0</v>
      </c>
      <c r="Y76" s="14" t="str">
        <f t="shared" si="17"/>
        <v>BINE</v>
      </c>
      <c r="Z76" t="str">
        <f t="shared" si="30"/>
        <v>SOL COIN LONG</v>
      </c>
      <c r="AA76" t="b">
        <f>IF($C76="","",IF(ISERROR(VLOOKUP($Y76,Mappings!$A:$C,3,FALSE)),FALSE,VLOOKUP($Y76,Mappings!$A:$C,3,FALSE)))</f>
        <v>1</v>
      </c>
      <c r="AH76">
        <f t="shared" si="31"/>
        <v>1</v>
      </c>
      <c r="AI76">
        <f t="shared" si="22"/>
        <v>5426.8777341900004</v>
      </c>
      <c r="AJ76">
        <f t="shared" si="23"/>
        <v>90189.520912775479</v>
      </c>
    </row>
    <row r="77" spans="1:36" customFormat="1" x14ac:dyDescent="0.25">
      <c r="A77" s="14">
        <v>75</v>
      </c>
      <c r="B77" s="71">
        <v>44939.000003356479</v>
      </c>
      <c r="C77" s="14" t="s">
        <v>11</v>
      </c>
      <c r="D77" s="23" t="s">
        <v>83</v>
      </c>
      <c r="E77" s="23" t="s">
        <v>414</v>
      </c>
      <c r="F77" s="101">
        <v>20883.602943549999</v>
      </c>
      <c r="G77" s="153">
        <v>23759.057496110101</v>
      </c>
      <c r="H77" s="157">
        <v>1.1376895816460699</v>
      </c>
      <c r="I77" s="23">
        <v>0</v>
      </c>
      <c r="J77" s="14" t="s">
        <v>85</v>
      </c>
      <c r="K77" s="24">
        <v>44939.000003356479</v>
      </c>
      <c r="L77" s="23">
        <v>1</v>
      </c>
      <c r="M77" s="23" t="s">
        <v>414</v>
      </c>
      <c r="N77" s="45">
        <f t="shared" si="19"/>
        <v>1</v>
      </c>
      <c r="O77" s="159">
        <f t="shared" si="20"/>
        <v>20883.602943549999</v>
      </c>
      <c r="P77" s="47">
        <f t="shared" si="21"/>
        <v>23759.057496110032</v>
      </c>
      <c r="Q77" s="25">
        <f t="shared" si="24"/>
        <v>0</v>
      </c>
      <c r="R77" s="26" t="str">
        <f t="shared" si="25"/>
        <v>COIN</v>
      </c>
      <c r="S77" s="26" t="str">
        <f t="shared" si="18"/>
        <v>LONG</v>
      </c>
      <c r="T77" s="26" t="str">
        <f t="shared" si="26"/>
        <v>COIN LONG</v>
      </c>
      <c r="U77" s="17">
        <f t="shared" si="27"/>
        <v>23759.057496110101</v>
      </c>
      <c r="V77" s="17">
        <f t="shared" si="28"/>
        <v>1.1376895816460699</v>
      </c>
      <c r="W77" s="39">
        <f>IF($C77="","",IF(DefaultScenario,IF(OR(AND(Default_Exchange="ALL",NOT(ISERROR(MATCH($C77,$AF$6:$AF$37,0)))),$C77=Default_Exchange),IF($G77&gt;0,-LGD,0),0),IF(OR($J77="SWAP",$J77="FUTURE",$J77="CME FUTURE"),IF('Futures &amp; Perps Shifted'!$AE$31,VLOOKUP($M77,'Futures &amp; Perps Shifted'!$AE$32:$AO$76,MATCH($R77,'Futures &amp; Perps Shifted'!$AE$30:$AO$30,0),FALSE),0),0)))</f>
        <v>0</v>
      </c>
      <c r="X77" s="17">
        <f t="shared" si="29"/>
        <v>0</v>
      </c>
      <c r="Y77" s="14" t="str">
        <f t="shared" si="17"/>
        <v>BINE</v>
      </c>
      <c r="Z77" t="str">
        <f t="shared" si="30"/>
        <v>SUSHI COIN LONG</v>
      </c>
      <c r="AA77" t="b">
        <f>IF($C77="","",IF(ISERROR(VLOOKUP($Y77,Mappings!$A:$C,3,FALSE)),FALSE,VLOOKUP($Y77,Mappings!$A:$C,3,FALSE)))</f>
        <v>1</v>
      </c>
      <c r="AH77">
        <f t="shared" si="31"/>
        <v>1</v>
      </c>
      <c r="AI77">
        <f t="shared" si="22"/>
        <v>20883.602943549999</v>
      </c>
      <c r="AJ77">
        <f t="shared" si="23"/>
        <v>23759.057496110032</v>
      </c>
    </row>
    <row r="78" spans="1:36" customFormat="1" x14ac:dyDescent="0.25">
      <c r="A78" s="14">
        <v>76</v>
      </c>
      <c r="B78" s="71">
        <v>44939.000003356479</v>
      </c>
      <c r="C78" s="14" t="s">
        <v>11</v>
      </c>
      <c r="D78" s="23" t="s">
        <v>83</v>
      </c>
      <c r="E78" s="23" t="s">
        <v>159</v>
      </c>
      <c r="F78" s="101">
        <v>5710.7047593899997</v>
      </c>
      <c r="G78" s="153">
        <v>35254.357869090498</v>
      </c>
      <c r="H78" s="157">
        <v>6.1733812820777398</v>
      </c>
      <c r="I78" s="23">
        <v>0</v>
      </c>
      <c r="J78" s="23" t="s">
        <v>85</v>
      </c>
      <c r="K78" s="24">
        <v>44939.000003356479</v>
      </c>
      <c r="L78" s="23">
        <v>1</v>
      </c>
      <c r="M78" s="23" t="s">
        <v>159</v>
      </c>
      <c r="N78" s="45">
        <f t="shared" si="19"/>
        <v>1</v>
      </c>
      <c r="O78" s="159">
        <f t="shared" si="20"/>
        <v>5710.7047593899997</v>
      </c>
      <c r="P78" s="47">
        <f t="shared" si="21"/>
        <v>35254.357869090491</v>
      </c>
      <c r="Q78" s="25">
        <f t="shared" si="24"/>
        <v>0</v>
      </c>
      <c r="R78" s="26" t="str">
        <f t="shared" si="25"/>
        <v>COIN</v>
      </c>
      <c r="S78" s="26" t="str">
        <f t="shared" si="18"/>
        <v>LONG</v>
      </c>
      <c r="T78" s="26" t="str">
        <f t="shared" si="26"/>
        <v>COIN LONG</v>
      </c>
      <c r="U78" s="17">
        <f t="shared" si="27"/>
        <v>35254.357869090498</v>
      </c>
      <c r="V78" s="17">
        <f t="shared" si="28"/>
        <v>6.1733812820777398</v>
      </c>
      <c r="W78" s="39">
        <f>IF($C78="","",IF(DefaultScenario,IF(OR(AND(Default_Exchange="ALL",NOT(ISERROR(MATCH($C78,$AF$6:$AF$37,0)))),$C78=Default_Exchange),IF($G78&gt;0,-LGD,0),0),IF(OR($J78="SWAP",$J78="FUTURE",$J78="CME FUTURE"),IF('Futures &amp; Perps Shifted'!$AE$31,VLOOKUP($M78,'Futures &amp; Perps Shifted'!$AE$32:$AO$76,MATCH($R78,'Futures &amp; Perps Shifted'!$AE$30:$AO$30,0),FALSE),0),0)))</f>
        <v>0</v>
      </c>
      <c r="X78" s="17">
        <f t="shared" si="29"/>
        <v>0</v>
      </c>
      <c r="Y78" s="14" t="str">
        <f t="shared" si="17"/>
        <v>BINE</v>
      </c>
      <c r="Z78" t="str">
        <f t="shared" si="30"/>
        <v>UNI COIN LONG</v>
      </c>
      <c r="AA78" t="b">
        <f>IF($C78="","",IF(ISERROR(VLOOKUP($Y78,Mappings!$A:$C,3,FALSE)),FALSE,VLOOKUP($Y78,Mappings!$A:$C,3,FALSE)))</f>
        <v>1</v>
      </c>
      <c r="AH78">
        <f t="shared" si="31"/>
        <v>1</v>
      </c>
      <c r="AI78">
        <f t="shared" si="22"/>
        <v>5710.7047593899997</v>
      </c>
      <c r="AJ78">
        <f t="shared" si="23"/>
        <v>35254.357869090491</v>
      </c>
    </row>
    <row r="79" spans="1:36" customFormat="1" x14ac:dyDescent="0.25">
      <c r="A79" s="14">
        <v>77</v>
      </c>
      <c r="B79" s="71">
        <v>44939.000003356479</v>
      </c>
      <c r="C79" s="14" t="s">
        <v>11</v>
      </c>
      <c r="D79" s="23" t="s">
        <v>83</v>
      </c>
      <c r="E79" s="23" t="s">
        <v>38</v>
      </c>
      <c r="F79" s="101">
        <v>618871.51817801001</v>
      </c>
      <c r="G79" s="153">
        <v>618928.48479657702</v>
      </c>
      <c r="H79" s="157">
        <v>1.00009204918451</v>
      </c>
      <c r="I79" s="23">
        <v>0</v>
      </c>
      <c r="J79" s="23" t="s">
        <v>85</v>
      </c>
      <c r="K79" s="24">
        <v>44939.000003356479</v>
      </c>
      <c r="L79" s="23">
        <v>1</v>
      </c>
      <c r="M79" s="23" t="s">
        <v>38</v>
      </c>
      <c r="N79" s="45">
        <f t="shared" si="19"/>
        <v>1</v>
      </c>
      <c r="O79" s="159">
        <f t="shared" si="20"/>
        <v>618871.51817801001</v>
      </c>
      <c r="P79" s="47">
        <f t="shared" si="21"/>
        <v>618928.4847965748</v>
      </c>
      <c r="Q79" s="25">
        <f t="shared" si="24"/>
        <v>0</v>
      </c>
      <c r="R79" s="26" t="str">
        <f t="shared" si="25"/>
        <v>COIN</v>
      </c>
      <c r="S79" s="26" t="str">
        <f t="shared" si="18"/>
        <v>LONG</v>
      </c>
      <c r="T79" s="26" t="str">
        <f t="shared" si="26"/>
        <v>COIN LONG</v>
      </c>
      <c r="U79" s="17">
        <f t="shared" si="27"/>
        <v>618928.48479657702</v>
      </c>
      <c r="V79" s="17">
        <f t="shared" si="28"/>
        <v>1.00009204918451</v>
      </c>
      <c r="W79" s="39">
        <f>IF($C79="","",IF(DefaultScenario,IF(OR(AND(Default_Exchange="ALL",NOT(ISERROR(MATCH($C79,$AF$6:$AF$37,0)))),$C79=Default_Exchange),IF($G79&gt;0,-LGD,0),0),IF(OR($J79="SWAP",$J79="FUTURE",$J79="CME FUTURE"),IF('Futures &amp; Perps Shifted'!$AE$31,VLOOKUP($M79,'Futures &amp; Perps Shifted'!$AE$32:$AO$76,MATCH($R79,'Futures &amp; Perps Shifted'!$AE$30:$AO$30,0),FALSE),0),0)))</f>
        <v>0</v>
      </c>
      <c r="X79" s="17">
        <f t="shared" si="29"/>
        <v>0</v>
      </c>
      <c r="Y79" s="14" t="str">
        <f t="shared" si="17"/>
        <v>BINE</v>
      </c>
      <c r="Z79" t="str">
        <f t="shared" si="30"/>
        <v>USDT COIN LONG</v>
      </c>
      <c r="AA79" t="b">
        <f>IF($C79="","",IF(ISERROR(VLOOKUP($Y79,Mappings!$A:$C,3,FALSE)),FALSE,VLOOKUP($Y79,Mappings!$A:$C,3,FALSE)))</f>
        <v>1</v>
      </c>
      <c r="AH79">
        <f t="shared" si="31"/>
        <v>1</v>
      </c>
      <c r="AI79">
        <f>IF($C79="","",IF($A79="",0,IF($L79=1,$F79*$N79,$AB$2*$F79*$N79/$H79)))</f>
        <v>618871.51817801001</v>
      </c>
      <c r="AJ79">
        <f t="shared" si="23"/>
        <v>618928.4847965748</v>
      </c>
    </row>
    <row r="80" spans="1:36" customFormat="1" x14ac:dyDescent="0.25">
      <c r="A80" s="14">
        <v>78</v>
      </c>
      <c r="B80" s="71">
        <v>44939.000003356479</v>
      </c>
      <c r="C80" s="14" t="s">
        <v>11</v>
      </c>
      <c r="D80" s="23" t="s">
        <v>83</v>
      </c>
      <c r="E80" s="23" t="s">
        <v>163</v>
      </c>
      <c r="F80" s="101">
        <v>877798.90472430002</v>
      </c>
      <c r="G80" s="153">
        <v>71666.824089438407</v>
      </c>
      <c r="H80" s="157">
        <v>8.1643783905093401E-2</v>
      </c>
      <c r="I80" s="23">
        <v>0</v>
      </c>
      <c r="J80" s="23" t="s">
        <v>85</v>
      </c>
      <c r="K80" s="24">
        <v>44939.000003356479</v>
      </c>
      <c r="L80" s="23">
        <v>1</v>
      </c>
      <c r="M80" s="23" t="s">
        <v>163</v>
      </c>
      <c r="N80" s="45">
        <f t="shared" si="19"/>
        <v>1</v>
      </c>
      <c r="O80" s="159">
        <f t="shared" si="20"/>
        <v>877798.90472430002</v>
      </c>
      <c r="P80" s="47">
        <f t="shared" si="21"/>
        <v>71666.824089438422</v>
      </c>
      <c r="Q80" s="25">
        <f t="shared" si="24"/>
        <v>0</v>
      </c>
      <c r="R80" s="26" t="str">
        <f t="shared" si="25"/>
        <v>COIN</v>
      </c>
      <c r="S80" s="26" t="str">
        <f t="shared" si="18"/>
        <v>LONG</v>
      </c>
      <c r="T80" s="26" t="str">
        <f t="shared" si="26"/>
        <v>COIN LONG</v>
      </c>
      <c r="U80" s="17">
        <f t="shared" si="27"/>
        <v>71666.824089438407</v>
      </c>
      <c r="V80" s="17">
        <f t="shared" si="28"/>
        <v>8.1643783905093401E-2</v>
      </c>
      <c r="W80" s="39">
        <f>IF($C80="","",IF(DefaultScenario,IF(OR(AND(Default_Exchange="ALL",NOT(ISERROR(MATCH($C80,$AF$6:$AF$37,0)))),$C80=Default_Exchange),IF($G80&gt;0,-LGD,0),0),IF(OR($J80="SWAP",$J80="FUTURE",$J80="CME FUTURE"),IF('Futures &amp; Perps Shifted'!$AE$31,VLOOKUP($M80,'Futures &amp; Perps Shifted'!$AE$32:$AO$76,MATCH($R80,'Futures &amp; Perps Shifted'!$AE$30:$AO$30,0),FALSE),0),0)))</f>
        <v>0</v>
      </c>
      <c r="X80" s="17">
        <f t="shared" si="29"/>
        <v>0</v>
      </c>
      <c r="Y80" s="14" t="str">
        <f t="shared" si="17"/>
        <v>BINE</v>
      </c>
      <c r="Z80" t="str">
        <f t="shared" si="30"/>
        <v>XLM COIN LONG</v>
      </c>
      <c r="AA80" t="b">
        <f>IF($C80="","",IF(ISERROR(VLOOKUP($Y80,Mappings!$A:$C,3,FALSE)),FALSE,VLOOKUP($Y80,Mappings!$A:$C,3,FALSE)))</f>
        <v>1</v>
      </c>
      <c r="AH80">
        <f>IF($C80="","",IF($A80="",0,IF($L80=1,ROUND($G80/$H80/$F80,3),POWER(10,ROUND(LOG($G80/$F80),1)))))</f>
        <v>1</v>
      </c>
      <c r="AI80">
        <f>IF($C80="","",IF($A80="",0,IF($L80=1,$F80*$N80,$AB$2*$F80*$N80/$H80)))</f>
        <v>877798.90472430002</v>
      </c>
    </row>
    <row r="81" spans="1:35" customFormat="1" x14ac:dyDescent="0.25">
      <c r="A81" s="14">
        <v>79</v>
      </c>
      <c r="B81" s="71">
        <v>44939.000003356479</v>
      </c>
      <c r="C81" s="14" t="s">
        <v>11</v>
      </c>
      <c r="D81" s="23" t="s">
        <v>83</v>
      </c>
      <c r="E81" s="23" t="s">
        <v>99</v>
      </c>
      <c r="F81" s="101">
        <v>30000</v>
      </c>
      <c r="G81" s="153">
        <v>11255.914267257</v>
      </c>
      <c r="H81" s="157">
        <v>0.37519714224190098</v>
      </c>
      <c r="I81" s="23">
        <v>0</v>
      </c>
      <c r="J81" s="23" t="s">
        <v>85</v>
      </c>
      <c r="K81" s="24">
        <v>44939.000003356479</v>
      </c>
      <c r="L81" s="23">
        <v>1</v>
      </c>
      <c r="M81" s="23" t="s">
        <v>99</v>
      </c>
      <c r="N81" s="45">
        <f t="shared" si="19"/>
        <v>1</v>
      </c>
      <c r="O81" s="159">
        <f t="shared" si="20"/>
        <v>30000</v>
      </c>
      <c r="P81" s="47">
        <f t="shared" si="21"/>
        <v>11255.914267257029</v>
      </c>
      <c r="Q81" s="25">
        <f t="shared" si="24"/>
        <v>0</v>
      </c>
      <c r="R81" s="26" t="str">
        <f t="shared" si="25"/>
        <v>COIN</v>
      </c>
      <c r="S81" s="26" t="str">
        <f t="shared" si="18"/>
        <v>LONG</v>
      </c>
      <c r="T81" s="26" t="str">
        <f t="shared" si="26"/>
        <v>COIN LONG</v>
      </c>
      <c r="U81" s="17">
        <f t="shared" si="27"/>
        <v>11255.914267257</v>
      </c>
      <c r="V81" s="17">
        <f t="shared" si="28"/>
        <v>0.37519714224190098</v>
      </c>
      <c r="W81" s="39">
        <f>IF($C81="","",IF(DefaultScenario,IF(OR(AND(Default_Exchange="ALL",NOT(ISERROR(MATCH($C81,$AF$6:$AF$37,0)))),$C81=Default_Exchange),IF($G81&gt;0,-LGD,0),0),IF(OR($J81="SWAP",$J81="FUTURE",$J81="CME FUTURE"),IF('Futures &amp; Perps Shifted'!$AE$31,VLOOKUP($M81,'Futures &amp; Perps Shifted'!$AE$32:$AO$76,MATCH($R81,'Futures &amp; Perps Shifted'!$AE$30:$AO$30,0),FALSE),0),0)))</f>
        <v>0</v>
      </c>
      <c r="X81" s="17">
        <f t="shared" si="29"/>
        <v>0</v>
      </c>
      <c r="Y81" s="14" t="str">
        <f t="shared" si="17"/>
        <v>BINE</v>
      </c>
      <c r="Z81" t="str">
        <f t="shared" si="30"/>
        <v>XRP COIN LONG</v>
      </c>
      <c r="AA81" t="b">
        <f>IF($C81="","",IF(ISERROR(VLOOKUP($Y81,Mappings!$A:$C,3,FALSE)),FALSE,VLOOKUP($Y81,Mappings!$A:$C,3,FALSE)))</f>
        <v>1</v>
      </c>
      <c r="AH81">
        <f>IF($C81="","",IF($A81="",0,IF($L81=1,ROUND($G81/$H81/$F81,3),POWER(10,ROUND(LOG($G81/$F81),1)))))</f>
        <v>1</v>
      </c>
      <c r="AI81">
        <f>IF($C81="","",IF($A81="",0,IF($L81=1,$F81*$N81,$AB$2*$F81*$N81/$H81)))</f>
        <v>30000</v>
      </c>
    </row>
    <row r="82" spans="1:35" customFormat="1" x14ac:dyDescent="0.25">
      <c r="A82" s="14">
        <v>80</v>
      </c>
      <c r="B82" s="71">
        <v>44939.000003356479</v>
      </c>
      <c r="C82" s="14" t="s">
        <v>11</v>
      </c>
      <c r="D82" s="23" t="s">
        <v>83</v>
      </c>
      <c r="E82" s="23" t="s">
        <v>164</v>
      </c>
      <c r="F82" s="101">
        <v>62752.228199999998</v>
      </c>
      <c r="G82" s="153">
        <v>55801.153984328099</v>
      </c>
      <c r="H82" s="157">
        <v>0.88922984226921997</v>
      </c>
      <c r="I82" s="23">
        <v>0</v>
      </c>
      <c r="J82" s="23" t="s">
        <v>85</v>
      </c>
      <c r="K82" s="24">
        <v>44939.000003356479</v>
      </c>
      <c r="L82" s="23">
        <v>1</v>
      </c>
      <c r="M82" s="23" t="s">
        <v>164</v>
      </c>
      <c r="N82" s="45">
        <f t="shared" si="19"/>
        <v>1</v>
      </c>
      <c r="O82" s="159">
        <f t="shared" si="20"/>
        <v>62752.228199999998</v>
      </c>
      <c r="P82" s="47">
        <f t="shared" si="21"/>
        <v>55801.153984328099</v>
      </c>
      <c r="Q82" s="25">
        <f t="shared" si="24"/>
        <v>0</v>
      </c>
      <c r="R82" s="26" t="str">
        <f t="shared" si="25"/>
        <v>COIN</v>
      </c>
      <c r="S82" s="26" t="str">
        <f t="shared" si="18"/>
        <v>LONG</v>
      </c>
      <c r="T82" s="26" t="str">
        <f t="shared" si="26"/>
        <v>COIN LONG</v>
      </c>
      <c r="U82" s="17">
        <f t="shared" si="27"/>
        <v>55801.153984328099</v>
      </c>
      <c r="V82" s="17">
        <f t="shared" si="28"/>
        <v>0.88922984226921997</v>
      </c>
      <c r="W82" s="39">
        <f>IF($C82="","",IF(DefaultScenario,IF(OR(AND(Default_Exchange="ALL",NOT(ISERROR(MATCH($C82,$AF$6:$AF$37,0)))),$C82=Default_Exchange),IF($G82&gt;0,-LGD,0),0),IF(OR($J82="SWAP",$J82="FUTURE",$J82="CME FUTURE"),IF('Futures &amp; Perps Shifted'!$AE$31,VLOOKUP($M82,'Futures &amp; Perps Shifted'!$AE$32:$AO$76,MATCH($R82,'Futures &amp; Perps Shifted'!$AE$30:$AO$30,0),FALSE),0),0)))</f>
        <v>0</v>
      </c>
      <c r="X82" s="17">
        <f t="shared" si="29"/>
        <v>0</v>
      </c>
      <c r="Y82" s="14" t="str">
        <f t="shared" si="17"/>
        <v>BINE</v>
      </c>
      <c r="Z82" t="str">
        <f t="shared" si="30"/>
        <v>XTZ COIN LONG</v>
      </c>
      <c r="AA82" t="b">
        <f>IF($C82="","",IF(ISERROR(VLOOKUP($Y82,Mappings!$A:$C,3,FALSE)),FALSE,VLOOKUP($Y82,Mappings!$A:$C,3,FALSE)))</f>
        <v>1</v>
      </c>
    </row>
    <row r="83" spans="1:35" customFormat="1" x14ac:dyDescent="0.25">
      <c r="A83" s="14">
        <v>81</v>
      </c>
      <c r="B83" s="71">
        <v>44939.000003356479</v>
      </c>
      <c r="C83" s="14" t="s">
        <v>11</v>
      </c>
      <c r="D83" s="23" t="s">
        <v>83</v>
      </c>
      <c r="E83" s="23" t="s">
        <v>171</v>
      </c>
      <c r="F83" s="101">
        <v>7.6026700000000003E-2</v>
      </c>
      <c r="G83" s="153">
        <v>473.97457770520998</v>
      </c>
      <c r="H83" s="157">
        <v>6234.31738724961</v>
      </c>
      <c r="I83" s="23">
        <v>0</v>
      </c>
      <c r="J83" s="23" t="s">
        <v>85</v>
      </c>
      <c r="K83" s="24">
        <v>44939.000003356479</v>
      </c>
      <c r="L83" s="23">
        <v>1</v>
      </c>
      <c r="M83" s="23" t="s">
        <v>171</v>
      </c>
      <c r="N83" s="45">
        <f t="shared" si="19"/>
        <v>1</v>
      </c>
      <c r="O83" s="159">
        <f t="shared" si="20"/>
        <v>7.6026700000000003E-2</v>
      </c>
      <c r="P83" s="47">
        <f t="shared" si="21"/>
        <v>473.97457770520992</v>
      </c>
      <c r="Q83" s="25">
        <f t="shared" si="24"/>
        <v>0</v>
      </c>
      <c r="R83" s="26" t="str">
        <f t="shared" si="25"/>
        <v>COIN</v>
      </c>
      <c r="S83" s="26" t="str">
        <f t="shared" si="18"/>
        <v>LONG</v>
      </c>
      <c r="T83" s="26" t="str">
        <f t="shared" si="26"/>
        <v>COIN LONG</v>
      </c>
      <c r="U83" s="17">
        <f t="shared" si="27"/>
        <v>473.97457770520998</v>
      </c>
      <c r="V83" s="17">
        <f t="shared" si="28"/>
        <v>6234.31738724961</v>
      </c>
      <c r="W83" s="39">
        <f>IF($C83="","",IF(DefaultScenario,IF(OR(AND(Default_Exchange="ALL",NOT(ISERROR(MATCH($C83,$AF$6:$AF$37,0)))),$C83=Default_Exchange),IF($G83&gt;0,-LGD,0),0),IF(OR($J83="SWAP",$J83="FUTURE",$J83="CME FUTURE"),IF('Futures &amp; Perps Shifted'!$AE$31,VLOOKUP($M83,'Futures &amp; Perps Shifted'!$AE$32:$AO$76,MATCH($R83,'Futures &amp; Perps Shifted'!$AE$30:$AO$30,0),FALSE),0),0)))</f>
        <v>0</v>
      </c>
      <c r="X83" s="17">
        <f t="shared" si="29"/>
        <v>0</v>
      </c>
      <c r="Y83" s="14" t="str">
        <f t="shared" si="17"/>
        <v>BINE</v>
      </c>
      <c r="Z83" t="str">
        <f t="shared" si="30"/>
        <v>YFI COIN LONG</v>
      </c>
      <c r="AA83" t="b">
        <f>IF($C83="","",IF(ISERROR(VLOOKUP($Y83,Mappings!$A:$C,3,FALSE)),FALSE,VLOOKUP($Y83,Mappings!$A:$C,3,FALSE)))</f>
        <v>1</v>
      </c>
    </row>
    <row r="84" spans="1:35" customFormat="1" x14ac:dyDescent="0.25">
      <c r="A84" s="14">
        <v>82</v>
      </c>
      <c r="B84" s="71">
        <v>44939.000003356479</v>
      </c>
      <c r="C84" s="14" t="s">
        <v>11</v>
      </c>
      <c r="D84" s="23" t="s">
        <v>83</v>
      </c>
      <c r="E84" s="23" t="s">
        <v>26</v>
      </c>
      <c r="F84" s="101">
        <v>18966318.7722039</v>
      </c>
      <c r="G84" s="153">
        <v>454707.62832038099</v>
      </c>
      <c r="H84" s="157">
        <v>2.39744799073386E-2</v>
      </c>
      <c r="I84" s="23">
        <v>0</v>
      </c>
      <c r="J84" s="23" t="s">
        <v>85</v>
      </c>
      <c r="K84" s="24">
        <v>44939.000003356479</v>
      </c>
      <c r="L84" s="23">
        <v>1</v>
      </c>
      <c r="M84" s="23" t="s">
        <v>26</v>
      </c>
      <c r="N84" s="45">
        <f t="shared" si="19"/>
        <v>1</v>
      </c>
      <c r="O84" s="159">
        <f t="shared" si="20"/>
        <v>18966318.7722039</v>
      </c>
      <c r="P84" s="47">
        <f t="shared" si="21"/>
        <v>454707.62832038128</v>
      </c>
      <c r="Q84" s="25">
        <f t="shared" si="24"/>
        <v>0</v>
      </c>
      <c r="R84" s="26" t="str">
        <f t="shared" si="25"/>
        <v>COIN</v>
      </c>
      <c r="S84" s="26" t="str">
        <f t="shared" si="18"/>
        <v>LONG</v>
      </c>
      <c r="T84" s="26" t="str">
        <f t="shared" si="26"/>
        <v>COIN LONG</v>
      </c>
      <c r="U84" s="17">
        <f t="shared" si="27"/>
        <v>454707.62832038099</v>
      </c>
      <c r="V84" s="17">
        <f t="shared" si="28"/>
        <v>2.39744799073386E-2</v>
      </c>
      <c r="W84" s="39">
        <f>IF($C84="","",IF(DefaultScenario,IF(OR(AND(Default_Exchange="ALL",NOT(ISERROR(MATCH($C84,$AF$6:$AF$37,0)))),$C84=Default_Exchange),IF($G84&gt;0,-LGD,0),0),IF(OR($J84="SWAP",$J84="FUTURE",$J84="CME FUTURE"),IF('Futures &amp; Perps Shifted'!$AE$31,VLOOKUP($M84,'Futures &amp; Perps Shifted'!$AE$32:$AO$76,MATCH($R84,'Futures &amp; Perps Shifted'!$AE$30:$AO$30,0),FALSE),0),0)))</f>
        <v>0</v>
      </c>
      <c r="X84" s="17">
        <f t="shared" si="29"/>
        <v>0</v>
      </c>
      <c r="Y84" s="14" t="str">
        <f t="shared" si="17"/>
        <v>BINE</v>
      </c>
      <c r="Z84" t="str">
        <f t="shared" si="30"/>
        <v>ZIL COIN LONG</v>
      </c>
      <c r="AA84" t="b">
        <f>IF($C84="","",IF(ISERROR(VLOOKUP($Y84,Mappings!$A:$C,3,FALSE)),FALSE,VLOOKUP($Y84,Mappings!$A:$C,3,FALSE)))</f>
        <v>1</v>
      </c>
    </row>
    <row r="85" spans="1:35" customFormat="1" x14ac:dyDescent="0.25">
      <c r="A85" s="14">
        <v>83</v>
      </c>
      <c r="B85" s="71">
        <v>44939.000001192129</v>
      </c>
      <c r="C85" s="14" t="s">
        <v>11</v>
      </c>
      <c r="D85" s="23" t="s">
        <v>12</v>
      </c>
      <c r="E85" s="23" t="s">
        <v>14</v>
      </c>
      <c r="F85" s="101">
        <v>954.60935715000005</v>
      </c>
      <c r="G85" s="153">
        <v>18013085.3231223</v>
      </c>
      <c r="H85" s="157">
        <v>18869.5880552655</v>
      </c>
      <c r="I85" s="23">
        <v>0</v>
      </c>
      <c r="J85" s="23" t="s">
        <v>85</v>
      </c>
      <c r="K85" s="24">
        <v>44939.000001192129</v>
      </c>
      <c r="L85" s="23">
        <v>1</v>
      </c>
      <c r="M85" s="23" t="s">
        <v>14</v>
      </c>
      <c r="N85" s="45">
        <f t="shared" si="19"/>
        <v>1</v>
      </c>
      <c r="O85" s="159">
        <f t="shared" si="20"/>
        <v>954.60935715000005</v>
      </c>
      <c r="P85" s="47">
        <f t="shared" si="21"/>
        <v>18013085.323122319</v>
      </c>
      <c r="Q85" s="25">
        <f t="shared" si="24"/>
        <v>0</v>
      </c>
      <c r="R85" s="26" t="str">
        <f t="shared" si="25"/>
        <v>COIN</v>
      </c>
      <c r="S85" s="26" t="str">
        <f t="shared" si="18"/>
        <v>LONG</v>
      </c>
      <c r="T85" s="26" t="str">
        <f t="shared" si="26"/>
        <v>COIN LONG</v>
      </c>
      <c r="U85" s="17">
        <f t="shared" si="27"/>
        <v>18013085.3231223</v>
      </c>
      <c r="V85" s="17">
        <f t="shared" si="28"/>
        <v>18869.5880552655</v>
      </c>
      <c r="W85" s="39">
        <f>IF($C85="","",IF(DefaultScenario,IF(OR(AND(Default_Exchange="ALL",NOT(ISERROR(MATCH($C85,$AF$6:$AF$37,0)))),$C85=Default_Exchange),IF($G85&gt;0,-LGD,0),0),IF(OR($J85="SWAP",$J85="FUTURE",$J85="CME FUTURE"),IF('Futures &amp; Perps Shifted'!$AE$31,VLOOKUP($M85,'Futures &amp; Perps Shifted'!$AE$32:$AO$76,MATCH($R85,'Futures &amp; Perps Shifted'!$AE$30:$AO$30,0),FALSE),0),0)))</f>
        <v>0</v>
      </c>
      <c r="X85" s="17">
        <f t="shared" si="29"/>
        <v>0</v>
      </c>
      <c r="Y85" s="14" t="str">
        <f t="shared" si="17"/>
        <v>BINE</v>
      </c>
      <c r="Z85" t="str">
        <f t="shared" si="30"/>
        <v>BTC COIN LONG</v>
      </c>
      <c r="AA85" t="b">
        <f>IF($C85="","",IF(ISERROR(VLOOKUP($Y85,Mappings!$A:$C,3,FALSE)),FALSE,VLOOKUP($Y85,Mappings!$A:$C,3,FALSE)))</f>
        <v>1</v>
      </c>
    </row>
    <row r="86" spans="1:35" customFormat="1" x14ac:dyDescent="0.25">
      <c r="A86" s="14">
        <v>84</v>
      </c>
      <c r="B86" s="71">
        <v>44939.000001192129</v>
      </c>
      <c r="C86" s="14" t="s">
        <v>11</v>
      </c>
      <c r="D86" s="23" t="s">
        <v>12</v>
      </c>
      <c r="E86" s="23" t="s">
        <v>14</v>
      </c>
      <c r="F86" s="101">
        <v>-21.15213086</v>
      </c>
      <c r="G86" s="153">
        <v>-399131.99581927003</v>
      </c>
      <c r="H86" s="157">
        <v>18869.5880552655</v>
      </c>
      <c r="I86" s="23">
        <v>0</v>
      </c>
      <c r="J86" s="23" t="s">
        <v>253</v>
      </c>
      <c r="K86" s="24">
        <v>44939.000001192129</v>
      </c>
      <c r="L86" s="23">
        <v>1</v>
      </c>
      <c r="M86" s="23" t="s">
        <v>14</v>
      </c>
      <c r="N86" s="45">
        <f t="shared" si="19"/>
        <v>1</v>
      </c>
      <c r="O86" s="159">
        <f t="shared" si="20"/>
        <v>-21.15213086</v>
      </c>
      <c r="P86" s="47">
        <f t="shared" si="21"/>
        <v>-399131.99581926875</v>
      </c>
      <c r="Q86" s="25">
        <f t="shared" si="24"/>
        <v>0</v>
      </c>
      <c r="R86" s="26" t="str">
        <f t="shared" si="25"/>
        <v>COIN</v>
      </c>
      <c r="S86" s="26" t="str">
        <f t="shared" si="18"/>
        <v>SHORT</v>
      </c>
      <c r="T86" s="26" t="str">
        <f t="shared" si="26"/>
        <v>COIN SHORT</v>
      </c>
      <c r="U86" s="17">
        <f t="shared" si="27"/>
        <v>-399131.99581927003</v>
      </c>
      <c r="V86" s="17">
        <f t="shared" si="28"/>
        <v>18869.5880552655</v>
      </c>
      <c r="W86" s="39">
        <f>IF($C86="","",IF(DefaultScenario,IF(OR(AND(Default_Exchange="ALL",NOT(ISERROR(MATCH($C86,$AF$6:$AF$37,0)))),$C86=Default_Exchange),IF($G86&gt;0,-LGD,0),0),IF(OR($J86="SWAP",$J86="FUTURE",$J86="CME FUTURE"),IF('Futures &amp; Perps Shifted'!$AE$31,VLOOKUP($M86,'Futures &amp; Perps Shifted'!$AE$32:$AO$76,MATCH($R86,'Futures &amp; Perps Shifted'!$AE$30:$AO$30,0),FALSE),0),0)))</f>
        <v>0</v>
      </c>
      <c r="X86" s="17">
        <f t="shared" si="29"/>
        <v>0</v>
      </c>
      <c r="Y86" s="14" t="str">
        <f t="shared" si="17"/>
        <v>BINE</v>
      </c>
      <c r="Z86" t="str">
        <f t="shared" si="30"/>
        <v>BTC COIN SHORT</v>
      </c>
      <c r="AA86" t="b">
        <f>IF($C86="","",IF(ISERROR(VLOOKUP($Y86,Mappings!$A:$C,3,FALSE)),FALSE,VLOOKUP($Y86,Mappings!$A:$C,3,FALSE)))</f>
        <v>1</v>
      </c>
    </row>
    <row r="87" spans="1:35" customFormat="1" x14ac:dyDescent="0.25">
      <c r="A87" s="14">
        <v>85</v>
      </c>
      <c r="B87" s="71">
        <v>44939.000001192129</v>
      </c>
      <c r="C87" s="14" t="s">
        <v>11</v>
      </c>
      <c r="D87" s="23" t="s">
        <v>12</v>
      </c>
      <c r="E87" s="23" t="s">
        <v>15</v>
      </c>
      <c r="F87" s="101">
        <v>6682.76875475</v>
      </c>
      <c r="G87" s="153">
        <v>9475755.2584040202</v>
      </c>
      <c r="H87" s="157">
        <v>1417.9385231112101</v>
      </c>
      <c r="I87" s="23">
        <v>0</v>
      </c>
      <c r="J87" s="23" t="s">
        <v>85</v>
      </c>
      <c r="K87" s="24">
        <v>44939.000001192129</v>
      </c>
      <c r="L87" s="23">
        <v>1</v>
      </c>
      <c r="M87" s="23" t="s">
        <v>15</v>
      </c>
      <c r="N87" s="45">
        <f t="shared" si="19"/>
        <v>1</v>
      </c>
      <c r="O87" s="159">
        <f t="shared" si="20"/>
        <v>6682.76875475</v>
      </c>
      <c r="P87" s="47">
        <f t="shared" si="21"/>
        <v>9475755.258403955</v>
      </c>
      <c r="Q87" s="25">
        <f t="shared" si="24"/>
        <v>0</v>
      </c>
      <c r="R87" s="26" t="str">
        <f t="shared" si="25"/>
        <v>COIN</v>
      </c>
      <c r="S87" s="26" t="str">
        <f t="shared" si="18"/>
        <v>LONG</v>
      </c>
      <c r="T87" s="26" t="str">
        <f t="shared" si="26"/>
        <v>COIN LONG</v>
      </c>
      <c r="U87" s="17">
        <f t="shared" si="27"/>
        <v>9475755.2584040202</v>
      </c>
      <c r="V87" s="17">
        <f t="shared" si="28"/>
        <v>1417.9385231112101</v>
      </c>
      <c r="W87" s="39">
        <f>IF($C87="","",IF(DefaultScenario,IF(OR(AND(Default_Exchange="ALL",NOT(ISERROR(MATCH($C87,$AF$6:$AF$37,0)))),$C87=Default_Exchange),IF($G87&gt;0,-LGD,0),0),IF(OR($J87="SWAP",$J87="FUTURE",$J87="CME FUTURE"),IF('Futures &amp; Perps Shifted'!$AE$31,VLOOKUP($M87,'Futures &amp; Perps Shifted'!$AE$32:$AO$76,MATCH($R87,'Futures &amp; Perps Shifted'!$AE$30:$AO$30,0),FALSE),0),0)))</f>
        <v>0</v>
      </c>
      <c r="X87" s="17">
        <f t="shared" si="29"/>
        <v>0</v>
      </c>
      <c r="Y87" s="14" t="str">
        <f t="shared" si="17"/>
        <v>BINE</v>
      </c>
      <c r="Z87" t="str">
        <f t="shared" si="30"/>
        <v>ETH COIN LONG</v>
      </c>
      <c r="AA87" t="b">
        <f>IF($C87="","",IF(ISERROR(VLOOKUP($Y87,Mappings!$A:$C,3,FALSE)),FALSE,VLOOKUP($Y87,Mappings!$A:$C,3,FALSE)))</f>
        <v>1</v>
      </c>
    </row>
    <row r="88" spans="1:35" customFormat="1" x14ac:dyDescent="0.25">
      <c r="A88" s="14">
        <v>86</v>
      </c>
      <c r="B88" s="71">
        <v>44939.000001192129</v>
      </c>
      <c r="C88" s="14" t="s">
        <v>11</v>
      </c>
      <c r="D88" s="23" t="s">
        <v>12</v>
      </c>
      <c r="E88" s="23" t="s">
        <v>15</v>
      </c>
      <c r="F88" s="101">
        <v>-114.70020413</v>
      </c>
      <c r="G88" s="153">
        <v>-162637.83804464701</v>
      </c>
      <c r="H88" s="157">
        <v>1417.9385231112101</v>
      </c>
      <c r="I88" s="23">
        <v>0</v>
      </c>
      <c r="J88" s="23" t="s">
        <v>253</v>
      </c>
      <c r="K88" s="24">
        <v>44939.000001192129</v>
      </c>
      <c r="L88" s="23">
        <v>1</v>
      </c>
      <c r="M88" s="23" t="s">
        <v>15</v>
      </c>
      <c r="N88" s="45">
        <f t="shared" si="19"/>
        <v>1</v>
      </c>
      <c r="O88" s="159">
        <f t="shared" si="20"/>
        <v>-114.70020413</v>
      </c>
      <c r="P88" s="47">
        <f t="shared" si="21"/>
        <v>-162637.83804464652</v>
      </c>
      <c r="Q88" s="25">
        <f t="shared" si="24"/>
        <v>0</v>
      </c>
      <c r="R88" s="26" t="str">
        <f t="shared" si="25"/>
        <v>COIN</v>
      </c>
      <c r="S88" s="26" t="str">
        <f t="shared" si="18"/>
        <v>SHORT</v>
      </c>
      <c r="T88" s="26" t="str">
        <f t="shared" si="26"/>
        <v>COIN SHORT</v>
      </c>
      <c r="U88" s="17">
        <f t="shared" si="27"/>
        <v>-162637.83804464701</v>
      </c>
      <c r="V88" s="17">
        <f t="shared" si="28"/>
        <v>1417.9385231112101</v>
      </c>
      <c r="W88" s="39">
        <f>IF($C88="","",IF(DefaultScenario,IF(OR(AND(Default_Exchange="ALL",NOT(ISERROR(MATCH($C88,$AF$6:$AF$37,0)))),$C88=Default_Exchange),IF($G88&gt;0,-LGD,0),0),IF(OR($J88="SWAP",$J88="FUTURE",$J88="CME FUTURE"),IF('Futures &amp; Perps Shifted'!$AE$31,VLOOKUP($M88,'Futures &amp; Perps Shifted'!$AE$32:$AO$76,MATCH($R88,'Futures &amp; Perps Shifted'!$AE$30:$AO$30,0),FALSE),0),0)))</f>
        <v>0</v>
      </c>
      <c r="X88" s="17">
        <f t="shared" si="29"/>
        <v>0</v>
      </c>
      <c r="Y88" s="14" t="str">
        <f t="shared" si="17"/>
        <v>BINE</v>
      </c>
      <c r="Z88" t="str">
        <f t="shared" si="30"/>
        <v>ETH COIN SHORT</v>
      </c>
      <c r="AA88" t="b">
        <f>IF($C88="","",IF(ISERROR(VLOOKUP($Y88,Mappings!$A:$C,3,FALSE)),FALSE,VLOOKUP($Y88,Mappings!$A:$C,3,FALSE)))</f>
        <v>1</v>
      </c>
    </row>
    <row r="89" spans="1:35" customFormat="1" x14ac:dyDescent="0.25">
      <c r="A89" s="14">
        <v>87</v>
      </c>
      <c r="B89" s="71">
        <v>44939.000002199071</v>
      </c>
      <c r="C89" s="14" t="s">
        <v>11</v>
      </c>
      <c r="D89" s="23" t="s">
        <v>91</v>
      </c>
      <c r="E89" s="23" t="s">
        <v>87</v>
      </c>
      <c r="F89" s="101">
        <v>2496.2188523499999</v>
      </c>
      <c r="G89" s="153">
        <v>718442.57987214997</v>
      </c>
      <c r="H89" s="157">
        <v>287.81233632451398</v>
      </c>
      <c r="I89" s="23">
        <v>0</v>
      </c>
      <c r="J89" s="23" t="s">
        <v>85</v>
      </c>
      <c r="K89" s="24">
        <v>44939.000002199071</v>
      </c>
      <c r="L89" s="23">
        <v>1</v>
      </c>
      <c r="M89" s="23" t="s">
        <v>87</v>
      </c>
      <c r="N89" s="45">
        <f t="shared" si="19"/>
        <v>1</v>
      </c>
      <c r="O89" s="159">
        <f t="shared" si="20"/>
        <v>2496.2188523499999</v>
      </c>
      <c r="P89" s="47">
        <f t="shared" si="21"/>
        <v>718442.57987215044</v>
      </c>
      <c r="Q89" s="25">
        <f t="shared" si="24"/>
        <v>0</v>
      </c>
      <c r="R89" s="26" t="str">
        <f t="shared" si="25"/>
        <v>COIN</v>
      </c>
      <c r="S89" s="26" t="str">
        <f t="shared" si="18"/>
        <v>LONG</v>
      </c>
      <c r="T89" s="26" t="str">
        <f t="shared" si="26"/>
        <v>COIN LONG</v>
      </c>
      <c r="U89" s="17">
        <f t="shared" si="27"/>
        <v>718442.57987214997</v>
      </c>
      <c r="V89" s="17">
        <f t="shared" si="28"/>
        <v>287.81233632451398</v>
      </c>
      <c r="W89" s="39">
        <f>IF($C89="","",IF(DefaultScenario,IF(OR(AND(Default_Exchange="ALL",NOT(ISERROR(MATCH($C89,$AF$6:$AF$37,0)))),$C89=Default_Exchange),IF($G89&gt;0,-LGD,0),0),IF(OR($J89="SWAP",$J89="FUTURE",$J89="CME FUTURE"),IF('Futures &amp; Perps Shifted'!$AE$31,VLOOKUP($M89,'Futures &amp; Perps Shifted'!$AE$32:$AO$76,MATCH($R89,'Futures &amp; Perps Shifted'!$AE$30:$AO$30,0),FALSE),0),0)))</f>
        <v>0</v>
      </c>
      <c r="X89" s="17">
        <f t="shared" si="29"/>
        <v>0</v>
      </c>
      <c r="Y89" s="14" t="str">
        <f t="shared" si="17"/>
        <v>BINE</v>
      </c>
      <c r="Z89" t="str">
        <f t="shared" si="30"/>
        <v>BNB COIN LONG</v>
      </c>
      <c r="AA89" t="b">
        <f>IF($C89="","",IF(ISERROR(VLOOKUP($Y89,Mappings!$A:$C,3,FALSE)),FALSE,VLOOKUP($Y89,Mappings!$A:$C,3,FALSE)))</f>
        <v>1</v>
      </c>
    </row>
    <row r="90" spans="1:35" customFormat="1" x14ac:dyDescent="0.25">
      <c r="A90" s="14">
        <v>88</v>
      </c>
      <c r="B90" s="71">
        <v>44939.000002199071</v>
      </c>
      <c r="C90" s="14" t="s">
        <v>11</v>
      </c>
      <c r="D90" s="23" t="s">
        <v>91</v>
      </c>
      <c r="E90" s="23" t="s">
        <v>14</v>
      </c>
      <c r="F90" s="101">
        <v>820.94862506000004</v>
      </c>
      <c r="G90" s="153">
        <v>15490962.3694188</v>
      </c>
      <c r="H90" s="157">
        <v>18869.5880552655</v>
      </c>
      <c r="I90" s="23">
        <v>0</v>
      </c>
      <c r="J90" s="23" t="s">
        <v>85</v>
      </c>
      <c r="K90" s="24">
        <v>44939.000002199071</v>
      </c>
      <c r="L90" s="23">
        <v>1</v>
      </c>
      <c r="M90" s="23" t="s">
        <v>14</v>
      </c>
      <c r="N90" s="45">
        <f t="shared" si="19"/>
        <v>1</v>
      </c>
      <c r="O90" s="159">
        <f t="shared" si="20"/>
        <v>820.94862506000004</v>
      </c>
      <c r="P90" s="47">
        <f t="shared" si="21"/>
        <v>15490962.369418813</v>
      </c>
      <c r="Q90" s="25">
        <f t="shared" si="24"/>
        <v>0</v>
      </c>
      <c r="R90" s="26" t="str">
        <f t="shared" si="25"/>
        <v>COIN</v>
      </c>
      <c r="S90" s="26" t="str">
        <f t="shared" si="18"/>
        <v>LONG</v>
      </c>
      <c r="T90" s="26" t="str">
        <f t="shared" si="26"/>
        <v>COIN LONG</v>
      </c>
      <c r="U90" s="17">
        <f t="shared" si="27"/>
        <v>15490962.3694188</v>
      </c>
      <c r="V90" s="17">
        <f t="shared" si="28"/>
        <v>18869.5880552655</v>
      </c>
      <c r="W90" s="39">
        <f>IF($C90="","",IF(DefaultScenario,IF(OR(AND(Default_Exchange="ALL",NOT(ISERROR(MATCH($C90,$AF$6:$AF$37,0)))),$C90=Default_Exchange),IF($G90&gt;0,-LGD,0),0),IF(OR($J90="SWAP",$J90="FUTURE",$J90="CME FUTURE"),IF('Futures &amp; Perps Shifted'!$AE$31,VLOOKUP($M90,'Futures &amp; Perps Shifted'!$AE$32:$AO$76,MATCH($R90,'Futures &amp; Perps Shifted'!$AE$30:$AO$30,0),FALSE),0),0)))</f>
        <v>0</v>
      </c>
      <c r="X90" s="17">
        <f t="shared" si="29"/>
        <v>0</v>
      </c>
      <c r="Y90" s="14" t="str">
        <f t="shared" si="17"/>
        <v>BINE</v>
      </c>
      <c r="Z90" t="str">
        <f t="shared" si="30"/>
        <v>BTC COIN LONG</v>
      </c>
      <c r="AA90" t="b">
        <f>IF($C90="","",IF(ISERROR(VLOOKUP($Y90,Mappings!$A:$C,3,FALSE)),FALSE,VLOOKUP($Y90,Mappings!$A:$C,3,FALSE)))</f>
        <v>1</v>
      </c>
    </row>
    <row r="91" spans="1:35" customFormat="1" x14ac:dyDescent="0.25">
      <c r="A91" s="14">
        <v>89</v>
      </c>
      <c r="B91" s="71">
        <v>44939.000002199071</v>
      </c>
      <c r="C91" s="14" t="s">
        <v>11</v>
      </c>
      <c r="D91" s="23" t="s">
        <v>91</v>
      </c>
      <c r="E91" s="23" t="s">
        <v>88</v>
      </c>
      <c r="F91" s="101">
        <v>1957317.4125478</v>
      </c>
      <c r="G91" s="153">
        <v>1957941.92399934</v>
      </c>
      <c r="H91" s="157">
        <v>1.00031906498534</v>
      </c>
      <c r="I91" s="23">
        <v>0</v>
      </c>
      <c r="J91" s="23" t="s">
        <v>85</v>
      </c>
      <c r="K91" s="24">
        <v>44939.000002199071</v>
      </c>
      <c r="L91" s="23">
        <v>1</v>
      </c>
      <c r="M91" s="23" t="s">
        <v>88</v>
      </c>
      <c r="N91" s="45">
        <f t="shared" si="19"/>
        <v>1</v>
      </c>
      <c r="O91" s="159">
        <f t="shared" si="20"/>
        <v>1957317.4125478</v>
      </c>
      <c r="P91" s="47">
        <f t="shared" si="21"/>
        <v>1957941.9239993403</v>
      </c>
      <c r="Q91" s="25">
        <f t="shared" si="24"/>
        <v>0</v>
      </c>
      <c r="R91" s="26" t="str">
        <f t="shared" si="25"/>
        <v>COIN</v>
      </c>
      <c r="S91" s="26" t="str">
        <f t="shared" si="18"/>
        <v>LONG</v>
      </c>
      <c r="T91" s="26" t="str">
        <f t="shared" si="26"/>
        <v>COIN LONG</v>
      </c>
      <c r="U91" s="17">
        <f t="shared" si="27"/>
        <v>1957941.92399934</v>
      </c>
      <c r="V91" s="17">
        <f t="shared" si="28"/>
        <v>1.00031906498534</v>
      </c>
      <c r="W91" s="39">
        <f>IF($C91="","",IF(DefaultScenario,IF(OR(AND(Default_Exchange="ALL",NOT(ISERROR(MATCH($C91,$AF$6:$AF$37,0)))),$C91=Default_Exchange),IF($G91&gt;0,-LGD,0),0),IF(OR($J91="SWAP",$J91="FUTURE",$J91="CME FUTURE"),IF('Futures &amp; Perps Shifted'!$AE$31,VLOOKUP($M91,'Futures &amp; Perps Shifted'!$AE$32:$AO$76,MATCH($R91,'Futures &amp; Perps Shifted'!$AE$30:$AO$30,0),FALSE),0),0)))</f>
        <v>0</v>
      </c>
      <c r="X91" s="17">
        <f t="shared" si="29"/>
        <v>0</v>
      </c>
      <c r="Y91" s="14" t="str">
        <f t="shared" si="17"/>
        <v>BINE</v>
      </c>
      <c r="Z91" t="str">
        <f t="shared" si="30"/>
        <v>BUSD COIN LONG</v>
      </c>
      <c r="AA91" t="b">
        <f>IF($C91="","",IF(ISERROR(VLOOKUP($Y91,Mappings!$A:$C,3,FALSE)),FALSE,VLOOKUP($Y91,Mappings!$A:$C,3,FALSE)))</f>
        <v>1</v>
      </c>
    </row>
    <row r="92" spans="1:35" customFormat="1" x14ac:dyDescent="0.25">
      <c r="A92" s="14">
        <v>90</v>
      </c>
      <c r="B92" s="71">
        <v>44939.000002199071</v>
      </c>
      <c r="C92" s="14" t="s">
        <v>11</v>
      </c>
      <c r="D92" s="23" t="s">
        <v>91</v>
      </c>
      <c r="E92" s="23" t="s">
        <v>29</v>
      </c>
      <c r="F92" s="101">
        <v>0.15721859999999999</v>
      </c>
      <c r="G92" s="153">
        <v>3.2886606621322101</v>
      </c>
      <c r="H92" s="157">
        <v>20.917758217744002</v>
      </c>
      <c r="I92" s="23">
        <v>0</v>
      </c>
      <c r="J92" s="23" t="s">
        <v>85</v>
      </c>
      <c r="K92" s="24">
        <v>44939.000002199071</v>
      </c>
      <c r="L92" s="23">
        <v>1</v>
      </c>
      <c r="M92" s="23" t="s">
        <v>29</v>
      </c>
      <c r="N92" s="45">
        <f t="shared" si="19"/>
        <v>1</v>
      </c>
      <c r="O92" s="159">
        <f t="shared" si="20"/>
        <v>0.15721859999999999</v>
      </c>
      <c r="P92" s="47">
        <f t="shared" si="21"/>
        <v>3.288660662132207</v>
      </c>
      <c r="Q92" s="25">
        <f t="shared" si="24"/>
        <v>0</v>
      </c>
      <c r="R92" s="26" t="str">
        <f t="shared" si="25"/>
        <v>COIN</v>
      </c>
      <c r="S92" s="26" t="str">
        <f t="shared" si="18"/>
        <v>LONG</v>
      </c>
      <c r="T92" s="26" t="str">
        <f t="shared" si="26"/>
        <v>COIN LONG</v>
      </c>
      <c r="U92" s="17">
        <f t="shared" si="27"/>
        <v>3.2886606621322101</v>
      </c>
      <c r="V92" s="17">
        <f t="shared" si="28"/>
        <v>20.917758217744002</v>
      </c>
      <c r="W92" s="39">
        <f>IF($C92="","",IF(DefaultScenario,IF(OR(AND(Default_Exchange="ALL",NOT(ISERROR(MATCH($C92,$AF$6:$AF$37,0)))),$C92=Default_Exchange),IF($G92&gt;0,-LGD,0),0),IF(OR($J92="SWAP",$J92="FUTURE",$J92="CME FUTURE"),IF('Futures &amp; Perps Shifted'!$AE$31,VLOOKUP($M92,'Futures &amp; Perps Shifted'!$AE$32:$AO$76,MATCH($R92,'Futures &amp; Perps Shifted'!$AE$30:$AO$30,0),FALSE),0),0)))</f>
        <v>0</v>
      </c>
      <c r="X92" s="17">
        <f t="shared" si="29"/>
        <v>0</v>
      </c>
      <c r="Y92" s="14" t="str">
        <f t="shared" si="17"/>
        <v>BINE</v>
      </c>
      <c r="Z92" t="str">
        <f t="shared" si="30"/>
        <v>ETC COIN LONG</v>
      </c>
      <c r="AA92" t="b">
        <f>IF($C92="","",IF(ISERROR(VLOOKUP($Y92,Mappings!$A:$C,3,FALSE)),FALSE,VLOOKUP($Y92,Mappings!$A:$C,3,FALSE)))</f>
        <v>1</v>
      </c>
    </row>
    <row r="93" spans="1:35" customFormat="1" x14ac:dyDescent="0.25">
      <c r="A93" s="14">
        <v>91</v>
      </c>
      <c r="B93" s="71">
        <v>44939.000002199071</v>
      </c>
      <c r="C93" s="14" t="s">
        <v>11</v>
      </c>
      <c r="D93" s="23" t="s">
        <v>91</v>
      </c>
      <c r="E93" s="23" t="s">
        <v>15</v>
      </c>
      <c r="F93" s="101">
        <v>6859.0860000000002</v>
      </c>
      <c r="G93" s="153">
        <v>9725762.2727328409</v>
      </c>
      <c r="H93" s="157">
        <v>1417.9385231112101</v>
      </c>
      <c r="I93" s="23">
        <v>0</v>
      </c>
      <c r="J93" s="23" t="s">
        <v>85</v>
      </c>
      <c r="K93" s="24">
        <v>44939.000002199071</v>
      </c>
      <c r="L93" s="23">
        <v>1</v>
      </c>
      <c r="M93" s="23" t="s">
        <v>15</v>
      </c>
      <c r="N93" s="45">
        <f t="shared" si="19"/>
        <v>1</v>
      </c>
      <c r="O93" s="159">
        <f t="shared" si="20"/>
        <v>6859.0860000000002</v>
      </c>
      <c r="P93" s="47">
        <f t="shared" si="21"/>
        <v>9725762.2727327775</v>
      </c>
      <c r="Q93" s="25">
        <f t="shared" si="24"/>
        <v>0</v>
      </c>
      <c r="R93" s="26" t="str">
        <f t="shared" si="25"/>
        <v>COIN</v>
      </c>
      <c r="S93" s="26" t="str">
        <f t="shared" si="18"/>
        <v>LONG</v>
      </c>
      <c r="T93" s="26" t="str">
        <f t="shared" si="26"/>
        <v>COIN LONG</v>
      </c>
      <c r="U93" s="17">
        <f t="shared" si="27"/>
        <v>9725762.2727328409</v>
      </c>
      <c r="V93" s="17">
        <f t="shared" si="28"/>
        <v>1417.9385231112101</v>
      </c>
      <c r="W93" s="39">
        <f>IF($C93="","",IF(DefaultScenario,IF(OR(AND(Default_Exchange="ALL",NOT(ISERROR(MATCH($C93,$AF$6:$AF$37,0)))),$C93=Default_Exchange),IF($G93&gt;0,-LGD,0),0),IF(OR($J93="SWAP",$J93="FUTURE",$J93="CME FUTURE"),IF('Futures &amp; Perps Shifted'!$AE$31,VLOOKUP($M93,'Futures &amp; Perps Shifted'!$AE$32:$AO$76,MATCH($R93,'Futures &amp; Perps Shifted'!$AE$30:$AO$30,0),FALSE),0),0)))</f>
        <v>0</v>
      </c>
      <c r="X93" s="17">
        <f t="shared" si="29"/>
        <v>0</v>
      </c>
      <c r="Y93" s="14" t="str">
        <f t="shared" si="17"/>
        <v>BINE</v>
      </c>
      <c r="Z93" t="str">
        <f t="shared" si="30"/>
        <v>ETH COIN LONG</v>
      </c>
      <c r="AA93" t="b">
        <f>IF($C93="","",IF(ISERROR(VLOOKUP($Y93,Mappings!$A:$C,3,FALSE)),FALSE,VLOOKUP($Y93,Mappings!$A:$C,3,FALSE)))</f>
        <v>1</v>
      </c>
    </row>
    <row r="94" spans="1:35" customFormat="1" x14ac:dyDescent="0.25">
      <c r="A94" s="14">
        <v>92</v>
      </c>
      <c r="B94" s="71">
        <v>44939.000002199071</v>
      </c>
      <c r="C94" s="14" t="s">
        <v>11</v>
      </c>
      <c r="D94" s="23" t="s">
        <v>91</v>
      </c>
      <c r="E94" s="23" t="s">
        <v>38</v>
      </c>
      <c r="F94" s="101">
        <v>1328887.8945897899</v>
      </c>
      <c r="G94" s="153">
        <v>1329010.2176367899</v>
      </c>
      <c r="H94" s="157">
        <v>1.00009204918451</v>
      </c>
      <c r="I94" s="23">
        <v>0</v>
      </c>
      <c r="J94" s="23" t="s">
        <v>85</v>
      </c>
      <c r="K94" s="24">
        <v>44939.000002199071</v>
      </c>
      <c r="L94" s="23">
        <v>1</v>
      </c>
      <c r="M94" s="23" t="s">
        <v>38</v>
      </c>
      <c r="N94" s="45">
        <f t="shared" si="19"/>
        <v>1</v>
      </c>
      <c r="O94" s="159">
        <f t="shared" si="20"/>
        <v>1328887.8945897899</v>
      </c>
      <c r="P94" s="47">
        <f t="shared" si="21"/>
        <v>1329010.2176367922</v>
      </c>
      <c r="Q94" s="25">
        <f t="shared" si="24"/>
        <v>0</v>
      </c>
      <c r="R94" s="26" t="str">
        <f t="shared" si="25"/>
        <v>COIN</v>
      </c>
      <c r="S94" s="26" t="str">
        <f t="shared" si="18"/>
        <v>LONG</v>
      </c>
      <c r="T94" s="26" t="str">
        <f t="shared" si="26"/>
        <v>COIN LONG</v>
      </c>
      <c r="U94" s="17">
        <f t="shared" si="27"/>
        <v>1329010.2176367899</v>
      </c>
      <c r="V94" s="17">
        <f t="shared" si="28"/>
        <v>1.00009204918451</v>
      </c>
      <c r="W94" s="39">
        <f>IF($C94="","",IF(DefaultScenario,IF(OR(AND(Default_Exchange="ALL",NOT(ISERROR(MATCH($C94,$AF$6:$AF$37,0)))),$C94=Default_Exchange),IF($G94&gt;0,-LGD,0),0),IF(OR($J94="SWAP",$J94="FUTURE",$J94="CME FUTURE"),IF('Futures &amp; Perps Shifted'!$AE$31,VLOOKUP($M94,'Futures &amp; Perps Shifted'!$AE$32:$AO$76,MATCH($R94,'Futures &amp; Perps Shifted'!$AE$30:$AO$30,0),FALSE),0),0)))</f>
        <v>0</v>
      </c>
      <c r="X94" s="17">
        <f t="shared" si="29"/>
        <v>0</v>
      </c>
      <c r="Y94" s="14" t="str">
        <f t="shared" si="17"/>
        <v>BINE</v>
      </c>
      <c r="Z94" t="str">
        <f t="shared" si="30"/>
        <v>USDT COIN LONG</v>
      </c>
      <c r="AA94" t="b">
        <f>IF($C94="","",IF(ISERROR(VLOOKUP($Y94,Mappings!$A:$C,3,FALSE)),FALSE,VLOOKUP($Y94,Mappings!$A:$C,3,FALSE)))</f>
        <v>1</v>
      </c>
    </row>
    <row r="95" spans="1:35" customFormat="1" x14ac:dyDescent="0.25">
      <c r="A95" s="14">
        <v>93</v>
      </c>
      <c r="B95" s="71">
        <v>44939.000003900466</v>
      </c>
      <c r="C95" s="14" t="s">
        <v>11</v>
      </c>
      <c r="D95" s="23" t="s">
        <v>18</v>
      </c>
      <c r="E95" s="23" t="s">
        <v>87</v>
      </c>
      <c r="F95" s="101">
        <v>47.01499536</v>
      </c>
      <c r="G95" s="153">
        <v>13531.495656847699</v>
      </c>
      <c r="H95" s="157">
        <v>287.81233632451398</v>
      </c>
      <c r="I95" s="23">
        <v>0</v>
      </c>
      <c r="J95" s="23" t="s">
        <v>85</v>
      </c>
      <c r="K95" s="24">
        <v>44939.000003900466</v>
      </c>
      <c r="L95" s="23">
        <v>1</v>
      </c>
      <c r="M95" s="23" t="s">
        <v>87</v>
      </c>
      <c r="N95" s="45">
        <f t="shared" si="19"/>
        <v>1</v>
      </c>
      <c r="O95" s="159">
        <f t="shared" si="20"/>
        <v>47.01499536</v>
      </c>
      <c r="P95" s="47">
        <f t="shared" si="21"/>
        <v>13531.495656847785</v>
      </c>
      <c r="Q95" s="25">
        <f t="shared" si="24"/>
        <v>0</v>
      </c>
      <c r="R95" s="26" t="str">
        <f t="shared" si="25"/>
        <v>COIN</v>
      </c>
      <c r="S95" s="26" t="str">
        <f t="shared" si="18"/>
        <v>LONG</v>
      </c>
      <c r="T95" s="26" t="str">
        <f t="shared" si="26"/>
        <v>COIN LONG</v>
      </c>
      <c r="U95" s="17">
        <f t="shared" si="27"/>
        <v>13531.495656847699</v>
      </c>
      <c r="V95" s="17">
        <f t="shared" si="28"/>
        <v>287.81233632451398</v>
      </c>
      <c r="W95" s="39">
        <f>IF($C95="","",IF(DefaultScenario,IF(OR(AND(Default_Exchange="ALL",NOT(ISERROR(MATCH($C95,$AF$6:$AF$37,0)))),$C95=Default_Exchange),IF($G95&gt;0,-LGD,0),0),IF(OR($J95="SWAP",$J95="FUTURE",$J95="CME FUTURE"),IF('Futures &amp; Perps Shifted'!$AE$31,VLOOKUP($M95,'Futures &amp; Perps Shifted'!$AE$32:$AO$76,MATCH($R95,'Futures &amp; Perps Shifted'!$AE$30:$AO$30,0),FALSE),0),0)))</f>
        <v>0</v>
      </c>
      <c r="X95" s="17">
        <f t="shared" si="29"/>
        <v>0</v>
      </c>
      <c r="Y95" s="14" t="str">
        <f t="shared" si="17"/>
        <v>BINE</v>
      </c>
      <c r="Z95" t="str">
        <f t="shared" si="30"/>
        <v>BNB COIN LONG</v>
      </c>
      <c r="AA95" t="b">
        <f>IF($C95="","",IF(ISERROR(VLOOKUP($Y95,Mappings!$A:$C,3,FALSE)),FALSE,VLOOKUP($Y95,Mappings!$A:$C,3,FALSE)))</f>
        <v>1</v>
      </c>
    </row>
    <row r="96" spans="1:35" customFormat="1" x14ac:dyDescent="0.25">
      <c r="A96" s="14">
        <v>94</v>
      </c>
      <c r="B96" s="71">
        <v>44939.000003900466</v>
      </c>
      <c r="C96" s="14" t="s">
        <v>11</v>
      </c>
      <c r="D96" s="23" t="s">
        <v>18</v>
      </c>
      <c r="E96" s="23" t="s">
        <v>88</v>
      </c>
      <c r="F96" s="101">
        <v>16000004.791549399</v>
      </c>
      <c r="G96" s="153">
        <v>16005109.8328437</v>
      </c>
      <c r="H96" s="157">
        <v>1.00031906498534</v>
      </c>
      <c r="I96" s="23">
        <v>0</v>
      </c>
      <c r="J96" s="23" t="s">
        <v>85</v>
      </c>
      <c r="K96" s="24">
        <v>44939.000003900466</v>
      </c>
      <c r="L96" s="23">
        <v>1</v>
      </c>
      <c r="M96" s="23" t="s">
        <v>88</v>
      </c>
      <c r="N96" s="45">
        <f t="shared" si="19"/>
        <v>1</v>
      </c>
      <c r="O96" s="159">
        <f t="shared" si="20"/>
        <v>16000004.791549399</v>
      </c>
      <c r="P96" s="47">
        <f t="shared" si="21"/>
        <v>16005109.832843654</v>
      </c>
      <c r="Q96" s="25">
        <f t="shared" si="24"/>
        <v>0</v>
      </c>
      <c r="R96" s="26" t="str">
        <f t="shared" si="25"/>
        <v>COIN</v>
      </c>
      <c r="S96" s="26" t="str">
        <f t="shared" si="18"/>
        <v>LONG</v>
      </c>
      <c r="T96" s="26" t="str">
        <f t="shared" si="26"/>
        <v>COIN LONG</v>
      </c>
      <c r="U96" s="17">
        <f t="shared" si="27"/>
        <v>16005109.8328437</v>
      </c>
      <c r="V96" s="17">
        <f t="shared" si="28"/>
        <v>1.00031906498534</v>
      </c>
      <c r="W96" s="39">
        <f>IF($C96="","",IF(DefaultScenario,IF(OR(AND(Default_Exchange="ALL",NOT(ISERROR(MATCH($C96,$AF$6:$AF$37,0)))),$C96=Default_Exchange),IF($G96&gt;0,-LGD,0),0),IF(OR($J96="SWAP",$J96="FUTURE",$J96="CME FUTURE"),IF('Futures &amp; Perps Shifted'!$AE$31,VLOOKUP($M96,'Futures &amp; Perps Shifted'!$AE$32:$AO$76,MATCH($R96,'Futures &amp; Perps Shifted'!$AE$30:$AO$30,0),FALSE),0),0)))</f>
        <v>0</v>
      </c>
      <c r="X96" s="17">
        <f t="shared" si="29"/>
        <v>0</v>
      </c>
      <c r="Y96" s="14" t="str">
        <f t="shared" si="17"/>
        <v>BINE</v>
      </c>
      <c r="Z96" t="str">
        <f t="shared" si="30"/>
        <v>BUSD COIN LONG</v>
      </c>
      <c r="AA96" t="b">
        <f>IF($C96="","",IF(ISERROR(VLOOKUP($Y96,Mappings!$A:$C,3,FALSE)),FALSE,VLOOKUP($Y96,Mappings!$A:$C,3,FALSE)))</f>
        <v>1</v>
      </c>
    </row>
    <row r="97" spans="1:27" customFormat="1" x14ac:dyDescent="0.25">
      <c r="A97" s="14">
        <v>95</v>
      </c>
      <c r="B97" s="71">
        <v>44939.000003900466</v>
      </c>
      <c r="C97" s="14" t="s">
        <v>11</v>
      </c>
      <c r="D97" s="23" t="s">
        <v>18</v>
      </c>
      <c r="E97" s="23" t="s">
        <v>38</v>
      </c>
      <c r="F97" s="101">
        <v>13400136.677891999</v>
      </c>
      <c r="G97" s="153">
        <v>13401370.1495455</v>
      </c>
      <c r="H97" s="157">
        <v>1.00009204918451</v>
      </c>
      <c r="I97" s="23">
        <v>0</v>
      </c>
      <c r="J97" s="23" t="s">
        <v>85</v>
      </c>
      <c r="K97" s="24">
        <v>44939.000003900466</v>
      </c>
      <c r="L97" s="23">
        <v>1</v>
      </c>
      <c r="M97" s="23" t="s">
        <v>38</v>
      </c>
      <c r="N97" s="45">
        <f t="shared" si="19"/>
        <v>1</v>
      </c>
      <c r="O97" s="159">
        <f t="shared" si="20"/>
        <v>13400136.677891999</v>
      </c>
      <c r="P97" s="47">
        <f t="shared" si="21"/>
        <v>13401370.149545522</v>
      </c>
      <c r="Q97" s="25">
        <f t="shared" si="24"/>
        <v>0</v>
      </c>
      <c r="R97" s="26" t="str">
        <f t="shared" si="25"/>
        <v>COIN</v>
      </c>
      <c r="S97" s="26" t="str">
        <f t="shared" si="18"/>
        <v>LONG</v>
      </c>
      <c r="T97" s="26" t="str">
        <f t="shared" si="26"/>
        <v>COIN LONG</v>
      </c>
      <c r="U97" s="17">
        <f t="shared" si="27"/>
        <v>13401370.1495455</v>
      </c>
      <c r="V97" s="17">
        <f t="shared" si="28"/>
        <v>1.00009204918451</v>
      </c>
      <c r="W97" s="39">
        <f>IF($C97="","",IF(DefaultScenario,IF(OR(AND(Default_Exchange="ALL",NOT(ISERROR(MATCH($C97,$AF$6:$AF$37,0)))),$C97=Default_Exchange),IF($G97&gt;0,-LGD,0),0),IF(OR($J97="SWAP",$J97="FUTURE",$J97="CME FUTURE"),IF('Futures &amp; Perps Shifted'!$AE$31,VLOOKUP($M97,'Futures &amp; Perps Shifted'!$AE$32:$AO$76,MATCH($R97,'Futures &amp; Perps Shifted'!$AE$30:$AO$30,0),FALSE),0),0)))</f>
        <v>0</v>
      </c>
      <c r="X97" s="17">
        <f t="shared" si="29"/>
        <v>0</v>
      </c>
      <c r="Y97" s="14" t="str">
        <f t="shared" si="17"/>
        <v>BINE</v>
      </c>
      <c r="Z97" t="str">
        <f t="shared" si="30"/>
        <v>USDT COIN LONG</v>
      </c>
      <c r="AA97" t="b">
        <f>IF($C97="","",IF(ISERROR(VLOOKUP($Y97,Mappings!$A:$C,3,FALSE)),FALSE,VLOOKUP($Y97,Mappings!$A:$C,3,FALSE)))</f>
        <v>1</v>
      </c>
    </row>
    <row r="98" spans="1:27" customFormat="1" x14ac:dyDescent="0.25">
      <c r="A98" s="14">
        <v>96</v>
      </c>
      <c r="B98" s="71">
        <v>44939.000003900466</v>
      </c>
      <c r="C98" s="14" t="s">
        <v>11</v>
      </c>
      <c r="D98" s="23" t="s">
        <v>18</v>
      </c>
      <c r="E98" s="23" t="s">
        <v>38</v>
      </c>
      <c r="F98" s="101">
        <v>878081.47598261002</v>
      </c>
      <c r="G98" s="153">
        <v>878162.30266641104</v>
      </c>
      <c r="H98" s="157">
        <v>1.00009204918451</v>
      </c>
      <c r="I98" s="23">
        <v>0</v>
      </c>
      <c r="J98" s="23" t="s">
        <v>253</v>
      </c>
      <c r="K98" s="24">
        <v>44939.000003900466</v>
      </c>
      <c r="L98" s="23">
        <v>1</v>
      </c>
      <c r="M98" s="23" t="s">
        <v>38</v>
      </c>
      <c r="N98" s="45">
        <f t="shared" si="19"/>
        <v>1</v>
      </c>
      <c r="O98" s="159">
        <f t="shared" si="20"/>
        <v>878081.47598261002</v>
      </c>
      <c r="P98" s="47">
        <f t="shared" si="21"/>
        <v>878162.30266640754</v>
      </c>
      <c r="Q98" s="25">
        <f t="shared" si="24"/>
        <v>0</v>
      </c>
      <c r="R98" s="26" t="str">
        <f t="shared" si="25"/>
        <v>COIN</v>
      </c>
      <c r="S98" s="26" t="str">
        <f t="shared" si="18"/>
        <v>LONG</v>
      </c>
      <c r="T98" s="26" t="str">
        <f t="shared" si="26"/>
        <v>COIN LONG</v>
      </c>
      <c r="U98" s="17">
        <f t="shared" si="27"/>
        <v>878162.30266641104</v>
      </c>
      <c r="V98" s="17">
        <f t="shared" si="28"/>
        <v>1.00009204918451</v>
      </c>
      <c r="W98" s="39">
        <f>IF($C98="","",IF(DefaultScenario,IF(OR(AND(Default_Exchange="ALL",NOT(ISERROR(MATCH($C98,$AF$6:$AF$37,0)))),$C98=Default_Exchange),IF($G98&gt;0,-LGD,0),0),IF(OR($J98="SWAP",$J98="FUTURE",$J98="CME FUTURE"),IF('Futures &amp; Perps Shifted'!$AE$31,VLOOKUP($M98,'Futures &amp; Perps Shifted'!$AE$32:$AO$76,MATCH($R98,'Futures &amp; Perps Shifted'!$AE$30:$AO$30,0),FALSE),0),0)))</f>
        <v>0</v>
      </c>
      <c r="X98" s="17">
        <f t="shared" si="29"/>
        <v>0</v>
      </c>
      <c r="Y98" s="14" t="str">
        <f t="shared" si="17"/>
        <v>BINE</v>
      </c>
      <c r="Z98" t="str">
        <f t="shared" si="30"/>
        <v>USDT COIN LONG</v>
      </c>
      <c r="AA98" t="b">
        <f>IF($C98="","",IF(ISERROR(VLOOKUP($Y98,Mappings!$A:$C,3,FALSE)),FALSE,VLOOKUP($Y98,Mappings!$A:$C,3,FALSE)))</f>
        <v>1</v>
      </c>
    </row>
    <row r="99" spans="1:27" customFormat="1" x14ac:dyDescent="0.25">
      <c r="A99" s="14">
        <v>97</v>
      </c>
      <c r="B99" s="71">
        <v>44939.000003935187</v>
      </c>
      <c r="C99" s="14" t="s">
        <v>11</v>
      </c>
      <c r="D99" s="23" t="s">
        <v>299</v>
      </c>
      <c r="E99" s="23" t="s">
        <v>38</v>
      </c>
      <c r="F99" s="101">
        <v>829745.80743815005</v>
      </c>
      <c r="G99" s="153">
        <v>829822.18486307794</v>
      </c>
      <c r="H99" s="157">
        <v>1.00009204918451</v>
      </c>
      <c r="I99" s="23">
        <v>0</v>
      </c>
      <c r="J99" s="23" t="s">
        <v>85</v>
      </c>
      <c r="K99" s="24">
        <v>44939.000003935187</v>
      </c>
      <c r="L99" s="23">
        <v>1</v>
      </c>
      <c r="M99" s="23" t="s">
        <v>38</v>
      </c>
      <c r="N99" s="45">
        <f t="shared" si="19"/>
        <v>1</v>
      </c>
      <c r="O99" s="159">
        <f t="shared" si="20"/>
        <v>829745.80743815005</v>
      </c>
      <c r="P99" s="47">
        <f t="shared" si="21"/>
        <v>829822.18486307526</v>
      </c>
      <c r="Q99" s="25">
        <f t="shared" si="24"/>
        <v>0</v>
      </c>
      <c r="R99" s="26" t="str">
        <f t="shared" si="25"/>
        <v>COIN</v>
      </c>
      <c r="S99" s="26" t="str">
        <f t="shared" si="18"/>
        <v>LONG</v>
      </c>
      <c r="T99" s="26" t="str">
        <f t="shared" si="26"/>
        <v>COIN LONG</v>
      </c>
      <c r="U99" s="17">
        <f t="shared" si="27"/>
        <v>829822.18486307794</v>
      </c>
      <c r="V99" s="17">
        <f t="shared" si="28"/>
        <v>1.00009204918451</v>
      </c>
      <c r="W99" s="39">
        <f>IF($C99="","",IF(DefaultScenario,IF(OR(AND(Default_Exchange="ALL",NOT(ISERROR(MATCH($C99,$AF$6:$AF$37,0)))),$C99=Default_Exchange),IF($G99&gt;0,-LGD,0),0),IF(OR($J99="SWAP",$J99="FUTURE",$J99="CME FUTURE"),IF('Futures &amp; Perps Shifted'!$AE$31,VLOOKUP($M99,'Futures &amp; Perps Shifted'!$AE$32:$AO$76,MATCH($R99,'Futures &amp; Perps Shifted'!$AE$30:$AO$30,0),FALSE),0),0)))</f>
        <v>0</v>
      </c>
      <c r="X99" s="17">
        <f t="shared" si="29"/>
        <v>0</v>
      </c>
      <c r="Y99" s="14" t="str">
        <f t="shared" si="17"/>
        <v>BINE</v>
      </c>
      <c r="Z99" t="str">
        <f t="shared" si="30"/>
        <v>USDT COIN LONG</v>
      </c>
      <c r="AA99" t="b">
        <f>IF($C99="","",IF(ISERROR(VLOOKUP($Y99,Mappings!$A:$C,3,FALSE)),FALSE,VLOOKUP($Y99,Mappings!$A:$C,3,FALSE)))</f>
        <v>1</v>
      </c>
    </row>
    <row r="100" spans="1:27" customFormat="1" x14ac:dyDescent="0.25">
      <c r="A100" s="14">
        <v>98</v>
      </c>
      <c r="B100" s="71">
        <v>44939.000003935187</v>
      </c>
      <c r="C100" s="14" t="s">
        <v>11</v>
      </c>
      <c r="D100" s="23" t="s">
        <v>299</v>
      </c>
      <c r="E100" s="23" t="s">
        <v>38</v>
      </c>
      <c r="F100" s="101">
        <v>-507.05590913999998</v>
      </c>
      <c r="G100" s="153">
        <v>-507.10258322293902</v>
      </c>
      <c r="H100" s="157">
        <v>1.00009204918451</v>
      </c>
      <c r="I100" s="23">
        <v>0</v>
      </c>
      <c r="J100" s="23" t="s">
        <v>253</v>
      </c>
      <c r="K100" s="24">
        <v>44939.000003935187</v>
      </c>
      <c r="L100" s="23">
        <v>1</v>
      </c>
      <c r="M100" s="23" t="s">
        <v>38</v>
      </c>
      <c r="N100" s="45">
        <f t="shared" si="19"/>
        <v>1</v>
      </c>
      <c r="O100" s="159">
        <f t="shared" si="20"/>
        <v>-507.05590913999998</v>
      </c>
      <c r="P100" s="47">
        <f t="shared" si="21"/>
        <v>-507.10258322293731</v>
      </c>
      <c r="Q100" s="25">
        <f t="shared" si="24"/>
        <v>0</v>
      </c>
      <c r="R100" s="26" t="str">
        <f t="shared" si="25"/>
        <v>COIN</v>
      </c>
      <c r="S100" s="26" t="str">
        <f t="shared" si="18"/>
        <v>SHORT</v>
      </c>
      <c r="T100" s="26" t="str">
        <f t="shared" si="26"/>
        <v>COIN SHORT</v>
      </c>
      <c r="U100" s="17">
        <f t="shared" si="27"/>
        <v>-507.10258322293902</v>
      </c>
      <c r="V100" s="17">
        <f t="shared" si="28"/>
        <v>1.00009204918451</v>
      </c>
      <c r="W100" s="39">
        <f>IF($C100="","",IF(DefaultScenario,IF(OR(AND(Default_Exchange="ALL",NOT(ISERROR(MATCH($C100,$AF$6:$AF$37,0)))),$C100=Default_Exchange),IF($G100&gt;0,-LGD,0),0),IF(OR($J100="SWAP",$J100="FUTURE",$J100="CME FUTURE"),IF('Futures &amp; Perps Shifted'!$AE$31,VLOOKUP($M100,'Futures &amp; Perps Shifted'!$AE$32:$AO$76,MATCH($R100,'Futures &amp; Perps Shifted'!$AE$30:$AO$30,0),FALSE),0),0)))</f>
        <v>0</v>
      </c>
      <c r="X100" s="17">
        <f t="shared" si="29"/>
        <v>0</v>
      </c>
      <c r="Y100" s="14" t="str">
        <f t="shared" si="17"/>
        <v>BINE</v>
      </c>
      <c r="Z100" t="str">
        <f t="shared" si="30"/>
        <v>USDT COIN SHORT</v>
      </c>
      <c r="AA100" t="b">
        <f>IF($C100="","",IF(ISERROR(VLOOKUP($Y100,Mappings!$A:$C,3,FALSE)),FALSE,VLOOKUP($Y100,Mappings!$A:$C,3,FALSE)))</f>
        <v>1</v>
      </c>
    </row>
    <row r="101" spans="1:27" customFormat="1" x14ac:dyDescent="0.25">
      <c r="A101" s="14">
        <v>99</v>
      </c>
      <c r="B101" s="71">
        <v>44939.000000578701</v>
      </c>
      <c r="C101" s="14" t="s">
        <v>217</v>
      </c>
      <c r="D101" s="23" t="s">
        <v>93</v>
      </c>
      <c r="E101" s="23" t="s">
        <v>14</v>
      </c>
      <c r="F101" s="101">
        <v>7.9996000000000008E-3</v>
      </c>
      <c r="G101" s="153">
        <v>150.94915660690199</v>
      </c>
      <c r="H101" s="157">
        <v>18869.5880552655</v>
      </c>
      <c r="I101" s="23">
        <v>0</v>
      </c>
      <c r="J101" s="23" t="s">
        <v>85</v>
      </c>
      <c r="K101" s="24">
        <v>44939.000000578701</v>
      </c>
      <c r="L101" s="23">
        <v>1</v>
      </c>
      <c r="M101" s="23" t="s">
        <v>14</v>
      </c>
      <c r="N101" s="45">
        <f t="shared" si="19"/>
        <v>1</v>
      </c>
      <c r="O101" s="159">
        <f t="shared" si="20"/>
        <v>7.9996000000000008E-3</v>
      </c>
      <c r="P101" s="47">
        <f t="shared" si="21"/>
        <v>150.94915660690191</v>
      </c>
      <c r="Q101" s="25">
        <f t="shared" si="24"/>
        <v>0</v>
      </c>
      <c r="R101" s="26" t="str">
        <f t="shared" si="25"/>
        <v>COIN</v>
      </c>
      <c r="S101" s="26" t="str">
        <f t="shared" si="18"/>
        <v>LONG</v>
      </c>
      <c r="T101" s="26" t="str">
        <f t="shared" si="26"/>
        <v>COIN LONG</v>
      </c>
      <c r="U101" s="17">
        <f t="shared" si="27"/>
        <v>150.94915660690199</v>
      </c>
      <c r="V101" s="17">
        <f t="shared" si="28"/>
        <v>18869.5880552655</v>
      </c>
      <c r="W101" s="39">
        <f>IF($C101="","",IF(DefaultScenario,IF(OR(AND(Default_Exchange="ALL",NOT(ISERROR(MATCH($C101,$AF$6:$AF$37,0)))),$C101=Default_Exchange),IF($G101&gt;0,-LGD,0),0),IF(OR($J101="SWAP",$J101="FUTURE",$J101="CME FUTURE"),IF('Futures &amp; Perps Shifted'!$AE$31,VLOOKUP($M101,'Futures &amp; Perps Shifted'!$AE$32:$AO$76,MATCH($R101,'Futures &amp; Perps Shifted'!$AE$30:$AO$30,0),FALSE),0),0)))</f>
        <v>0</v>
      </c>
      <c r="X101" s="17">
        <f t="shared" si="29"/>
        <v>0</v>
      </c>
      <c r="Y101" s="14" t="str">
        <f t="shared" si="17"/>
        <v>BTFX</v>
      </c>
      <c r="Z101" t="str">
        <f t="shared" si="30"/>
        <v>BTC COIN LONG</v>
      </c>
      <c r="AA101" t="b">
        <f>IF($C101="","",IF(ISERROR(VLOOKUP($Y101,Mappings!$A:$C,3,FALSE)),FALSE,VLOOKUP($Y101,Mappings!$A:$C,3,FALSE)))</f>
        <v>0</v>
      </c>
    </row>
    <row r="102" spans="1:27" customFormat="1" x14ac:dyDescent="0.25">
      <c r="A102" s="14">
        <v>100</v>
      </c>
      <c r="B102" s="71">
        <v>44939.000000578701</v>
      </c>
      <c r="C102" s="14" t="s">
        <v>217</v>
      </c>
      <c r="D102" s="23" t="s">
        <v>93</v>
      </c>
      <c r="E102" s="23" t="s">
        <v>15</v>
      </c>
      <c r="F102" s="101">
        <v>0.02</v>
      </c>
      <c r="G102" s="153">
        <v>28.3587704622243</v>
      </c>
      <c r="H102" s="157">
        <v>1417.9385231112101</v>
      </c>
      <c r="I102" s="23">
        <v>0</v>
      </c>
      <c r="J102" s="23" t="s">
        <v>85</v>
      </c>
      <c r="K102" s="24">
        <v>44939.000000578701</v>
      </c>
      <c r="L102" s="23">
        <v>1</v>
      </c>
      <c r="M102" s="23" t="s">
        <v>15</v>
      </c>
      <c r="N102" s="45">
        <f t="shared" si="19"/>
        <v>1</v>
      </c>
      <c r="O102" s="159">
        <f t="shared" si="20"/>
        <v>0.02</v>
      </c>
      <c r="P102" s="47">
        <f t="shared" si="21"/>
        <v>28.358770462224204</v>
      </c>
      <c r="Q102" s="25">
        <f t="shared" si="24"/>
        <v>0</v>
      </c>
      <c r="R102" s="26" t="str">
        <f t="shared" si="25"/>
        <v>COIN</v>
      </c>
      <c r="S102" s="26" t="str">
        <f t="shared" si="18"/>
        <v>LONG</v>
      </c>
      <c r="T102" s="26" t="str">
        <f t="shared" si="26"/>
        <v>COIN LONG</v>
      </c>
      <c r="U102" s="17">
        <f t="shared" si="27"/>
        <v>28.3587704622243</v>
      </c>
      <c r="V102" s="17">
        <f t="shared" si="28"/>
        <v>1417.9385231112101</v>
      </c>
      <c r="W102" s="39">
        <f>IF($C102="","",IF(DefaultScenario,IF(OR(AND(Default_Exchange="ALL",NOT(ISERROR(MATCH($C102,$AF$6:$AF$37,0)))),$C102=Default_Exchange),IF($G102&gt;0,-LGD,0),0),IF(OR($J102="SWAP",$J102="FUTURE",$J102="CME FUTURE"),IF('Futures &amp; Perps Shifted'!$AE$31,VLOOKUP($M102,'Futures &amp; Perps Shifted'!$AE$32:$AO$76,MATCH($R102,'Futures &amp; Perps Shifted'!$AE$30:$AO$30,0),FALSE),0),0)))</f>
        <v>0</v>
      </c>
      <c r="X102" s="17">
        <f t="shared" si="29"/>
        <v>0</v>
      </c>
      <c r="Y102" s="14" t="str">
        <f t="shared" si="17"/>
        <v>BTFX</v>
      </c>
      <c r="Z102" t="str">
        <f t="shared" si="30"/>
        <v>ETH COIN LONG</v>
      </c>
      <c r="AA102" t="b">
        <f>IF($C102="","",IF(ISERROR(VLOOKUP($Y102,Mappings!$A:$C,3,FALSE)),FALSE,VLOOKUP($Y102,Mappings!$A:$C,3,FALSE)))</f>
        <v>0</v>
      </c>
    </row>
    <row r="103" spans="1:27" customFormat="1" x14ac:dyDescent="0.25">
      <c r="A103" s="14">
        <v>101</v>
      </c>
      <c r="B103" s="71">
        <v>44939.000000578701</v>
      </c>
      <c r="C103" s="14" t="s">
        <v>217</v>
      </c>
      <c r="D103" s="23" t="s">
        <v>93</v>
      </c>
      <c r="E103" s="23" t="s">
        <v>272</v>
      </c>
      <c r="F103" s="101">
        <v>0.02</v>
      </c>
      <c r="G103" s="153">
        <v>6.8681868233453097E-2</v>
      </c>
      <c r="H103" s="157">
        <v>3.43409341167265</v>
      </c>
      <c r="I103" s="23">
        <v>0</v>
      </c>
      <c r="J103" s="23" t="s">
        <v>85</v>
      </c>
      <c r="K103" s="24">
        <v>44939.000000578701</v>
      </c>
      <c r="L103" s="23">
        <v>1</v>
      </c>
      <c r="M103" s="23" t="s">
        <v>272</v>
      </c>
      <c r="N103" s="45">
        <f t="shared" si="19"/>
        <v>1</v>
      </c>
      <c r="O103" s="159">
        <f t="shared" si="20"/>
        <v>0.02</v>
      </c>
      <c r="P103" s="47">
        <f t="shared" si="21"/>
        <v>6.8681868233453E-2</v>
      </c>
      <c r="Q103" s="25">
        <f t="shared" si="24"/>
        <v>0</v>
      </c>
      <c r="R103" s="26" t="str">
        <f t="shared" si="25"/>
        <v>COIN</v>
      </c>
      <c r="S103" s="26" t="str">
        <f t="shared" si="18"/>
        <v>LONG</v>
      </c>
      <c r="T103" s="26" t="str">
        <f t="shared" si="26"/>
        <v>COIN LONG</v>
      </c>
      <c r="U103" s="17">
        <f t="shared" si="27"/>
        <v>6.8681868233453097E-2</v>
      </c>
      <c r="V103" s="17">
        <f t="shared" si="28"/>
        <v>3.43409341167265</v>
      </c>
      <c r="W103" s="39">
        <f>IF($C103="","",IF(DefaultScenario,IF(OR(AND(Default_Exchange="ALL",NOT(ISERROR(MATCH($C103,$AF$6:$AF$37,0)))),$C103=Default_Exchange),IF($G103&gt;0,-LGD,0),0),IF(OR($J103="SWAP",$J103="FUTURE",$J103="CME FUTURE"),IF('Futures &amp; Perps Shifted'!$AE$31,VLOOKUP($M103,'Futures &amp; Perps Shifted'!$AE$32:$AO$76,MATCH($R103,'Futures &amp; Perps Shifted'!$AE$30:$AO$30,0),FALSE),0),0)))</f>
        <v>0</v>
      </c>
      <c r="X103" s="17">
        <f t="shared" si="29"/>
        <v>0</v>
      </c>
      <c r="Y103" s="14" t="str">
        <f t="shared" si="17"/>
        <v>BTFX</v>
      </c>
      <c r="Z103" t="str">
        <f t="shared" si="30"/>
        <v>ETHW COIN LONG</v>
      </c>
      <c r="AA103" t="b">
        <f>IF($C103="","",IF(ISERROR(VLOOKUP($Y103,Mappings!$A:$C,3,FALSE)),FALSE,VLOOKUP($Y103,Mappings!$A:$C,3,FALSE)))</f>
        <v>0</v>
      </c>
    </row>
    <row r="104" spans="1:27" customFormat="1" x14ac:dyDescent="0.25">
      <c r="A104" s="14">
        <v>102</v>
      </c>
      <c r="B104" s="71">
        <v>44939.000000578701</v>
      </c>
      <c r="C104" s="14" t="s">
        <v>217</v>
      </c>
      <c r="D104" s="23" t="s">
        <v>93</v>
      </c>
      <c r="E104" s="23" t="s">
        <v>95</v>
      </c>
      <c r="F104" s="101">
        <v>2.755467E-2</v>
      </c>
      <c r="G104" s="153">
        <v>2.755467E-2</v>
      </c>
      <c r="H104" s="157">
        <v>1</v>
      </c>
      <c r="I104" s="23">
        <v>0</v>
      </c>
      <c r="J104" s="23" t="s">
        <v>85</v>
      </c>
      <c r="K104" s="24">
        <v>44939.000000578701</v>
      </c>
      <c r="L104" s="23">
        <v>1</v>
      </c>
      <c r="M104" s="23" t="s">
        <v>95</v>
      </c>
      <c r="N104" s="45">
        <f t="shared" si="19"/>
        <v>1</v>
      </c>
      <c r="O104" s="159">
        <f t="shared" si="20"/>
        <v>2.755467E-2</v>
      </c>
      <c r="P104" s="47">
        <f t="shared" si="21"/>
        <v>2.755467E-2</v>
      </c>
      <c r="Q104" s="25">
        <f t="shared" si="24"/>
        <v>0</v>
      </c>
      <c r="R104" s="26" t="str">
        <f t="shared" si="25"/>
        <v>CASH</v>
      </c>
      <c r="S104" s="26" t="str">
        <f t="shared" si="18"/>
        <v>LONG</v>
      </c>
      <c r="T104" s="26" t="str">
        <f t="shared" si="26"/>
        <v>CASH LONG</v>
      </c>
      <c r="U104" s="17">
        <f t="shared" si="27"/>
        <v>2.755467E-2</v>
      </c>
      <c r="V104" s="17">
        <f t="shared" si="28"/>
        <v>1</v>
      </c>
      <c r="W104" s="39">
        <f>IF($C104="","",IF(DefaultScenario,IF(OR(AND(Default_Exchange="ALL",NOT(ISERROR(MATCH($C104,$AF$6:$AF$37,0)))),$C104=Default_Exchange),IF($G104&gt;0,-LGD,0),0),IF(OR($J104="SWAP",$J104="FUTURE",$J104="CME FUTURE"),IF('Futures &amp; Perps Shifted'!$AE$31,VLOOKUP($M104,'Futures &amp; Perps Shifted'!$AE$32:$AO$76,MATCH($R104,'Futures &amp; Perps Shifted'!$AE$30:$AO$30,0),FALSE),0),0)))</f>
        <v>0</v>
      </c>
      <c r="X104" s="17">
        <f t="shared" si="29"/>
        <v>0</v>
      </c>
      <c r="Y104" s="14" t="str">
        <f t="shared" si="17"/>
        <v>BTFX</v>
      </c>
      <c r="Z104" t="str">
        <f t="shared" si="30"/>
        <v>USD CASH LONG</v>
      </c>
      <c r="AA104" t="b">
        <f>IF($C104="","",IF(ISERROR(VLOOKUP($Y104,Mappings!$A:$C,3,FALSE)),FALSE,VLOOKUP($Y104,Mappings!$A:$C,3,FALSE)))</f>
        <v>0</v>
      </c>
    </row>
    <row r="105" spans="1:27" customFormat="1" x14ac:dyDescent="0.25">
      <c r="A105" s="14">
        <v>103</v>
      </c>
      <c r="B105" s="71">
        <v>44939.000000578701</v>
      </c>
      <c r="C105" s="14" t="s">
        <v>217</v>
      </c>
      <c r="D105" s="23" t="s">
        <v>93</v>
      </c>
      <c r="E105" s="23" t="s">
        <v>96</v>
      </c>
      <c r="F105" s="101">
        <v>29.9885932</v>
      </c>
      <c r="G105" s="153">
        <v>0</v>
      </c>
      <c r="H105" s="157">
        <v>0</v>
      </c>
      <c r="I105" s="23">
        <v>0</v>
      </c>
      <c r="J105" s="23" t="s">
        <v>85</v>
      </c>
      <c r="K105" s="24">
        <v>44939.000000578701</v>
      </c>
      <c r="L105" s="23">
        <v>1</v>
      </c>
      <c r="M105" s="23" t="s">
        <v>96</v>
      </c>
      <c r="N105" s="45">
        <f t="shared" si="19"/>
        <v>1</v>
      </c>
      <c r="O105" s="159">
        <f t="shared" si="20"/>
        <v>29.9885932</v>
      </c>
      <c r="P105" s="47">
        <f t="shared" si="21"/>
        <v>0</v>
      </c>
      <c r="Q105" s="25">
        <f t="shared" si="24"/>
        <v>0</v>
      </c>
      <c r="R105" s="26" t="str">
        <f t="shared" si="25"/>
        <v>COIN</v>
      </c>
      <c r="S105" s="26" t="str">
        <f t="shared" si="18"/>
        <v>SHORT</v>
      </c>
      <c r="T105" s="26" t="str">
        <f t="shared" si="26"/>
        <v>COIN SHORT</v>
      </c>
      <c r="U105" s="17">
        <f t="shared" si="27"/>
        <v>0</v>
      </c>
      <c r="V105" s="17">
        <f t="shared" si="28"/>
        <v>0</v>
      </c>
      <c r="W105" s="39">
        <f>IF($C105="","",IF(DefaultScenario,IF(OR(AND(Default_Exchange="ALL",NOT(ISERROR(MATCH($C105,$AF$6:$AF$37,0)))),$C105=Default_Exchange),IF($G105&gt;0,-LGD,0),0),IF(OR($J105="SWAP",$J105="FUTURE",$J105="CME FUTURE"),IF('Futures &amp; Perps Shifted'!$AE$31,VLOOKUP($M105,'Futures &amp; Perps Shifted'!$AE$32:$AO$76,MATCH($R105,'Futures &amp; Perps Shifted'!$AE$30:$AO$30,0),FALSE),0),0)))</f>
        <v>0</v>
      </c>
      <c r="X105" s="17">
        <f t="shared" si="29"/>
        <v>0</v>
      </c>
      <c r="Y105" s="14" t="str">
        <f t="shared" si="17"/>
        <v>BTFX</v>
      </c>
      <c r="Z105" t="str">
        <f t="shared" si="30"/>
        <v>UST COIN SHORT</v>
      </c>
      <c r="AA105" t="b">
        <f>IF($C105="","",IF(ISERROR(VLOOKUP($Y105,Mappings!$A:$C,3,FALSE)),FALSE,VLOOKUP($Y105,Mappings!$A:$C,3,FALSE)))</f>
        <v>0</v>
      </c>
    </row>
    <row r="106" spans="1:27" customFormat="1" x14ac:dyDescent="0.25">
      <c r="A106" s="14">
        <v>104</v>
      </c>
      <c r="B106" s="71">
        <v>44938.004609722222</v>
      </c>
      <c r="C106" s="14" t="s">
        <v>97</v>
      </c>
      <c r="D106" s="23" t="s">
        <v>97</v>
      </c>
      <c r="E106" s="23" t="s">
        <v>20</v>
      </c>
      <c r="F106" s="101">
        <v>0.21932823000000001</v>
      </c>
      <c r="G106" s="153">
        <v>26.255884650393501</v>
      </c>
      <c r="H106" s="157">
        <v>119.710466137412</v>
      </c>
      <c r="I106" s="23">
        <v>0</v>
      </c>
      <c r="J106" s="23" t="s">
        <v>85</v>
      </c>
      <c r="K106" s="24">
        <v>44938.004609722222</v>
      </c>
      <c r="L106" s="23">
        <v>1</v>
      </c>
      <c r="M106" s="23" t="s">
        <v>20</v>
      </c>
      <c r="N106" s="45">
        <f t="shared" si="19"/>
        <v>1</v>
      </c>
      <c r="O106" s="159">
        <f t="shared" si="20"/>
        <v>0.21932823000000001</v>
      </c>
      <c r="P106" s="47">
        <f t="shared" si="21"/>
        <v>26.255884650393511</v>
      </c>
      <c r="Q106" s="25">
        <f t="shared" si="24"/>
        <v>0</v>
      </c>
      <c r="R106" s="26" t="str">
        <f t="shared" si="25"/>
        <v>COIN</v>
      </c>
      <c r="S106" s="26" t="str">
        <f t="shared" si="18"/>
        <v>LONG</v>
      </c>
      <c r="T106" s="26" t="str">
        <f t="shared" si="26"/>
        <v>COIN LONG</v>
      </c>
      <c r="U106" s="17">
        <f t="shared" si="27"/>
        <v>26.255884650393501</v>
      </c>
      <c r="V106" s="17">
        <f t="shared" si="28"/>
        <v>119.710466137412</v>
      </c>
      <c r="W106" s="39">
        <f>IF($C106="","",IF(DefaultScenario,IF(OR(AND(Default_Exchange="ALL",NOT(ISERROR(MATCH($C106,$AF$6:$AF$37,0)))),$C106=Default_Exchange),IF($G106&gt;0,-LGD,0),0),IF(OR($J106="SWAP",$J106="FUTURE",$J106="CME FUTURE"),IF('Futures &amp; Perps Shifted'!$AE$31,VLOOKUP($M106,'Futures &amp; Perps Shifted'!$AE$32:$AO$76,MATCH($R106,'Futures &amp; Perps Shifted'!$AE$30:$AO$30,0),FALSE),0),0)))</f>
        <v>0</v>
      </c>
      <c r="X106" s="17">
        <f t="shared" si="29"/>
        <v>0</v>
      </c>
      <c r="Y106" s="14" t="str">
        <f t="shared" si="17"/>
        <v>BTSE</v>
      </c>
      <c r="Z106" t="str">
        <f t="shared" si="30"/>
        <v>BCH COIN LONG</v>
      </c>
      <c r="AA106" t="b">
        <f>IF($C106="","",IF(ISERROR(VLOOKUP($Y106,Mappings!$A:$C,3,FALSE)),FALSE,VLOOKUP($Y106,Mappings!$A:$C,3,FALSE)))</f>
        <v>1</v>
      </c>
    </row>
    <row r="107" spans="1:27" customFormat="1" x14ac:dyDescent="0.25">
      <c r="A107" s="14">
        <v>105</v>
      </c>
      <c r="B107" s="71">
        <v>44938.004620636573</v>
      </c>
      <c r="C107" s="14" t="s">
        <v>97</v>
      </c>
      <c r="D107" s="23" t="s">
        <v>97</v>
      </c>
      <c r="E107" s="23" t="s">
        <v>14</v>
      </c>
      <c r="F107" s="101">
        <v>5.7861299999999997E-2</v>
      </c>
      <c r="G107" s="153">
        <v>1091.81889534213</v>
      </c>
      <c r="H107" s="157">
        <v>18869.5880552655</v>
      </c>
      <c r="I107" s="23">
        <v>0</v>
      </c>
      <c r="J107" s="23" t="s">
        <v>85</v>
      </c>
      <c r="K107" s="24">
        <v>44938.004620636573</v>
      </c>
      <c r="L107" s="23">
        <v>1</v>
      </c>
      <c r="M107" s="23" t="s">
        <v>14</v>
      </c>
      <c r="N107" s="45">
        <f t="shared" si="19"/>
        <v>1</v>
      </c>
      <c r="O107" s="159">
        <f t="shared" si="20"/>
        <v>5.7861299999999997E-2</v>
      </c>
      <c r="P107" s="47">
        <f t="shared" si="21"/>
        <v>1091.8188953421336</v>
      </c>
      <c r="Q107" s="25">
        <f t="shared" si="24"/>
        <v>0</v>
      </c>
      <c r="R107" s="26" t="str">
        <f t="shared" si="25"/>
        <v>COIN</v>
      </c>
      <c r="S107" s="26" t="str">
        <f t="shared" si="18"/>
        <v>LONG</v>
      </c>
      <c r="T107" s="26" t="str">
        <f t="shared" si="26"/>
        <v>COIN LONG</v>
      </c>
      <c r="U107" s="17">
        <f t="shared" si="27"/>
        <v>1091.81889534213</v>
      </c>
      <c r="V107" s="17">
        <f t="shared" si="28"/>
        <v>18869.5880552655</v>
      </c>
      <c r="W107" s="39">
        <f>IF($C107="","",IF(DefaultScenario,IF(OR(AND(Default_Exchange="ALL",NOT(ISERROR(MATCH($C107,$AF$6:$AF$37,0)))),$C107=Default_Exchange),IF($G107&gt;0,-LGD,0),0),IF(OR($J107="SWAP",$J107="FUTURE",$J107="CME FUTURE"),IF('Futures &amp; Perps Shifted'!$AE$31,VLOOKUP($M107,'Futures &amp; Perps Shifted'!$AE$32:$AO$76,MATCH($R107,'Futures &amp; Perps Shifted'!$AE$30:$AO$30,0),FALSE),0),0)))</f>
        <v>0</v>
      </c>
      <c r="X107" s="17">
        <f t="shared" si="29"/>
        <v>0</v>
      </c>
      <c r="Y107" s="14" t="str">
        <f t="shared" si="17"/>
        <v>BTSE</v>
      </c>
      <c r="Z107" t="str">
        <f t="shared" si="30"/>
        <v>BTC COIN LONG</v>
      </c>
      <c r="AA107" t="b">
        <f>IF($C107="","",IF(ISERROR(VLOOKUP($Y107,Mappings!$A:$C,3,FALSE)),FALSE,VLOOKUP($Y107,Mappings!$A:$C,3,FALSE)))</f>
        <v>1</v>
      </c>
    </row>
    <row r="108" spans="1:27" customFormat="1" x14ac:dyDescent="0.25">
      <c r="A108" s="14">
        <v>106</v>
      </c>
      <c r="B108" s="71">
        <v>44938.004631481483</v>
      </c>
      <c r="C108" s="14" t="s">
        <v>97</v>
      </c>
      <c r="D108" s="23" t="s">
        <v>97</v>
      </c>
      <c r="E108" s="23" t="s">
        <v>15</v>
      </c>
      <c r="F108" s="101">
        <v>0.73541904000000002</v>
      </c>
      <c r="G108" s="153">
        <v>1042.77898744547</v>
      </c>
      <c r="H108" s="157">
        <v>1417.9385231112101</v>
      </c>
      <c r="I108" s="23">
        <v>0</v>
      </c>
      <c r="J108" s="23" t="s">
        <v>85</v>
      </c>
      <c r="K108" s="24">
        <v>44938.004631481483</v>
      </c>
      <c r="L108" s="23">
        <v>1</v>
      </c>
      <c r="M108" s="23" t="s">
        <v>15</v>
      </c>
      <c r="N108" s="45">
        <f t="shared" si="19"/>
        <v>1</v>
      </c>
      <c r="O108" s="159">
        <f t="shared" si="20"/>
        <v>0.73541904000000002</v>
      </c>
      <c r="P108" s="47">
        <f t="shared" si="21"/>
        <v>1042.7789874454641</v>
      </c>
      <c r="Q108" s="25">
        <f t="shared" si="24"/>
        <v>0</v>
      </c>
      <c r="R108" s="26" t="str">
        <f t="shared" si="25"/>
        <v>COIN</v>
      </c>
      <c r="S108" s="26" t="str">
        <f t="shared" si="18"/>
        <v>LONG</v>
      </c>
      <c r="T108" s="26" t="str">
        <f t="shared" si="26"/>
        <v>COIN LONG</v>
      </c>
      <c r="U108" s="17">
        <f t="shared" si="27"/>
        <v>1042.77898744547</v>
      </c>
      <c r="V108" s="17">
        <f t="shared" si="28"/>
        <v>1417.9385231112101</v>
      </c>
      <c r="W108" s="39">
        <f>IF($C108="","",IF(DefaultScenario,IF(OR(AND(Default_Exchange="ALL",NOT(ISERROR(MATCH($C108,$AF$6:$AF$37,0)))),$C108=Default_Exchange),IF($G108&gt;0,-LGD,0),0),IF(OR($J108="SWAP",$J108="FUTURE",$J108="CME FUTURE"),IF('Futures &amp; Perps Shifted'!$AE$31,VLOOKUP($M108,'Futures &amp; Perps Shifted'!$AE$32:$AO$76,MATCH($R108,'Futures &amp; Perps Shifted'!$AE$30:$AO$30,0),FALSE),0),0)))</f>
        <v>0</v>
      </c>
      <c r="X108" s="17">
        <f t="shared" si="29"/>
        <v>0</v>
      </c>
      <c r="Y108" s="14" t="str">
        <f t="shared" si="17"/>
        <v>BTSE</v>
      </c>
      <c r="Z108" t="str">
        <f t="shared" si="30"/>
        <v>ETH COIN LONG</v>
      </c>
      <c r="AA108" t="b">
        <f>IF($C108="","",IF(ISERROR(VLOOKUP($Y108,Mappings!$A:$C,3,FALSE)),FALSE,VLOOKUP($Y108,Mappings!$A:$C,3,FALSE)))</f>
        <v>1</v>
      </c>
    </row>
    <row r="109" spans="1:27" customFormat="1" x14ac:dyDescent="0.25">
      <c r="A109" s="14">
        <v>107</v>
      </c>
      <c r="B109" s="71">
        <v>44938.004642326392</v>
      </c>
      <c r="C109" s="14" t="s">
        <v>97</v>
      </c>
      <c r="D109" s="23" t="s">
        <v>97</v>
      </c>
      <c r="E109" s="23" t="s">
        <v>973</v>
      </c>
      <c r="F109" s="101">
        <v>22277.5319929</v>
      </c>
      <c r="G109" s="153">
        <v>980.45458503844304</v>
      </c>
      <c r="H109" s="157">
        <v>4.4010915811990299E-2</v>
      </c>
      <c r="I109" s="23">
        <v>0</v>
      </c>
      <c r="J109" s="23" t="s">
        <v>85</v>
      </c>
      <c r="K109" s="24">
        <v>44938.004642326392</v>
      </c>
      <c r="L109" s="23">
        <v>1</v>
      </c>
      <c r="M109" s="23" t="s">
        <v>973</v>
      </c>
      <c r="N109" s="45">
        <f t="shared" si="19"/>
        <v>1</v>
      </c>
      <c r="O109" s="159">
        <f t="shared" si="20"/>
        <v>22277.5319929</v>
      </c>
      <c r="P109" s="47">
        <f t="shared" si="21"/>
        <v>980.45458503844236</v>
      </c>
      <c r="Q109" s="25">
        <f t="shared" si="24"/>
        <v>0</v>
      </c>
      <c r="R109" s="26" t="str">
        <f t="shared" si="25"/>
        <v>COIN</v>
      </c>
      <c r="S109" s="26" t="str">
        <f t="shared" si="18"/>
        <v>LONG</v>
      </c>
      <c r="T109" s="26" t="str">
        <f t="shared" si="26"/>
        <v>COIN LONG</v>
      </c>
      <c r="U109" s="17">
        <f t="shared" si="27"/>
        <v>980.45458503844304</v>
      </c>
      <c r="V109" s="17">
        <f t="shared" si="28"/>
        <v>4.4010915811990299E-2</v>
      </c>
      <c r="W109" s="39">
        <f>IF($C109="","",IF(DefaultScenario,IF(OR(AND(Default_Exchange="ALL",NOT(ISERROR(MATCH($C109,$AF$6:$AF$37,0)))),$C109=Default_Exchange),IF($G109&gt;0,-LGD,0),0),IF(OR($J109="SWAP",$J109="FUTURE",$J109="CME FUTURE"),IF('Futures &amp; Perps Shifted'!$AE$31,VLOOKUP($M109,'Futures &amp; Perps Shifted'!$AE$32:$AO$76,MATCH($R109,'Futures &amp; Perps Shifted'!$AE$30:$AO$30,0),FALSE),0),0)))</f>
        <v>0</v>
      </c>
      <c r="X109" s="17">
        <f t="shared" si="29"/>
        <v>0</v>
      </c>
      <c r="Y109" s="14" t="str">
        <f t="shared" si="17"/>
        <v>BTSE</v>
      </c>
      <c r="Z109" t="str">
        <f t="shared" si="30"/>
        <v>FLR COIN LONG</v>
      </c>
      <c r="AA109" t="b">
        <f>IF($C109="","",IF(ISERROR(VLOOKUP($Y109,Mappings!$A:$C,3,FALSE)),FALSE,VLOOKUP($Y109,Mappings!$A:$C,3,FALSE)))</f>
        <v>1</v>
      </c>
    </row>
    <row r="110" spans="1:27" customFormat="1" x14ac:dyDescent="0.25">
      <c r="A110" s="14">
        <v>108</v>
      </c>
      <c r="B110" s="71">
        <v>44938.004653159725</v>
      </c>
      <c r="C110" s="14" t="s">
        <v>97</v>
      </c>
      <c r="D110" s="23" t="s">
        <v>97</v>
      </c>
      <c r="E110" s="23" t="s">
        <v>98</v>
      </c>
      <c r="F110" s="101">
        <v>22277.5319929</v>
      </c>
      <c r="G110" s="153">
        <v>260.80815193398598</v>
      </c>
      <c r="H110" s="157">
        <v>1.17072282520841E-2</v>
      </c>
      <c r="I110" s="23">
        <v>0</v>
      </c>
      <c r="J110" s="23" t="s">
        <v>85</v>
      </c>
      <c r="K110" s="24">
        <v>44938.004653159725</v>
      </c>
      <c r="L110" s="23">
        <v>1</v>
      </c>
      <c r="M110" s="23" t="s">
        <v>98</v>
      </c>
      <c r="N110" s="45">
        <f t="shared" si="19"/>
        <v>1</v>
      </c>
      <c r="O110" s="159">
        <f t="shared" si="20"/>
        <v>22277.5319929</v>
      </c>
      <c r="P110" s="47">
        <f t="shared" si="21"/>
        <v>260.80815193398627</v>
      </c>
      <c r="Q110" s="25">
        <f t="shared" si="24"/>
        <v>0</v>
      </c>
      <c r="R110" s="26" t="str">
        <f t="shared" si="25"/>
        <v>COIN</v>
      </c>
      <c r="S110" s="26" t="str">
        <f t="shared" si="18"/>
        <v>LONG</v>
      </c>
      <c r="T110" s="26" t="str">
        <f t="shared" si="26"/>
        <v>COIN LONG</v>
      </c>
      <c r="U110" s="17">
        <f t="shared" si="27"/>
        <v>260.80815193398598</v>
      </c>
      <c r="V110" s="17">
        <f t="shared" si="28"/>
        <v>1.17072282520841E-2</v>
      </c>
      <c r="W110" s="39">
        <f>IF($C110="","",IF(DefaultScenario,IF(OR(AND(Default_Exchange="ALL",NOT(ISERROR(MATCH($C110,$AF$6:$AF$37,0)))),$C110=Default_Exchange),IF($G110&gt;0,-LGD,0),0),IF(OR($J110="SWAP",$J110="FUTURE",$J110="CME FUTURE"),IF('Futures &amp; Perps Shifted'!$AE$31,VLOOKUP($M110,'Futures &amp; Perps Shifted'!$AE$32:$AO$76,MATCH($R110,'Futures &amp; Perps Shifted'!$AE$30:$AO$30,0),FALSE),0),0)))</f>
        <v>0</v>
      </c>
      <c r="X110" s="17">
        <f t="shared" si="29"/>
        <v>0</v>
      </c>
      <c r="Y110" s="14" t="str">
        <f t="shared" si="17"/>
        <v>BTSE</v>
      </c>
      <c r="Z110" t="str">
        <f t="shared" si="30"/>
        <v>SGB COIN LONG</v>
      </c>
      <c r="AA110" t="b">
        <f>IF($C110="","",IF(ISERROR(VLOOKUP($Y110,Mappings!$A:$C,3,FALSE)),FALSE,VLOOKUP($Y110,Mappings!$A:$C,3,FALSE)))</f>
        <v>1</v>
      </c>
    </row>
    <row r="111" spans="1:27" customFormat="1" x14ac:dyDescent="0.25">
      <c r="A111" s="14">
        <v>109</v>
      </c>
      <c r="B111" s="71">
        <v>44938.004664201391</v>
      </c>
      <c r="C111" s="14" t="s">
        <v>97</v>
      </c>
      <c r="D111" s="23" t="s">
        <v>97</v>
      </c>
      <c r="E111" s="23" t="s">
        <v>95</v>
      </c>
      <c r="F111" s="101">
        <v>125335.8</v>
      </c>
      <c r="G111" s="153">
        <v>125335.8</v>
      </c>
      <c r="H111" s="157">
        <v>1</v>
      </c>
      <c r="I111" s="23">
        <v>0</v>
      </c>
      <c r="J111" s="23" t="s">
        <v>85</v>
      </c>
      <c r="K111" s="24">
        <v>44938.004664201391</v>
      </c>
      <c r="L111" s="23">
        <v>1</v>
      </c>
      <c r="M111" s="23" t="s">
        <v>95</v>
      </c>
      <c r="N111" s="45">
        <f t="shared" si="19"/>
        <v>1</v>
      </c>
      <c r="O111" s="159">
        <f t="shared" si="20"/>
        <v>125335.8</v>
      </c>
      <c r="P111" s="47">
        <f t="shared" si="21"/>
        <v>125335.8</v>
      </c>
      <c r="Q111" s="25">
        <f t="shared" si="24"/>
        <v>0</v>
      </c>
      <c r="R111" s="26" t="str">
        <f t="shared" si="25"/>
        <v>CASH</v>
      </c>
      <c r="S111" s="26" t="str">
        <f t="shared" si="18"/>
        <v>LONG</v>
      </c>
      <c r="T111" s="26" t="str">
        <f t="shared" si="26"/>
        <v>CASH LONG</v>
      </c>
      <c r="U111" s="17">
        <f t="shared" si="27"/>
        <v>125335.8</v>
      </c>
      <c r="V111" s="17">
        <f t="shared" si="28"/>
        <v>1</v>
      </c>
      <c r="W111" s="39">
        <f>IF($C111="","",IF(DefaultScenario,IF(OR(AND(Default_Exchange="ALL",NOT(ISERROR(MATCH($C111,$AF$6:$AF$37,0)))),$C111=Default_Exchange),IF($G111&gt;0,-LGD,0),0),IF(OR($J111="SWAP",$J111="FUTURE",$J111="CME FUTURE"),IF('Futures &amp; Perps Shifted'!$AE$31,VLOOKUP($M111,'Futures &amp; Perps Shifted'!$AE$32:$AO$76,MATCH($R111,'Futures &amp; Perps Shifted'!$AE$30:$AO$30,0),FALSE),0),0)))</f>
        <v>0</v>
      </c>
      <c r="X111" s="17">
        <f t="shared" si="29"/>
        <v>0</v>
      </c>
      <c r="Y111" s="14" t="str">
        <f t="shared" si="17"/>
        <v>BTSE</v>
      </c>
      <c r="Z111" t="str">
        <f t="shared" si="30"/>
        <v>USD CASH LONG</v>
      </c>
      <c r="AA111" t="b">
        <f>IF($C111="","",IF(ISERROR(VLOOKUP($Y111,Mappings!$A:$C,3,FALSE)),FALSE,VLOOKUP($Y111,Mappings!$A:$C,3,FALSE)))</f>
        <v>1</v>
      </c>
    </row>
    <row r="112" spans="1:27" customFormat="1" x14ac:dyDescent="0.25">
      <c r="A112" s="14">
        <v>110</v>
      </c>
      <c r="B112" s="71">
        <v>44938.004674884258</v>
      </c>
      <c r="C112" s="14" t="s">
        <v>97</v>
      </c>
      <c r="D112" s="23" t="s">
        <v>97</v>
      </c>
      <c r="E112" s="23" t="s">
        <v>99</v>
      </c>
      <c r="F112" s="101">
        <v>86647.684072849996</v>
      </c>
      <c r="G112" s="153">
        <v>32509.9634460124</v>
      </c>
      <c r="H112" s="157">
        <v>0.37519714224190098</v>
      </c>
      <c r="I112" s="23">
        <v>0</v>
      </c>
      <c r="J112" s="23" t="s">
        <v>85</v>
      </c>
      <c r="K112" s="24">
        <v>44938.004674884258</v>
      </c>
      <c r="L112" s="23">
        <v>1</v>
      </c>
      <c r="M112" s="23" t="s">
        <v>99</v>
      </c>
      <c r="N112" s="45">
        <f t="shared" si="19"/>
        <v>1</v>
      </c>
      <c r="O112" s="159">
        <f t="shared" si="20"/>
        <v>86647.684072849996</v>
      </c>
      <c r="P112" s="47">
        <f t="shared" si="21"/>
        <v>32509.9634460124</v>
      </c>
      <c r="Q112" s="25">
        <f t="shared" si="24"/>
        <v>0</v>
      </c>
      <c r="R112" s="26" t="str">
        <f t="shared" si="25"/>
        <v>COIN</v>
      </c>
      <c r="S112" s="26" t="str">
        <f t="shared" si="18"/>
        <v>LONG</v>
      </c>
      <c r="T112" s="26" t="str">
        <f t="shared" si="26"/>
        <v>COIN LONG</v>
      </c>
      <c r="U112" s="17">
        <f t="shared" si="27"/>
        <v>32509.9634460124</v>
      </c>
      <c r="V112" s="17">
        <f t="shared" si="28"/>
        <v>0.37519714224190098</v>
      </c>
      <c r="W112" s="39">
        <f>IF($C112="","",IF(DefaultScenario,IF(OR(AND(Default_Exchange="ALL",NOT(ISERROR(MATCH($C112,$AF$6:$AF$37,0)))),$C112=Default_Exchange),IF($G112&gt;0,-LGD,0),0),IF(OR($J112="SWAP",$J112="FUTURE",$J112="CME FUTURE"),IF('Futures &amp; Perps Shifted'!$AE$31,VLOOKUP($M112,'Futures &amp; Perps Shifted'!$AE$32:$AO$76,MATCH($R112,'Futures &amp; Perps Shifted'!$AE$30:$AO$30,0),FALSE),0),0)))</f>
        <v>0</v>
      </c>
      <c r="X112" s="17">
        <f t="shared" si="29"/>
        <v>0</v>
      </c>
      <c r="Y112" s="14" t="str">
        <f t="shared" si="17"/>
        <v>BTSE</v>
      </c>
      <c r="Z112" t="str">
        <f t="shared" si="30"/>
        <v>XRP COIN LONG</v>
      </c>
      <c r="AA112" t="b">
        <f>IF($C112="","",IF(ISERROR(VLOOKUP($Y112,Mappings!$A:$C,3,FALSE)),FALSE,VLOOKUP($Y112,Mappings!$A:$C,3,FALSE)))</f>
        <v>1</v>
      </c>
    </row>
    <row r="113" spans="1:27" customFormat="1" x14ac:dyDescent="0.25">
      <c r="A113" s="14">
        <v>111</v>
      </c>
      <c r="B113" s="71">
        <v>44939.000004085647</v>
      </c>
      <c r="C113" s="14" t="s">
        <v>101</v>
      </c>
      <c r="D113" s="23" t="s">
        <v>100</v>
      </c>
      <c r="E113" s="23" t="s">
        <v>14</v>
      </c>
      <c r="F113" s="101">
        <v>1799.26444287</v>
      </c>
      <c r="G113" s="153">
        <v>33951378.839443803</v>
      </c>
      <c r="H113" s="157">
        <v>18869.5880552655</v>
      </c>
      <c r="I113" s="23">
        <v>0</v>
      </c>
      <c r="J113" s="23" t="s">
        <v>85</v>
      </c>
      <c r="K113" s="24">
        <v>44939.000004085647</v>
      </c>
      <c r="L113" s="23">
        <v>1</v>
      </c>
      <c r="M113" s="23" t="s">
        <v>14</v>
      </c>
      <c r="N113" s="45">
        <f t="shared" si="19"/>
        <v>1</v>
      </c>
      <c r="O113" s="159">
        <f t="shared" si="20"/>
        <v>1799.26444287</v>
      </c>
      <c r="P113" s="47">
        <f t="shared" si="21"/>
        <v>33951378.839443684</v>
      </c>
      <c r="Q113" s="25">
        <f t="shared" si="24"/>
        <v>0</v>
      </c>
      <c r="R113" s="26" t="str">
        <f t="shared" si="25"/>
        <v>COIN</v>
      </c>
      <c r="S113" s="26" t="str">
        <f t="shared" si="18"/>
        <v>LONG</v>
      </c>
      <c r="T113" s="26" t="str">
        <f t="shared" si="26"/>
        <v>COIN LONG</v>
      </c>
      <c r="U113" s="17">
        <f t="shared" si="27"/>
        <v>33951378.839443803</v>
      </c>
      <c r="V113" s="17">
        <f t="shared" si="28"/>
        <v>18869.5880552655</v>
      </c>
      <c r="W113" s="39">
        <f>IF($C113="","",IF(DefaultScenario,IF(OR(AND(Default_Exchange="ALL",NOT(ISERROR(MATCH($C113,$AF$6:$AF$37,0)))),$C113=Default_Exchange),IF($G113&gt;0,-LGD,0),0),IF(OR($J113="SWAP",$J113="FUTURE",$J113="CME FUTURE"),IF('Futures &amp; Perps Shifted'!$AE$31,VLOOKUP($M113,'Futures &amp; Perps Shifted'!$AE$32:$AO$76,MATCH($R113,'Futures &amp; Perps Shifted'!$AE$30:$AO$30,0),FALSE),0),0)))</f>
        <v>0</v>
      </c>
      <c r="X113" s="17">
        <f t="shared" si="29"/>
        <v>0</v>
      </c>
      <c r="Y113" s="14" t="str">
        <f t="shared" ref="Y113:Y176" si="32">IF($C113="","",IF(ISERROR(SEARCH("-",$D113)),$C113,LEFT($D113,SEARCH("-",$D113)-1)))</f>
        <v>BULL</v>
      </c>
      <c r="Z113" t="str">
        <f t="shared" si="30"/>
        <v>BTC COIN LONG</v>
      </c>
      <c r="AA113" t="b">
        <f>IF($C113="","",IF(ISERROR(VLOOKUP($Y113,Mappings!$A:$C,3,FALSE)),FALSE,VLOOKUP($Y113,Mappings!$A:$C,3,FALSE)))</f>
        <v>1</v>
      </c>
    </row>
    <row r="114" spans="1:27" customFormat="1" x14ac:dyDescent="0.25">
      <c r="A114" s="14">
        <v>112</v>
      </c>
      <c r="B114" s="71">
        <v>44939.000004085647</v>
      </c>
      <c r="C114" s="14" t="s">
        <v>101</v>
      </c>
      <c r="D114" s="23" t="s">
        <v>100</v>
      </c>
      <c r="E114" s="23" t="s">
        <v>95</v>
      </c>
      <c r="F114" s="101">
        <v>46965458.007700004</v>
      </c>
      <c r="G114" s="153">
        <v>46965458.007700004</v>
      </c>
      <c r="H114" s="157">
        <v>1</v>
      </c>
      <c r="I114" s="23">
        <v>0</v>
      </c>
      <c r="J114" s="23" t="s">
        <v>85</v>
      </c>
      <c r="K114" s="24">
        <v>44939.000004085647</v>
      </c>
      <c r="L114" s="23">
        <v>1</v>
      </c>
      <c r="M114" s="23" t="s">
        <v>95</v>
      </c>
      <c r="N114" s="45">
        <f t="shared" si="19"/>
        <v>1</v>
      </c>
      <c r="O114" s="159">
        <f t="shared" si="20"/>
        <v>46965458.007700004</v>
      </c>
      <c r="P114" s="47">
        <f t="shared" si="21"/>
        <v>46965458.007700004</v>
      </c>
      <c r="Q114" s="25">
        <f t="shared" si="24"/>
        <v>0</v>
      </c>
      <c r="R114" s="26" t="str">
        <f t="shared" si="25"/>
        <v>CASH</v>
      </c>
      <c r="S114" s="26" t="str">
        <f t="shared" si="18"/>
        <v>LONG</v>
      </c>
      <c r="T114" s="26" t="str">
        <f t="shared" si="26"/>
        <v>CASH LONG</v>
      </c>
      <c r="U114" s="17">
        <f t="shared" si="27"/>
        <v>46965458.007700004</v>
      </c>
      <c r="V114" s="17">
        <f t="shared" si="28"/>
        <v>1</v>
      </c>
      <c r="W114" s="39">
        <f>IF($C114="","",IF(DefaultScenario,IF(OR(AND(Default_Exchange="ALL",NOT(ISERROR(MATCH($C114,$AF$6:$AF$37,0)))),$C114=Default_Exchange),IF($G114&gt;0,-LGD,0),0),IF(OR($J114="SWAP",$J114="FUTURE",$J114="CME FUTURE"),IF('Futures &amp; Perps Shifted'!$AE$31,VLOOKUP($M114,'Futures &amp; Perps Shifted'!$AE$32:$AO$76,MATCH($R114,'Futures &amp; Perps Shifted'!$AE$30:$AO$30,0),FALSE),0),0)))</f>
        <v>0</v>
      </c>
      <c r="X114" s="17">
        <f t="shared" si="29"/>
        <v>0</v>
      </c>
      <c r="Y114" s="14" t="str">
        <f t="shared" si="32"/>
        <v>BULL</v>
      </c>
      <c r="Z114" t="str">
        <f t="shared" si="30"/>
        <v>USD CASH LONG</v>
      </c>
      <c r="AA114" t="b">
        <f>IF($C114="","",IF(ISERROR(VLOOKUP($Y114,Mappings!$A:$C,3,FALSE)),FALSE,VLOOKUP($Y114,Mappings!$A:$C,3,FALSE)))</f>
        <v>1</v>
      </c>
    </row>
    <row r="115" spans="1:27" customFormat="1" x14ac:dyDescent="0.25">
      <c r="A115" s="14">
        <v>113</v>
      </c>
      <c r="B115" s="71">
        <v>44939.00000378472</v>
      </c>
      <c r="C115" s="14" t="s">
        <v>101</v>
      </c>
      <c r="D115" s="23" t="s">
        <v>102</v>
      </c>
      <c r="E115" s="23" t="s">
        <v>23</v>
      </c>
      <c r="F115" s="101">
        <v>5111044.8589000003</v>
      </c>
      <c r="G115" s="153">
        <v>5061173.7201485196</v>
      </c>
      <c r="H115" s="157">
        <v>0.990242476806942</v>
      </c>
      <c r="I115" s="23">
        <v>0</v>
      </c>
      <c r="J115" s="23" t="s">
        <v>85</v>
      </c>
      <c r="K115" s="24">
        <v>44939.00000378472</v>
      </c>
      <c r="L115" s="23">
        <v>1</v>
      </c>
      <c r="M115" s="23" t="s">
        <v>23</v>
      </c>
      <c r="N115" s="45">
        <f t="shared" si="19"/>
        <v>1</v>
      </c>
      <c r="O115" s="159">
        <f t="shared" si="20"/>
        <v>5111044.8589000003</v>
      </c>
      <c r="P115" s="47">
        <f t="shared" si="21"/>
        <v>5061173.7201485233</v>
      </c>
      <c r="Q115" s="25">
        <f t="shared" si="24"/>
        <v>0</v>
      </c>
      <c r="R115" s="26" t="str">
        <f t="shared" si="25"/>
        <v>COIN</v>
      </c>
      <c r="S115" s="26" t="str">
        <f t="shared" si="18"/>
        <v>LONG</v>
      </c>
      <c r="T115" s="26" t="str">
        <f t="shared" si="26"/>
        <v>COIN LONG</v>
      </c>
      <c r="U115" s="17">
        <f t="shared" si="27"/>
        <v>5061173.7201485196</v>
      </c>
      <c r="V115" s="17">
        <f t="shared" si="28"/>
        <v>0.990242476806942</v>
      </c>
      <c r="W115" s="39">
        <f>IF($C115="","",IF(DefaultScenario,IF(OR(AND(Default_Exchange="ALL",NOT(ISERROR(MATCH($C115,$AF$6:$AF$37,0)))),$C115=Default_Exchange),IF($G115&gt;0,-LGD,0),0),IF(OR($J115="SWAP",$J115="FUTURE",$J115="CME FUTURE"),IF('Futures &amp; Perps Shifted'!$AE$31,VLOOKUP($M115,'Futures &amp; Perps Shifted'!$AE$32:$AO$76,MATCH($R115,'Futures &amp; Perps Shifted'!$AE$30:$AO$30,0),FALSE),0),0)))</f>
        <v>0</v>
      </c>
      <c r="X115" s="17">
        <f t="shared" si="29"/>
        <v>0</v>
      </c>
      <c r="Y115" s="14" t="str">
        <f t="shared" si="32"/>
        <v>BULL</v>
      </c>
      <c r="Z115" t="str">
        <f t="shared" si="30"/>
        <v>EOS COIN LONG</v>
      </c>
      <c r="AA115" t="b">
        <f>IF($C115="","",IF(ISERROR(VLOOKUP($Y115,Mappings!$A:$C,3,FALSE)),FALSE,VLOOKUP($Y115,Mappings!$A:$C,3,FALSE)))</f>
        <v>1</v>
      </c>
    </row>
    <row r="116" spans="1:27" customFormat="1" x14ac:dyDescent="0.25">
      <c r="A116" s="14">
        <v>114</v>
      </c>
      <c r="B116" s="71">
        <v>44939.00000378472</v>
      </c>
      <c r="C116" s="14" t="s">
        <v>101</v>
      </c>
      <c r="D116" s="23" t="s">
        <v>102</v>
      </c>
      <c r="E116" s="23" t="s">
        <v>27</v>
      </c>
      <c r="F116" s="101">
        <v>98449.309477839997</v>
      </c>
      <c r="G116" s="153">
        <v>628237.68488666101</v>
      </c>
      <c r="H116" s="157">
        <v>6.38133155243787</v>
      </c>
      <c r="I116" s="23">
        <v>0</v>
      </c>
      <c r="J116" s="23" t="s">
        <v>85</v>
      </c>
      <c r="K116" s="24">
        <v>44939.00000378472</v>
      </c>
      <c r="L116" s="23">
        <v>1</v>
      </c>
      <c r="M116" s="23" t="s">
        <v>27</v>
      </c>
      <c r="N116" s="45">
        <f t="shared" si="19"/>
        <v>1</v>
      </c>
      <c r="O116" s="159">
        <f t="shared" si="20"/>
        <v>98449.309477839997</v>
      </c>
      <c r="P116" s="47">
        <f t="shared" si="21"/>
        <v>628237.68488666101</v>
      </c>
      <c r="Q116" s="25">
        <f t="shared" si="24"/>
        <v>0</v>
      </c>
      <c r="R116" s="26" t="str">
        <f t="shared" si="25"/>
        <v>COIN</v>
      </c>
      <c r="S116" s="26" t="str">
        <f t="shared" si="18"/>
        <v>LONG</v>
      </c>
      <c r="T116" s="26" t="str">
        <f t="shared" si="26"/>
        <v>COIN LONG</v>
      </c>
      <c r="U116" s="17">
        <f t="shared" si="27"/>
        <v>628237.68488666101</v>
      </c>
      <c r="V116" s="17">
        <f t="shared" si="28"/>
        <v>6.38133155243787</v>
      </c>
      <c r="W116" s="39">
        <f>IF($C116="","",IF(DefaultScenario,IF(OR(AND(Default_Exchange="ALL",NOT(ISERROR(MATCH($C116,$AF$6:$AF$37,0)))),$C116=Default_Exchange),IF($G116&gt;0,-LGD,0),0),IF(OR($J116="SWAP",$J116="FUTURE",$J116="CME FUTURE"),IF('Futures &amp; Perps Shifted'!$AE$31,VLOOKUP($M116,'Futures &amp; Perps Shifted'!$AE$32:$AO$76,MATCH($R116,'Futures &amp; Perps Shifted'!$AE$30:$AO$30,0),FALSE),0),0)))</f>
        <v>0</v>
      </c>
      <c r="X116" s="17">
        <f t="shared" si="29"/>
        <v>0</v>
      </c>
      <c r="Y116" s="14" t="str">
        <f t="shared" si="32"/>
        <v>BULL</v>
      </c>
      <c r="Z116" t="str">
        <f t="shared" si="30"/>
        <v>LINK COIN LONG</v>
      </c>
      <c r="AA116" t="b">
        <f>IF($C116="","",IF(ISERROR(VLOOKUP($Y116,Mappings!$A:$C,3,FALSE)),FALSE,VLOOKUP($Y116,Mappings!$A:$C,3,FALSE)))</f>
        <v>1</v>
      </c>
    </row>
    <row r="117" spans="1:27" customFormat="1" x14ac:dyDescent="0.25">
      <c r="A117" s="14">
        <v>115</v>
      </c>
      <c r="B117" s="71">
        <v>44939.00000378472</v>
      </c>
      <c r="C117" s="14" t="s">
        <v>101</v>
      </c>
      <c r="D117" s="23" t="s">
        <v>102</v>
      </c>
      <c r="E117" s="23" t="s">
        <v>24</v>
      </c>
      <c r="F117" s="101">
        <v>7784.5861861900003</v>
      </c>
      <c r="G117" s="153">
        <v>669195.95308882301</v>
      </c>
      <c r="H117" s="157">
        <v>85.964229450756093</v>
      </c>
      <c r="I117" s="23">
        <v>0</v>
      </c>
      <c r="J117" s="23" t="s">
        <v>85</v>
      </c>
      <c r="K117" s="24">
        <v>44939.00000378472</v>
      </c>
      <c r="L117" s="23">
        <v>1</v>
      </c>
      <c r="M117" s="23" t="s">
        <v>24</v>
      </c>
      <c r="N117" s="45">
        <f t="shared" si="19"/>
        <v>1</v>
      </c>
      <c r="O117" s="159">
        <f t="shared" si="20"/>
        <v>7784.5861861900003</v>
      </c>
      <c r="P117" s="47">
        <f t="shared" si="21"/>
        <v>669195.95308882347</v>
      </c>
      <c r="Q117" s="25">
        <f t="shared" si="24"/>
        <v>0</v>
      </c>
      <c r="R117" s="26" t="str">
        <f t="shared" si="25"/>
        <v>COIN</v>
      </c>
      <c r="S117" s="26" t="str">
        <f t="shared" si="18"/>
        <v>LONG</v>
      </c>
      <c r="T117" s="26" t="str">
        <f t="shared" si="26"/>
        <v>COIN LONG</v>
      </c>
      <c r="U117" s="17">
        <f t="shared" si="27"/>
        <v>669195.95308882301</v>
      </c>
      <c r="V117" s="17">
        <f t="shared" si="28"/>
        <v>85.964229450756093</v>
      </c>
      <c r="W117" s="39">
        <f>IF($C117="","",IF(DefaultScenario,IF(OR(AND(Default_Exchange="ALL",NOT(ISERROR(MATCH($C117,$AF$6:$AF$37,0)))),$C117=Default_Exchange),IF($G117&gt;0,-LGD,0),0),IF(OR($J117="SWAP",$J117="FUTURE",$J117="CME FUTURE"),IF('Futures &amp; Perps Shifted'!$AE$31,VLOOKUP($M117,'Futures &amp; Perps Shifted'!$AE$32:$AO$76,MATCH($R117,'Futures &amp; Perps Shifted'!$AE$30:$AO$30,0),FALSE),0),0)))</f>
        <v>0</v>
      </c>
      <c r="X117" s="17">
        <f t="shared" si="29"/>
        <v>0</v>
      </c>
      <c r="Y117" s="14" t="str">
        <f t="shared" si="32"/>
        <v>BULL</v>
      </c>
      <c r="Z117" t="str">
        <f t="shared" si="30"/>
        <v>LTC COIN LONG</v>
      </c>
      <c r="AA117" t="b">
        <f>IF($C117="","",IF(ISERROR(VLOOKUP($Y117,Mappings!$A:$C,3,FALSE)),FALSE,VLOOKUP($Y117,Mappings!$A:$C,3,FALSE)))</f>
        <v>1</v>
      </c>
    </row>
    <row r="118" spans="1:27" customFormat="1" x14ac:dyDescent="0.25">
      <c r="A118" s="14">
        <v>116</v>
      </c>
      <c r="B118" s="71">
        <v>44939.00000378472</v>
      </c>
      <c r="C118" s="14" t="s">
        <v>101</v>
      </c>
      <c r="D118" s="23" t="s">
        <v>102</v>
      </c>
      <c r="E118" s="23" t="s">
        <v>95</v>
      </c>
      <c r="F118" s="101">
        <v>2570926.3349000001</v>
      </c>
      <c r="G118" s="153">
        <v>2570926.3349000001</v>
      </c>
      <c r="H118" s="157">
        <v>1</v>
      </c>
      <c r="I118" s="23">
        <v>0</v>
      </c>
      <c r="J118" s="23" t="s">
        <v>85</v>
      </c>
      <c r="K118" s="24">
        <v>44939.00000378472</v>
      </c>
      <c r="L118" s="23">
        <v>1</v>
      </c>
      <c r="M118" s="23" t="s">
        <v>95</v>
      </c>
      <c r="N118" s="45">
        <f t="shared" si="19"/>
        <v>1</v>
      </c>
      <c r="O118" s="159">
        <f t="shared" si="20"/>
        <v>2570926.3349000001</v>
      </c>
      <c r="P118" s="47">
        <f t="shared" si="21"/>
        <v>2570926.3349000001</v>
      </c>
      <c r="Q118" s="25">
        <f t="shared" si="24"/>
        <v>0</v>
      </c>
      <c r="R118" s="26" t="str">
        <f t="shared" si="25"/>
        <v>CASH</v>
      </c>
      <c r="S118" s="26" t="str">
        <f t="shared" si="18"/>
        <v>LONG</v>
      </c>
      <c r="T118" s="26" t="str">
        <f t="shared" si="26"/>
        <v>CASH LONG</v>
      </c>
      <c r="U118" s="17">
        <f t="shared" si="27"/>
        <v>2570926.3349000001</v>
      </c>
      <c r="V118" s="17">
        <f t="shared" si="28"/>
        <v>1</v>
      </c>
      <c r="W118" s="39">
        <f>IF($C118="","",IF(DefaultScenario,IF(OR(AND(Default_Exchange="ALL",NOT(ISERROR(MATCH($C118,$AF$6:$AF$37,0)))),$C118=Default_Exchange),IF($G118&gt;0,-LGD,0),0),IF(OR($J118="SWAP",$J118="FUTURE",$J118="CME FUTURE"),IF('Futures &amp; Perps Shifted'!$AE$31,VLOOKUP($M118,'Futures &amp; Perps Shifted'!$AE$32:$AO$76,MATCH($R118,'Futures &amp; Perps Shifted'!$AE$30:$AO$30,0),FALSE),0),0)))</f>
        <v>0</v>
      </c>
      <c r="X118" s="17">
        <f t="shared" si="29"/>
        <v>0</v>
      </c>
      <c r="Y118" s="14" t="str">
        <f t="shared" si="32"/>
        <v>BULL</v>
      </c>
      <c r="Z118" t="str">
        <f t="shared" si="30"/>
        <v>USD CASH LONG</v>
      </c>
      <c r="AA118" t="b">
        <f>IF($C118="","",IF(ISERROR(VLOOKUP($Y118,Mappings!$A:$C,3,FALSE)),FALSE,VLOOKUP($Y118,Mappings!$A:$C,3,FALSE)))</f>
        <v>1</v>
      </c>
    </row>
    <row r="119" spans="1:27" customFormat="1" x14ac:dyDescent="0.25">
      <c r="A119" s="14">
        <v>117</v>
      </c>
      <c r="B119" s="71">
        <v>44939.000001539353</v>
      </c>
      <c r="C119" s="14" t="s">
        <v>101</v>
      </c>
      <c r="D119" s="23" t="s">
        <v>104</v>
      </c>
      <c r="E119" s="23" t="s">
        <v>15</v>
      </c>
      <c r="F119" s="101">
        <v>10506.92560604</v>
      </c>
      <c r="G119" s="153">
        <v>14898174.576267799</v>
      </c>
      <c r="H119" s="157">
        <v>1417.9385231112101</v>
      </c>
      <c r="I119" s="23">
        <v>0</v>
      </c>
      <c r="J119" s="23" t="s">
        <v>85</v>
      </c>
      <c r="K119" s="24">
        <v>44939.000001539353</v>
      </c>
      <c r="L119" s="23">
        <v>1</v>
      </c>
      <c r="M119" s="23" t="s">
        <v>15</v>
      </c>
      <c r="N119" s="45">
        <f t="shared" si="19"/>
        <v>1</v>
      </c>
      <c r="O119" s="159">
        <f t="shared" si="20"/>
        <v>10506.92560604</v>
      </c>
      <c r="P119" s="47">
        <f t="shared" si="21"/>
        <v>14898174.576267714</v>
      </c>
      <c r="Q119" s="25">
        <f t="shared" si="24"/>
        <v>0</v>
      </c>
      <c r="R119" s="26" t="str">
        <f t="shared" si="25"/>
        <v>COIN</v>
      </c>
      <c r="S119" s="26" t="str">
        <f t="shared" si="18"/>
        <v>LONG</v>
      </c>
      <c r="T119" s="26" t="str">
        <f t="shared" si="26"/>
        <v>COIN LONG</v>
      </c>
      <c r="U119" s="17">
        <f t="shared" si="27"/>
        <v>14898174.576267799</v>
      </c>
      <c r="V119" s="17">
        <f t="shared" si="28"/>
        <v>1417.9385231112101</v>
      </c>
      <c r="W119" s="39">
        <f>IF($C119="","",IF(DefaultScenario,IF(OR(AND(Default_Exchange="ALL",NOT(ISERROR(MATCH($C119,$AF$6:$AF$37,0)))),$C119=Default_Exchange),IF($G119&gt;0,-LGD,0),0),IF(OR($J119="SWAP",$J119="FUTURE",$J119="CME FUTURE"),IF('Futures &amp; Perps Shifted'!$AE$31,VLOOKUP($M119,'Futures &amp; Perps Shifted'!$AE$32:$AO$76,MATCH($R119,'Futures &amp; Perps Shifted'!$AE$30:$AO$30,0),FALSE),0),0)))</f>
        <v>0</v>
      </c>
      <c r="X119" s="17">
        <f t="shared" si="29"/>
        <v>0</v>
      </c>
      <c r="Y119" s="14" t="str">
        <f t="shared" si="32"/>
        <v>BULL</v>
      </c>
      <c r="Z119" t="str">
        <f t="shared" si="30"/>
        <v>ETH COIN LONG</v>
      </c>
      <c r="AA119" t="b">
        <f>IF($C119="","",IF(ISERROR(VLOOKUP($Y119,Mappings!$A:$C,3,FALSE)),FALSE,VLOOKUP($Y119,Mappings!$A:$C,3,FALSE)))</f>
        <v>1</v>
      </c>
    </row>
    <row r="120" spans="1:27" customFormat="1" x14ac:dyDescent="0.25">
      <c r="A120" s="14">
        <v>118</v>
      </c>
      <c r="B120" s="71">
        <v>44939.000001539353</v>
      </c>
      <c r="C120" s="14" t="s">
        <v>101</v>
      </c>
      <c r="D120" s="23" t="s">
        <v>104</v>
      </c>
      <c r="E120" s="23" t="s">
        <v>95</v>
      </c>
      <c r="F120" s="101">
        <v>15310469.9882</v>
      </c>
      <c r="G120" s="153">
        <v>15310469.9882</v>
      </c>
      <c r="H120" s="157">
        <v>1</v>
      </c>
      <c r="I120" s="23">
        <v>0</v>
      </c>
      <c r="J120" s="23" t="s">
        <v>85</v>
      </c>
      <c r="K120" s="24">
        <v>44939.000001539353</v>
      </c>
      <c r="L120" s="23">
        <v>1</v>
      </c>
      <c r="M120" s="23" t="s">
        <v>95</v>
      </c>
      <c r="N120" s="45">
        <f t="shared" si="19"/>
        <v>1</v>
      </c>
      <c r="O120" s="159">
        <f t="shared" si="20"/>
        <v>15310469.9882</v>
      </c>
      <c r="P120" s="47">
        <f t="shared" si="21"/>
        <v>15310469.9882</v>
      </c>
      <c r="Q120" s="25">
        <f t="shared" si="24"/>
        <v>0</v>
      </c>
      <c r="R120" s="26" t="str">
        <f t="shared" si="25"/>
        <v>CASH</v>
      </c>
      <c r="S120" s="26" t="str">
        <f t="shared" si="18"/>
        <v>LONG</v>
      </c>
      <c r="T120" s="26" t="str">
        <f t="shared" si="26"/>
        <v>CASH LONG</v>
      </c>
      <c r="U120" s="17">
        <f t="shared" si="27"/>
        <v>15310469.9882</v>
      </c>
      <c r="V120" s="17">
        <f t="shared" si="28"/>
        <v>1</v>
      </c>
      <c r="W120" s="39">
        <f>IF($C120="","",IF(DefaultScenario,IF(OR(AND(Default_Exchange="ALL",NOT(ISERROR(MATCH($C120,$AF$6:$AF$37,0)))),$C120=Default_Exchange),IF($G120&gt;0,-LGD,0),0),IF(OR($J120="SWAP",$J120="FUTURE",$J120="CME FUTURE"),IF('Futures &amp; Perps Shifted'!$AE$31,VLOOKUP($M120,'Futures &amp; Perps Shifted'!$AE$32:$AO$76,MATCH($R120,'Futures &amp; Perps Shifted'!$AE$30:$AO$30,0),FALSE),0),0)))</f>
        <v>0</v>
      </c>
      <c r="X120" s="17">
        <f t="shared" si="29"/>
        <v>0</v>
      </c>
      <c r="Y120" s="14" t="str">
        <f t="shared" si="32"/>
        <v>BULL</v>
      </c>
      <c r="Z120" t="str">
        <f t="shared" si="30"/>
        <v>USD CASH LONG</v>
      </c>
      <c r="AA120" t="b">
        <f>IF($C120="","",IF(ISERROR(VLOOKUP($Y120,Mappings!$A:$C,3,FALSE)),FALSE,VLOOKUP($Y120,Mappings!$A:$C,3,FALSE)))</f>
        <v>1</v>
      </c>
    </row>
    <row r="121" spans="1:27" customFormat="1" x14ac:dyDescent="0.25">
      <c r="A121" s="14">
        <v>119</v>
      </c>
      <c r="B121" s="71">
        <v>44939.000002858797</v>
      </c>
      <c r="C121" s="14" t="s">
        <v>101</v>
      </c>
      <c r="D121" s="23" t="s">
        <v>105</v>
      </c>
      <c r="E121" s="23" t="s">
        <v>14</v>
      </c>
      <c r="F121" s="101">
        <v>71.188435069999997</v>
      </c>
      <c r="G121" s="153">
        <v>1343296.4440699201</v>
      </c>
      <c r="H121" s="157">
        <v>18869.5880552655</v>
      </c>
      <c r="I121" s="23">
        <v>0</v>
      </c>
      <c r="J121" s="23" t="s">
        <v>85</v>
      </c>
      <c r="K121" s="24">
        <v>44939.000002858797</v>
      </c>
      <c r="L121" s="23">
        <v>1</v>
      </c>
      <c r="M121" s="23" t="s">
        <v>14</v>
      </c>
      <c r="N121" s="45">
        <f t="shared" si="19"/>
        <v>1</v>
      </c>
      <c r="O121" s="159">
        <f t="shared" si="20"/>
        <v>71.188435069999997</v>
      </c>
      <c r="P121" s="47">
        <f t="shared" si="21"/>
        <v>1343296.4440699155</v>
      </c>
      <c r="Q121" s="25">
        <f t="shared" si="24"/>
        <v>0</v>
      </c>
      <c r="R121" s="26" t="str">
        <f t="shared" si="25"/>
        <v>COIN</v>
      </c>
      <c r="S121" s="26" t="str">
        <f t="shared" ref="S121:S184" si="33">IF($C121="","",IF($J121="CME FUTURE",IF($G121&gt;0,"LONG","SHORT"),IF($G121&gt;0,"LONG","SHORT")))</f>
        <v>LONG</v>
      </c>
      <c r="T121" s="26" t="str">
        <f t="shared" si="26"/>
        <v>COIN LONG</v>
      </c>
      <c r="U121" s="17">
        <f t="shared" si="27"/>
        <v>1343296.4440699201</v>
      </c>
      <c r="V121" s="17">
        <f t="shared" si="28"/>
        <v>18869.5880552655</v>
      </c>
      <c r="W121" s="39">
        <f>IF($C121="","",IF(DefaultScenario,IF(OR(AND(Default_Exchange="ALL",NOT(ISERROR(MATCH($C121,$AF$6:$AF$37,0)))),$C121=Default_Exchange),IF($G121&gt;0,-LGD,0),0),IF(OR($J121="SWAP",$J121="FUTURE",$J121="CME FUTURE"),IF('Futures &amp; Perps Shifted'!$AE$31,VLOOKUP($M121,'Futures &amp; Perps Shifted'!$AE$32:$AO$76,MATCH($R121,'Futures &amp; Perps Shifted'!$AE$30:$AO$30,0),FALSE),0),0)))</f>
        <v>0</v>
      </c>
      <c r="X121" s="17">
        <f t="shared" si="29"/>
        <v>0</v>
      </c>
      <c r="Y121" s="14" t="str">
        <f t="shared" si="32"/>
        <v>BULL</v>
      </c>
      <c r="Z121" t="str">
        <f t="shared" si="30"/>
        <v>BTC COIN LONG</v>
      </c>
      <c r="AA121" t="b">
        <f>IF($C121="","",IF(ISERROR(VLOOKUP($Y121,Mappings!$A:$C,3,FALSE)),FALSE,VLOOKUP($Y121,Mappings!$A:$C,3,FALSE)))</f>
        <v>1</v>
      </c>
    </row>
    <row r="122" spans="1:27" customFormat="1" x14ac:dyDescent="0.25">
      <c r="A122" s="14">
        <v>120</v>
      </c>
      <c r="B122" s="71">
        <v>44939.000002858797</v>
      </c>
      <c r="C122" s="14" t="s">
        <v>101</v>
      </c>
      <c r="D122" s="23" t="s">
        <v>105</v>
      </c>
      <c r="E122" s="23" t="s">
        <v>15</v>
      </c>
      <c r="F122" s="101">
        <v>1029.23054336</v>
      </c>
      <c r="G122" s="153">
        <v>1459385.6365928301</v>
      </c>
      <c r="H122" s="157">
        <v>1417.9385231112101</v>
      </c>
      <c r="I122" s="23">
        <v>0</v>
      </c>
      <c r="J122" s="23" t="s">
        <v>85</v>
      </c>
      <c r="K122" s="24">
        <v>44939.000002858797</v>
      </c>
      <c r="L122" s="23">
        <v>1</v>
      </c>
      <c r="M122" s="23" t="s">
        <v>15</v>
      </c>
      <c r="N122" s="45">
        <f t="shared" si="19"/>
        <v>1</v>
      </c>
      <c r="O122" s="159">
        <f t="shared" si="20"/>
        <v>1029.23054336</v>
      </c>
      <c r="P122" s="47">
        <f t="shared" si="21"/>
        <v>1459385.6365928266</v>
      </c>
      <c r="Q122" s="25">
        <f t="shared" si="24"/>
        <v>0</v>
      </c>
      <c r="R122" s="26" t="str">
        <f t="shared" si="25"/>
        <v>COIN</v>
      </c>
      <c r="S122" s="26" t="str">
        <f t="shared" si="33"/>
        <v>LONG</v>
      </c>
      <c r="T122" s="26" t="str">
        <f t="shared" si="26"/>
        <v>COIN LONG</v>
      </c>
      <c r="U122" s="17">
        <f t="shared" si="27"/>
        <v>1459385.6365928301</v>
      </c>
      <c r="V122" s="17">
        <f t="shared" si="28"/>
        <v>1417.9385231112101</v>
      </c>
      <c r="W122" s="39">
        <f>IF($C122="","",IF(DefaultScenario,IF(OR(AND(Default_Exchange="ALL",NOT(ISERROR(MATCH($C122,$AF$6:$AF$37,0)))),$C122=Default_Exchange),IF($G122&gt;0,-LGD,0),0),IF(OR($J122="SWAP",$J122="FUTURE",$J122="CME FUTURE"),IF('Futures &amp; Perps Shifted'!$AE$31,VLOOKUP($M122,'Futures &amp; Perps Shifted'!$AE$32:$AO$76,MATCH($R122,'Futures &amp; Perps Shifted'!$AE$30:$AO$30,0),FALSE),0),0)))</f>
        <v>0</v>
      </c>
      <c r="X122" s="17">
        <f t="shared" si="29"/>
        <v>0</v>
      </c>
      <c r="Y122" s="14" t="str">
        <f t="shared" si="32"/>
        <v>BULL</v>
      </c>
      <c r="Z122" t="str">
        <f t="shared" si="30"/>
        <v>ETH COIN LONG</v>
      </c>
      <c r="AA122" t="b">
        <f>IF($C122="","",IF(ISERROR(VLOOKUP($Y122,Mappings!$A:$C,3,FALSE)),FALSE,VLOOKUP($Y122,Mappings!$A:$C,3,FALSE)))</f>
        <v>1</v>
      </c>
    </row>
    <row r="123" spans="1:27" customFormat="1" x14ac:dyDescent="0.25">
      <c r="A123" s="14">
        <v>121</v>
      </c>
      <c r="B123" s="71">
        <v>44939.000002858797</v>
      </c>
      <c r="C123" s="14" t="s">
        <v>101</v>
      </c>
      <c r="D123" s="23" t="s">
        <v>105</v>
      </c>
      <c r="E123" s="23" t="s">
        <v>92</v>
      </c>
      <c r="F123" s="101">
        <v>0.5</v>
      </c>
      <c r="G123" s="153">
        <v>0.50003607481370005</v>
      </c>
      <c r="H123" s="157">
        <v>1.0000721496274001</v>
      </c>
      <c r="I123" s="23">
        <v>0</v>
      </c>
      <c r="J123" s="23" t="s">
        <v>85</v>
      </c>
      <c r="K123" s="24">
        <v>44939.000002858797</v>
      </c>
      <c r="L123" s="23">
        <v>1</v>
      </c>
      <c r="M123" s="23" t="s">
        <v>92</v>
      </c>
      <c r="N123" s="45">
        <f t="shared" ref="N123:N186" si="34">IF($C123="","",IF(OR($J123="SWAP",$J123="FUTURE",$J123="CME FUTURE"),IF($L123=1,ROUND($G123/$H123/$F123,3),POWER(10,ROUND(LOG($G123/$F123),1))),1))</f>
        <v>1</v>
      </c>
      <c r="O123" s="159">
        <f t="shared" si="20"/>
        <v>0.5</v>
      </c>
      <c r="P123" s="47">
        <f t="shared" si="21"/>
        <v>0.50003607481370005</v>
      </c>
      <c r="Q123" s="25">
        <f t="shared" si="24"/>
        <v>0</v>
      </c>
      <c r="R123" s="26" t="str">
        <f t="shared" si="25"/>
        <v>COIN</v>
      </c>
      <c r="S123" s="26" t="str">
        <f t="shared" si="33"/>
        <v>LONG</v>
      </c>
      <c r="T123" s="26" t="str">
        <f t="shared" si="26"/>
        <v>COIN LONG</v>
      </c>
      <c r="U123" s="17">
        <f t="shared" si="27"/>
        <v>0.50003607481370005</v>
      </c>
      <c r="V123" s="17">
        <f t="shared" si="28"/>
        <v>1.0000721496274001</v>
      </c>
      <c r="W123" s="39">
        <f>IF($C123="","",IF(DefaultScenario,IF(OR(AND(Default_Exchange="ALL",NOT(ISERROR(MATCH($C123,$AF$6:$AF$37,0)))),$C123=Default_Exchange),IF($G123&gt;0,-LGD,0),0),IF(OR($J123="SWAP",$J123="FUTURE",$J123="CME FUTURE"),IF('Futures &amp; Perps Shifted'!$AE$31,VLOOKUP($M123,'Futures &amp; Perps Shifted'!$AE$32:$AO$76,MATCH($R123,'Futures &amp; Perps Shifted'!$AE$30:$AO$30,0),FALSE),0),0)))</f>
        <v>0</v>
      </c>
      <c r="X123" s="17">
        <f t="shared" si="29"/>
        <v>0</v>
      </c>
      <c r="Y123" s="14" t="str">
        <f t="shared" si="32"/>
        <v>BULL</v>
      </c>
      <c r="Z123" t="str">
        <f t="shared" si="30"/>
        <v>USDC COIN LONG</v>
      </c>
      <c r="AA123" t="b">
        <f>IF($C123="","",IF(ISERROR(VLOOKUP($Y123,Mappings!$A:$C,3,FALSE)),FALSE,VLOOKUP($Y123,Mappings!$A:$C,3,FALSE)))</f>
        <v>1</v>
      </c>
    </row>
    <row r="124" spans="1:27" customFormat="1" x14ac:dyDescent="0.25">
      <c r="A124" s="14">
        <v>122</v>
      </c>
      <c r="B124" s="71">
        <v>44939.000001585649</v>
      </c>
      <c r="C124" s="14" t="s">
        <v>294</v>
      </c>
      <c r="D124" s="23" t="s">
        <v>285</v>
      </c>
      <c r="E124" s="23" t="s">
        <v>188</v>
      </c>
      <c r="F124" s="101">
        <v>0.26739257999999999</v>
      </c>
      <c r="G124" s="153">
        <v>0.18426453966767301</v>
      </c>
      <c r="H124" s="157">
        <v>0.68911612905516495</v>
      </c>
      <c r="I124" s="23">
        <v>0</v>
      </c>
      <c r="J124" s="23" t="s">
        <v>85</v>
      </c>
      <c r="K124" s="24">
        <v>44939.000001585649</v>
      </c>
      <c r="L124" s="23">
        <v>1</v>
      </c>
      <c r="M124" s="23" t="s">
        <v>188</v>
      </c>
      <c r="N124" s="45">
        <f t="shared" si="34"/>
        <v>1</v>
      </c>
      <c r="O124" s="159">
        <f t="shared" si="20"/>
        <v>0.26739257999999999</v>
      </c>
      <c r="P124" s="47">
        <f t="shared" si="21"/>
        <v>0.1842645396676735</v>
      </c>
      <c r="Q124" s="25">
        <f t="shared" si="24"/>
        <v>0</v>
      </c>
      <c r="R124" s="26" t="str">
        <f t="shared" si="25"/>
        <v>COIN</v>
      </c>
      <c r="S124" s="26" t="str">
        <f t="shared" si="33"/>
        <v>LONG</v>
      </c>
      <c r="T124" s="26" t="str">
        <f t="shared" si="26"/>
        <v>COIN LONG</v>
      </c>
      <c r="U124" s="17">
        <f t="shared" si="27"/>
        <v>0.18426453966767301</v>
      </c>
      <c r="V124" s="17">
        <f t="shared" si="28"/>
        <v>0.68911612905516495</v>
      </c>
      <c r="W124" s="39">
        <f>IF($C124="","",IF(DefaultScenario,IF(OR(AND(Default_Exchange="ALL",NOT(ISERROR(MATCH($C124,$AF$6:$AF$37,0)))),$C124=Default_Exchange),IF($G124&gt;0,-LGD,0),0),IF(OR($J124="SWAP",$J124="FUTURE",$J124="CME FUTURE"),IF('Futures &amp; Perps Shifted'!$AE$31,VLOOKUP($M124,'Futures &amp; Perps Shifted'!$AE$32:$AO$76,MATCH($R124,'Futures &amp; Perps Shifted'!$AE$30:$AO$30,0),FALSE),0),0)))</f>
        <v>0</v>
      </c>
      <c r="X124" s="17">
        <f t="shared" si="29"/>
        <v>0</v>
      </c>
      <c r="Y124" s="14" t="str">
        <f t="shared" si="32"/>
        <v>DEFI</v>
      </c>
      <c r="Z124" t="str">
        <f t="shared" si="30"/>
        <v>CRV COIN LONG</v>
      </c>
      <c r="AA124" t="b">
        <f>IF($C124="","",IF(ISERROR(VLOOKUP($Y124,Mappings!$A:$C,3,FALSE)),FALSE,VLOOKUP($Y124,Mappings!$A:$C,3,FALSE)))</f>
        <v>0</v>
      </c>
    </row>
    <row r="125" spans="1:27" customFormat="1" x14ac:dyDescent="0.25">
      <c r="A125" s="14">
        <v>123</v>
      </c>
      <c r="B125" s="71">
        <v>44939.000001585649</v>
      </c>
      <c r="C125" s="14" t="s">
        <v>294</v>
      </c>
      <c r="D125" s="23" t="s">
        <v>285</v>
      </c>
      <c r="E125" s="23" t="s">
        <v>188</v>
      </c>
      <c r="F125" s="101">
        <v>9.7777784299999997</v>
      </c>
      <c r="G125" s="153">
        <v>6.73802482244069</v>
      </c>
      <c r="H125" s="157">
        <v>0.68911612905516495</v>
      </c>
      <c r="I125" s="23">
        <v>0</v>
      </c>
      <c r="J125" s="23" t="s">
        <v>85</v>
      </c>
      <c r="K125" s="24">
        <v>44939.000001585649</v>
      </c>
      <c r="L125" s="23">
        <v>1</v>
      </c>
      <c r="M125" s="23" t="s">
        <v>188</v>
      </c>
      <c r="N125" s="45">
        <f t="shared" si="34"/>
        <v>1</v>
      </c>
      <c r="O125" s="159">
        <f t="shared" si="20"/>
        <v>9.7777784299999997</v>
      </c>
      <c r="P125" s="47">
        <f t="shared" si="21"/>
        <v>6.7380248224406882</v>
      </c>
      <c r="Q125" s="25">
        <f t="shared" si="24"/>
        <v>0</v>
      </c>
      <c r="R125" s="26" t="str">
        <f t="shared" si="25"/>
        <v>COIN</v>
      </c>
      <c r="S125" s="26" t="str">
        <f t="shared" si="33"/>
        <v>LONG</v>
      </c>
      <c r="T125" s="26" t="str">
        <f t="shared" si="26"/>
        <v>COIN LONG</v>
      </c>
      <c r="U125" s="17">
        <f t="shared" si="27"/>
        <v>6.73802482244069</v>
      </c>
      <c r="V125" s="17">
        <f t="shared" si="28"/>
        <v>0.68911612905516495</v>
      </c>
      <c r="W125" s="39">
        <f>IF($C125="","",IF(DefaultScenario,IF(OR(AND(Default_Exchange="ALL",NOT(ISERROR(MATCH($C125,$AF$6:$AF$37,0)))),$C125=Default_Exchange),IF($G125&gt;0,-LGD,0),0),IF(OR($J125="SWAP",$J125="FUTURE",$J125="CME FUTURE"),IF('Futures &amp; Perps Shifted'!$AE$31,VLOOKUP($M125,'Futures &amp; Perps Shifted'!$AE$32:$AO$76,MATCH($R125,'Futures &amp; Perps Shifted'!$AE$30:$AO$30,0),FALSE),0),0)))</f>
        <v>0</v>
      </c>
      <c r="X125" s="17">
        <f t="shared" si="29"/>
        <v>0</v>
      </c>
      <c r="Y125" s="14" t="str">
        <f t="shared" si="32"/>
        <v>DEFI</v>
      </c>
      <c r="Z125" t="str">
        <f t="shared" si="30"/>
        <v>CRV COIN LONG</v>
      </c>
      <c r="AA125" t="b">
        <f>IF($C125="","",IF(ISERROR(VLOOKUP($Y125,Mappings!$A:$C,3,FALSE)),FALSE,VLOOKUP($Y125,Mappings!$A:$C,3,FALSE)))</f>
        <v>0</v>
      </c>
    </row>
    <row r="126" spans="1:27" customFormat="1" x14ac:dyDescent="0.25">
      <c r="A126" s="14">
        <v>124</v>
      </c>
      <c r="B126" s="71">
        <v>44939.000001585649</v>
      </c>
      <c r="C126" s="14" t="s">
        <v>294</v>
      </c>
      <c r="D126" s="23" t="s">
        <v>285</v>
      </c>
      <c r="E126" s="23" t="s">
        <v>189</v>
      </c>
      <c r="F126" s="101">
        <v>2.800215E-2</v>
      </c>
      <c r="G126" s="153">
        <v>9.9342361696586501E-2</v>
      </c>
      <c r="H126" s="157">
        <v>3.54766907885953</v>
      </c>
      <c r="I126" s="23">
        <v>0</v>
      </c>
      <c r="J126" s="23" t="s">
        <v>85</v>
      </c>
      <c r="K126" s="24">
        <v>44939.000001585649</v>
      </c>
      <c r="L126" s="23">
        <v>1</v>
      </c>
      <c r="M126" s="23" t="s">
        <v>189</v>
      </c>
      <c r="N126" s="45">
        <f t="shared" si="34"/>
        <v>1</v>
      </c>
      <c r="O126" s="159">
        <f t="shared" si="20"/>
        <v>2.800215E-2</v>
      </c>
      <c r="P126" s="47">
        <f t="shared" si="21"/>
        <v>9.934236169658639E-2</v>
      </c>
      <c r="Q126" s="25">
        <f t="shared" si="24"/>
        <v>0</v>
      </c>
      <c r="R126" s="26" t="str">
        <f t="shared" si="25"/>
        <v>COIN</v>
      </c>
      <c r="S126" s="26" t="str">
        <f t="shared" si="33"/>
        <v>LONG</v>
      </c>
      <c r="T126" s="26" t="str">
        <f t="shared" si="26"/>
        <v>COIN LONG</v>
      </c>
      <c r="U126" s="17">
        <f t="shared" si="27"/>
        <v>9.9342361696586501E-2</v>
      </c>
      <c r="V126" s="17">
        <f t="shared" si="28"/>
        <v>3.54766907885953</v>
      </c>
      <c r="W126" s="39">
        <f>IF($C126="","",IF(DefaultScenario,IF(OR(AND(Default_Exchange="ALL",NOT(ISERROR(MATCH($C126,$AF$6:$AF$37,0)))),$C126=Default_Exchange),IF($G126&gt;0,-LGD,0),0),IF(OR($J126="SWAP",$J126="FUTURE",$J126="CME FUTURE"),IF('Futures &amp; Perps Shifted'!$AE$31,VLOOKUP($M126,'Futures &amp; Perps Shifted'!$AE$32:$AO$76,MATCH($R126,'Futures &amp; Perps Shifted'!$AE$30:$AO$30,0),FALSE),0),0)))</f>
        <v>0</v>
      </c>
      <c r="X126" s="17">
        <f t="shared" si="29"/>
        <v>0</v>
      </c>
      <c r="Y126" s="14" t="str">
        <f t="shared" si="32"/>
        <v>DEFI</v>
      </c>
      <c r="Z126" t="str">
        <f t="shared" si="30"/>
        <v>CVX COIN LONG</v>
      </c>
      <c r="AA126" t="b">
        <f>IF($C126="","",IF(ISERROR(VLOOKUP($Y126,Mappings!$A:$C,3,FALSE)),FALSE,VLOOKUP($Y126,Mappings!$A:$C,3,FALSE)))</f>
        <v>0</v>
      </c>
    </row>
    <row r="127" spans="1:27" customFormat="1" x14ac:dyDescent="0.25">
      <c r="A127" s="14">
        <v>125</v>
      </c>
      <c r="B127" s="71">
        <v>44939.000001585649</v>
      </c>
      <c r="C127" s="14" t="s">
        <v>294</v>
      </c>
      <c r="D127" s="23" t="s">
        <v>285</v>
      </c>
      <c r="E127" s="23" t="s">
        <v>15</v>
      </c>
      <c r="F127" s="101">
        <v>3.67060545</v>
      </c>
      <c r="G127" s="153">
        <v>5204.6928706969902</v>
      </c>
      <c r="H127" s="157">
        <v>1417.9385231112101</v>
      </c>
      <c r="I127" s="23">
        <v>0</v>
      </c>
      <c r="J127" s="23" t="s">
        <v>85</v>
      </c>
      <c r="K127" s="24">
        <v>44939.000001585649</v>
      </c>
      <c r="L127" s="23">
        <v>1</v>
      </c>
      <c r="M127" s="23" t="s">
        <v>15</v>
      </c>
      <c r="N127" s="45">
        <f t="shared" si="34"/>
        <v>1</v>
      </c>
      <c r="O127" s="159">
        <f t="shared" si="20"/>
        <v>3.67060545</v>
      </c>
      <c r="P127" s="47">
        <f t="shared" si="21"/>
        <v>5204.6928706969584</v>
      </c>
      <c r="Q127" s="25">
        <f t="shared" si="24"/>
        <v>0</v>
      </c>
      <c r="R127" s="26" t="str">
        <f t="shared" si="25"/>
        <v>COIN</v>
      </c>
      <c r="S127" s="26" t="str">
        <f t="shared" si="33"/>
        <v>LONG</v>
      </c>
      <c r="T127" s="26" t="str">
        <f t="shared" si="26"/>
        <v>COIN LONG</v>
      </c>
      <c r="U127" s="17">
        <f t="shared" si="27"/>
        <v>5204.6928706969902</v>
      </c>
      <c r="V127" s="17">
        <f t="shared" si="28"/>
        <v>1417.9385231112101</v>
      </c>
      <c r="W127" s="39">
        <f>IF($C127="","",IF(DefaultScenario,IF(OR(AND(Default_Exchange="ALL",NOT(ISERROR(MATCH($C127,$AF$6:$AF$37,0)))),$C127=Default_Exchange),IF($G127&gt;0,-LGD,0),0),IF(OR($J127="SWAP",$J127="FUTURE",$J127="CME FUTURE"),IF('Futures &amp; Perps Shifted'!$AE$31,VLOOKUP($M127,'Futures &amp; Perps Shifted'!$AE$32:$AO$76,MATCH($R127,'Futures &amp; Perps Shifted'!$AE$30:$AO$30,0),FALSE),0),0)))</f>
        <v>0</v>
      </c>
      <c r="X127" s="17">
        <f t="shared" si="29"/>
        <v>0</v>
      </c>
      <c r="Y127" s="14" t="str">
        <f t="shared" si="32"/>
        <v>DEFI</v>
      </c>
      <c r="Z127" t="str">
        <f t="shared" si="30"/>
        <v>ETH COIN LONG</v>
      </c>
      <c r="AA127" t="b">
        <f>IF($C127="","",IF(ISERROR(VLOOKUP($Y127,Mappings!$A:$C,3,FALSE)),FALSE,VLOOKUP($Y127,Mappings!$A:$C,3,FALSE)))</f>
        <v>0</v>
      </c>
    </row>
    <row r="128" spans="1:27" customFormat="1" x14ac:dyDescent="0.25">
      <c r="A128" s="14">
        <v>126</v>
      </c>
      <c r="B128" s="71">
        <v>44939.000001585649</v>
      </c>
      <c r="C128" s="14" t="s">
        <v>294</v>
      </c>
      <c r="D128" s="23" t="s">
        <v>285</v>
      </c>
      <c r="E128" s="23" t="s">
        <v>92</v>
      </c>
      <c r="F128" s="101">
        <v>13972.219738</v>
      </c>
      <c r="G128" s="153">
        <v>13973.227828448</v>
      </c>
      <c r="H128" s="157">
        <v>1.0000721496274001</v>
      </c>
      <c r="I128" s="23">
        <v>0</v>
      </c>
      <c r="J128" s="23" t="s">
        <v>85</v>
      </c>
      <c r="K128" s="24">
        <v>44939.000001585649</v>
      </c>
      <c r="L128" s="23">
        <v>1</v>
      </c>
      <c r="M128" s="23" t="s">
        <v>92</v>
      </c>
      <c r="N128" s="45">
        <f t="shared" si="34"/>
        <v>1</v>
      </c>
      <c r="O128" s="159">
        <f t="shared" si="20"/>
        <v>13972.219738</v>
      </c>
      <c r="P128" s="47">
        <f t="shared" si="21"/>
        <v>13973.227828448049</v>
      </c>
      <c r="Q128" s="25">
        <f t="shared" si="24"/>
        <v>0</v>
      </c>
      <c r="R128" s="26" t="str">
        <f t="shared" si="25"/>
        <v>COIN</v>
      </c>
      <c r="S128" s="26" t="str">
        <f t="shared" si="33"/>
        <v>LONG</v>
      </c>
      <c r="T128" s="26" t="str">
        <f t="shared" si="26"/>
        <v>COIN LONG</v>
      </c>
      <c r="U128" s="17">
        <f t="shared" si="27"/>
        <v>13973.227828448</v>
      </c>
      <c r="V128" s="17">
        <f t="shared" si="28"/>
        <v>1.0000721496274001</v>
      </c>
      <c r="W128" s="39">
        <f>IF($C128="","",IF(DefaultScenario,IF(OR(AND(Default_Exchange="ALL",NOT(ISERROR(MATCH($C128,$AF$6:$AF$37,0)))),$C128=Default_Exchange),IF($G128&gt;0,-LGD,0),0),IF(OR($J128="SWAP",$J128="FUTURE",$J128="CME FUTURE"),IF('Futures &amp; Perps Shifted'!$AE$31,VLOOKUP($M128,'Futures &amp; Perps Shifted'!$AE$32:$AO$76,MATCH($R128,'Futures &amp; Perps Shifted'!$AE$30:$AO$30,0),FALSE),0),0)))</f>
        <v>0</v>
      </c>
      <c r="X128" s="17">
        <f t="shared" si="29"/>
        <v>0</v>
      </c>
      <c r="Y128" s="14" t="str">
        <f t="shared" si="32"/>
        <v>DEFI</v>
      </c>
      <c r="Z128" t="str">
        <f t="shared" si="30"/>
        <v>USDC COIN LONG</v>
      </c>
      <c r="AA128" t="b">
        <f>IF($C128="","",IF(ISERROR(VLOOKUP($Y128,Mappings!$A:$C,3,FALSE)),FALSE,VLOOKUP($Y128,Mappings!$A:$C,3,FALSE)))</f>
        <v>0</v>
      </c>
    </row>
    <row r="129" spans="1:27" customFormat="1" x14ac:dyDescent="0.25">
      <c r="A129" s="14">
        <v>127</v>
      </c>
      <c r="B129" s="71">
        <v>44939.000001585649</v>
      </c>
      <c r="C129" s="14" t="s">
        <v>294</v>
      </c>
      <c r="D129" s="23" t="s">
        <v>300</v>
      </c>
      <c r="E129" s="23" t="s">
        <v>802</v>
      </c>
      <c r="F129" s="101">
        <v>180000</v>
      </c>
      <c r="G129" s="153">
        <v>0</v>
      </c>
      <c r="H129" s="157">
        <v>0</v>
      </c>
      <c r="I129" s="23">
        <v>0</v>
      </c>
      <c r="J129" s="23" t="s">
        <v>85</v>
      </c>
      <c r="K129" s="24">
        <v>44939.000001585649</v>
      </c>
      <c r="L129" s="23">
        <v>1</v>
      </c>
      <c r="M129" s="23" t="s">
        <v>802</v>
      </c>
      <c r="N129" s="45">
        <f t="shared" si="34"/>
        <v>1</v>
      </c>
      <c r="O129" s="159">
        <f t="shared" si="20"/>
        <v>180000</v>
      </c>
      <c r="P129" s="47">
        <f t="shared" si="21"/>
        <v>0</v>
      </c>
      <c r="Q129" s="25">
        <f t="shared" si="24"/>
        <v>0</v>
      </c>
      <c r="R129" s="26" t="str">
        <f t="shared" si="25"/>
        <v>COIN</v>
      </c>
      <c r="S129" s="26" t="str">
        <f t="shared" si="33"/>
        <v>SHORT</v>
      </c>
      <c r="T129" s="26" t="str">
        <f t="shared" si="26"/>
        <v>COIN SHORT</v>
      </c>
      <c r="U129" s="17">
        <f t="shared" si="27"/>
        <v>0</v>
      </c>
      <c r="V129" s="17">
        <f t="shared" si="28"/>
        <v>0</v>
      </c>
      <c r="W129" s="39">
        <f>IF($C129="","",IF(DefaultScenario,IF(OR(AND(Default_Exchange="ALL",NOT(ISERROR(MATCH($C129,$AF$6:$AF$37,0)))),$C129=Default_Exchange),IF($G129&gt;0,-LGD,0),0),IF(OR($J129="SWAP",$J129="FUTURE",$J129="CME FUTURE"),IF('Futures &amp; Perps Shifted'!$AE$31,VLOOKUP($M129,'Futures &amp; Perps Shifted'!$AE$32:$AO$76,MATCH($R129,'Futures &amp; Perps Shifted'!$AE$30:$AO$30,0),FALSE),0),0)))</f>
        <v>0</v>
      </c>
      <c r="X129" s="17">
        <f t="shared" si="29"/>
        <v>0</v>
      </c>
      <c r="Y129" s="14" t="str">
        <f t="shared" si="32"/>
        <v>DEFI</v>
      </c>
      <c r="Z129" t="str">
        <f t="shared" si="30"/>
        <v>$ PLEASE VISIT ACADY.SITE TO RECEIVE REWARD. COIN SHORT</v>
      </c>
      <c r="AA129" t="b">
        <f>IF($C129="","",IF(ISERROR(VLOOKUP($Y129,Mappings!$A:$C,3,FALSE)),FALSE,VLOOKUP($Y129,Mappings!$A:$C,3,FALSE)))</f>
        <v>0</v>
      </c>
    </row>
    <row r="130" spans="1:27" customFormat="1" x14ac:dyDescent="0.25">
      <c r="A130" s="14">
        <v>128</v>
      </c>
      <c r="B130" s="71">
        <v>44939.000001585649</v>
      </c>
      <c r="C130" s="14" t="s">
        <v>294</v>
      </c>
      <c r="D130" s="23" t="s">
        <v>300</v>
      </c>
      <c r="E130" s="23" t="s">
        <v>301</v>
      </c>
      <c r="F130" s="101">
        <v>7000</v>
      </c>
      <c r="G130" s="153">
        <v>0</v>
      </c>
      <c r="H130" s="157">
        <v>0</v>
      </c>
      <c r="I130" s="23">
        <v>0</v>
      </c>
      <c r="J130" s="23" t="s">
        <v>85</v>
      </c>
      <c r="K130" s="24">
        <v>44939.000001585649</v>
      </c>
      <c r="L130" s="23">
        <v>1</v>
      </c>
      <c r="M130" s="23" t="s">
        <v>301</v>
      </c>
      <c r="N130" s="45">
        <f t="shared" si="34"/>
        <v>1</v>
      </c>
      <c r="O130" s="159">
        <f t="shared" ref="O130:O193" si="35">IF($C130="","",IF(OR($J130="SWAP",$J130="FUTURE",$J130="CME FUTURE"),IF($L130=1,$F130*$N130,$AB$2*$F130*$N130/$H130),F130))</f>
        <v>7000</v>
      </c>
      <c r="P130" s="47">
        <f t="shared" ref="P130:P193" si="36">IF($C130="","",IF(OR($J130="SWAP",$J130="FUTURE",$J130="CME FUTURE"),IF(NOT(ISERROR(VLOOKUP($M130,SpotUSDRateTable,2,FALSE))),VLOOKUP($M130,SpotUSDRateTable,2,FALSE),$H130)*O130,VLOOKUP($M130,SpotUSDRateTable,2,FALSE)*O130))</f>
        <v>0</v>
      </c>
      <c r="Q130" s="25">
        <f t="shared" si="24"/>
        <v>0</v>
      </c>
      <c r="R130" s="26" t="str">
        <f t="shared" si="25"/>
        <v>COIN</v>
      </c>
      <c r="S130" s="26" t="str">
        <f t="shared" si="33"/>
        <v>SHORT</v>
      </c>
      <c r="T130" s="26" t="str">
        <f t="shared" si="26"/>
        <v>COIN SHORT</v>
      </c>
      <c r="U130" s="17">
        <f t="shared" si="27"/>
        <v>0</v>
      </c>
      <c r="V130" s="17">
        <f t="shared" si="28"/>
        <v>0</v>
      </c>
      <c r="W130" s="39">
        <f>IF($C130="","",IF(DefaultScenario,IF(OR(AND(Default_Exchange="ALL",NOT(ISERROR(MATCH($C130,$AF$6:$AF$37,0)))),$C130=Default_Exchange),IF($G130&gt;0,-LGD,0),0),IF(OR($J130="SWAP",$J130="FUTURE",$J130="CME FUTURE"),IF('Futures &amp; Perps Shifted'!$AE$31,VLOOKUP($M130,'Futures &amp; Perps Shifted'!$AE$32:$AO$76,MATCH($R130,'Futures &amp; Perps Shifted'!$AE$30:$AO$30,0),FALSE),0),0)))</f>
        <v>0</v>
      </c>
      <c r="X130" s="17">
        <f t="shared" si="29"/>
        <v>0</v>
      </c>
      <c r="Y130" s="14" t="str">
        <f t="shared" si="32"/>
        <v>DEFI</v>
      </c>
      <c r="Z130" t="str">
        <f t="shared" si="30"/>
        <v>$ USDCBONUS.COM &lt;- VISIT TO CLAIM BONUS COIN SHORT</v>
      </c>
      <c r="AA130" t="b">
        <f>IF($C130="","",IF(ISERROR(VLOOKUP($Y130,Mappings!$A:$C,3,FALSE)),FALSE,VLOOKUP($Y130,Mappings!$A:$C,3,FALSE)))</f>
        <v>0</v>
      </c>
    </row>
    <row r="131" spans="1:27" customFormat="1" x14ac:dyDescent="0.25">
      <c r="A131" s="14">
        <v>129</v>
      </c>
      <c r="B131" s="71">
        <v>44939.000001585649</v>
      </c>
      <c r="C131" s="14" t="s">
        <v>294</v>
      </c>
      <c r="D131" s="23" t="s">
        <v>300</v>
      </c>
      <c r="E131" s="23" t="s">
        <v>315</v>
      </c>
      <c r="F131" s="101">
        <v>7000</v>
      </c>
      <c r="G131" s="153">
        <v>0</v>
      </c>
      <c r="H131" s="157">
        <v>0</v>
      </c>
      <c r="I131" s="23">
        <v>0</v>
      </c>
      <c r="J131" s="23" t="s">
        <v>85</v>
      </c>
      <c r="K131" s="24">
        <v>44939.000001585649</v>
      </c>
      <c r="L131" s="23">
        <v>1</v>
      </c>
      <c r="M131" s="23" t="s">
        <v>315</v>
      </c>
      <c r="N131" s="45">
        <f t="shared" si="34"/>
        <v>1</v>
      </c>
      <c r="O131" s="159">
        <f t="shared" si="35"/>
        <v>7000</v>
      </c>
      <c r="P131" s="47">
        <f t="shared" si="36"/>
        <v>0</v>
      </c>
      <c r="Q131" s="25">
        <f t="shared" ref="Q131:Q194" si="37">IF($C131="","",IF(OR($J131="SWAP",$J131="FUTURE",$J131="CME FUTURE"),INT($K131-$B131),0))</f>
        <v>0</v>
      </c>
      <c r="R131" s="26" t="str">
        <f t="shared" ref="R131:R194" si="38">IF($C131="","",IF(OR($E131="USD",$E131="EUR"),"CASH",IF($Q131=0,"COIN",IF($Q131&gt;720,"PERP",IF($J131="FUTURE",TEXT($K131-1,"mmm yy"),"CME "&amp;TEXT($K131-1,"mmm yy"))))))</f>
        <v>COIN</v>
      </c>
      <c r="S131" s="26" t="str">
        <f t="shared" si="33"/>
        <v>SHORT</v>
      </c>
      <c r="T131" s="26" t="str">
        <f t="shared" ref="T131:T194" si="39">IF($C131="","",$R131&amp;" "&amp;$S131)</f>
        <v>COIN SHORT</v>
      </c>
      <c r="U131" s="17">
        <f t="shared" ref="U131:U194" si="40">IF($C131="","",$G131*(1+$W131))</f>
        <v>0</v>
      </c>
      <c r="V131" s="17">
        <f t="shared" ref="V131:V194" si="41">IF($C131="","",$H131*(1+$W131))</f>
        <v>0</v>
      </c>
      <c r="W131" s="39">
        <f>IF($C131="","",IF(DefaultScenario,IF(OR(AND(Default_Exchange="ALL",NOT(ISERROR(MATCH($C131,$AF$6:$AF$37,0)))),$C131=Default_Exchange),IF($G131&gt;0,-LGD,0),0),IF(OR($J131="SWAP",$J131="FUTURE",$J131="CME FUTURE"),IF('Futures &amp; Perps Shifted'!$AE$31,VLOOKUP($M131,'Futures &amp; Perps Shifted'!$AE$32:$AO$76,MATCH($R131,'Futures &amp; Perps Shifted'!$AE$30:$AO$30,0),FALSE),0),0)))</f>
        <v>0</v>
      </c>
      <c r="X131" s="17">
        <f t="shared" ref="X131:X194" si="42">IF($C131="","",$U131-$G131)</f>
        <v>0</v>
      </c>
      <c r="Y131" s="14" t="str">
        <f t="shared" si="32"/>
        <v>DEFI</v>
      </c>
      <c r="Z131" t="str">
        <f t="shared" ref="Z131:Z194" si="43">IF($C131="","",$M131&amp;" "&amp;$T131)</f>
        <v>$ USDCGIFT.COM &lt;- VISIT TO CLAIM BONUS COIN SHORT</v>
      </c>
      <c r="AA131" t="b">
        <f>IF($C131="","",IF(ISERROR(VLOOKUP($Y131,Mappings!$A:$C,3,FALSE)),FALSE,VLOOKUP($Y131,Mappings!$A:$C,3,FALSE)))</f>
        <v>0</v>
      </c>
    </row>
    <row r="132" spans="1:27" customFormat="1" x14ac:dyDescent="0.25">
      <c r="A132" s="14">
        <v>130</v>
      </c>
      <c r="B132" s="71">
        <v>44939.000001585649</v>
      </c>
      <c r="C132" s="14" t="s">
        <v>294</v>
      </c>
      <c r="D132" s="23" t="s">
        <v>300</v>
      </c>
      <c r="E132" s="23" t="s">
        <v>904</v>
      </c>
      <c r="F132" s="101">
        <v>7000</v>
      </c>
      <c r="G132" s="153">
        <v>0</v>
      </c>
      <c r="H132" s="157">
        <v>0</v>
      </c>
      <c r="I132" s="23">
        <v>0</v>
      </c>
      <c r="J132" s="23" t="s">
        <v>85</v>
      </c>
      <c r="K132" s="24">
        <v>44939.000001585649</v>
      </c>
      <c r="L132" s="23">
        <v>1</v>
      </c>
      <c r="M132" s="23" t="s">
        <v>904</v>
      </c>
      <c r="N132" s="45">
        <f t="shared" si="34"/>
        <v>1</v>
      </c>
      <c r="O132" s="159">
        <f t="shared" si="35"/>
        <v>7000</v>
      </c>
      <c r="P132" s="47">
        <f t="shared" si="36"/>
        <v>0</v>
      </c>
      <c r="Q132" s="25">
        <f t="shared" si="37"/>
        <v>0</v>
      </c>
      <c r="R132" s="26" t="str">
        <f t="shared" si="38"/>
        <v>COIN</v>
      </c>
      <c r="S132" s="26" t="str">
        <f t="shared" si="33"/>
        <v>SHORT</v>
      </c>
      <c r="T132" s="26" t="str">
        <f t="shared" si="39"/>
        <v>COIN SHORT</v>
      </c>
      <c r="U132" s="17">
        <f t="shared" si="40"/>
        <v>0</v>
      </c>
      <c r="V132" s="17">
        <f t="shared" si="41"/>
        <v>0</v>
      </c>
      <c r="W132" s="39">
        <f>IF($C132="","",IF(DefaultScenario,IF(OR(AND(Default_Exchange="ALL",NOT(ISERROR(MATCH($C132,$AF$6:$AF$37,0)))),$C132=Default_Exchange),IF($G132&gt;0,-LGD,0),0),IF(OR($J132="SWAP",$J132="FUTURE",$J132="CME FUTURE"),IF('Futures &amp; Perps Shifted'!$AE$31,VLOOKUP($M132,'Futures &amp; Perps Shifted'!$AE$32:$AO$76,MATCH($R132,'Futures &amp; Perps Shifted'!$AE$30:$AO$30,0),FALSE),0),0)))</f>
        <v>0</v>
      </c>
      <c r="X132" s="17">
        <f t="shared" si="42"/>
        <v>0</v>
      </c>
      <c r="Y132" s="14" t="str">
        <f t="shared" si="32"/>
        <v>DEFI</v>
      </c>
      <c r="Z132" t="str">
        <f t="shared" si="43"/>
        <v>$ USDCXMAS.COM &lt;- VISIT TO CLAIM GIFT COIN SHORT</v>
      </c>
      <c r="AA132" t="b">
        <f>IF($C132="","",IF(ISERROR(VLOOKUP($Y132,Mappings!$A:$C,3,FALSE)),FALSE,VLOOKUP($Y132,Mappings!$A:$C,3,FALSE)))</f>
        <v>0</v>
      </c>
    </row>
    <row r="133" spans="1:27" customFormat="1" x14ac:dyDescent="0.25">
      <c r="A133" s="14">
        <v>131</v>
      </c>
      <c r="B133" s="71">
        <v>44939.000001585649</v>
      </c>
      <c r="C133" s="14" t="s">
        <v>294</v>
      </c>
      <c r="D133" s="23" t="s">
        <v>300</v>
      </c>
      <c r="E133" s="23" t="s">
        <v>428</v>
      </c>
      <c r="F133" s="101">
        <v>8</v>
      </c>
      <c r="G133" s="153">
        <v>0</v>
      </c>
      <c r="H133" s="157">
        <v>0</v>
      </c>
      <c r="I133" s="23">
        <v>0</v>
      </c>
      <c r="J133" s="23" t="s">
        <v>85</v>
      </c>
      <c r="K133" s="24">
        <v>44939.000001585649</v>
      </c>
      <c r="L133" s="23">
        <v>1</v>
      </c>
      <c r="M133" s="23" t="s">
        <v>428</v>
      </c>
      <c r="N133" s="45">
        <f t="shared" si="34"/>
        <v>1</v>
      </c>
      <c r="O133" s="159">
        <f t="shared" si="35"/>
        <v>8</v>
      </c>
      <c r="P133" s="47">
        <f t="shared" si="36"/>
        <v>0</v>
      </c>
      <c r="Q133" s="25">
        <f t="shared" si="37"/>
        <v>0</v>
      </c>
      <c r="R133" s="26" t="str">
        <f t="shared" si="38"/>
        <v>COIN</v>
      </c>
      <c r="S133" s="26" t="str">
        <f t="shared" si="33"/>
        <v>SHORT</v>
      </c>
      <c r="T133" s="26" t="str">
        <f t="shared" si="39"/>
        <v>COIN SHORT</v>
      </c>
      <c r="U133" s="17">
        <f t="shared" si="40"/>
        <v>0</v>
      </c>
      <c r="V133" s="17">
        <f t="shared" si="41"/>
        <v>0</v>
      </c>
      <c r="W133" s="39">
        <f>IF($C133="","",IF(DefaultScenario,IF(OR(AND(Default_Exchange="ALL",NOT(ISERROR(MATCH($C133,$AF$6:$AF$37,0)))),$C133=Default_Exchange),IF($G133&gt;0,-LGD,0),0),IF(OR($J133="SWAP",$J133="FUTURE",$J133="CME FUTURE"),IF('Futures &amp; Perps Shifted'!$AE$31,VLOOKUP($M133,'Futures &amp; Perps Shifted'!$AE$32:$AO$76,MATCH($R133,'Futures &amp; Perps Shifted'!$AE$30:$AO$30,0),FALSE),0),0)))</f>
        <v>0</v>
      </c>
      <c r="X133" s="17">
        <f t="shared" si="42"/>
        <v>0</v>
      </c>
      <c r="Y133" s="14" t="str">
        <f t="shared" si="32"/>
        <v>DEFI</v>
      </c>
      <c r="Z133" t="str">
        <f t="shared" si="43"/>
        <v>927$ VISIT AUSDBONUS.COM TO CLAIM COIN SHORT</v>
      </c>
      <c r="AA133" t="b">
        <f>IF($C133="","",IF(ISERROR(VLOOKUP($Y133,Mappings!$A:$C,3,FALSE)),FALSE,VLOOKUP($Y133,Mappings!$A:$C,3,FALSE)))</f>
        <v>0</v>
      </c>
    </row>
    <row r="134" spans="1:27" customFormat="1" x14ac:dyDescent="0.25">
      <c r="A134" s="14">
        <v>132</v>
      </c>
      <c r="B134" s="71">
        <v>44939.000001585649</v>
      </c>
      <c r="C134" s="14" t="s">
        <v>294</v>
      </c>
      <c r="D134" s="23" t="s">
        <v>300</v>
      </c>
      <c r="E134" s="23" t="s">
        <v>116</v>
      </c>
      <c r="F134" s="101">
        <v>229.80482918999999</v>
      </c>
      <c r="G134" s="153">
        <v>15594.816889215601</v>
      </c>
      <c r="H134" s="157">
        <v>67.861136531304297</v>
      </c>
      <c r="I134" s="23">
        <v>0</v>
      </c>
      <c r="J134" s="23" t="s">
        <v>85</v>
      </c>
      <c r="K134" s="24">
        <v>44939.000001585649</v>
      </c>
      <c r="L134" s="23">
        <v>1</v>
      </c>
      <c r="M134" s="23" t="s">
        <v>116</v>
      </c>
      <c r="N134" s="45">
        <f t="shared" si="34"/>
        <v>1</v>
      </c>
      <c r="O134" s="159">
        <f t="shared" si="35"/>
        <v>229.80482918999999</v>
      </c>
      <c r="P134" s="47">
        <f t="shared" si="36"/>
        <v>15594.816889215652</v>
      </c>
      <c r="Q134" s="25">
        <f t="shared" si="37"/>
        <v>0</v>
      </c>
      <c r="R134" s="26" t="str">
        <f t="shared" si="38"/>
        <v>COIN</v>
      </c>
      <c r="S134" s="26" t="str">
        <f t="shared" si="33"/>
        <v>LONG</v>
      </c>
      <c r="T134" s="26" t="str">
        <f t="shared" si="39"/>
        <v>COIN LONG</v>
      </c>
      <c r="U134" s="17">
        <f t="shared" si="40"/>
        <v>15594.816889215601</v>
      </c>
      <c r="V134" s="17">
        <f t="shared" si="41"/>
        <v>67.861136531304297</v>
      </c>
      <c r="W134" s="39">
        <f>IF($C134="","",IF(DefaultScenario,IF(OR(AND(Default_Exchange="ALL",NOT(ISERROR(MATCH($C134,$AF$6:$AF$37,0)))),$C134=Default_Exchange),IF($G134&gt;0,-LGD,0),0),IF(OR($J134="SWAP",$J134="FUTURE",$J134="CME FUTURE"),IF('Futures &amp; Perps Shifted'!$AE$31,VLOOKUP($M134,'Futures &amp; Perps Shifted'!$AE$32:$AO$76,MATCH($R134,'Futures &amp; Perps Shifted'!$AE$30:$AO$30,0),FALSE),0),0)))</f>
        <v>0</v>
      </c>
      <c r="X134" s="17">
        <f t="shared" si="42"/>
        <v>0</v>
      </c>
      <c r="Y134" s="14" t="str">
        <f t="shared" si="32"/>
        <v>DEFI</v>
      </c>
      <c r="Z134" t="str">
        <f t="shared" si="43"/>
        <v>AAVE COIN LONG</v>
      </c>
      <c r="AA134" t="b">
        <f>IF($C134="","",IF(ISERROR(VLOOKUP($Y134,Mappings!$A:$C,3,FALSE)),FALSE,VLOOKUP($Y134,Mappings!$A:$C,3,FALSE)))</f>
        <v>0</v>
      </c>
    </row>
    <row r="135" spans="1:27" customFormat="1" x14ac:dyDescent="0.25">
      <c r="A135" s="14">
        <v>133</v>
      </c>
      <c r="B135" s="71">
        <v>44939.000001585649</v>
      </c>
      <c r="C135" s="14" t="s">
        <v>294</v>
      </c>
      <c r="D135" s="23" t="s">
        <v>300</v>
      </c>
      <c r="E135" s="23" t="s">
        <v>187</v>
      </c>
      <c r="F135" s="101">
        <v>59.005456510000002</v>
      </c>
      <c r="G135" s="153">
        <v>912.06800851335095</v>
      </c>
      <c r="H135" s="157">
        <v>15.4573502597811</v>
      </c>
      <c r="I135" s="23">
        <v>0</v>
      </c>
      <c r="J135" s="23" t="s">
        <v>85</v>
      </c>
      <c r="K135" s="24">
        <v>44939.000001585649</v>
      </c>
      <c r="L135" s="23">
        <v>1</v>
      </c>
      <c r="M135" s="23" t="s">
        <v>187</v>
      </c>
      <c r="N135" s="45">
        <f t="shared" si="34"/>
        <v>1</v>
      </c>
      <c r="O135" s="159">
        <f t="shared" si="35"/>
        <v>59.005456510000002</v>
      </c>
      <c r="P135" s="47">
        <f t="shared" si="36"/>
        <v>912.06800851335095</v>
      </c>
      <c r="Q135" s="25">
        <f t="shared" si="37"/>
        <v>0</v>
      </c>
      <c r="R135" s="26" t="str">
        <f t="shared" si="38"/>
        <v>COIN</v>
      </c>
      <c r="S135" s="26" t="str">
        <f t="shared" si="33"/>
        <v>LONG</v>
      </c>
      <c r="T135" s="26" t="str">
        <f t="shared" si="39"/>
        <v>COIN LONG</v>
      </c>
      <c r="U135" s="17">
        <f t="shared" si="40"/>
        <v>912.06800851335095</v>
      </c>
      <c r="V135" s="17">
        <f t="shared" si="41"/>
        <v>15.4573502597811</v>
      </c>
      <c r="W135" s="39">
        <f>IF($C135="","",IF(DefaultScenario,IF(OR(AND(Default_Exchange="ALL",NOT(ISERROR(MATCH($C135,$AF$6:$AF$37,0)))),$C135=Default_Exchange),IF($G135&gt;0,-LGD,0),0),IF(OR($J135="SWAP",$J135="FUTURE",$J135="CME FUTURE"),IF('Futures &amp; Perps Shifted'!$AE$31,VLOOKUP($M135,'Futures &amp; Perps Shifted'!$AE$32:$AO$76,MATCH($R135,'Futures &amp; Perps Shifted'!$AE$30:$AO$30,0),FALSE),0),0)))</f>
        <v>0</v>
      </c>
      <c r="X135" s="17">
        <f t="shared" si="42"/>
        <v>0</v>
      </c>
      <c r="Y135" s="14" t="str">
        <f t="shared" si="32"/>
        <v>DEFI</v>
      </c>
      <c r="Z135" t="str">
        <f t="shared" si="43"/>
        <v>AVAX COIN LONG</v>
      </c>
      <c r="AA135" t="b">
        <f>IF($C135="","",IF(ISERROR(VLOOKUP($Y135,Mappings!$A:$C,3,FALSE)),FALSE,VLOOKUP($Y135,Mappings!$A:$C,3,FALSE)))</f>
        <v>0</v>
      </c>
    </row>
    <row r="136" spans="1:27" customFormat="1" x14ac:dyDescent="0.25">
      <c r="A136" s="14">
        <v>134</v>
      </c>
      <c r="B136" s="71">
        <v>44939.000001585649</v>
      </c>
      <c r="C136" s="14" t="s">
        <v>294</v>
      </c>
      <c r="D136" s="23" t="s">
        <v>300</v>
      </c>
      <c r="E136" s="23" t="s">
        <v>457</v>
      </c>
      <c r="F136" s="101">
        <v>25</v>
      </c>
      <c r="G136" s="153">
        <v>0</v>
      </c>
      <c r="H136" s="157">
        <v>0</v>
      </c>
      <c r="I136" s="23">
        <v>0</v>
      </c>
      <c r="J136" s="23" t="s">
        <v>85</v>
      </c>
      <c r="K136" s="24">
        <v>44939.000001585649</v>
      </c>
      <c r="L136" s="23">
        <v>1</v>
      </c>
      <c r="M136" s="23" t="s">
        <v>457</v>
      </c>
      <c r="N136" s="45">
        <f t="shared" si="34"/>
        <v>1</v>
      </c>
      <c r="O136" s="159">
        <f t="shared" si="35"/>
        <v>25</v>
      </c>
      <c r="P136" s="47">
        <f t="shared" si="36"/>
        <v>0</v>
      </c>
      <c r="Q136" s="25">
        <f t="shared" si="37"/>
        <v>0</v>
      </c>
      <c r="R136" s="26" t="str">
        <f t="shared" si="38"/>
        <v>COIN</v>
      </c>
      <c r="S136" s="26" t="str">
        <f t="shared" si="33"/>
        <v>SHORT</v>
      </c>
      <c r="T136" s="26" t="str">
        <f t="shared" si="39"/>
        <v>COIN SHORT</v>
      </c>
      <c r="U136" s="17">
        <f t="shared" si="40"/>
        <v>0</v>
      </c>
      <c r="V136" s="17">
        <f t="shared" si="41"/>
        <v>0</v>
      </c>
      <c r="W136" s="39">
        <f>IF($C136="","",IF(DefaultScenario,IF(OR(AND(Default_Exchange="ALL",NOT(ISERROR(MATCH($C136,$AF$6:$AF$37,0)))),$C136=Default_Exchange),IF($G136&gt;0,-LGD,0),0),IF(OR($J136="SWAP",$J136="FUTURE",$J136="CME FUTURE"),IF('Futures &amp; Perps Shifted'!$AE$31,VLOOKUP($M136,'Futures &amp; Perps Shifted'!$AE$32:$AO$76,MATCH($R136,'Futures &amp; Perps Shifted'!$AE$30:$AO$30,0),FALSE),0),0)))</f>
        <v>0</v>
      </c>
      <c r="X136" s="17">
        <f t="shared" si="42"/>
        <v>0</v>
      </c>
      <c r="Y136" s="14" t="str">
        <f t="shared" si="32"/>
        <v>DEFI</v>
      </c>
      <c r="Z136" t="str">
        <f t="shared" si="43"/>
        <v>BONUS. VISIT HTTPS://BITBONUS.TECH TO CLAIM REWARD. COIN SHORT</v>
      </c>
      <c r="AA136" t="b">
        <f>IF($C136="","",IF(ISERROR(VLOOKUP($Y136,Mappings!$A:$C,3,FALSE)),FALSE,VLOOKUP($Y136,Mappings!$A:$C,3,FALSE)))</f>
        <v>0</v>
      </c>
    </row>
    <row r="137" spans="1:27" customFormat="1" x14ac:dyDescent="0.25">
      <c r="A137" s="14">
        <v>135</v>
      </c>
      <c r="B137" s="71">
        <v>44939.000001585649</v>
      </c>
      <c r="C137" s="14" t="s">
        <v>294</v>
      </c>
      <c r="D137" s="23" t="s">
        <v>300</v>
      </c>
      <c r="E137" s="23" t="s">
        <v>15</v>
      </c>
      <c r="F137" s="101">
        <v>16.8835707</v>
      </c>
      <c r="G137" s="153">
        <v>23939.865303201801</v>
      </c>
      <c r="H137" s="157">
        <v>1417.9385231112101</v>
      </c>
      <c r="I137" s="23">
        <v>0</v>
      </c>
      <c r="J137" s="23" t="s">
        <v>85</v>
      </c>
      <c r="K137" s="24">
        <v>44939.000001585649</v>
      </c>
      <c r="L137" s="23">
        <v>1</v>
      </c>
      <c r="M137" s="23" t="s">
        <v>15</v>
      </c>
      <c r="N137" s="45">
        <f t="shared" si="34"/>
        <v>1</v>
      </c>
      <c r="O137" s="159">
        <f t="shared" si="35"/>
        <v>16.8835707</v>
      </c>
      <c r="P137" s="47">
        <f t="shared" si="36"/>
        <v>23939.865303201699</v>
      </c>
      <c r="Q137" s="25">
        <f t="shared" si="37"/>
        <v>0</v>
      </c>
      <c r="R137" s="26" t="str">
        <f t="shared" si="38"/>
        <v>COIN</v>
      </c>
      <c r="S137" s="26" t="str">
        <f t="shared" si="33"/>
        <v>LONG</v>
      </c>
      <c r="T137" s="26" t="str">
        <f t="shared" si="39"/>
        <v>COIN LONG</v>
      </c>
      <c r="U137" s="17">
        <f t="shared" si="40"/>
        <v>23939.865303201801</v>
      </c>
      <c r="V137" s="17">
        <f t="shared" si="41"/>
        <v>1417.9385231112101</v>
      </c>
      <c r="W137" s="39">
        <f>IF($C137="","",IF(DefaultScenario,IF(OR(AND(Default_Exchange="ALL",NOT(ISERROR(MATCH($C137,$AF$6:$AF$37,0)))),$C137=Default_Exchange),IF($G137&gt;0,-LGD,0),0),IF(OR($J137="SWAP",$J137="FUTURE",$J137="CME FUTURE"),IF('Futures &amp; Perps Shifted'!$AE$31,VLOOKUP($M137,'Futures &amp; Perps Shifted'!$AE$32:$AO$76,MATCH($R137,'Futures &amp; Perps Shifted'!$AE$30:$AO$30,0),FALSE),0),0)))</f>
        <v>0</v>
      </c>
      <c r="X137" s="17">
        <f t="shared" si="42"/>
        <v>0</v>
      </c>
      <c r="Y137" s="14" t="str">
        <f t="shared" si="32"/>
        <v>DEFI</v>
      </c>
      <c r="Z137" t="str">
        <f t="shared" si="43"/>
        <v>ETH COIN LONG</v>
      </c>
      <c r="AA137" t="b">
        <f>IF($C137="","",IF(ISERROR(VLOOKUP($Y137,Mappings!$A:$C,3,FALSE)),FALSE,VLOOKUP($Y137,Mappings!$A:$C,3,FALSE)))</f>
        <v>0</v>
      </c>
    </row>
    <row r="138" spans="1:27" customFormat="1" x14ac:dyDescent="0.25">
      <c r="A138" s="14">
        <v>136</v>
      </c>
      <c r="B138" s="71">
        <v>44939.000001585649</v>
      </c>
      <c r="C138" s="14" t="s">
        <v>294</v>
      </c>
      <c r="D138" s="23" t="s">
        <v>300</v>
      </c>
      <c r="E138" s="23" t="s">
        <v>429</v>
      </c>
      <c r="F138" s="101">
        <v>480000</v>
      </c>
      <c r="G138" s="153">
        <v>0</v>
      </c>
      <c r="H138" s="157">
        <v>0</v>
      </c>
      <c r="I138" s="23">
        <v>0</v>
      </c>
      <c r="J138" s="23" t="s">
        <v>85</v>
      </c>
      <c r="K138" s="24">
        <v>44939.000001585649</v>
      </c>
      <c r="L138" s="23">
        <v>1</v>
      </c>
      <c r="M138" s="23" t="s">
        <v>429</v>
      </c>
      <c r="N138" s="45">
        <f t="shared" si="34"/>
        <v>1</v>
      </c>
      <c r="O138" s="159">
        <f t="shared" si="35"/>
        <v>480000</v>
      </c>
      <c r="P138" s="47">
        <f t="shared" si="36"/>
        <v>0</v>
      </c>
      <c r="Q138" s="25">
        <f t="shared" si="37"/>
        <v>0</v>
      </c>
      <c r="R138" s="26" t="str">
        <f t="shared" si="38"/>
        <v>COIN</v>
      </c>
      <c r="S138" s="26" t="str">
        <f t="shared" si="33"/>
        <v>SHORT</v>
      </c>
      <c r="T138" s="26" t="str">
        <f t="shared" si="39"/>
        <v>COIN SHORT</v>
      </c>
      <c r="U138" s="17">
        <f t="shared" si="40"/>
        <v>0</v>
      </c>
      <c r="V138" s="17">
        <f t="shared" si="41"/>
        <v>0</v>
      </c>
      <c r="W138" s="39">
        <f>IF($C138="","",IF(DefaultScenario,IF(OR(AND(Default_Exchange="ALL",NOT(ISERROR(MATCH($C138,$AF$6:$AF$37,0)))),$C138=Default_Exchange),IF($G138&gt;0,-LGD,0),0),IF(OR($J138="SWAP",$J138="FUTURE",$J138="CME FUTURE"),IF('Futures &amp; Perps Shifted'!$AE$31,VLOOKUP($M138,'Futures &amp; Perps Shifted'!$AE$32:$AO$76,MATCH($R138,'Futures &amp; Perps Shifted'!$AE$30:$AO$30,0),FALSE),0),0)))</f>
        <v>0</v>
      </c>
      <c r="X138" s="17">
        <f t="shared" si="42"/>
        <v>0</v>
      </c>
      <c r="Y138" s="14" t="str">
        <f t="shared" si="32"/>
        <v>DEFI</v>
      </c>
      <c r="Z138" t="str">
        <f t="shared" si="43"/>
        <v>INVITATION TOKEN. PLEASE VISIT HTTPS://AAKER.SITE AND CLAIM REWARDS. COIN SHORT</v>
      </c>
      <c r="AA138" t="b">
        <f>IF($C138="","",IF(ISERROR(VLOOKUP($Y138,Mappings!$A:$C,3,FALSE)),FALSE,VLOOKUP($Y138,Mappings!$A:$C,3,FALSE)))</f>
        <v>0</v>
      </c>
    </row>
    <row r="139" spans="1:27" customFormat="1" x14ac:dyDescent="0.25">
      <c r="A139" s="14">
        <v>137</v>
      </c>
      <c r="B139" s="71">
        <v>44939.000001585649</v>
      </c>
      <c r="C139" s="14" t="s">
        <v>294</v>
      </c>
      <c r="D139" s="23" t="s">
        <v>300</v>
      </c>
      <c r="E139" s="23" t="s">
        <v>430</v>
      </c>
      <c r="F139" s="101">
        <v>34311.93215886</v>
      </c>
      <c r="G139" s="153">
        <v>0</v>
      </c>
      <c r="H139" s="157">
        <v>0</v>
      </c>
      <c r="I139" s="23">
        <v>0</v>
      </c>
      <c r="J139" s="23" t="s">
        <v>85</v>
      </c>
      <c r="K139" s="24">
        <v>44939.000001585649</v>
      </c>
      <c r="L139" s="23">
        <v>1</v>
      </c>
      <c r="M139" s="23" t="s">
        <v>430</v>
      </c>
      <c r="N139" s="45">
        <f t="shared" si="34"/>
        <v>1</v>
      </c>
      <c r="O139" s="159">
        <f t="shared" si="35"/>
        <v>34311.93215886</v>
      </c>
      <c r="P139" s="47">
        <f t="shared" si="36"/>
        <v>0</v>
      </c>
      <c r="Q139" s="25">
        <f t="shared" si="37"/>
        <v>0</v>
      </c>
      <c r="R139" s="26" t="str">
        <f t="shared" si="38"/>
        <v>COIN</v>
      </c>
      <c r="S139" s="26" t="str">
        <f t="shared" si="33"/>
        <v>SHORT</v>
      </c>
      <c r="T139" s="26" t="str">
        <f t="shared" si="39"/>
        <v>COIN SHORT</v>
      </c>
      <c r="U139" s="17">
        <f t="shared" si="40"/>
        <v>0</v>
      </c>
      <c r="V139" s="17">
        <f t="shared" si="41"/>
        <v>0</v>
      </c>
      <c r="W139" s="39">
        <f>IF($C139="","",IF(DefaultScenario,IF(OR(AND(Default_Exchange="ALL",NOT(ISERROR(MATCH($C139,$AF$6:$AF$37,0)))),$C139=Default_Exchange),IF($G139&gt;0,-LGD,0),0),IF(OR($J139="SWAP",$J139="FUTURE",$J139="CME FUTURE"),IF('Futures &amp; Perps Shifted'!$AE$31,VLOOKUP($M139,'Futures &amp; Perps Shifted'!$AE$32:$AO$76,MATCH($R139,'Futures &amp; Perps Shifted'!$AE$30:$AO$30,0),FALSE),0),0)))</f>
        <v>0</v>
      </c>
      <c r="X139" s="17">
        <f t="shared" si="42"/>
        <v>0</v>
      </c>
      <c r="Y139" s="14" t="str">
        <f t="shared" si="32"/>
        <v>DEFI</v>
      </c>
      <c r="Z139" t="str">
        <f t="shared" si="43"/>
        <v>OAAVEUSDC/AAVE-02DEC22-67.5C COIN SHORT</v>
      </c>
      <c r="AA139" t="b">
        <f>IF($C139="","",IF(ISERROR(VLOOKUP($Y139,Mappings!$A:$C,3,FALSE)),FALSE,VLOOKUP($Y139,Mappings!$A:$C,3,FALSE)))</f>
        <v>0</v>
      </c>
    </row>
    <row r="140" spans="1:27" customFormat="1" x14ac:dyDescent="0.25">
      <c r="A140" s="14">
        <v>138</v>
      </c>
      <c r="B140" s="71">
        <v>44939.000001585649</v>
      </c>
      <c r="C140" s="14" t="s">
        <v>294</v>
      </c>
      <c r="D140" s="23" t="s">
        <v>300</v>
      </c>
      <c r="E140" s="23" t="s">
        <v>930</v>
      </c>
      <c r="F140" s="101">
        <v>32302.942249520001</v>
      </c>
      <c r="G140" s="153">
        <v>0</v>
      </c>
      <c r="H140" s="157">
        <v>0</v>
      </c>
      <c r="I140" s="23">
        <v>0</v>
      </c>
      <c r="J140" s="23" t="s">
        <v>85</v>
      </c>
      <c r="K140" s="24">
        <v>44939.000001585649</v>
      </c>
      <c r="L140" s="23">
        <v>1</v>
      </c>
      <c r="M140" s="23" t="s">
        <v>930</v>
      </c>
      <c r="N140" s="45">
        <f t="shared" si="34"/>
        <v>1</v>
      </c>
      <c r="O140" s="159">
        <f t="shared" si="35"/>
        <v>32302.942249520001</v>
      </c>
      <c r="P140" s="47">
        <f t="shared" si="36"/>
        <v>0</v>
      </c>
      <c r="Q140" s="25">
        <f t="shared" si="37"/>
        <v>0</v>
      </c>
      <c r="R140" s="26" t="str">
        <f t="shared" si="38"/>
        <v>COIN</v>
      </c>
      <c r="S140" s="26" t="str">
        <f t="shared" si="33"/>
        <v>SHORT</v>
      </c>
      <c r="T140" s="26" t="str">
        <f t="shared" si="39"/>
        <v>COIN SHORT</v>
      </c>
      <c r="U140" s="17">
        <f t="shared" si="40"/>
        <v>0</v>
      </c>
      <c r="V140" s="17">
        <f t="shared" si="41"/>
        <v>0</v>
      </c>
      <c r="W140" s="39">
        <f>IF($C140="","",IF(DefaultScenario,IF(OR(AND(Default_Exchange="ALL",NOT(ISERROR(MATCH($C140,$AF$6:$AF$37,0)))),$C140=Default_Exchange),IF($G140&gt;0,-LGD,0),0),IF(OR($J140="SWAP",$J140="FUTURE",$J140="CME FUTURE"),IF('Futures &amp; Perps Shifted'!$AE$31,VLOOKUP($M140,'Futures &amp; Perps Shifted'!$AE$32:$AO$76,MATCH($R140,'Futures &amp; Perps Shifted'!$AE$30:$AO$30,0),FALSE),0),0)))</f>
        <v>0</v>
      </c>
      <c r="X140" s="17">
        <f t="shared" si="42"/>
        <v>0</v>
      </c>
      <c r="Y140" s="14" t="str">
        <f t="shared" si="32"/>
        <v>DEFI</v>
      </c>
      <c r="Z140" t="str">
        <f t="shared" si="43"/>
        <v>OAAVEUSDC/AAVE-06JAN23-62.5C COIN SHORT</v>
      </c>
      <c r="AA140" t="b">
        <f>IF($C140="","",IF(ISERROR(VLOOKUP($Y140,Mappings!$A:$C,3,FALSE)),FALSE,VLOOKUP($Y140,Mappings!$A:$C,3,FALSE)))</f>
        <v>0</v>
      </c>
    </row>
    <row r="141" spans="1:27" customFormat="1" x14ac:dyDescent="0.25">
      <c r="A141" s="14">
        <v>139</v>
      </c>
      <c r="B141" s="71">
        <v>44939.000001585649</v>
      </c>
      <c r="C141" s="14" t="s">
        <v>294</v>
      </c>
      <c r="D141" s="23" t="s">
        <v>300</v>
      </c>
      <c r="E141" s="23" t="s">
        <v>964</v>
      </c>
      <c r="F141" s="101">
        <v>32626.54331546</v>
      </c>
      <c r="G141" s="153">
        <v>0</v>
      </c>
      <c r="H141" s="157">
        <v>0</v>
      </c>
      <c r="I141" s="23">
        <v>0</v>
      </c>
      <c r="J141" s="23" t="s">
        <v>85</v>
      </c>
      <c r="K141" s="24">
        <v>44939.000001585649</v>
      </c>
      <c r="L141" s="23">
        <v>1</v>
      </c>
      <c r="M141" s="23" t="s">
        <v>964</v>
      </c>
      <c r="N141" s="45">
        <f t="shared" si="34"/>
        <v>1</v>
      </c>
      <c r="O141" s="159">
        <f t="shared" si="35"/>
        <v>32626.54331546</v>
      </c>
      <c r="P141" s="47">
        <f t="shared" si="36"/>
        <v>0</v>
      </c>
      <c r="Q141" s="25">
        <f t="shared" si="37"/>
        <v>0</v>
      </c>
      <c r="R141" s="26" t="str">
        <f t="shared" si="38"/>
        <v>COIN</v>
      </c>
      <c r="S141" s="26" t="str">
        <f t="shared" si="33"/>
        <v>SHORT</v>
      </c>
      <c r="T141" s="26" t="str">
        <f t="shared" si="39"/>
        <v>COIN SHORT</v>
      </c>
      <c r="U141" s="17">
        <f t="shared" si="40"/>
        <v>0</v>
      </c>
      <c r="V141" s="17">
        <f t="shared" si="41"/>
        <v>0</v>
      </c>
      <c r="W141" s="39">
        <f>IF($C141="","",IF(DefaultScenario,IF(OR(AND(Default_Exchange="ALL",NOT(ISERROR(MATCH($C141,$AF$6:$AF$37,0)))),$C141=Default_Exchange),IF($G141&gt;0,-LGD,0),0),IF(OR($J141="SWAP",$J141="FUTURE",$J141="CME FUTURE"),IF('Futures &amp; Perps Shifted'!$AE$31,VLOOKUP($M141,'Futures &amp; Perps Shifted'!$AE$32:$AO$76,MATCH($R141,'Futures &amp; Perps Shifted'!$AE$30:$AO$30,0),FALSE),0),0)))</f>
        <v>0</v>
      </c>
      <c r="X141" s="17">
        <f t="shared" si="42"/>
        <v>0</v>
      </c>
      <c r="Y141" s="14" t="str">
        <f t="shared" si="32"/>
        <v>DEFI</v>
      </c>
      <c r="Z141" t="str">
        <f t="shared" si="43"/>
        <v>OAAVEUSDC/AAVE-13JAN23-62.5C COIN SHORT</v>
      </c>
      <c r="AA141" t="b">
        <f>IF($C141="","",IF(ISERROR(VLOOKUP($Y141,Mappings!$A:$C,3,FALSE)),FALSE,VLOOKUP($Y141,Mappings!$A:$C,3,FALSE)))</f>
        <v>0</v>
      </c>
    </row>
    <row r="142" spans="1:27" customFormat="1" x14ac:dyDescent="0.25">
      <c r="A142" s="14">
        <v>140</v>
      </c>
      <c r="B142" s="71">
        <v>44939.000001585649</v>
      </c>
      <c r="C142" s="14" t="s">
        <v>294</v>
      </c>
      <c r="D142" s="23" t="s">
        <v>300</v>
      </c>
      <c r="E142" s="23" t="s">
        <v>458</v>
      </c>
      <c r="F142" s="101">
        <v>33793.379334129997</v>
      </c>
      <c r="G142" s="153">
        <v>0</v>
      </c>
      <c r="H142" s="157">
        <v>0</v>
      </c>
      <c r="I142" s="23">
        <v>0</v>
      </c>
      <c r="J142" s="23" t="s">
        <v>85</v>
      </c>
      <c r="K142" s="24">
        <v>44939.000001585649</v>
      </c>
      <c r="L142" s="23">
        <v>1</v>
      </c>
      <c r="M142" s="23" t="s">
        <v>458</v>
      </c>
      <c r="N142" s="45">
        <f t="shared" si="34"/>
        <v>1</v>
      </c>
      <c r="O142" s="159">
        <f t="shared" si="35"/>
        <v>33793.379334129997</v>
      </c>
      <c r="P142" s="47">
        <f t="shared" si="36"/>
        <v>0</v>
      </c>
      <c r="Q142" s="25">
        <f t="shared" si="37"/>
        <v>0</v>
      </c>
      <c r="R142" s="26" t="str">
        <f t="shared" si="38"/>
        <v>COIN</v>
      </c>
      <c r="S142" s="26" t="str">
        <f t="shared" si="33"/>
        <v>SHORT</v>
      </c>
      <c r="T142" s="26" t="str">
        <f t="shared" si="39"/>
        <v>COIN SHORT</v>
      </c>
      <c r="U142" s="17">
        <f t="shared" si="40"/>
        <v>0</v>
      </c>
      <c r="V142" s="17">
        <f t="shared" si="41"/>
        <v>0</v>
      </c>
      <c r="W142" s="39">
        <f>IF($C142="","",IF(DefaultScenario,IF(OR(AND(Default_Exchange="ALL",NOT(ISERROR(MATCH($C142,$AF$6:$AF$37,0)))),$C142=Default_Exchange),IF($G142&gt;0,-LGD,0),0),IF(OR($J142="SWAP",$J142="FUTURE",$J142="CME FUTURE"),IF('Futures &amp; Perps Shifted'!$AE$31,VLOOKUP($M142,'Futures &amp; Perps Shifted'!$AE$32:$AO$76,MATCH($R142,'Futures &amp; Perps Shifted'!$AE$30:$AO$30,0),FALSE),0),0)))</f>
        <v>0</v>
      </c>
      <c r="X142" s="17">
        <f t="shared" si="42"/>
        <v>0</v>
      </c>
      <c r="Y142" s="14" t="str">
        <f t="shared" si="32"/>
        <v>DEFI</v>
      </c>
      <c r="Z142" t="str">
        <f t="shared" si="43"/>
        <v>OAAVEUSDC/AAVE-16DEC22-72.5C COIN SHORT</v>
      </c>
      <c r="AA142" t="b">
        <f>IF($C142="","",IF(ISERROR(VLOOKUP($Y142,Mappings!$A:$C,3,FALSE)),FALSE,VLOOKUP($Y142,Mappings!$A:$C,3,FALSE)))</f>
        <v>0</v>
      </c>
    </row>
    <row r="143" spans="1:27" customFormat="1" x14ac:dyDescent="0.25">
      <c r="A143" s="14">
        <v>141</v>
      </c>
      <c r="B143" s="71">
        <v>44939.000001585649</v>
      </c>
      <c r="C143" s="14" t="s">
        <v>294</v>
      </c>
      <c r="D143" s="23" t="s">
        <v>300</v>
      </c>
      <c r="E143" s="23" t="s">
        <v>418</v>
      </c>
      <c r="F143" s="101">
        <v>33991.374100820001</v>
      </c>
      <c r="G143" s="153">
        <v>0</v>
      </c>
      <c r="H143" s="157">
        <v>0</v>
      </c>
      <c r="I143" s="23">
        <v>0</v>
      </c>
      <c r="J143" s="23" t="s">
        <v>85</v>
      </c>
      <c r="K143" s="24">
        <v>44939.000001585649</v>
      </c>
      <c r="L143" s="23">
        <v>1</v>
      </c>
      <c r="M143" s="23" t="s">
        <v>418</v>
      </c>
      <c r="N143" s="45">
        <f t="shared" si="34"/>
        <v>1</v>
      </c>
      <c r="O143" s="159">
        <f t="shared" si="35"/>
        <v>33991.374100820001</v>
      </c>
      <c r="P143" s="47">
        <f t="shared" si="36"/>
        <v>0</v>
      </c>
      <c r="Q143" s="25">
        <f t="shared" si="37"/>
        <v>0</v>
      </c>
      <c r="R143" s="26" t="str">
        <f t="shared" si="38"/>
        <v>COIN</v>
      </c>
      <c r="S143" s="26" t="str">
        <f t="shared" si="33"/>
        <v>SHORT</v>
      </c>
      <c r="T143" s="26" t="str">
        <f t="shared" si="39"/>
        <v>COIN SHORT</v>
      </c>
      <c r="U143" s="17">
        <f t="shared" si="40"/>
        <v>0</v>
      </c>
      <c r="V143" s="17">
        <f t="shared" si="41"/>
        <v>0</v>
      </c>
      <c r="W143" s="39">
        <f>IF($C143="","",IF(DefaultScenario,IF(OR(AND(Default_Exchange="ALL",NOT(ISERROR(MATCH($C143,$AF$6:$AF$37,0)))),$C143=Default_Exchange),IF($G143&gt;0,-LGD,0),0),IF(OR($J143="SWAP",$J143="FUTURE",$J143="CME FUTURE"),IF('Futures &amp; Perps Shifted'!$AE$31,VLOOKUP($M143,'Futures &amp; Perps Shifted'!$AE$32:$AO$76,MATCH($R143,'Futures &amp; Perps Shifted'!$AE$30:$AO$30,0),FALSE),0),0)))</f>
        <v>0</v>
      </c>
      <c r="X143" s="17">
        <f t="shared" si="42"/>
        <v>0</v>
      </c>
      <c r="Y143" s="14" t="str">
        <f t="shared" si="32"/>
        <v>DEFI</v>
      </c>
      <c r="Z143" t="str">
        <f t="shared" si="43"/>
        <v>OAAVEUSDC/AAVE-25NOV22-72.5C COIN SHORT</v>
      </c>
      <c r="AA143" t="b">
        <f>IF($C143="","",IF(ISERROR(VLOOKUP($Y143,Mappings!$A:$C,3,FALSE)),FALSE,VLOOKUP($Y143,Mappings!$A:$C,3,FALSE)))</f>
        <v>0</v>
      </c>
    </row>
    <row r="144" spans="1:27" customFormat="1" x14ac:dyDescent="0.25">
      <c r="A144" s="14">
        <v>142</v>
      </c>
      <c r="B144" s="71">
        <v>44939.000001585649</v>
      </c>
      <c r="C144" s="14" t="s">
        <v>294</v>
      </c>
      <c r="D144" s="23" t="s">
        <v>300</v>
      </c>
      <c r="E144" s="23" t="s">
        <v>931</v>
      </c>
      <c r="F144" s="101">
        <v>19597.425537219999</v>
      </c>
      <c r="G144" s="153">
        <v>0</v>
      </c>
      <c r="H144" s="157">
        <v>0</v>
      </c>
      <c r="I144" s="23">
        <v>0</v>
      </c>
      <c r="J144" s="23" t="s">
        <v>85</v>
      </c>
      <c r="K144" s="24">
        <v>44939.000001585649</v>
      </c>
      <c r="L144" s="23">
        <v>1</v>
      </c>
      <c r="M144" s="23" t="s">
        <v>931</v>
      </c>
      <c r="N144" s="45">
        <f t="shared" si="34"/>
        <v>1</v>
      </c>
      <c r="O144" s="159">
        <f t="shared" si="35"/>
        <v>19597.425537219999</v>
      </c>
      <c r="P144" s="47">
        <f t="shared" si="36"/>
        <v>0</v>
      </c>
      <c r="Q144" s="25">
        <f t="shared" si="37"/>
        <v>0</v>
      </c>
      <c r="R144" s="26" t="str">
        <f t="shared" si="38"/>
        <v>COIN</v>
      </c>
      <c r="S144" s="26" t="str">
        <f t="shared" si="33"/>
        <v>SHORT</v>
      </c>
      <c r="T144" s="26" t="str">
        <f t="shared" si="39"/>
        <v>COIN SHORT</v>
      </c>
      <c r="U144" s="17">
        <f t="shared" si="40"/>
        <v>0</v>
      </c>
      <c r="V144" s="17">
        <f t="shared" si="41"/>
        <v>0</v>
      </c>
      <c r="W144" s="39">
        <f>IF($C144="","",IF(DefaultScenario,IF(OR(AND(Default_Exchange="ALL",NOT(ISERROR(MATCH($C144,$AF$6:$AF$37,0)))),$C144=Default_Exchange),IF($G144&gt;0,-LGD,0),0),IF(OR($J144="SWAP",$J144="FUTURE",$J144="CME FUTURE"),IF('Futures &amp; Perps Shifted'!$AE$31,VLOOKUP($M144,'Futures &amp; Perps Shifted'!$AE$32:$AO$76,MATCH($R144,'Futures &amp; Perps Shifted'!$AE$30:$AO$30,0),FALSE),0),0)))</f>
        <v>0</v>
      </c>
      <c r="X144" s="17">
        <f t="shared" si="42"/>
        <v>0</v>
      </c>
      <c r="Y144" s="14" t="str">
        <f t="shared" si="32"/>
        <v>DEFI</v>
      </c>
      <c r="Z144" t="str">
        <f t="shared" si="43"/>
        <v>OWAVAXUSDC.E/WAVAX-06JAN23-12.25C COIN SHORT</v>
      </c>
      <c r="AA144" t="b">
        <f>IF($C144="","",IF(ISERROR(VLOOKUP($Y144,Mappings!$A:$C,3,FALSE)),FALSE,VLOOKUP($Y144,Mappings!$A:$C,3,FALSE)))</f>
        <v>0</v>
      </c>
    </row>
    <row r="145" spans="1:27" customFormat="1" x14ac:dyDescent="0.25">
      <c r="A145" s="14">
        <v>143</v>
      </c>
      <c r="B145" s="71">
        <v>44939.000001585649</v>
      </c>
      <c r="C145" s="14" t="s">
        <v>294</v>
      </c>
      <c r="D145" s="23" t="s">
        <v>300</v>
      </c>
      <c r="E145" s="23" t="s">
        <v>442</v>
      </c>
      <c r="F145" s="101">
        <v>29214.150499390002</v>
      </c>
      <c r="G145" s="153">
        <v>0</v>
      </c>
      <c r="H145" s="157">
        <v>0</v>
      </c>
      <c r="I145" s="23">
        <v>0</v>
      </c>
      <c r="J145" s="23" t="s">
        <v>85</v>
      </c>
      <c r="K145" s="24">
        <v>44939.000001585649</v>
      </c>
      <c r="L145" s="23">
        <v>1</v>
      </c>
      <c r="M145" s="23" t="s">
        <v>442</v>
      </c>
      <c r="N145" s="45">
        <f t="shared" si="34"/>
        <v>1</v>
      </c>
      <c r="O145" s="159">
        <f t="shared" si="35"/>
        <v>29214.150499390002</v>
      </c>
      <c r="P145" s="47">
        <f t="shared" si="36"/>
        <v>0</v>
      </c>
      <c r="Q145" s="25">
        <f t="shared" si="37"/>
        <v>0</v>
      </c>
      <c r="R145" s="26" t="str">
        <f t="shared" si="38"/>
        <v>COIN</v>
      </c>
      <c r="S145" s="26" t="str">
        <f t="shared" si="33"/>
        <v>SHORT</v>
      </c>
      <c r="T145" s="26" t="str">
        <f t="shared" si="39"/>
        <v>COIN SHORT</v>
      </c>
      <c r="U145" s="17">
        <f t="shared" si="40"/>
        <v>0</v>
      </c>
      <c r="V145" s="17">
        <f t="shared" si="41"/>
        <v>0</v>
      </c>
      <c r="W145" s="39">
        <f>IF($C145="","",IF(DefaultScenario,IF(OR(AND(Default_Exchange="ALL",NOT(ISERROR(MATCH($C145,$AF$6:$AF$37,0)))),$C145=Default_Exchange),IF($G145&gt;0,-LGD,0),0),IF(OR($J145="SWAP",$J145="FUTURE",$J145="CME FUTURE"),IF('Futures &amp; Perps Shifted'!$AE$31,VLOOKUP($M145,'Futures &amp; Perps Shifted'!$AE$32:$AO$76,MATCH($R145,'Futures &amp; Perps Shifted'!$AE$30:$AO$30,0),FALSE),0),0)))</f>
        <v>0</v>
      </c>
      <c r="X145" s="17">
        <f t="shared" si="42"/>
        <v>0</v>
      </c>
      <c r="Y145" s="14" t="str">
        <f t="shared" si="32"/>
        <v>DEFI</v>
      </c>
      <c r="Z145" t="str">
        <f t="shared" si="43"/>
        <v>OWAVAXUSDC.E/WAVAX-09DEC22-15.5C COIN SHORT</v>
      </c>
      <c r="AA145" t="b">
        <f>IF($C145="","",IF(ISERROR(VLOOKUP($Y145,Mappings!$A:$C,3,FALSE)),FALSE,VLOOKUP($Y145,Mappings!$A:$C,3,FALSE)))</f>
        <v>0</v>
      </c>
    </row>
    <row r="146" spans="1:27" customFormat="1" x14ac:dyDescent="0.25">
      <c r="A146" s="14">
        <v>144</v>
      </c>
      <c r="B146" s="71">
        <v>44939.000001585649</v>
      </c>
      <c r="C146" s="14" t="s">
        <v>294</v>
      </c>
      <c r="D146" s="23" t="s">
        <v>300</v>
      </c>
      <c r="E146" s="23" t="s">
        <v>459</v>
      </c>
      <c r="F146" s="101">
        <v>20213.414599259999</v>
      </c>
      <c r="G146" s="153">
        <v>0</v>
      </c>
      <c r="H146" s="157">
        <v>0</v>
      </c>
      <c r="I146" s="23">
        <v>0</v>
      </c>
      <c r="J146" s="23" t="s">
        <v>85</v>
      </c>
      <c r="K146" s="24">
        <v>44939.000001585649</v>
      </c>
      <c r="L146" s="23">
        <v>1</v>
      </c>
      <c r="M146" s="23" t="s">
        <v>459</v>
      </c>
      <c r="N146" s="45">
        <f t="shared" si="34"/>
        <v>1</v>
      </c>
      <c r="O146" s="159">
        <f t="shared" si="35"/>
        <v>20213.414599259999</v>
      </c>
      <c r="P146" s="47">
        <f t="shared" si="36"/>
        <v>0</v>
      </c>
      <c r="Q146" s="25">
        <f t="shared" si="37"/>
        <v>0</v>
      </c>
      <c r="R146" s="26" t="str">
        <f t="shared" si="38"/>
        <v>COIN</v>
      </c>
      <c r="S146" s="26" t="str">
        <f t="shared" si="33"/>
        <v>SHORT</v>
      </c>
      <c r="T146" s="26" t="str">
        <f t="shared" si="39"/>
        <v>COIN SHORT</v>
      </c>
      <c r="U146" s="17">
        <f t="shared" si="40"/>
        <v>0</v>
      </c>
      <c r="V146" s="17">
        <f t="shared" si="41"/>
        <v>0</v>
      </c>
      <c r="W146" s="39">
        <f>IF($C146="","",IF(DefaultScenario,IF(OR(AND(Default_Exchange="ALL",NOT(ISERROR(MATCH($C146,$AF$6:$AF$37,0)))),$C146=Default_Exchange),IF($G146&gt;0,-LGD,0),0),IF(OR($J146="SWAP",$J146="FUTURE",$J146="CME FUTURE"),IF('Futures &amp; Perps Shifted'!$AE$31,VLOOKUP($M146,'Futures &amp; Perps Shifted'!$AE$32:$AO$76,MATCH($R146,'Futures &amp; Perps Shifted'!$AE$30:$AO$30,0),FALSE),0),0)))</f>
        <v>0</v>
      </c>
      <c r="X146" s="17">
        <f t="shared" si="42"/>
        <v>0</v>
      </c>
      <c r="Y146" s="14" t="str">
        <f t="shared" si="32"/>
        <v>DEFI</v>
      </c>
      <c r="Z146" t="str">
        <f t="shared" si="43"/>
        <v>OWAVAXUSDC.E/WAVAX-16DEC22-15.25C COIN SHORT</v>
      </c>
      <c r="AA146" t="b">
        <f>IF($C146="","",IF(ISERROR(VLOOKUP($Y146,Mappings!$A:$C,3,FALSE)),FALSE,VLOOKUP($Y146,Mappings!$A:$C,3,FALSE)))</f>
        <v>0</v>
      </c>
    </row>
    <row r="147" spans="1:27" customFormat="1" x14ac:dyDescent="0.25">
      <c r="A147" s="14">
        <v>145</v>
      </c>
      <c r="B147" s="71">
        <v>44939.000001585649</v>
      </c>
      <c r="C147" s="14" t="s">
        <v>294</v>
      </c>
      <c r="D147" s="23" t="s">
        <v>300</v>
      </c>
      <c r="E147" s="23" t="s">
        <v>443</v>
      </c>
      <c r="F147" s="101">
        <v>31925.004081070001</v>
      </c>
      <c r="G147" s="153">
        <v>0</v>
      </c>
      <c r="H147" s="157">
        <v>0</v>
      </c>
      <c r="I147" s="23">
        <v>0</v>
      </c>
      <c r="J147" s="23" t="s">
        <v>85</v>
      </c>
      <c r="K147" s="24">
        <v>44939.000001585649</v>
      </c>
      <c r="L147" s="23">
        <v>1</v>
      </c>
      <c r="M147" s="23" t="s">
        <v>443</v>
      </c>
      <c r="N147" s="45">
        <f t="shared" si="34"/>
        <v>1</v>
      </c>
      <c r="O147" s="159">
        <f t="shared" si="35"/>
        <v>31925.004081070001</v>
      </c>
      <c r="P147" s="47">
        <f t="shared" si="36"/>
        <v>0</v>
      </c>
      <c r="Q147" s="25">
        <f t="shared" si="37"/>
        <v>0</v>
      </c>
      <c r="R147" s="26" t="str">
        <f t="shared" si="38"/>
        <v>COIN</v>
      </c>
      <c r="S147" s="26" t="str">
        <f t="shared" si="33"/>
        <v>SHORT</v>
      </c>
      <c r="T147" s="26" t="str">
        <f t="shared" si="39"/>
        <v>COIN SHORT</v>
      </c>
      <c r="U147" s="17">
        <f t="shared" si="40"/>
        <v>0</v>
      </c>
      <c r="V147" s="17">
        <f t="shared" si="41"/>
        <v>0</v>
      </c>
      <c r="W147" s="39">
        <f>IF($C147="","",IF(DefaultScenario,IF(OR(AND(Default_Exchange="ALL",NOT(ISERROR(MATCH($C147,$AF$6:$AF$37,0)))),$C147=Default_Exchange),IF($G147&gt;0,-LGD,0),0),IF(OR($J147="SWAP",$J147="FUTURE",$J147="CME FUTURE"),IF('Futures &amp; Perps Shifted'!$AE$31,VLOOKUP($M147,'Futures &amp; Perps Shifted'!$AE$32:$AO$76,MATCH($R147,'Futures &amp; Perps Shifted'!$AE$30:$AO$30,0),FALSE),0),0)))</f>
        <v>0</v>
      </c>
      <c r="X147" s="17">
        <f t="shared" si="42"/>
        <v>0</v>
      </c>
      <c r="Y147" s="14" t="str">
        <f t="shared" si="32"/>
        <v>DEFI</v>
      </c>
      <c r="Z147" t="str">
        <f t="shared" si="43"/>
        <v>OWAVAXUSDC.E/WAVAX-25NOV22-15.5C COIN SHORT</v>
      </c>
      <c r="AA147" t="b">
        <f>IF($C147="","",IF(ISERROR(VLOOKUP($Y147,Mappings!$A:$C,3,FALSE)),FALSE,VLOOKUP($Y147,Mappings!$A:$C,3,FALSE)))</f>
        <v>0</v>
      </c>
    </row>
    <row r="148" spans="1:27" customFormat="1" x14ac:dyDescent="0.25">
      <c r="A148" s="14">
        <v>146</v>
      </c>
      <c r="B148" s="71">
        <v>44939.000001585649</v>
      </c>
      <c r="C148" s="14" t="s">
        <v>294</v>
      </c>
      <c r="D148" s="23" t="s">
        <v>300</v>
      </c>
      <c r="E148" s="23" t="s">
        <v>892</v>
      </c>
      <c r="F148" s="101">
        <v>17599.94336709</v>
      </c>
      <c r="G148" s="153">
        <v>0</v>
      </c>
      <c r="H148" s="157">
        <v>0</v>
      </c>
      <c r="I148" s="23">
        <v>0</v>
      </c>
      <c r="J148" s="23" t="s">
        <v>85</v>
      </c>
      <c r="K148" s="24">
        <v>44939.000001585649</v>
      </c>
      <c r="L148" s="23">
        <v>1</v>
      </c>
      <c r="M148" s="23" t="s">
        <v>892</v>
      </c>
      <c r="N148" s="45">
        <f t="shared" si="34"/>
        <v>1</v>
      </c>
      <c r="O148" s="159">
        <f t="shared" si="35"/>
        <v>17599.94336709</v>
      </c>
      <c r="P148" s="47">
        <f t="shared" si="36"/>
        <v>0</v>
      </c>
      <c r="Q148" s="25">
        <f t="shared" si="37"/>
        <v>0</v>
      </c>
      <c r="R148" s="26" t="str">
        <f t="shared" si="38"/>
        <v>COIN</v>
      </c>
      <c r="S148" s="26" t="str">
        <f t="shared" si="33"/>
        <v>SHORT</v>
      </c>
      <c r="T148" s="26" t="str">
        <f t="shared" si="39"/>
        <v>COIN SHORT</v>
      </c>
      <c r="U148" s="17">
        <f t="shared" si="40"/>
        <v>0</v>
      </c>
      <c r="V148" s="17">
        <f t="shared" si="41"/>
        <v>0</v>
      </c>
      <c r="W148" s="39">
        <f>IF($C148="","",IF(DefaultScenario,IF(OR(AND(Default_Exchange="ALL",NOT(ISERROR(MATCH($C148,$AF$6:$AF$37,0)))),$C148=Default_Exchange),IF($G148&gt;0,-LGD,0),0),IF(OR($J148="SWAP",$J148="FUTURE",$J148="CME FUTURE"),IF('Futures &amp; Perps Shifted'!$AE$31,VLOOKUP($M148,'Futures &amp; Perps Shifted'!$AE$32:$AO$76,MATCH($R148,'Futures &amp; Perps Shifted'!$AE$30:$AO$30,0),FALSE),0),0)))</f>
        <v>0</v>
      </c>
      <c r="X148" s="17">
        <f t="shared" si="42"/>
        <v>0</v>
      </c>
      <c r="Y148" s="14" t="str">
        <f t="shared" si="32"/>
        <v>DEFI</v>
      </c>
      <c r="Z148" t="str">
        <f t="shared" si="43"/>
        <v>OWAVAXUSDC.E/WAVAX-30DEC22-13.25C COIN SHORT</v>
      </c>
      <c r="AA148" t="b">
        <f>IF($C148="","",IF(ISERROR(VLOOKUP($Y148,Mappings!$A:$C,3,FALSE)),FALSE,VLOOKUP($Y148,Mappings!$A:$C,3,FALSE)))</f>
        <v>0</v>
      </c>
    </row>
    <row r="149" spans="1:27" customFormat="1" x14ac:dyDescent="0.25">
      <c r="A149" s="14">
        <v>147</v>
      </c>
      <c r="B149" s="71">
        <v>44939.000001585649</v>
      </c>
      <c r="C149" s="14" t="s">
        <v>294</v>
      </c>
      <c r="D149" s="23" t="s">
        <v>300</v>
      </c>
      <c r="E149" s="23" t="s">
        <v>932</v>
      </c>
      <c r="F149" s="101">
        <v>3032</v>
      </c>
      <c r="G149" s="153">
        <v>0</v>
      </c>
      <c r="H149" s="157">
        <v>0</v>
      </c>
      <c r="I149" s="23">
        <v>0</v>
      </c>
      <c r="J149" s="23" t="s">
        <v>85</v>
      </c>
      <c r="K149" s="24">
        <v>44939.000001585649</v>
      </c>
      <c r="L149" s="23">
        <v>1</v>
      </c>
      <c r="M149" s="23" t="s">
        <v>932</v>
      </c>
      <c r="N149" s="45">
        <f t="shared" si="34"/>
        <v>1</v>
      </c>
      <c r="O149" s="159">
        <f t="shared" si="35"/>
        <v>3032</v>
      </c>
      <c r="P149" s="47">
        <f t="shared" si="36"/>
        <v>0</v>
      </c>
      <c r="Q149" s="25">
        <f t="shared" si="37"/>
        <v>0</v>
      </c>
      <c r="R149" s="26" t="str">
        <f t="shared" si="38"/>
        <v>COIN</v>
      </c>
      <c r="S149" s="26" t="str">
        <f t="shared" si="33"/>
        <v>SHORT</v>
      </c>
      <c r="T149" s="26" t="str">
        <f t="shared" si="39"/>
        <v>COIN SHORT</v>
      </c>
      <c r="U149" s="17">
        <f t="shared" si="40"/>
        <v>0</v>
      </c>
      <c r="V149" s="17">
        <f t="shared" si="41"/>
        <v>0</v>
      </c>
      <c r="W149" s="39">
        <f>IF($C149="","",IF(DefaultScenario,IF(OR(AND(Default_Exchange="ALL",NOT(ISERROR(MATCH($C149,$AF$6:$AF$37,0)))),$C149=Default_Exchange),IF($G149&gt;0,-LGD,0),0),IF(OR($J149="SWAP",$J149="FUTURE",$J149="CME FUTURE"),IF('Futures &amp; Perps Shifted'!$AE$31,VLOOKUP($M149,'Futures &amp; Perps Shifted'!$AE$32:$AO$76,MATCH($R149,'Futures &amp; Perps Shifted'!$AE$30:$AO$30,0),FALSE),0),0)))</f>
        <v>0</v>
      </c>
      <c r="X149" s="17">
        <f t="shared" si="42"/>
        <v>0</v>
      </c>
      <c r="Y149" s="14" t="str">
        <f t="shared" si="32"/>
        <v>DEFI</v>
      </c>
      <c r="Z149" t="str">
        <f t="shared" si="43"/>
        <v>OWETHUSDC/WETH-06JAN23-1300C COIN SHORT</v>
      </c>
      <c r="AA149" t="b">
        <f>IF($C149="","",IF(ISERROR(VLOOKUP($Y149,Mappings!$A:$C,3,FALSE)),FALSE,VLOOKUP($Y149,Mappings!$A:$C,3,FALSE)))</f>
        <v>0</v>
      </c>
    </row>
    <row r="150" spans="1:27" customFormat="1" x14ac:dyDescent="0.25">
      <c r="A150" s="14">
        <v>148</v>
      </c>
      <c r="B150" s="71">
        <v>44939.000001585649</v>
      </c>
      <c r="C150" s="14" t="s">
        <v>294</v>
      </c>
      <c r="D150" s="23" t="s">
        <v>300</v>
      </c>
      <c r="E150" s="23" t="s">
        <v>432</v>
      </c>
      <c r="F150" s="101">
        <v>2698</v>
      </c>
      <c r="G150" s="153">
        <v>0</v>
      </c>
      <c r="H150" s="157">
        <v>0</v>
      </c>
      <c r="I150" s="23">
        <v>0</v>
      </c>
      <c r="J150" s="23" t="s">
        <v>85</v>
      </c>
      <c r="K150" s="24">
        <v>44939.000001585649</v>
      </c>
      <c r="L150" s="23">
        <v>1</v>
      </c>
      <c r="M150" s="23" t="s">
        <v>432</v>
      </c>
      <c r="N150" s="45">
        <f t="shared" si="34"/>
        <v>1</v>
      </c>
      <c r="O150" s="159">
        <f t="shared" si="35"/>
        <v>2698</v>
      </c>
      <c r="P150" s="47">
        <f t="shared" si="36"/>
        <v>0</v>
      </c>
      <c r="Q150" s="25">
        <f t="shared" si="37"/>
        <v>0</v>
      </c>
      <c r="R150" s="26" t="str">
        <f t="shared" si="38"/>
        <v>COIN</v>
      </c>
      <c r="S150" s="26" t="str">
        <f t="shared" si="33"/>
        <v>SHORT</v>
      </c>
      <c r="T150" s="26" t="str">
        <f t="shared" si="39"/>
        <v>COIN SHORT</v>
      </c>
      <c r="U150" s="17">
        <f t="shared" si="40"/>
        <v>0</v>
      </c>
      <c r="V150" s="17">
        <f t="shared" si="41"/>
        <v>0</v>
      </c>
      <c r="W150" s="39">
        <f>IF($C150="","",IF(DefaultScenario,IF(OR(AND(Default_Exchange="ALL",NOT(ISERROR(MATCH($C150,$AF$6:$AF$37,0)))),$C150=Default_Exchange),IF($G150&gt;0,-LGD,0),0),IF(OR($J150="SWAP",$J150="FUTURE",$J150="CME FUTURE"),IF('Futures &amp; Perps Shifted'!$AE$31,VLOOKUP($M150,'Futures &amp; Perps Shifted'!$AE$32:$AO$76,MATCH($R150,'Futures &amp; Perps Shifted'!$AE$30:$AO$30,0),FALSE),0),0)))</f>
        <v>0</v>
      </c>
      <c r="X150" s="17">
        <f t="shared" si="42"/>
        <v>0</v>
      </c>
      <c r="Y150" s="14" t="str">
        <f t="shared" si="32"/>
        <v>DEFI</v>
      </c>
      <c r="Z150" t="str">
        <f t="shared" si="43"/>
        <v>OWETHUSDC/WETH-09DEC22-1450C COIN SHORT</v>
      </c>
      <c r="AA150" t="b">
        <f>IF($C150="","",IF(ISERROR(VLOOKUP($Y150,Mappings!$A:$C,3,FALSE)),FALSE,VLOOKUP($Y150,Mappings!$A:$C,3,FALSE)))</f>
        <v>0</v>
      </c>
    </row>
    <row r="151" spans="1:27" customFormat="1" x14ac:dyDescent="0.25">
      <c r="A151" s="14">
        <v>149</v>
      </c>
      <c r="B151" s="71">
        <v>44939.000001585649</v>
      </c>
      <c r="C151" s="14" t="s">
        <v>294</v>
      </c>
      <c r="D151" s="23" t="s">
        <v>300</v>
      </c>
      <c r="E151" s="23" t="s">
        <v>460</v>
      </c>
      <c r="F151" s="101">
        <v>2891</v>
      </c>
      <c r="G151" s="153">
        <v>0</v>
      </c>
      <c r="H151" s="157">
        <v>0</v>
      </c>
      <c r="I151" s="23">
        <v>0</v>
      </c>
      <c r="J151" s="23" t="s">
        <v>85</v>
      </c>
      <c r="K151" s="24">
        <v>44939.000001585649</v>
      </c>
      <c r="L151" s="23">
        <v>1</v>
      </c>
      <c r="M151" s="23" t="s">
        <v>460</v>
      </c>
      <c r="N151" s="45">
        <f t="shared" si="34"/>
        <v>1</v>
      </c>
      <c r="O151" s="159">
        <f t="shared" si="35"/>
        <v>2891</v>
      </c>
      <c r="P151" s="47">
        <f t="shared" si="36"/>
        <v>0</v>
      </c>
      <c r="Q151" s="25">
        <f t="shared" si="37"/>
        <v>0</v>
      </c>
      <c r="R151" s="26" t="str">
        <f t="shared" si="38"/>
        <v>COIN</v>
      </c>
      <c r="S151" s="26" t="str">
        <f t="shared" si="33"/>
        <v>SHORT</v>
      </c>
      <c r="T151" s="26" t="str">
        <f t="shared" si="39"/>
        <v>COIN SHORT</v>
      </c>
      <c r="U151" s="17">
        <f t="shared" si="40"/>
        <v>0</v>
      </c>
      <c r="V151" s="17">
        <f t="shared" si="41"/>
        <v>0</v>
      </c>
      <c r="W151" s="39">
        <f>IF($C151="","",IF(DefaultScenario,IF(OR(AND(Default_Exchange="ALL",NOT(ISERROR(MATCH($C151,$AF$6:$AF$37,0)))),$C151=Default_Exchange),IF($G151&gt;0,-LGD,0),0),IF(OR($J151="SWAP",$J151="FUTURE",$J151="CME FUTURE"),IF('Futures &amp; Perps Shifted'!$AE$31,VLOOKUP($M151,'Futures &amp; Perps Shifted'!$AE$32:$AO$76,MATCH($R151,'Futures &amp; Perps Shifted'!$AE$30:$AO$30,0),FALSE),0),0)))</f>
        <v>0</v>
      </c>
      <c r="X151" s="17">
        <f t="shared" si="42"/>
        <v>0</v>
      </c>
      <c r="Y151" s="14" t="str">
        <f t="shared" si="32"/>
        <v>DEFI</v>
      </c>
      <c r="Z151" t="str">
        <f t="shared" si="43"/>
        <v>OWETHUSDC/WETH-16DEC22-1450C COIN SHORT</v>
      </c>
      <c r="AA151" t="b">
        <f>IF($C151="","",IF(ISERROR(VLOOKUP($Y151,Mappings!$A:$C,3,FALSE)),FALSE,VLOOKUP($Y151,Mappings!$A:$C,3,FALSE)))</f>
        <v>0</v>
      </c>
    </row>
    <row r="152" spans="1:27" customFormat="1" x14ac:dyDescent="0.25">
      <c r="A152" s="14">
        <v>150</v>
      </c>
      <c r="B152" s="71">
        <v>44939.000001585649</v>
      </c>
      <c r="C152" s="14" t="s">
        <v>294</v>
      </c>
      <c r="D152" s="23" t="s">
        <v>300</v>
      </c>
      <c r="E152" s="23" t="s">
        <v>419</v>
      </c>
      <c r="F152" s="101">
        <v>2904</v>
      </c>
      <c r="G152" s="153">
        <v>0</v>
      </c>
      <c r="H152" s="157">
        <v>0</v>
      </c>
      <c r="I152" s="23">
        <v>0</v>
      </c>
      <c r="J152" s="23" t="s">
        <v>85</v>
      </c>
      <c r="K152" s="24">
        <v>44939.000001585649</v>
      </c>
      <c r="L152" s="23">
        <v>1</v>
      </c>
      <c r="M152" s="23" t="s">
        <v>419</v>
      </c>
      <c r="N152" s="45">
        <f t="shared" si="34"/>
        <v>1</v>
      </c>
      <c r="O152" s="159">
        <f t="shared" si="35"/>
        <v>2904</v>
      </c>
      <c r="P152" s="47">
        <f t="shared" si="36"/>
        <v>0</v>
      </c>
      <c r="Q152" s="25">
        <f t="shared" si="37"/>
        <v>0</v>
      </c>
      <c r="R152" s="26" t="str">
        <f t="shared" si="38"/>
        <v>COIN</v>
      </c>
      <c r="S152" s="26" t="str">
        <f t="shared" si="33"/>
        <v>SHORT</v>
      </c>
      <c r="T152" s="26" t="str">
        <f t="shared" si="39"/>
        <v>COIN SHORT</v>
      </c>
      <c r="U152" s="17">
        <f t="shared" si="40"/>
        <v>0</v>
      </c>
      <c r="V152" s="17">
        <f t="shared" si="41"/>
        <v>0</v>
      </c>
      <c r="W152" s="39">
        <f>IF($C152="","",IF(DefaultScenario,IF(OR(AND(Default_Exchange="ALL",NOT(ISERROR(MATCH($C152,$AF$6:$AF$37,0)))),$C152=Default_Exchange),IF($G152&gt;0,-LGD,0),0),IF(OR($J152="SWAP",$J152="FUTURE",$J152="CME FUTURE"),IF('Futures &amp; Perps Shifted'!$AE$31,VLOOKUP($M152,'Futures &amp; Perps Shifted'!$AE$32:$AO$76,MATCH($R152,'Futures &amp; Perps Shifted'!$AE$30:$AO$30,0),FALSE),0),0)))</f>
        <v>0</v>
      </c>
      <c r="X152" s="17">
        <f t="shared" si="42"/>
        <v>0</v>
      </c>
      <c r="Y152" s="14" t="str">
        <f t="shared" si="32"/>
        <v>DEFI</v>
      </c>
      <c r="Z152" t="str">
        <f t="shared" si="43"/>
        <v>OWETHUSDC/WETH-25NOV22-1400C COIN SHORT</v>
      </c>
      <c r="AA152" t="b">
        <f>IF($C152="","",IF(ISERROR(VLOOKUP($Y152,Mappings!$A:$C,3,FALSE)),FALSE,VLOOKUP($Y152,Mappings!$A:$C,3,FALSE)))</f>
        <v>0</v>
      </c>
    </row>
    <row r="153" spans="1:27" customFormat="1" x14ac:dyDescent="0.25">
      <c r="A153" s="14">
        <v>151</v>
      </c>
      <c r="B153" s="71">
        <v>44939.000001585649</v>
      </c>
      <c r="C153" s="14" t="s">
        <v>294</v>
      </c>
      <c r="D153" s="23" t="s">
        <v>300</v>
      </c>
      <c r="E153" s="23" t="s">
        <v>893</v>
      </c>
      <c r="F153" s="101">
        <v>3047</v>
      </c>
      <c r="G153" s="153">
        <v>0</v>
      </c>
      <c r="H153" s="157">
        <v>0</v>
      </c>
      <c r="I153" s="23">
        <v>0</v>
      </c>
      <c r="J153" s="23" t="s">
        <v>85</v>
      </c>
      <c r="K153" s="24">
        <v>44939.000001585649</v>
      </c>
      <c r="L153" s="23">
        <v>1</v>
      </c>
      <c r="M153" s="23" t="s">
        <v>893</v>
      </c>
      <c r="N153" s="45">
        <f t="shared" si="34"/>
        <v>1</v>
      </c>
      <c r="O153" s="159">
        <f t="shared" si="35"/>
        <v>3047</v>
      </c>
      <c r="P153" s="47">
        <f t="shared" si="36"/>
        <v>0</v>
      </c>
      <c r="Q153" s="25">
        <f t="shared" si="37"/>
        <v>0</v>
      </c>
      <c r="R153" s="26" t="str">
        <f t="shared" si="38"/>
        <v>COIN</v>
      </c>
      <c r="S153" s="26" t="str">
        <f t="shared" si="33"/>
        <v>SHORT</v>
      </c>
      <c r="T153" s="26" t="str">
        <f t="shared" si="39"/>
        <v>COIN SHORT</v>
      </c>
      <c r="U153" s="17">
        <f t="shared" si="40"/>
        <v>0</v>
      </c>
      <c r="V153" s="17">
        <f t="shared" si="41"/>
        <v>0</v>
      </c>
      <c r="W153" s="39">
        <f>IF($C153="","",IF(DefaultScenario,IF(OR(AND(Default_Exchange="ALL",NOT(ISERROR(MATCH($C153,$AF$6:$AF$37,0)))),$C153=Default_Exchange),IF($G153&gt;0,-LGD,0),0),IF(OR($J153="SWAP",$J153="FUTURE",$J153="CME FUTURE"),IF('Futures &amp; Perps Shifted'!$AE$31,VLOOKUP($M153,'Futures &amp; Perps Shifted'!$AE$32:$AO$76,MATCH($R153,'Futures &amp; Perps Shifted'!$AE$30:$AO$30,0),FALSE),0),0)))</f>
        <v>0</v>
      </c>
      <c r="X153" s="17">
        <f t="shared" si="42"/>
        <v>0</v>
      </c>
      <c r="Y153" s="14" t="str">
        <f t="shared" si="32"/>
        <v>DEFI</v>
      </c>
      <c r="Z153" t="str">
        <f t="shared" si="43"/>
        <v>OWETHUSDC/WETH-30DEC22-1350C COIN SHORT</v>
      </c>
      <c r="AA153" t="b">
        <f>IF($C153="","",IF(ISERROR(VLOOKUP($Y153,Mappings!$A:$C,3,FALSE)),FALSE,VLOOKUP($Y153,Mappings!$A:$C,3,FALSE)))</f>
        <v>0</v>
      </c>
    </row>
    <row r="154" spans="1:27" customFormat="1" x14ac:dyDescent="0.25">
      <c r="A154" s="14">
        <v>152</v>
      </c>
      <c r="B154" s="71">
        <v>44939.000001585649</v>
      </c>
      <c r="C154" s="14" t="s">
        <v>294</v>
      </c>
      <c r="D154" s="23" t="s">
        <v>300</v>
      </c>
      <c r="E154" s="23" t="s">
        <v>431</v>
      </c>
      <c r="F154" s="101">
        <v>9472.1338239899997</v>
      </c>
      <c r="G154" s="153">
        <v>0</v>
      </c>
      <c r="H154" s="157">
        <v>0</v>
      </c>
      <c r="I154" s="23">
        <v>0</v>
      </c>
      <c r="J154" s="23" t="s">
        <v>85</v>
      </c>
      <c r="K154" s="24">
        <v>44939.000001585649</v>
      </c>
      <c r="L154" s="23">
        <v>1</v>
      </c>
      <c r="M154" s="23" t="s">
        <v>431</v>
      </c>
      <c r="N154" s="45">
        <f t="shared" si="34"/>
        <v>1</v>
      </c>
      <c r="O154" s="159">
        <f t="shared" si="35"/>
        <v>9472.1338239899997</v>
      </c>
      <c r="P154" s="47">
        <f t="shared" si="36"/>
        <v>0</v>
      </c>
      <c r="Q154" s="25">
        <f t="shared" si="37"/>
        <v>0</v>
      </c>
      <c r="R154" s="26" t="str">
        <f t="shared" si="38"/>
        <v>COIN</v>
      </c>
      <c r="S154" s="26" t="str">
        <f t="shared" si="33"/>
        <v>SHORT</v>
      </c>
      <c r="T154" s="26" t="str">
        <f t="shared" si="39"/>
        <v>COIN SHORT</v>
      </c>
      <c r="U154" s="17">
        <f t="shared" si="40"/>
        <v>0</v>
      </c>
      <c r="V154" s="17">
        <f t="shared" si="41"/>
        <v>0</v>
      </c>
      <c r="W154" s="39">
        <f>IF($C154="","",IF(DefaultScenario,IF(OR(AND(Default_Exchange="ALL",NOT(ISERROR(MATCH($C154,$AF$6:$AF$37,0)))),$C154=Default_Exchange),IF($G154&gt;0,-LGD,0),0),IF(OR($J154="SWAP",$J154="FUTURE",$J154="CME FUTURE"),IF('Futures &amp; Perps Shifted'!$AE$31,VLOOKUP($M154,'Futures &amp; Perps Shifted'!$AE$32:$AO$76,MATCH($R154,'Futures &amp; Perps Shifted'!$AE$30:$AO$30,0),FALSE),0),0)))</f>
        <v>0</v>
      </c>
      <c r="X154" s="17">
        <f t="shared" si="42"/>
        <v>0</v>
      </c>
      <c r="Y154" s="14" t="str">
        <f t="shared" si="32"/>
        <v>DEFI</v>
      </c>
      <c r="Z154" t="str">
        <f t="shared" si="43"/>
        <v>OWETHUSDC/WSTETH-02DEC22-1350C COIN SHORT</v>
      </c>
      <c r="AA154" t="b">
        <f>IF($C154="","",IF(ISERROR(VLOOKUP($Y154,Mappings!$A:$C,3,FALSE)),FALSE,VLOOKUP($Y154,Mappings!$A:$C,3,FALSE)))</f>
        <v>0</v>
      </c>
    </row>
    <row r="155" spans="1:27" customFormat="1" x14ac:dyDescent="0.25">
      <c r="A155" s="14">
        <v>153</v>
      </c>
      <c r="B155" s="71">
        <v>44939.000001585649</v>
      </c>
      <c r="C155" s="14" t="s">
        <v>294</v>
      </c>
      <c r="D155" s="23" t="s">
        <v>300</v>
      </c>
      <c r="E155" s="23" t="s">
        <v>302</v>
      </c>
      <c r="F155" s="101">
        <v>5625.02729593</v>
      </c>
      <c r="G155" s="153">
        <v>0</v>
      </c>
      <c r="H155" s="157">
        <v>0</v>
      </c>
      <c r="I155" s="23">
        <v>0</v>
      </c>
      <c r="J155" s="23" t="s">
        <v>85</v>
      </c>
      <c r="K155" s="24">
        <v>44939.000001585649</v>
      </c>
      <c r="L155" s="23">
        <v>1</v>
      </c>
      <c r="M155" s="23" t="s">
        <v>302</v>
      </c>
      <c r="N155" s="45">
        <f t="shared" si="34"/>
        <v>1</v>
      </c>
      <c r="O155" s="159">
        <f t="shared" si="35"/>
        <v>5625.02729593</v>
      </c>
      <c r="P155" s="47">
        <f t="shared" si="36"/>
        <v>0</v>
      </c>
      <c r="Q155" s="25">
        <f t="shared" si="37"/>
        <v>0</v>
      </c>
      <c r="R155" s="26" t="str">
        <f t="shared" si="38"/>
        <v>COIN</v>
      </c>
      <c r="S155" s="26" t="str">
        <f t="shared" si="33"/>
        <v>SHORT</v>
      </c>
      <c r="T155" s="26" t="str">
        <f t="shared" si="39"/>
        <v>COIN SHORT</v>
      </c>
      <c r="U155" s="17">
        <f t="shared" si="40"/>
        <v>0</v>
      </c>
      <c r="V155" s="17">
        <f t="shared" si="41"/>
        <v>0</v>
      </c>
      <c r="W155" s="39">
        <f>IF($C155="","",IF(DefaultScenario,IF(OR(AND(Default_Exchange="ALL",NOT(ISERROR(MATCH($C155,$AF$6:$AF$37,0)))),$C155=Default_Exchange),IF($G155&gt;0,-LGD,0),0),IF(OR($J155="SWAP",$J155="FUTURE",$J155="CME FUTURE"),IF('Futures &amp; Perps Shifted'!$AE$31,VLOOKUP($M155,'Futures &amp; Perps Shifted'!$AE$32:$AO$76,MATCH($R155,'Futures &amp; Perps Shifted'!$AE$30:$AO$30,0),FALSE),0),0)))</f>
        <v>0</v>
      </c>
      <c r="X155" s="17">
        <f t="shared" si="42"/>
        <v>0</v>
      </c>
      <c r="Y155" s="14" t="str">
        <f t="shared" si="32"/>
        <v>DEFI</v>
      </c>
      <c r="Z155" t="str">
        <f t="shared" si="43"/>
        <v>OWETHUSDC/WSTETH-04NOV22-1700C COIN SHORT</v>
      </c>
      <c r="AA155" t="b">
        <f>IF($C155="","",IF(ISERROR(VLOOKUP($Y155,Mappings!$A:$C,3,FALSE)),FALSE,VLOOKUP($Y155,Mappings!$A:$C,3,FALSE)))</f>
        <v>0</v>
      </c>
    </row>
    <row r="156" spans="1:27" customFormat="1" x14ac:dyDescent="0.25">
      <c r="A156" s="14">
        <v>154</v>
      </c>
      <c r="B156" s="71">
        <v>44939.000001585649</v>
      </c>
      <c r="C156" s="14" t="s">
        <v>294</v>
      </c>
      <c r="D156" s="23" t="s">
        <v>300</v>
      </c>
      <c r="E156" s="23" t="s">
        <v>303</v>
      </c>
      <c r="F156" s="101">
        <v>5968</v>
      </c>
      <c r="G156" s="153">
        <v>0</v>
      </c>
      <c r="H156" s="157">
        <v>0</v>
      </c>
      <c r="I156" s="23">
        <v>0</v>
      </c>
      <c r="J156" s="23" t="s">
        <v>85</v>
      </c>
      <c r="K156" s="24">
        <v>44939.000001585649</v>
      </c>
      <c r="L156" s="23">
        <v>1</v>
      </c>
      <c r="M156" s="23" t="s">
        <v>303</v>
      </c>
      <c r="N156" s="45">
        <f t="shared" si="34"/>
        <v>1</v>
      </c>
      <c r="O156" s="159">
        <f t="shared" si="35"/>
        <v>5968</v>
      </c>
      <c r="P156" s="47">
        <f t="shared" si="36"/>
        <v>0</v>
      </c>
      <c r="Q156" s="25">
        <f t="shared" si="37"/>
        <v>0</v>
      </c>
      <c r="R156" s="26" t="str">
        <f t="shared" si="38"/>
        <v>COIN</v>
      </c>
      <c r="S156" s="26" t="str">
        <f t="shared" si="33"/>
        <v>SHORT</v>
      </c>
      <c r="T156" s="26" t="str">
        <f t="shared" si="39"/>
        <v>COIN SHORT</v>
      </c>
      <c r="U156" s="17">
        <f t="shared" si="40"/>
        <v>0</v>
      </c>
      <c r="V156" s="17">
        <f t="shared" si="41"/>
        <v>0</v>
      </c>
      <c r="W156" s="39">
        <f>IF($C156="","",IF(DefaultScenario,IF(OR(AND(Default_Exchange="ALL",NOT(ISERROR(MATCH($C156,$AF$6:$AF$37,0)))),$C156=Default_Exchange),IF($G156&gt;0,-LGD,0),0),IF(OR($J156="SWAP",$J156="FUTURE",$J156="CME FUTURE"),IF('Futures &amp; Perps Shifted'!$AE$31,VLOOKUP($M156,'Futures &amp; Perps Shifted'!$AE$32:$AO$76,MATCH($R156,'Futures &amp; Perps Shifted'!$AE$30:$AO$30,0),FALSE),0),0)))</f>
        <v>0</v>
      </c>
      <c r="X156" s="17">
        <f t="shared" si="42"/>
        <v>0</v>
      </c>
      <c r="Y156" s="14" t="str">
        <f t="shared" si="32"/>
        <v>DEFI</v>
      </c>
      <c r="Z156" t="str">
        <f t="shared" si="43"/>
        <v>OWETHUSDC/WSTETH-09SEP22-1900C COIN SHORT</v>
      </c>
      <c r="AA156" t="b">
        <f>IF($C156="","",IF(ISERROR(VLOOKUP($Y156,Mappings!$A:$C,3,FALSE)),FALSE,VLOOKUP($Y156,Mappings!$A:$C,3,FALSE)))</f>
        <v>0</v>
      </c>
    </row>
    <row r="157" spans="1:27" customFormat="1" x14ac:dyDescent="0.25">
      <c r="A157" s="14">
        <v>155</v>
      </c>
      <c r="B157" s="71">
        <v>44939.000001585649</v>
      </c>
      <c r="C157" s="14" t="s">
        <v>294</v>
      </c>
      <c r="D157" s="23" t="s">
        <v>300</v>
      </c>
      <c r="E157" s="23" t="s">
        <v>894</v>
      </c>
      <c r="F157" s="101">
        <v>4006</v>
      </c>
      <c r="G157" s="153">
        <v>0</v>
      </c>
      <c r="H157" s="157">
        <v>0</v>
      </c>
      <c r="I157" s="23">
        <v>0</v>
      </c>
      <c r="J157" s="23" t="s">
        <v>85</v>
      </c>
      <c r="K157" s="24">
        <v>44939.000001585649</v>
      </c>
      <c r="L157" s="23">
        <v>1</v>
      </c>
      <c r="M157" s="23" t="s">
        <v>894</v>
      </c>
      <c r="N157" s="45">
        <f t="shared" si="34"/>
        <v>1</v>
      </c>
      <c r="O157" s="159">
        <f t="shared" si="35"/>
        <v>4006</v>
      </c>
      <c r="P157" s="47">
        <f t="shared" si="36"/>
        <v>0</v>
      </c>
      <c r="Q157" s="25">
        <f t="shared" si="37"/>
        <v>0</v>
      </c>
      <c r="R157" s="26" t="str">
        <f t="shared" si="38"/>
        <v>COIN</v>
      </c>
      <c r="S157" s="26" t="str">
        <f t="shared" si="33"/>
        <v>SHORT</v>
      </c>
      <c r="T157" s="26" t="str">
        <f t="shared" si="39"/>
        <v>COIN SHORT</v>
      </c>
      <c r="U157" s="17">
        <f t="shared" si="40"/>
        <v>0</v>
      </c>
      <c r="V157" s="17">
        <f t="shared" si="41"/>
        <v>0</v>
      </c>
      <c r="W157" s="39">
        <f>IF($C157="","",IF(DefaultScenario,IF(OR(AND(Default_Exchange="ALL",NOT(ISERROR(MATCH($C157,$AF$6:$AF$37,0)))),$C157=Default_Exchange),IF($G157&gt;0,-LGD,0),0),IF(OR($J157="SWAP",$J157="FUTURE",$J157="CME FUTURE"),IF('Futures &amp; Perps Shifted'!$AE$31,VLOOKUP($M157,'Futures &amp; Perps Shifted'!$AE$32:$AO$76,MATCH($R157,'Futures &amp; Perps Shifted'!$AE$30:$AO$30,0),FALSE),0),0)))</f>
        <v>0</v>
      </c>
      <c r="X157" s="17">
        <f t="shared" si="42"/>
        <v>0</v>
      </c>
      <c r="Y157" s="14" t="str">
        <f t="shared" si="32"/>
        <v>DEFI</v>
      </c>
      <c r="Z157" t="str">
        <f t="shared" si="43"/>
        <v>OWETHUSDC/WSTETH-30DEC22-1350C COIN SHORT</v>
      </c>
      <c r="AA157" t="b">
        <f>IF($C157="","",IF(ISERROR(VLOOKUP($Y157,Mappings!$A:$C,3,FALSE)),FALSE,VLOOKUP($Y157,Mappings!$A:$C,3,FALSE)))</f>
        <v>0</v>
      </c>
    </row>
    <row r="158" spans="1:27" customFormat="1" x14ac:dyDescent="0.25">
      <c r="A158" s="14">
        <v>156</v>
      </c>
      <c r="B158" s="71">
        <v>44939.000001585649</v>
      </c>
      <c r="C158" s="14" t="s">
        <v>294</v>
      </c>
      <c r="D158" s="23" t="s">
        <v>300</v>
      </c>
      <c r="E158" s="23" t="s">
        <v>92</v>
      </c>
      <c r="F158" s="101">
        <v>60000</v>
      </c>
      <c r="G158" s="153">
        <v>60004.328977644</v>
      </c>
      <c r="H158" s="157">
        <v>1.0000721496274001</v>
      </c>
      <c r="I158" s="23">
        <v>0</v>
      </c>
      <c r="J158" s="23" t="s">
        <v>85</v>
      </c>
      <c r="K158" s="24">
        <v>44939.000001585649</v>
      </c>
      <c r="L158" s="23">
        <v>1</v>
      </c>
      <c r="M158" s="23" t="s">
        <v>92</v>
      </c>
      <c r="N158" s="45">
        <f t="shared" si="34"/>
        <v>1</v>
      </c>
      <c r="O158" s="159">
        <f t="shared" si="35"/>
        <v>60000</v>
      </c>
      <c r="P158" s="47">
        <f t="shared" si="36"/>
        <v>60004.328977644007</v>
      </c>
      <c r="Q158" s="25">
        <f t="shared" si="37"/>
        <v>0</v>
      </c>
      <c r="R158" s="26" t="str">
        <f t="shared" si="38"/>
        <v>COIN</v>
      </c>
      <c r="S158" s="26" t="str">
        <f t="shared" si="33"/>
        <v>LONG</v>
      </c>
      <c r="T158" s="26" t="str">
        <f t="shared" si="39"/>
        <v>COIN LONG</v>
      </c>
      <c r="U158" s="17">
        <f t="shared" si="40"/>
        <v>60004.328977644</v>
      </c>
      <c r="V158" s="17">
        <f t="shared" si="41"/>
        <v>1.0000721496274001</v>
      </c>
      <c r="W158" s="39">
        <f>IF($C158="","",IF(DefaultScenario,IF(OR(AND(Default_Exchange="ALL",NOT(ISERROR(MATCH($C158,$AF$6:$AF$37,0)))),$C158=Default_Exchange),IF($G158&gt;0,-LGD,0),0),IF(OR($J158="SWAP",$J158="FUTURE",$J158="CME FUTURE"),IF('Futures &amp; Perps Shifted'!$AE$31,VLOOKUP($M158,'Futures &amp; Perps Shifted'!$AE$32:$AO$76,MATCH($R158,'Futures &amp; Perps Shifted'!$AE$30:$AO$30,0),FALSE),0),0)))</f>
        <v>0</v>
      </c>
      <c r="X158" s="17">
        <f t="shared" si="42"/>
        <v>0</v>
      </c>
      <c r="Y158" s="14" t="str">
        <f t="shared" si="32"/>
        <v>DEFI</v>
      </c>
      <c r="Z158" t="str">
        <f t="shared" si="43"/>
        <v>USDC COIN LONG</v>
      </c>
      <c r="AA158" t="b">
        <f>IF($C158="","",IF(ISERROR(VLOOKUP($Y158,Mappings!$A:$C,3,FALSE)),FALSE,VLOOKUP($Y158,Mappings!$A:$C,3,FALSE)))</f>
        <v>0</v>
      </c>
    </row>
    <row r="159" spans="1:27" customFormat="1" x14ac:dyDescent="0.25">
      <c r="A159" s="14">
        <v>157</v>
      </c>
      <c r="B159" s="71">
        <v>44939.000001585649</v>
      </c>
      <c r="C159" s="14" t="s">
        <v>294</v>
      </c>
      <c r="D159" s="23" t="s">
        <v>300</v>
      </c>
      <c r="E159" s="23" t="s">
        <v>444</v>
      </c>
      <c r="F159" s="101">
        <v>186.88790811999999</v>
      </c>
      <c r="G159" s="153">
        <v>2877.3571273807302</v>
      </c>
      <c r="H159" s="157">
        <v>15.396165307459</v>
      </c>
      <c r="I159" s="23">
        <v>0</v>
      </c>
      <c r="J159" s="23" t="s">
        <v>85</v>
      </c>
      <c r="K159" s="24">
        <v>44939.000001585649</v>
      </c>
      <c r="L159" s="23">
        <v>1</v>
      </c>
      <c r="M159" s="23" t="s">
        <v>444</v>
      </c>
      <c r="N159" s="45">
        <f t="shared" si="34"/>
        <v>1</v>
      </c>
      <c r="O159" s="159">
        <f t="shared" si="35"/>
        <v>186.88790811999999</v>
      </c>
      <c r="P159" s="47">
        <f t="shared" si="36"/>
        <v>2877.3571273807293</v>
      </c>
      <c r="Q159" s="25">
        <f t="shared" si="37"/>
        <v>0</v>
      </c>
      <c r="R159" s="26" t="str">
        <f t="shared" si="38"/>
        <v>COIN</v>
      </c>
      <c r="S159" s="26" t="str">
        <f t="shared" si="33"/>
        <v>LONG</v>
      </c>
      <c r="T159" s="26" t="str">
        <f t="shared" si="39"/>
        <v>COIN LONG</v>
      </c>
      <c r="U159" s="17">
        <f t="shared" si="40"/>
        <v>2877.3571273807302</v>
      </c>
      <c r="V159" s="17">
        <f t="shared" si="41"/>
        <v>15.396165307459</v>
      </c>
      <c r="W159" s="39">
        <f>IF($C159="","",IF(DefaultScenario,IF(OR(AND(Default_Exchange="ALL",NOT(ISERROR(MATCH($C159,$AF$6:$AF$37,0)))),$C159=Default_Exchange),IF($G159&gt;0,-LGD,0),0),IF(OR($J159="SWAP",$J159="FUTURE",$J159="CME FUTURE"),IF('Futures &amp; Perps Shifted'!$AE$31,VLOOKUP($M159,'Futures &amp; Perps Shifted'!$AE$32:$AO$76,MATCH($R159,'Futures &amp; Perps Shifted'!$AE$30:$AO$30,0),FALSE),0),0)))</f>
        <v>0</v>
      </c>
      <c r="X159" s="17">
        <f t="shared" si="42"/>
        <v>0</v>
      </c>
      <c r="Y159" s="14" t="str">
        <f t="shared" si="32"/>
        <v>DEFI</v>
      </c>
      <c r="Z159" t="str">
        <f t="shared" si="43"/>
        <v>WAVAX COIN LONG</v>
      </c>
      <c r="AA159" t="b">
        <f>IF($C159="","",IF(ISERROR(VLOOKUP($Y159,Mappings!$A:$C,3,FALSE)),FALSE,VLOOKUP($Y159,Mappings!$A:$C,3,FALSE)))</f>
        <v>0</v>
      </c>
    </row>
    <row r="160" spans="1:27" customFormat="1" x14ac:dyDescent="0.25">
      <c r="A160" s="14">
        <v>158</v>
      </c>
      <c r="B160" s="71">
        <v>44939.000001585649</v>
      </c>
      <c r="C160" s="14" t="s">
        <v>294</v>
      </c>
      <c r="D160" s="23" t="s">
        <v>300</v>
      </c>
      <c r="E160" s="23" t="s">
        <v>257</v>
      </c>
      <c r="F160" s="101">
        <v>128.58989367000001</v>
      </c>
      <c r="G160" s="153">
        <v>182220.348791973</v>
      </c>
      <c r="H160" s="157">
        <v>1417.0658641308501</v>
      </c>
      <c r="I160" s="23">
        <v>0</v>
      </c>
      <c r="J160" s="23" t="s">
        <v>85</v>
      </c>
      <c r="K160" s="24">
        <v>44939.000001585649</v>
      </c>
      <c r="L160" s="23">
        <v>1</v>
      </c>
      <c r="M160" s="23" t="s">
        <v>257</v>
      </c>
      <c r="N160" s="45">
        <f t="shared" si="34"/>
        <v>1</v>
      </c>
      <c r="O160" s="159">
        <f t="shared" si="35"/>
        <v>128.58989367000001</v>
      </c>
      <c r="P160" s="47">
        <f t="shared" si="36"/>
        <v>182220.34879197268</v>
      </c>
      <c r="Q160" s="25">
        <f t="shared" si="37"/>
        <v>0</v>
      </c>
      <c r="R160" s="26" t="str">
        <f t="shared" si="38"/>
        <v>COIN</v>
      </c>
      <c r="S160" s="26" t="str">
        <f t="shared" si="33"/>
        <v>LONG</v>
      </c>
      <c r="T160" s="26" t="str">
        <f t="shared" si="39"/>
        <v>COIN LONG</v>
      </c>
      <c r="U160" s="17">
        <f t="shared" si="40"/>
        <v>182220.348791973</v>
      </c>
      <c r="V160" s="17">
        <f t="shared" si="41"/>
        <v>1417.0658641308501</v>
      </c>
      <c r="W160" s="39">
        <f>IF($C160="","",IF(DefaultScenario,IF(OR(AND(Default_Exchange="ALL",NOT(ISERROR(MATCH($C160,$AF$6:$AF$37,0)))),$C160=Default_Exchange),IF($G160&gt;0,-LGD,0),0),IF(OR($J160="SWAP",$J160="FUTURE",$J160="CME FUTURE"),IF('Futures &amp; Perps Shifted'!$AE$31,VLOOKUP($M160,'Futures &amp; Perps Shifted'!$AE$32:$AO$76,MATCH($R160,'Futures &amp; Perps Shifted'!$AE$30:$AO$30,0),FALSE),0),0)))</f>
        <v>0</v>
      </c>
      <c r="X160" s="17">
        <f t="shared" si="42"/>
        <v>0</v>
      </c>
      <c r="Y160" s="14" t="str">
        <f t="shared" si="32"/>
        <v>DEFI</v>
      </c>
      <c r="Z160" t="str">
        <f t="shared" si="43"/>
        <v>WETH COIN LONG</v>
      </c>
      <c r="AA160" t="b">
        <f>IF($C160="","",IF(ISERROR(VLOOKUP($Y160,Mappings!$A:$C,3,FALSE)),FALSE,VLOOKUP($Y160,Mappings!$A:$C,3,FALSE)))</f>
        <v>0</v>
      </c>
    </row>
    <row r="161" spans="1:27" customFormat="1" x14ac:dyDescent="0.25">
      <c r="A161" s="14">
        <v>159</v>
      </c>
      <c r="B161" s="71">
        <v>44939.000001585649</v>
      </c>
      <c r="C161" s="14" t="s">
        <v>294</v>
      </c>
      <c r="D161" s="23" t="s">
        <v>304</v>
      </c>
      <c r="E161" s="23" t="s">
        <v>188</v>
      </c>
      <c r="F161" s="101">
        <v>78.748072449999995</v>
      </c>
      <c r="G161" s="153">
        <v>54.266566857299701</v>
      </c>
      <c r="H161" s="157">
        <v>0.68911612905516495</v>
      </c>
      <c r="I161" s="23">
        <v>0</v>
      </c>
      <c r="J161" s="23" t="s">
        <v>85</v>
      </c>
      <c r="K161" s="24">
        <v>44939.000001585649</v>
      </c>
      <c r="L161" s="23">
        <v>1</v>
      </c>
      <c r="M161" s="23" t="s">
        <v>188</v>
      </c>
      <c r="N161" s="45">
        <f t="shared" si="34"/>
        <v>1</v>
      </c>
      <c r="O161" s="159">
        <f t="shared" si="35"/>
        <v>78.748072449999995</v>
      </c>
      <c r="P161" s="47">
        <f t="shared" si="36"/>
        <v>54.266566857299679</v>
      </c>
      <c r="Q161" s="25">
        <f t="shared" si="37"/>
        <v>0</v>
      </c>
      <c r="R161" s="26" t="str">
        <f t="shared" si="38"/>
        <v>COIN</v>
      </c>
      <c r="S161" s="26" t="str">
        <f t="shared" si="33"/>
        <v>LONG</v>
      </c>
      <c r="T161" s="26" t="str">
        <f t="shared" si="39"/>
        <v>COIN LONG</v>
      </c>
      <c r="U161" s="17">
        <f t="shared" si="40"/>
        <v>54.266566857299701</v>
      </c>
      <c r="V161" s="17">
        <f t="shared" si="41"/>
        <v>0.68911612905516495</v>
      </c>
      <c r="W161" s="39">
        <f>IF($C161="","",IF(DefaultScenario,IF(OR(AND(Default_Exchange="ALL",NOT(ISERROR(MATCH($C161,$AF$6:$AF$37,0)))),$C161=Default_Exchange),IF($G161&gt;0,-LGD,0),0),IF(OR($J161="SWAP",$J161="FUTURE",$J161="CME FUTURE"),IF('Futures &amp; Perps Shifted'!$AE$31,VLOOKUP($M161,'Futures &amp; Perps Shifted'!$AE$32:$AO$76,MATCH($R161,'Futures &amp; Perps Shifted'!$AE$30:$AO$30,0),FALSE),0),0)))</f>
        <v>0</v>
      </c>
      <c r="X161" s="17">
        <f t="shared" si="42"/>
        <v>0</v>
      </c>
      <c r="Y161" s="14" t="str">
        <f t="shared" si="32"/>
        <v>DEFI</v>
      </c>
      <c r="Z161" t="str">
        <f t="shared" si="43"/>
        <v>CRV COIN LONG</v>
      </c>
      <c r="AA161" t="b">
        <f>IF($C161="","",IF(ISERROR(VLOOKUP($Y161,Mappings!$A:$C,3,FALSE)),FALSE,VLOOKUP($Y161,Mappings!$A:$C,3,FALSE)))</f>
        <v>0</v>
      </c>
    </row>
    <row r="162" spans="1:27" customFormat="1" x14ac:dyDescent="0.25">
      <c r="A162" s="14">
        <v>160</v>
      </c>
      <c r="B162" s="71">
        <v>44939.000001585649</v>
      </c>
      <c r="C162" s="14" t="s">
        <v>294</v>
      </c>
      <c r="D162" s="23" t="s">
        <v>304</v>
      </c>
      <c r="E162" s="23" t="s">
        <v>189</v>
      </c>
      <c r="F162" s="101">
        <v>2.51455188</v>
      </c>
      <c r="G162" s="153">
        <v>8.9207979518641096</v>
      </c>
      <c r="H162" s="157">
        <v>3.54766907885953</v>
      </c>
      <c r="I162" s="23">
        <v>0</v>
      </c>
      <c r="J162" s="23" t="s">
        <v>85</v>
      </c>
      <c r="K162" s="24">
        <v>44939.000001585649</v>
      </c>
      <c r="L162" s="23">
        <v>1</v>
      </c>
      <c r="M162" s="23" t="s">
        <v>189</v>
      </c>
      <c r="N162" s="45">
        <f t="shared" si="34"/>
        <v>1</v>
      </c>
      <c r="O162" s="159">
        <f t="shared" si="35"/>
        <v>2.51455188</v>
      </c>
      <c r="P162" s="47">
        <f t="shared" si="36"/>
        <v>8.920797951864099</v>
      </c>
      <c r="Q162" s="25">
        <f t="shared" si="37"/>
        <v>0</v>
      </c>
      <c r="R162" s="26" t="str">
        <f t="shared" si="38"/>
        <v>COIN</v>
      </c>
      <c r="S162" s="26" t="str">
        <f t="shared" si="33"/>
        <v>LONG</v>
      </c>
      <c r="T162" s="26" t="str">
        <f t="shared" si="39"/>
        <v>COIN LONG</v>
      </c>
      <c r="U162" s="17">
        <f t="shared" si="40"/>
        <v>8.9207979518641096</v>
      </c>
      <c r="V162" s="17">
        <f t="shared" si="41"/>
        <v>3.54766907885953</v>
      </c>
      <c r="W162" s="39">
        <f>IF($C162="","",IF(DefaultScenario,IF(OR(AND(Default_Exchange="ALL",NOT(ISERROR(MATCH($C162,$AF$6:$AF$37,0)))),$C162=Default_Exchange),IF($G162&gt;0,-LGD,0),0),IF(OR($J162="SWAP",$J162="FUTURE",$J162="CME FUTURE"),IF('Futures &amp; Perps Shifted'!$AE$31,VLOOKUP($M162,'Futures &amp; Perps Shifted'!$AE$32:$AO$76,MATCH($R162,'Futures &amp; Perps Shifted'!$AE$30:$AO$30,0),FALSE),0),0)))</f>
        <v>0</v>
      </c>
      <c r="X162" s="17">
        <f t="shared" si="42"/>
        <v>0</v>
      </c>
      <c r="Y162" s="14" t="str">
        <f t="shared" si="32"/>
        <v>DEFI</v>
      </c>
      <c r="Z162" t="str">
        <f t="shared" si="43"/>
        <v>CVX COIN LONG</v>
      </c>
      <c r="AA162" t="b">
        <f>IF($C162="","",IF(ISERROR(VLOOKUP($Y162,Mappings!$A:$C,3,FALSE)),FALSE,VLOOKUP($Y162,Mappings!$A:$C,3,FALSE)))</f>
        <v>0</v>
      </c>
    </row>
    <row r="163" spans="1:27" customFormat="1" x14ac:dyDescent="0.25">
      <c r="A163" s="14">
        <v>161</v>
      </c>
      <c r="B163" s="71">
        <v>44939.000001585649</v>
      </c>
      <c r="C163" s="14" t="s">
        <v>294</v>
      </c>
      <c r="D163" s="23" t="s">
        <v>304</v>
      </c>
      <c r="E163" s="23" t="s">
        <v>416</v>
      </c>
      <c r="F163" s="101">
        <v>172554.34841886</v>
      </c>
      <c r="G163" s="153">
        <v>172564.61571339701</v>
      </c>
      <c r="H163" s="157">
        <v>1.0000595018012099</v>
      </c>
      <c r="I163" s="23">
        <v>0</v>
      </c>
      <c r="J163" s="23" t="s">
        <v>85</v>
      </c>
      <c r="K163" s="24">
        <v>44939.000001585649</v>
      </c>
      <c r="L163" s="23">
        <v>1</v>
      </c>
      <c r="M163" s="23" t="s">
        <v>416</v>
      </c>
      <c r="N163" s="45">
        <f t="shared" si="34"/>
        <v>1</v>
      </c>
      <c r="O163" s="159">
        <f t="shared" si="35"/>
        <v>172554.34841886</v>
      </c>
      <c r="P163" s="47">
        <f t="shared" si="36"/>
        <v>172564.61571339754</v>
      </c>
      <c r="Q163" s="25">
        <f t="shared" si="37"/>
        <v>0</v>
      </c>
      <c r="R163" s="26" t="str">
        <f t="shared" si="38"/>
        <v>COIN</v>
      </c>
      <c r="S163" s="26" t="str">
        <f t="shared" si="33"/>
        <v>LONG</v>
      </c>
      <c r="T163" s="26" t="str">
        <f t="shared" si="39"/>
        <v>COIN LONG</v>
      </c>
      <c r="U163" s="17">
        <f t="shared" si="40"/>
        <v>172564.61571339701</v>
      </c>
      <c r="V163" s="17">
        <f t="shared" si="41"/>
        <v>1.0000595018012099</v>
      </c>
      <c r="W163" s="39">
        <f>IF($C163="","",IF(DefaultScenario,IF(OR(AND(Default_Exchange="ALL",NOT(ISERROR(MATCH($C163,$AF$6:$AF$37,0)))),$C163=Default_Exchange),IF($G163&gt;0,-LGD,0),0),IF(OR($J163="SWAP",$J163="FUTURE",$J163="CME FUTURE"),IF('Futures &amp; Perps Shifted'!$AE$31,VLOOKUP($M163,'Futures &amp; Perps Shifted'!$AE$32:$AO$76,MATCH($R163,'Futures &amp; Perps Shifted'!$AE$30:$AO$30,0),FALSE),0),0)))</f>
        <v>0</v>
      </c>
      <c r="X163" s="17">
        <f t="shared" si="42"/>
        <v>0</v>
      </c>
      <c r="Y163" s="14" t="str">
        <f t="shared" si="32"/>
        <v>DEFI</v>
      </c>
      <c r="Z163" t="str">
        <f t="shared" si="43"/>
        <v>DAI COIN LONG</v>
      </c>
      <c r="AA163" t="b">
        <f>IF($C163="","",IF(ISERROR(VLOOKUP($Y163,Mappings!$A:$C,3,FALSE)),FALSE,VLOOKUP($Y163,Mappings!$A:$C,3,FALSE)))</f>
        <v>0</v>
      </c>
    </row>
    <row r="164" spans="1:27" customFormat="1" x14ac:dyDescent="0.25">
      <c r="A164" s="14">
        <v>162</v>
      </c>
      <c r="B164" s="71">
        <v>44939.000001585649</v>
      </c>
      <c r="C164" s="14" t="s">
        <v>294</v>
      </c>
      <c r="D164" s="23" t="s">
        <v>304</v>
      </c>
      <c r="E164" s="23" t="s">
        <v>15</v>
      </c>
      <c r="F164" s="101">
        <v>0.49557208000000003</v>
      </c>
      <c r="G164" s="153">
        <v>702.69074321035498</v>
      </c>
      <c r="H164" s="157">
        <v>1417.9385231112101</v>
      </c>
      <c r="I164" s="23">
        <v>0</v>
      </c>
      <c r="J164" s="23" t="s">
        <v>85</v>
      </c>
      <c r="K164" s="24">
        <v>44939.000001585649</v>
      </c>
      <c r="L164" s="23">
        <v>1</v>
      </c>
      <c r="M164" s="23" t="s">
        <v>15</v>
      </c>
      <c r="N164" s="45">
        <f t="shared" si="34"/>
        <v>1</v>
      </c>
      <c r="O164" s="159">
        <f t="shared" si="35"/>
        <v>0.49557208000000003</v>
      </c>
      <c r="P164" s="47">
        <f t="shared" si="36"/>
        <v>702.69074321035055</v>
      </c>
      <c r="Q164" s="25">
        <f t="shared" si="37"/>
        <v>0</v>
      </c>
      <c r="R164" s="26" t="str">
        <f t="shared" si="38"/>
        <v>COIN</v>
      </c>
      <c r="S164" s="26" t="str">
        <f t="shared" si="33"/>
        <v>LONG</v>
      </c>
      <c r="T164" s="26" t="str">
        <f t="shared" si="39"/>
        <v>COIN LONG</v>
      </c>
      <c r="U164" s="17">
        <f t="shared" si="40"/>
        <v>702.69074321035498</v>
      </c>
      <c r="V164" s="17">
        <f t="shared" si="41"/>
        <v>1417.9385231112101</v>
      </c>
      <c r="W164" s="39">
        <f>IF($C164="","",IF(DefaultScenario,IF(OR(AND(Default_Exchange="ALL",NOT(ISERROR(MATCH($C164,$AF$6:$AF$37,0)))),$C164=Default_Exchange),IF($G164&gt;0,-LGD,0),0),IF(OR($J164="SWAP",$J164="FUTURE",$J164="CME FUTURE"),IF('Futures &amp; Perps Shifted'!$AE$31,VLOOKUP($M164,'Futures &amp; Perps Shifted'!$AE$32:$AO$76,MATCH($R164,'Futures &amp; Perps Shifted'!$AE$30:$AO$30,0),FALSE),0),0)))</f>
        <v>0</v>
      </c>
      <c r="X164" s="17">
        <f t="shared" si="42"/>
        <v>0</v>
      </c>
      <c r="Y164" s="14" t="str">
        <f t="shared" si="32"/>
        <v>DEFI</v>
      </c>
      <c r="Z164" t="str">
        <f t="shared" si="43"/>
        <v>ETH COIN LONG</v>
      </c>
      <c r="AA164" t="b">
        <f>IF($C164="","",IF(ISERROR(VLOOKUP($Y164,Mappings!$A:$C,3,FALSE)),FALSE,VLOOKUP($Y164,Mappings!$A:$C,3,FALSE)))</f>
        <v>0</v>
      </c>
    </row>
    <row r="165" spans="1:27" customFormat="1" x14ac:dyDescent="0.25">
      <c r="A165" s="14">
        <v>163</v>
      </c>
      <c r="B165" s="71">
        <v>44939.000001585649</v>
      </c>
      <c r="C165" s="14" t="s">
        <v>294</v>
      </c>
      <c r="D165" s="23" t="s">
        <v>304</v>
      </c>
      <c r="E165" s="23" t="s">
        <v>797</v>
      </c>
      <c r="F165" s="101">
        <v>516393.62323616998</v>
      </c>
      <c r="G165" s="153">
        <v>515301.05266681401</v>
      </c>
      <c r="H165" s="157">
        <v>0.99788422916125696</v>
      </c>
      <c r="I165" s="23">
        <v>0</v>
      </c>
      <c r="J165" s="23" t="s">
        <v>85</v>
      </c>
      <c r="K165" s="24">
        <v>44939.000001585649</v>
      </c>
      <c r="L165" s="23">
        <v>1</v>
      </c>
      <c r="M165" s="23" t="s">
        <v>797</v>
      </c>
      <c r="N165" s="45">
        <f t="shared" si="34"/>
        <v>1</v>
      </c>
      <c r="O165" s="159">
        <f t="shared" si="35"/>
        <v>516393.62323616998</v>
      </c>
      <c r="P165" s="47">
        <f t="shared" si="36"/>
        <v>515301.05266681401</v>
      </c>
      <c r="Q165" s="25">
        <f t="shared" si="37"/>
        <v>0</v>
      </c>
      <c r="R165" s="26" t="str">
        <f t="shared" si="38"/>
        <v>COIN</v>
      </c>
      <c r="S165" s="26" t="str">
        <f t="shared" si="33"/>
        <v>LONG</v>
      </c>
      <c r="T165" s="26" t="str">
        <f t="shared" si="39"/>
        <v>COIN LONG</v>
      </c>
      <c r="U165" s="17">
        <f t="shared" si="40"/>
        <v>515301.05266681401</v>
      </c>
      <c r="V165" s="17">
        <f t="shared" si="41"/>
        <v>0.99788422916125696</v>
      </c>
      <c r="W165" s="39">
        <f>IF($C165="","",IF(DefaultScenario,IF(OR(AND(Default_Exchange="ALL",NOT(ISERROR(MATCH($C165,$AF$6:$AF$37,0)))),$C165=Default_Exchange),IF($G165&gt;0,-LGD,0),0),IF(OR($J165="SWAP",$J165="FUTURE",$J165="CME FUTURE"),IF('Futures &amp; Perps Shifted'!$AE$31,VLOOKUP($M165,'Futures &amp; Perps Shifted'!$AE$32:$AO$76,MATCH($R165,'Futures &amp; Perps Shifted'!$AE$30:$AO$30,0),FALSE),0),0)))</f>
        <v>0</v>
      </c>
      <c r="X165" s="17">
        <f t="shared" si="42"/>
        <v>0</v>
      </c>
      <c r="Y165" s="14" t="str">
        <f t="shared" si="32"/>
        <v>DEFI</v>
      </c>
      <c r="Z165" t="str">
        <f t="shared" si="43"/>
        <v>MIM COIN LONG</v>
      </c>
      <c r="AA165" t="b">
        <f>IF($C165="","",IF(ISERROR(VLOOKUP($Y165,Mappings!$A:$C,3,FALSE)),FALSE,VLOOKUP($Y165,Mappings!$A:$C,3,FALSE)))</f>
        <v>0</v>
      </c>
    </row>
    <row r="166" spans="1:27" customFormat="1" x14ac:dyDescent="0.25">
      <c r="A166" s="14">
        <v>164</v>
      </c>
      <c r="B166" s="71">
        <v>44939.000001585649</v>
      </c>
      <c r="C166" s="14" t="s">
        <v>294</v>
      </c>
      <c r="D166" s="23" t="s">
        <v>304</v>
      </c>
      <c r="E166" s="23" t="s">
        <v>92</v>
      </c>
      <c r="F166" s="101">
        <v>192885.46117379001</v>
      </c>
      <c r="G166" s="153">
        <v>192899.37778794399</v>
      </c>
      <c r="H166" s="157">
        <v>1.0000721496274001</v>
      </c>
      <c r="I166" s="23">
        <v>0</v>
      </c>
      <c r="J166" s="23" t="s">
        <v>85</v>
      </c>
      <c r="K166" s="24">
        <v>44939.000001585649</v>
      </c>
      <c r="L166" s="23">
        <v>1</v>
      </c>
      <c r="M166" s="23" t="s">
        <v>92</v>
      </c>
      <c r="N166" s="45">
        <f t="shared" si="34"/>
        <v>1</v>
      </c>
      <c r="O166" s="159">
        <f t="shared" si="35"/>
        <v>192885.46117379001</v>
      </c>
      <c r="P166" s="47">
        <f t="shared" si="36"/>
        <v>192899.3777879446</v>
      </c>
      <c r="Q166" s="25">
        <f t="shared" si="37"/>
        <v>0</v>
      </c>
      <c r="R166" s="26" t="str">
        <f t="shared" si="38"/>
        <v>COIN</v>
      </c>
      <c r="S166" s="26" t="str">
        <f t="shared" si="33"/>
        <v>LONG</v>
      </c>
      <c r="T166" s="26" t="str">
        <f t="shared" si="39"/>
        <v>COIN LONG</v>
      </c>
      <c r="U166" s="17">
        <f t="shared" si="40"/>
        <v>192899.37778794399</v>
      </c>
      <c r="V166" s="17">
        <f t="shared" si="41"/>
        <v>1.0000721496274001</v>
      </c>
      <c r="W166" s="39">
        <f>IF($C166="","",IF(DefaultScenario,IF(OR(AND(Default_Exchange="ALL",NOT(ISERROR(MATCH($C166,$AF$6:$AF$37,0)))),$C166=Default_Exchange),IF($G166&gt;0,-LGD,0),0),IF(OR($J166="SWAP",$J166="FUTURE",$J166="CME FUTURE"),IF('Futures &amp; Perps Shifted'!$AE$31,VLOOKUP($M166,'Futures &amp; Perps Shifted'!$AE$32:$AO$76,MATCH($R166,'Futures &amp; Perps Shifted'!$AE$30:$AO$30,0),FALSE),0),0)))</f>
        <v>0</v>
      </c>
      <c r="X166" s="17">
        <f t="shared" si="42"/>
        <v>0</v>
      </c>
      <c r="Y166" s="14" t="str">
        <f t="shared" si="32"/>
        <v>DEFI</v>
      </c>
      <c r="Z166" t="str">
        <f t="shared" si="43"/>
        <v>USDC COIN LONG</v>
      </c>
      <c r="AA166" t="b">
        <f>IF($C166="","",IF(ISERROR(VLOOKUP($Y166,Mappings!$A:$C,3,FALSE)),FALSE,VLOOKUP($Y166,Mappings!$A:$C,3,FALSE)))</f>
        <v>0</v>
      </c>
    </row>
    <row r="167" spans="1:27" customFormat="1" x14ac:dyDescent="0.25">
      <c r="A167" s="14">
        <v>165</v>
      </c>
      <c r="B167" s="71">
        <v>44939.000001585649</v>
      </c>
      <c r="C167" s="14" t="s">
        <v>294</v>
      </c>
      <c r="D167" s="23" t="s">
        <v>304</v>
      </c>
      <c r="E167" s="23" t="s">
        <v>38</v>
      </c>
      <c r="F167" s="101">
        <v>132056.27534242999</v>
      </c>
      <c r="G167" s="153">
        <v>132068.43101488499</v>
      </c>
      <c r="H167" s="157">
        <v>1.00009204918451</v>
      </c>
      <c r="I167" s="23">
        <v>0</v>
      </c>
      <c r="J167" s="23" t="s">
        <v>85</v>
      </c>
      <c r="K167" s="24">
        <v>44939.000001585649</v>
      </c>
      <c r="L167" s="23">
        <v>1</v>
      </c>
      <c r="M167" s="23" t="s">
        <v>38</v>
      </c>
      <c r="N167" s="45">
        <f t="shared" si="34"/>
        <v>1</v>
      </c>
      <c r="O167" s="159">
        <f t="shared" si="35"/>
        <v>132056.27534242999</v>
      </c>
      <c r="P167" s="47">
        <f t="shared" si="36"/>
        <v>132068.4310148847</v>
      </c>
      <c r="Q167" s="25">
        <f t="shared" si="37"/>
        <v>0</v>
      </c>
      <c r="R167" s="26" t="str">
        <f t="shared" si="38"/>
        <v>COIN</v>
      </c>
      <c r="S167" s="26" t="str">
        <f t="shared" si="33"/>
        <v>LONG</v>
      </c>
      <c r="T167" s="26" t="str">
        <f t="shared" si="39"/>
        <v>COIN LONG</v>
      </c>
      <c r="U167" s="17">
        <f t="shared" si="40"/>
        <v>132068.43101488499</v>
      </c>
      <c r="V167" s="17">
        <f t="shared" si="41"/>
        <v>1.00009204918451</v>
      </c>
      <c r="W167" s="39">
        <f>IF($C167="","",IF(DefaultScenario,IF(OR(AND(Default_Exchange="ALL",NOT(ISERROR(MATCH($C167,$AF$6:$AF$37,0)))),$C167=Default_Exchange),IF($G167&gt;0,-LGD,0),0),IF(OR($J167="SWAP",$J167="FUTURE",$J167="CME FUTURE"),IF('Futures &amp; Perps Shifted'!$AE$31,VLOOKUP($M167,'Futures &amp; Perps Shifted'!$AE$32:$AO$76,MATCH($R167,'Futures &amp; Perps Shifted'!$AE$30:$AO$30,0),FALSE),0),0)))</f>
        <v>0</v>
      </c>
      <c r="X167" s="17">
        <f t="shared" si="42"/>
        <v>0</v>
      </c>
      <c r="Y167" s="14" t="str">
        <f t="shared" si="32"/>
        <v>DEFI</v>
      </c>
      <c r="Z167" t="str">
        <f t="shared" si="43"/>
        <v>USDT COIN LONG</v>
      </c>
      <c r="AA167" t="b">
        <f>IF($C167="","",IF(ISERROR(VLOOKUP($Y167,Mappings!$A:$C,3,FALSE)),FALSE,VLOOKUP($Y167,Mappings!$A:$C,3,FALSE)))</f>
        <v>0</v>
      </c>
    </row>
    <row r="168" spans="1:27" customFormat="1" x14ac:dyDescent="0.25">
      <c r="A168" s="14">
        <v>166</v>
      </c>
      <c r="B168" s="71">
        <v>44939.000001585649</v>
      </c>
      <c r="C168" s="14" t="s">
        <v>294</v>
      </c>
      <c r="D168" s="23" t="s">
        <v>305</v>
      </c>
      <c r="E168" s="23" t="s">
        <v>15</v>
      </c>
      <c r="F168" s="101">
        <v>2.34866376</v>
      </c>
      <c r="G168" s="153">
        <v>3330.2608231392401</v>
      </c>
      <c r="H168" s="157">
        <v>1417.9385231112101</v>
      </c>
      <c r="I168" s="23">
        <v>0</v>
      </c>
      <c r="J168" s="23" t="s">
        <v>85</v>
      </c>
      <c r="K168" s="24">
        <v>44939.000001585649</v>
      </c>
      <c r="L168" s="23">
        <v>1</v>
      </c>
      <c r="M168" s="23" t="s">
        <v>15</v>
      </c>
      <c r="N168" s="45">
        <f t="shared" si="34"/>
        <v>1</v>
      </c>
      <c r="O168" s="159">
        <f t="shared" si="35"/>
        <v>2.34866376</v>
      </c>
      <c r="P168" s="47">
        <f t="shared" si="36"/>
        <v>3330.2608231392214</v>
      </c>
      <c r="Q168" s="25">
        <f t="shared" si="37"/>
        <v>0</v>
      </c>
      <c r="R168" s="26" t="str">
        <f t="shared" si="38"/>
        <v>COIN</v>
      </c>
      <c r="S168" s="26" t="str">
        <f t="shared" si="33"/>
        <v>LONG</v>
      </c>
      <c r="T168" s="26" t="str">
        <f t="shared" si="39"/>
        <v>COIN LONG</v>
      </c>
      <c r="U168" s="17">
        <f t="shared" si="40"/>
        <v>3330.2608231392401</v>
      </c>
      <c r="V168" s="17">
        <f t="shared" si="41"/>
        <v>1417.9385231112101</v>
      </c>
      <c r="W168" s="39">
        <f>IF($C168="","",IF(DefaultScenario,IF(OR(AND(Default_Exchange="ALL",NOT(ISERROR(MATCH($C168,$AF$6:$AF$37,0)))),$C168=Default_Exchange),IF($G168&gt;0,-LGD,0),0),IF(OR($J168="SWAP",$J168="FUTURE",$J168="CME FUTURE"),IF('Futures &amp; Perps Shifted'!$AE$31,VLOOKUP($M168,'Futures &amp; Perps Shifted'!$AE$32:$AO$76,MATCH($R168,'Futures &amp; Perps Shifted'!$AE$30:$AO$30,0),FALSE),0),0)))</f>
        <v>0</v>
      </c>
      <c r="X168" s="17">
        <f t="shared" si="42"/>
        <v>0</v>
      </c>
      <c r="Y168" s="14" t="str">
        <f t="shared" si="32"/>
        <v>DEFI</v>
      </c>
      <c r="Z168" t="str">
        <f t="shared" si="43"/>
        <v>ETH COIN LONG</v>
      </c>
      <c r="AA168" t="b">
        <f>IF($C168="","",IF(ISERROR(VLOOKUP($Y168,Mappings!$A:$C,3,FALSE)),FALSE,VLOOKUP($Y168,Mappings!$A:$C,3,FALSE)))</f>
        <v>0</v>
      </c>
    </row>
    <row r="169" spans="1:27" customFormat="1" x14ac:dyDescent="0.25">
      <c r="A169" s="14">
        <v>167</v>
      </c>
      <c r="B169" s="71">
        <v>44939.000001585649</v>
      </c>
      <c r="C169" s="14" t="s">
        <v>294</v>
      </c>
      <c r="D169" s="23" t="s">
        <v>438</v>
      </c>
      <c r="E169" s="23" t="s">
        <v>15</v>
      </c>
      <c r="F169" s="101">
        <v>9.8779060000000002E-2</v>
      </c>
      <c r="G169" s="153">
        <v>140.062634450714</v>
      </c>
      <c r="H169" s="157">
        <v>1417.9385231112101</v>
      </c>
      <c r="I169" s="23">
        <v>0</v>
      </c>
      <c r="J169" s="23" t="s">
        <v>85</v>
      </c>
      <c r="K169" s="24">
        <v>44939.000001585649</v>
      </c>
      <c r="L169" s="23">
        <v>1</v>
      </c>
      <c r="M169" s="23" t="s">
        <v>15</v>
      </c>
      <c r="N169" s="45">
        <f t="shared" si="34"/>
        <v>1</v>
      </c>
      <c r="O169" s="159">
        <f t="shared" si="35"/>
        <v>9.8779060000000002E-2</v>
      </c>
      <c r="P169" s="47">
        <f t="shared" si="36"/>
        <v>140.0626344507136</v>
      </c>
      <c r="Q169" s="25">
        <f t="shared" si="37"/>
        <v>0</v>
      </c>
      <c r="R169" s="26" t="str">
        <f t="shared" si="38"/>
        <v>COIN</v>
      </c>
      <c r="S169" s="26" t="str">
        <f t="shared" si="33"/>
        <v>LONG</v>
      </c>
      <c r="T169" s="26" t="str">
        <f t="shared" si="39"/>
        <v>COIN LONG</v>
      </c>
      <c r="U169" s="17">
        <f t="shared" si="40"/>
        <v>140.062634450714</v>
      </c>
      <c r="V169" s="17">
        <f t="shared" si="41"/>
        <v>1417.9385231112101</v>
      </c>
      <c r="W169" s="39">
        <f>IF($C169="","",IF(DefaultScenario,IF(OR(AND(Default_Exchange="ALL",NOT(ISERROR(MATCH($C169,$AF$6:$AF$37,0)))),$C169=Default_Exchange),IF($G169&gt;0,-LGD,0),0),IF(OR($J169="SWAP",$J169="FUTURE",$J169="CME FUTURE"),IF('Futures &amp; Perps Shifted'!$AE$31,VLOOKUP($M169,'Futures &amp; Perps Shifted'!$AE$32:$AO$76,MATCH($R169,'Futures &amp; Perps Shifted'!$AE$30:$AO$30,0),FALSE),0),0)))</f>
        <v>0</v>
      </c>
      <c r="X169" s="17">
        <f t="shared" si="42"/>
        <v>0</v>
      </c>
      <c r="Y169" s="14" t="str">
        <f t="shared" si="32"/>
        <v>DEFI</v>
      </c>
      <c r="Z169" t="str">
        <f t="shared" si="43"/>
        <v>ETH COIN LONG</v>
      </c>
      <c r="AA169" t="b">
        <f>IF($C169="","",IF(ISERROR(VLOOKUP($Y169,Mappings!$A:$C,3,FALSE)),FALSE,VLOOKUP($Y169,Mappings!$A:$C,3,FALSE)))</f>
        <v>0</v>
      </c>
    </row>
    <row r="170" spans="1:27" customFormat="1" x14ac:dyDescent="0.25">
      <c r="A170" s="14">
        <v>168</v>
      </c>
      <c r="B170" s="71">
        <v>44939.000001585649</v>
      </c>
      <c r="C170" s="14" t="s">
        <v>294</v>
      </c>
      <c r="D170" s="23" t="s">
        <v>438</v>
      </c>
      <c r="E170" s="23" t="s">
        <v>445</v>
      </c>
      <c r="F170" s="101">
        <v>196525.25441796001</v>
      </c>
      <c r="G170" s="153">
        <v>0</v>
      </c>
      <c r="H170" s="157">
        <v>0</v>
      </c>
      <c r="I170" s="23">
        <v>0</v>
      </c>
      <c r="J170" s="23" t="s">
        <v>85</v>
      </c>
      <c r="K170" s="24">
        <v>44939.000001585649</v>
      </c>
      <c r="L170" s="23">
        <v>1</v>
      </c>
      <c r="M170" s="23" t="s">
        <v>445</v>
      </c>
      <c r="N170" s="45">
        <f t="shared" si="34"/>
        <v>1</v>
      </c>
      <c r="O170" s="159">
        <f t="shared" si="35"/>
        <v>196525.25441796001</v>
      </c>
      <c r="P170" s="47">
        <f t="shared" si="36"/>
        <v>0</v>
      </c>
      <c r="Q170" s="25">
        <f t="shared" si="37"/>
        <v>0</v>
      </c>
      <c r="R170" s="26" t="str">
        <f t="shared" si="38"/>
        <v>COIN</v>
      </c>
      <c r="S170" s="26" t="str">
        <f t="shared" si="33"/>
        <v>SHORT</v>
      </c>
      <c r="T170" s="26" t="str">
        <f t="shared" si="39"/>
        <v>COIN SHORT</v>
      </c>
      <c r="U170" s="17">
        <f t="shared" si="40"/>
        <v>0</v>
      </c>
      <c r="V170" s="17">
        <f t="shared" si="41"/>
        <v>0</v>
      </c>
      <c r="W170" s="39">
        <f>IF($C170="","",IF(DefaultScenario,IF(OR(AND(Default_Exchange="ALL",NOT(ISERROR(MATCH($C170,$AF$6:$AF$37,0)))),$C170=Default_Exchange),IF($G170&gt;0,-LGD,0),0),IF(OR($J170="SWAP",$J170="FUTURE",$J170="CME FUTURE"),IF('Futures &amp; Perps Shifted'!$AE$31,VLOOKUP($M170,'Futures &amp; Perps Shifted'!$AE$32:$AO$76,MATCH($R170,'Futures &amp; Perps Shifted'!$AE$30:$AO$30,0),FALSE),0),0)))</f>
        <v>0</v>
      </c>
      <c r="X170" s="17">
        <f t="shared" si="42"/>
        <v>0</v>
      </c>
      <c r="Y170" s="14" t="str">
        <f t="shared" si="32"/>
        <v>DEFI</v>
      </c>
      <c r="Z170" t="str">
        <f t="shared" si="43"/>
        <v>OBALUSDC/BAL-30DEC22-7.6C COIN SHORT</v>
      </c>
      <c r="AA170" t="b">
        <f>IF($C170="","",IF(ISERROR(VLOOKUP($Y170,Mappings!$A:$C,3,FALSE)),FALSE,VLOOKUP($Y170,Mappings!$A:$C,3,FALSE)))</f>
        <v>0</v>
      </c>
    </row>
    <row r="171" spans="1:27" customFormat="1" x14ac:dyDescent="0.25">
      <c r="A171" s="14">
        <v>169</v>
      </c>
      <c r="B171" s="71">
        <v>44939.000001585649</v>
      </c>
      <c r="C171" s="14" t="s">
        <v>294</v>
      </c>
      <c r="D171" s="23" t="s">
        <v>438</v>
      </c>
      <c r="E171" s="23" t="s">
        <v>446</v>
      </c>
      <c r="F171" s="101">
        <v>201000.92417708001</v>
      </c>
      <c r="G171" s="153">
        <v>0</v>
      </c>
      <c r="H171" s="157">
        <v>0</v>
      </c>
      <c r="I171" s="23">
        <v>0</v>
      </c>
      <c r="J171" s="23" t="s">
        <v>85</v>
      </c>
      <c r="K171" s="24">
        <v>44939.000001585649</v>
      </c>
      <c r="L171" s="23">
        <v>1</v>
      </c>
      <c r="M171" s="23" t="s">
        <v>446</v>
      </c>
      <c r="N171" s="45">
        <f t="shared" si="34"/>
        <v>1</v>
      </c>
      <c r="O171" s="159">
        <f t="shared" si="35"/>
        <v>201000.92417708001</v>
      </c>
      <c r="P171" s="47">
        <f t="shared" si="36"/>
        <v>0</v>
      </c>
      <c r="Q171" s="25">
        <f t="shared" si="37"/>
        <v>0</v>
      </c>
      <c r="R171" s="26" t="str">
        <f t="shared" si="38"/>
        <v>COIN</v>
      </c>
      <c r="S171" s="26" t="str">
        <f t="shared" si="33"/>
        <v>SHORT</v>
      </c>
      <c r="T171" s="26" t="str">
        <f t="shared" si="39"/>
        <v>COIN SHORT</v>
      </c>
      <c r="U171" s="17">
        <f t="shared" si="40"/>
        <v>0</v>
      </c>
      <c r="V171" s="17">
        <f t="shared" si="41"/>
        <v>0</v>
      </c>
      <c r="W171" s="39">
        <f>IF($C171="","",IF(DefaultScenario,IF(OR(AND(Default_Exchange="ALL",NOT(ISERROR(MATCH($C171,$AF$6:$AF$37,0)))),$C171=Default_Exchange),IF($G171&gt;0,-LGD,0),0),IF(OR($J171="SWAP",$J171="FUTURE",$J171="CME FUTURE"),IF('Futures &amp; Perps Shifted'!$AE$31,VLOOKUP($M171,'Futures &amp; Perps Shifted'!$AE$32:$AO$76,MATCH($R171,'Futures &amp; Perps Shifted'!$AE$30:$AO$30,0),FALSE),0),0)))</f>
        <v>0</v>
      </c>
      <c r="X171" s="17">
        <f t="shared" si="42"/>
        <v>0</v>
      </c>
      <c r="Y171" s="14" t="str">
        <f t="shared" si="32"/>
        <v>DEFI</v>
      </c>
      <c r="Z171" t="str">
        <f t="shared" si="43"/>
        <v>OPERPUSDC/PERP-30DEC22-0.54C COIN SHORT</v>
      </c>
      <c r="AA171" t="b">
        <f>IF($C171="","",IF(ISERROR(VLOOKUP($Y171,Mappings!$A:$C,3,FALSE)),FALSE,VLOOKUP($Y171,Mappings!$A:$C,3,FALSE)))</f>
        <v>0</v>
      </c>
    </row>
    <row r="172" spans="1:27" customFormat="1" x14ac:dyDescent="0.25">
      <c r="A172" s="14">
        <v>170</v>
      </c>
      <c r="B172" s="71">
        <v>44939.000001585649</v>
      </c>
      <c r="C172" s="14" t="s">
        <v>294</v>
      </c>
      <c r="D172" s="23" t="s">
        <v>438</v>
      </c>
      <c r="E172" s="23" t="s">
        <v>447</v>
      </c>
      <c r="F172" s="101">
        <v>100050250.667</v>
      </c>
      <c r="G172" s="153">
        <v>0</v>
      </c>
      <c r="H172" s="157">
        <v>0</v>
      </c>
      <c r="I172" s="23">
        <v>0</v>
      </c>
      <c r="J172" s="23" t="s">
        <v>85</v>
      </c>
      <c r="K172" s="24">
        <v>44939.000001585649</v>
      </c>
      <c r="L172" s="23">
        <v>1</v>
      </c>
      <c r="M172" s="23" t="s">
        <v>447</v>
      </c>
      <c r="N172" s="45">
        <f t="shared" si="34"/>
        <v>1</v>
      </c>
      <c r="O172" s="159">
        <f t="shared" si="35"/>
        <v>100050250.667</v>
      </c>
      <c r="P172" s="47">
        <f t="shared" si="36"/>
        <v>0</v>
      </c>
      <c r="Q172" s="25">
        <f t="shared" si="37"/>
        <v>0</v>
      </c>
      <c r="R172" s="26" t="str">
        <f t="shared" si="38"/>
        <v>COIN</v>
      </c>
      <c r="S172" s="26" t="str">
        <f t="shared" si="33"/>
        <v>SHORT</v>
      </c>
      <c r="T172" s="26" t="str">
        <f t="shared" si="39"/>
        <v>COIN SHORT</v>
      </c>
      <c r="U172" s="17">
        <f t="shared" si="40"/>
        <v>0</v>
      </c>
      <c r="V172" s="17">
        <f t="shared" si="41"/>
        <v>0</v>
      </c>
      <c r="W172" s="39">
        <f>IF($C172="","",IF(DefaultScenario,IF(OR(AND(Default_Exchange="ALL",NOT(ISERROR(MATCH($C172,$AF$6:$AF$37,0)))),$C172=Default_Exchange),IF($G172&gt;0,-LGD,0),0),IF(OR($J172="SWAP",$J172="FUTURE",$J172="CME FUTURE"),IF('Futures &amp; Perps Shifted'!$AE$31,VLOOKUP($M172,'Futures &amp; Perps Shifted'!$AE$32:$AO$76,MATCH($R172,'Futures &amp; Perps Shifted'!$AE$30:$AO$30,0),FALSE),0),0)))</f>
        <v>0</v>
      </c>
      <c r="X172" s="17">
        <f t="shared" si="42"/>
        <v>0</v>
      </c>
      <c r="Y172" s="14" t="str">
        <f t="shared" si="32"/>
        <v>DEFI</v>
      </c>
      <c r="Z172" t="str">
        <f t="shared" si="43"/>
        <v>OSPELLUSDC/SPELL-30DEC22-0.00079C COIN SHORT</v>
      </c>
      <c r="AA172" t="b">
        <f>IF($C172="","",IF(ISERROR(VLOOKUP($Y172,Mappings!$A:$C,3,FALSE)),FALSE,VLOOKUP($Y172,Mappings!$A:$C,3,FALSE)))</f>
        <v>0</v>
      </c>
    </row>
    <row r="173" spans="1:27" customFormat="1" x14ac:dyDescent="0.25">
      <c r="A173" s="14">
        <v>171</v>
      </c>
      <c r="B173" s="71">
        <v>44939.000001585649</v>
      </c>
      <c r="C173" s="14" t="s">
        <v>294</v>
      </c>
      <c r="D173" s="23" t="s">
        <v>439</v>
      </c>
      <c r="E173" s="23" t="s">
        <v>188</v>
      </c>
      <c r="F173" s="101">
        <v>82.967645259999998</v>
      </c>
      <c r="G173" s="153">
        <v>57.174342538393297</v>
      </c>
      <c r="H173" s="157">
        <v>0.68911612905516495</v>
      </c>
      <c r="I173" s="23">
        <v>0</v>
      </c>
      <c r="J173" s="23" t="s">
        <v>85</v>
      </c>
      <c r="K173" s="24">
        <v>44939.000001585649</v>
      </c>
      <c r="L173" s="23">
        <v>1</v>
      </c>
      <c r="M173" s="23" t="s">
        <v>188</v>
      </c>
      <c r="N173" s="45">
        <f t="shared" si="34"/>
        <v>1</v>
      </c>
      <c r="O173" s="159">
        <f t="shared" si="35"/>
        <v>82.967645259999998</v>
      </c>
      <c r="P173" s="47">
        <f t="shared" si="36"/>
        <v>57.174342538393304</v>
      </c>
      <c r="Q173" s="25">
        <f t="shared" si="37"/>
        <v>0</v>
      </c>
      <c r="R173" s="26" t="str">
        <f t="shared" si="38"/>
        <v>COIN</v>
      </c>
      <c r="S173" s="26" t="str">
        <f t="shared" si="33"/>
        <v>LONG</v>
      </c>
      <c r="T173" s="26" t="str">
        <f t="shared" si="39"/>
        <v>COIN LONG</v>
      </c>
      <c r="U173" s="17">
        <f t="shared" si="40"/>
        <v>57.174342538393297</v>
      </c>
      <c r="V173" s="17">
        <f t="shared" si="41"/>
        <v>0.68911612905516495</v>
      </c>
      <c r="W173" s="39">
        <f>IF($C173="","",IF(DefaultScenario,IF(OR(AND(Default_Exchange="ALL",NOT(ISERROR(MATCH($C173,$AF$6:$AF$37,0)))),$C173=Default_Exchange),IF($G173&gt;0,-LGD,0),0),IF(OR($J173="SWAP",$J173="FUTURE",$J173="CME FUTURE"),IF('Futures &amp; Perps Shifted'!$AE$31,VLOOKUP($M173,'Futures &amp; Perps Shifted'!$AE$32:$AO$76,MATCH($R173,'Futures &amp; Perps Shifted'!$AE$30:$AO$30,0),FALSE),0),0)))</f>
        <v>0</v>
      </c>
      <c r="X173" s="17">
        <f t="shared" si="42"/>
        <v>0</v>
      </c>
      <c r="Y173" s="14" t="str">
        <f t="shared" si="32"/>
        <v>DEFI</v>
      </c>
      <c r="Z173" t="str">
        <f t="shared" si="43"/>
        <v>CRV COIN LONG</v>
      </c>
      <c r="AA173" t="b">
        <f>IF($C173="","",IF(ISERROR(VLOOKUP($Y173,Mappings!$A:$C,3,FALSE)),FALSE,VLOOKUP($Y173,Mappings!$A:$C,3,FALSE)))</f>
        <v>0</v>
      </c>
    </row>
    <row r="174" spans="1:27" customFormat="1" x14ac:dyDescent="0.25">
      <c r="A174" s="14">
        <v>172</v>
      </c>
      <c r="B174" s="71">
        <v>44939.000001585649</v>
      </c>
      <c r="C174" s="14" t="s">
        <v>294</v>
      </c>
      <c r="D174" s="23" t="s">
        <v>439</v>
      </c>
      <c r="E174" s="23" t="s">
        <v>189</v>
      </c>
      <c r="F174" s="101">
        <v>3.47592108</v>
      </c>
      <c r="G174" s="153">
        <v>12.331417736072</v>
      </c>
      <c r="H174" s="157">
        <v>3.54766907885953</v>
      </c>
      <c r="I174" s="23">
        <v>0</v>
      </c>
      <c r="J174" s="23" t="s">
        <v>85</v>
      </c>
      <c r="K174" s="24">
        <v>44939.000001585649</v>
      </c>
      <c r="L174" s="23">
        <v>1</v>
      </c>
      <c r="M174" s="23" t="s">
        <v>189</v>
      </c>
      <c r="N174" s="45">
        <f t="shared" si="34"/>
        <v>1</v>
      </c>
      <c r="O174" s="159">
        <f t="shared" si="35"/>
        <v>3.47592108</v>
      </c>
      <c r="P174" s="47">
        <f t="shared" si="36"/>
        <v>12.331417736072023</v>
      </c>
      <c r="Q174" s="25">
        <f t="shared" si="37"/>
        <v>0</v>
      </c>
      <c r="R174" s="26" t="str">
        <f t="shared" si="38"/>
        <v>COIN</v>
      </c>
      <c r="S174" s="26" t="str">
        <f t="shared" si="33"/>
        <v>LONG</v>
      </c>
      <c r="T174" s="26" t="str">
        <f t="shared" si="39"/>
        <v>COIN LONG</v>
      </c>
      <c r="U174" s="17">
        <f t="shared" si="40"/>
        <v>12.331417736072</v>
      </c>
      <c r="V174" s="17">
        <f t="shared" si="41"/>
        <v>3.54766907885953</v>
      </c>
      <c r="W174" s="39">
        <f>IF($C174="","",IF(DefaultScenario,IF(OR(AND(Default_Exchange="ALL",NOT(ISERROR(MATCH($C174,$AF$6:$AF$37,0)))),$C174=Default_Exchange),IF($G174&gt;0,-LGD,0),0),IF(OR($J174="SWAP",$J174="FUTURE",$J174="CME FUTURE"),IF('Futures &amp; Perps Shifted'!$AE$31,VLOOKUP($M174,'Futures &amp; Perps Shifted'!$AE$32:$AO$76,MATCH($R174,'Futures &amp; Perps Shifted'!$AE$30:$AO$30,0),FALSE),0),0)))</f>
        <v>0</v>
      </c>
      <c r="X174" s="17">
        <f t="shared" si="42"/>
        <v>0</v>
      </c>
      <c r="Y174" s="14" t="str">
        <f t="shared" si="32"/>
        <v>DEFI</v>
      </c>
      <c r="Z174" t="str">
        <f t="shared" si="43"/>
        <v>CVX COIN LONG</v>
      </c>
      <c r="AA174" t="b">
        <f>IF($C174="","",IF(ISERROR(VLOOKUP($Y174,Mappings!$A:$C,3,FALSE)),FALSE,VLOOKUP($Y174,Mappings!$A:$C,3,FALSE)))</f>
        <v>0</v>
      </c>
    </row>
    <row r="175" spans="1:27" customFormat="1" x14ac:dyDescent="0.25">
      <c r="A175" s="14">
        <v>173</v>
      </c>
      <c r="B175" s="71">
        <v>44939.000001585649</v>
      </c>
      <c r="C175" s="14" t="s">
        <v>294</v>
      </c>
      <c r="D175" s="23" t="s">
        <v>439</v>
      </c>
      <c r="E175" s="23" t="s">
        <v>15</v>
      </c>
      <c r="F175" s="101">
        <v>502.25244882999999</v>
      </c>
      <c r="G175" s="153">
        <v>712163.09552300302</v>
      </c>
      <c r="H175" s="157">
        <v>1417.9385231112101</v>
      </c>
      <c r="I175" s="23">
        <v>0</v>
      </c>
      <c r="J175" s="23" t="s">
        <v>85</v>
      </c>
      <c r="K175" s="24">
        <v>44939.000001585649</v>
      </c>
      <c r="L175" s="23">
        <v>1</v>
      </c>
      <c r="M175" s="23" t="s">
        <v>15</v>
      </c>
      <c r="N175" s="45">
        <f t="shared" si="34"/>
        <v>1</v>
      </c>
      <c r="O175" s="159">
        <f t="shared" si="35"/>
        <v>502.25244882999999</v>
      </c>
      <c r="P175" s="47">
        <f t="shared" si="36"/>
        <v>712163.09552299883</v>
      </c>
      <c r="Q175" s="25">
        <f t="shared" si="37"/>
        <v>0</v>
      </c>
      <c r="R175" s="26" t="str">
        <f t="shared" si="38"/>
        <v>COIN</v>
      </c>
      <c r="S175" s="26" t="str">
        <f t="shared" si="33"/>
        <v>LONG</v>
      </c>
      <c r="T175" s="26" t="str">
        <f t="shared" si="39"/>
        <v>COIN LONG</v>
      </c>
      <c r="U175" s="17">
        <f t="shared" si="40"/>
        <v>712163.09552300302</v>
      </c>
      <c r="V175" s="17">
        <f t="shared" si="41"/>
        <v>1417.9385231112101</v>
      </c>
      <c r="W175" s="39">
        <f>IF($C175="","",IF(DefaultScenario,IF(OR(AND(Default_Exchange="ALL",NOT(ISERROR(MATCH($C175,$AF$6:$AF$37,0)))),$C175=Default_Exchange),IF($G175&gt;0,-LGD,0),0),IF(OR($J175="SWAP",$J175="FUTURE",$J175="CME FUTURE"),IF('Futures &amp; Perps Shifted'!$AE$31,VLOOKUP($M175,'Futures &amp; Perps Shifted'!$AE$32:$AO$76,MATCH($R175,'Futures &amp; Perps Shifted'!$AE$30:$AO$30,0),FALSE),0),0)))</f>
        <v>0</v>
      </c>
      <c r="X175" s="17">
        <f t="shared" si="42"/>
        <v>0</v>
      </c>
      <c r="Y175" s="14" t="str">
        <f t="shared" si="32"/>
        <v>DEFI</v>
      </c>
      <c r="Z175" t="str">
        <f t="shared" si="43"/>
        <v>ETH COIN LONG</v>
      </c>
      <c r="AA175" t="b">
        <f>IF($C175="","",IF(ISERROR(VLOOKUP($Y175,Mappings!$A:$C,3,FALSE)),FALSE,VLOOKUP($Y175,Mappings!$A:$C,3,FALSE)))</f>
        <v>0</v>
      </c>
    </row>
    <row r="176" spans="1:27" customFormat="1" x14ac:dyDescent="0.25">
      <c r="A176" s="14">
        <v>174</v>
      </c>
      <c r="B176" s="71">
        <v>44939.000001585649</v>
      </c>
      <c r="C176" s="14" t="s">
        <v>294</v>
      </c>
      <c r="D176" s="23" t="s">
        <v>439</v>
      </c>
      <c r="E176" s="23" t="s">
        <v>15</v>
      </c>
      <c r="F176" s="101">
        <v>8.0888086799999996</v>
      </c>
      <c r="G176" s="153">
        <v>11469.433433448399</v>
      </c>
      <c r="H176" s="157">
        <v>1417.9385231112101</v>
      </c>
      <c r="I176" s="23">
        <v>0</v>
      </c>
      <c r="J176" s="23" t="s">
        <v>85</v>
      </c>
      <c r="K176" s="24">
        <v>44939.000001585649</v>
      </c>
      <c r="L176" s="23">
        <v>1</v>
      </c>
      <c r="M176" s="23" t="s">
        <v>15</v>
      </c>
      <c r="N176" s="45">
        <f t="shared" si="34"/>
        <v>1</v>
      </c>
      <c r="O176" s="159">
        <f t="shared" si="35"/>
        <v>8.0888086799999996</v>
      </c>
      <c r="P176" s="47">
        <f t="shared" si="36"/>
        <v>11469.433433448336</v>
      </c>
      <c r="Q176" s="25">
        <f t="shared" si="37"/>
        <v>0</v>
      </c>
      <c r="R176" s="26" t="str">
        <f t="shared" si="38"/>
        <v>COIN</v>
      </c>
      <c r="S176" s="26" t="str">
        <f t="shared" si="33"/>
        <v>LONG</v>
      </c>
      <c r="T176" s="26" t="str">
        <f t="shared" si="39"/>
        <v>COIN LONG</v>
      </c>
      <c r="U176" s="17">
        <f t="shared" si="40"/>
        <v>11469.433433448399</v>
      </c>
      <c r="V176" s="17">
        <f t="shared" si="41"/>
        <v>1417.9385231112101</v>
      </c>
      <c r="W176" s="39">
        <f>IF($C176="","",IF(DefaultScenario,IF(OR(AND(Default_Exchange="ALL",NOT(ISERROR(MATCH($C176,$AF$6:$AF$37,0)))),$C176=Default_Exchange),IF($G176&gt;0,-LGD,0),0),IF(OR($J176="SWAP",$J176="FUTURE",$J176="CME FUTURE"),IF('Futures &amp; Perps Shifted'!$AE$31,VLOOKUP($M176,'Futures &amp; Perps Shifted'!$AE$32:$AO$76,MATCH($R176,'Futures &amp; Perps Shifted'!$AE$30:$AO$30,0),FALSE),0),0)))</f>
        <v>0</v>
      </c>
      <c r="X176" s="17">
        <f t="shared" si="42"/>
        <v>0</v>
      </c>
      <c r="Y176" s="14" t="str">
        <f t="shared" si="32"/>
        <v>DEFI</v>
      </c>
      <c r="Z176" t="str">
        <f t="shared" si="43"/>
        <v>ETH COIN LONG</v>
      </c>
      <c r="AA176" t="b">
        <f>IF($C176="","",IF(ISERROR(VLOOKUP($Y176,Mappings!$A:$C,3,FALSE)),FALSE,VLOOKUP($Y176,Mappings!$A:$C,3,FALSE)))</f>
        <v>0</v>
      </c>
    </row>
    <row r="177" spans="1:27" customFormat="1" x14ac:dyDescent="0.25">
      <c r="A177" s="14">
        <v>175</v>
      </c>
      <c r="B177" s="71">
        <v>44939.000001585649</v>
      </c>
      <c r="C177" s="14" t="s">
        <v>294</v>
      </c>
      <c r="D177" s="23" t="s">
        <v>439</v>
      </c>
      <c r="E177" s="23" t="s">
        <v>15</v>
      </c>
      <c r="F177" s="101">
        <v>494.97593741999998</v>
      </c>
      <c r="G177" s="153">
        <v>701845.44968090602</v>
      </c>
      <c r="H177" s="157">
        <v>1417.9385231112101</v>
      </c>
      <c r="I177" s="23">
        <v>0</v>
      </c>
      <c r="J177" s="23" t="s">
        <v>85</v>
      </c>
      <c r="K177" s="24">
        <v>44939.000001585649</v>
      </c>
      <c r="L177" s="23">
        <v>1</v>
      </c>
      <c r="M177" s="23" t="s">
        <v>15</v>
      </c>
      <c r="N177" s="45">
        <f t="shared" si="34"/>
        <v>1</v>
      </c>
      <c r="O177" s="159">
        <f t="shared" si="35"/>
        <v>494.97593741999998</v>
      </c>
      <c r="P177" s="47">
        <f t="shared" si="36"/>
        <v>701845.44968090148</v>
      </c>
      <c r="Q177" s="25">
        <f t="shared" si="37"/>
        <v>0</v>
      </c>
      <c r="R177" s="26" t="str">
        <f t="shared" si="38"/>
        <v>COIN</v>
      </c>
      <c r="S177" s="26" t="str">
        <f t="shared" si="33"/>
        <v>LONG</v>
      </c>
      <c r="T177" s="26" t="str">
        <f t="shared" si="39"/>
        <v>COIN LONG</v>
      </c>
      <c r="U177" s="17">
        <f t="shared" si="40"/>
        <v>701845.44968090602</v>
      </c>
      <c r="V177" s="17">
        <f t="shared" si="41"/>
        <v>1417.9385231112101</v>
      </c>
      <c r="W177" s="39">
        <f>IF($C177="","",IF(DefaultScenario,IF(OR(AND(Default_Exchange="ALL",NOT(ISERROR(MATCH($C177,$AF$6:$AF$37,0)))),$C177=Default_Exchange),IF($G177&gt;0,-LGD,0),0),IF(OR($J177="SWAP",$J177="FUTURE",$J177="CME FUTURE"),IF('Futures &amp; Perps Shifted'!$AE$31,VLOOKUP($M177,'Futures &amp; Perps Shifted'!$AE$32:$AO$76,MATCH($R177,'Futures &amp; Perps Shifted'!$AE$30:$AO$30,0),FALSE),0),0)))</f>
        <v>0</v>
      </c>
      <c r="X177" s="17">
        <f t="shared" si="42"/>
        <v>0</v>
      </c>
      <c r="Y177" s="14" t="str">
        <f t="shared" ref="Y177:Y240" si="44">IF($C177="","",IF(ISERROR(SEARCH("-",$D177)),$C177,LEFT($D177,SEARCH("-",$D177)-1)))</f>
        <v>DEFI</v>
      </c>
      <c r="Z177" t="str">
        <f t="shared" si="43"/>
        <v>ETH COIN LONG</v>
      </c>
      <c r="AA177" t="b">
        <f>IF($C177="","",IF(ISERROR(VLOOKUP($Y177,Mappings!$A:$C,3,FALSE)),FALSE,VLOOKUP($Y177,Mappings!$A:$C,3,FALSE)))</f>
        <v>0</v>
      </c>
    </row>
    <row r="178" spans="1:27" customFormat="1" x14ac:dyDescent="0.25">
      <c r="A178" s="14">
        <v>176</v>
      </c>
      <c r="B178" s="71">
        <v>44939.000001585649</v>
      </c>
      <c r="C178" s="14" t="s">
        <v>294</v>
      </c>
      <c r="D178" s="23" t="s">
        <v>439</v>
      </c>
      <c r="E178" s="23" t="s">
        <v>798</v>
      </c>
      <c r="F178" s="101">
        <v>4.9449780900000002</v>
      </c>
      <c r="G178" s="153">
        <v>31.966226316242999</v>
      </c>
      <c r="H178" s="157">
        <v>6.4643817898580496</v>
      </c>
      <c r="I178" s="23">
        <v>0</v>
      </c>
      <c r="J178" s="23" t="s">
        <v>85</v>
      </c>
      <c r="K178" s="24">
        <v>44939.000001585649</v>
      </c>
      <c r="L178" s="23">
        <v>1</v>
      </c>
      <c r="M178" s="23" t="s">
        <v>798</v>
      </c>
      <c r="N178" s="45">
        <f t="shared" si="34"/>
        <v>1</v>
      </c>
      <c r="O178" s="159">
        <f t="shared" si="35"/>
        <v>4.9449780900000002</v>
      </c>
      <c r="P178" s="47">
        <f t="shared" si="36"/>
        <v>31.966226316243041</v>
      </c>
      <c r="Q178" s="25">
        <f t="shared" si="37"/>
        <v>0</v>
      </c>
      <c r="R178" s="26" t="str">
        <f t="shared" si="38"/>
        <v>COIN</v>
      </c>
      <c r="S178" s="26" t="str">
        <f t="shared" si="33"/>
        <v>LONG</v>
      </c>
      <c r="T178" s="26" t="str">
        <f t="shared" si="39"/>
        <v>COIN LONG</v>
      </c>
      <c r="U178" s="17">
        <f t="shared" si="40"/>
        <v>31.966226316242999</v>
      </c>
      <c r="V178" s="17">
        <f t="shared" si="41"/>
        <v>6.4643817898580496</v>
      </c>
      <c r="W178" s="39">
        <f>IF($C178="","",IF(DefaultScenario,IF(OR(AND(Default_Exchange="ALL",NOT(ISERROR(MATCH($C178,$AF$6:$AF$37,0)))),$C178=Default_Exchange),IF($G178&gt;0,-LGD,0),0),IF(OR($J178="SWAP",$J178="FUTURE",$J178="CME FUTURE"),IF('Futures &amp; Perps Shifted'!$AE$31,VLOOKUP($M178,'Futures &amp; Perps Shifted'!$AE$32:$AO$76,MATCH($R178,'Futures &amp; Perps Shifted'!$AE$30:$AO$30,0),FALSE),0),0)))</f>
        <v>0</v>
      </c>
      <c r="X178" s="17">
        <f t="shared" si="42"/>
        <v>0</v>
      </c>
      <c r="Y178" s="14" t="str">
        <f t="shared" si="44"/>
        <v>DEFI</v>
      </c>
      <c r="Z178" t="str">
        <f t="shared" si="43"/>
        <v>FXS COIN LONG</v>
      </c>
      <c r="AA178" t="b">
        <f>IF($C178="","",IF(ISERROR(VLOOKUP($Y178,Mappings!$A:$C,3,FALSE)),FALSE,VLOOKUP($Y178,Mappings!$A:$C,3,FALSE)))</f>
        <v>0</v>
      </c>
    </row>
    <row r="179" spans="1:27" customFormat="1" x14ac:dyDescent="0.25">
      <c r="A179" s="14">
        <v>177</v>
      </c>
      <c r="B179" s="71">
        <v>44939.000001585649</v>
      </c>
      <c r="C179" s="14" t="s">
        <v>294</v>
      </c>
      <c r="D179" s="23" t="s">
        <v>439</v>
      </c>
      <c r="E179" s="23" t="s">
        <v>798</v>
      </c>
      <c r="F179" s="101">
        <v>603.23998956000003</v>
      </c>
      <c r="G179" s="153">
        <v>3899.5736034258198</v>
      </c>
      <c r="H179" s="157">
        <v>6.4643817898580496</v>
      </c>
      <c r="I179" s="23">
        <v>0</v>
      </c>
      <c r="J179" s="23" t="s">
        <v>85</v>
      </c>
      <c r="K179" s="24">
        <v>44939.000001585649</v>
      </c>
      <c r="L179" s="23">
        <v>1</v>
      </c>
      <c r="M179" s="23" t="s">
        <v>798</v>
      </c>
      <c r="N179" s="45">
        <f t="shared" si="34"/>
        <v>1</v>
      </c>
      <c r="O179" s="159">
        <f t="shared" si="35"/>
        <v>603.23998956000003</v>
      </c>
      <c r="P179" s="47">
        <f t="shared" si="36"/>
        <v>3899.5736034258243</v>
      </c>
      <c r="Q179" s="25">
        <f t="shared" si="37"/>
        <v>0</v>
      </c>
      <c r="R179" s="26" t="str">
        <f t="shared" si="38"/>
        <v>COIN</v>
      </c>
      <c r="S179" s="26" t="str">
        <f t="shared" si="33"/>
        <v>LONG</v>
      </c>
      <c r="T179" s="26" t="str">
        <f t="shared" si="39"/>
        <v>COIN LONG</v>
      </c>
      <c r="U179" s="17">
        <f t="shared" si="40"/>
        <v>3899.5736034258198</v>
      </c>
      <c r="V179" s="17">
        <f t="shared" si="41"/>
        <v>6.4643817898580496</v>
      </c>
      <c r="W179" s="39">
        <f>IF($C179="","",IF(DefaultScenario,IF(OR(AND(Default_Exchange="ALL",NOT(ISERROR(MATCH($C179,$AF$6:$AF$37,0)))),$C179=Default_Exchange),IF($G179&gt;0,-LGD,0),0),IF(OR($J179="SWAP",$J179="FUTURE",$J179="CME FUTURE"),IF('Futures &amp; Perps Shifted'!$AE$31,VLOOKUP($M179,'Futures &amp; Perps Shifted'!$AE$32:$AO$76,MATCH($R179,'Futures &amp; Perps Shifted'!$AE$30:$AO$30,0),FALSE),0),0)))</f>
        <v>0</v>
      </c>
      <c r="X179" s="17">
        <f t="shared" si="42"/>
        <v>0</v>
      </c>
      <c r="Y179" s="14" t="str">
        <f t="shared" si="44"/>
        <v>DEFI</v>
      </c>
      <c r="Z179" t="str">
        <f t="shared" si="43"/>
        <v>FXS COIN LONG</v>
      </c>
      <c r="AA179" t="b">
        <f>IF($C179="","",IF(ISERROR(VLOOKUP($Y179,Mappings!$A:$C,3,FALSE)),FALSE,VLOOKUP($Y179,Mappings!$A:$C,3,FALSE)))</f>
        <v>0</v>
      </c>
    </row>
    <row r="180" spans="1:27" customFormat="1" x14ac:dyDescent="0.25">
      <c r="A180" s="14">
        <v>178</v>
      </c>
      <c r="B180" s="71">
        <v>44939.000001585649</v>
      </c>
      <c r="C180" s="14" t="s">
        <v>294</v>
      </c>
      <c r="D180" s="23" t="s">
        <v>800</v>
      </c>
      <c r="E180" s="23" t="s">
        <v>92</v>
      </c>
      <c r="F180" s="101">
        <v>12009760.042401001</v>
      </c>
      <c r="G180" s="153">
        <v>12010626.5421132</v>
      </c>
      <c r="H180" s="157">
        <v>1.0000721496274001</v>
      </c>
      <c r="I180" s="23">
        <v>0</v>
      </c>
      <c r="J180" s="23" t="s">
        <v>85</v>
      </c>
      <c r="K180" s="24">
        <v>44939.000001585649</v>
      </c>
      <c r="L180" s="23">
        <v>1</v>
      </c>
      <c r="M180" s="23" t="s">
        <v>92</v>
      </c>
      <c r="N180" s="45">
        <f t="shared" si="34"/>
        <v>1</v>
      </c>
      <c r="O180" s="159">
        <f t="shared" si="35"/>
        <v>12009760.042401001</v>
      </c>
      <c r="P180" s="47">
        <f t="shared" si="36"/>
        <v>12010626.542113224</v>
      </c>
      <c r="Q180" s="25">
        <f t="shared" si="37"/>
        <v>0</v>
      </c>
      <c r="R180" s="26" t="str">
        <f t="shared" si="38"/>
        <v>COIN</v>
      </c>
      <c r="S180" s="26" t="str">
        <f t="shared" si="33"/>
        <v>LONG</v>
      </c>
      <c r="T180" s="26" t="str">
        <f t="shared" si="39"/>
        <v>COIN LONG</v>
      </c>
      <c r="U180" s="17">
        <f t="shared" si="40"/>
        <v>12010626.5421132</v>
      </c>
      <c r="V180" s="17">
        <f t="shared" si="41"/>
        <v>1.0000721496274001</v>
      </c>
      <c r="W180" s="39">
        <f>IF($C180="","",IF(DefaultScenario,IF(OR(AND(Default_Exchange="ALL",NOT(ISERROR(MATCH($C180,$AF$6:$AF$37,0)))),$C180=Default_Exchange),IF($G180&gt;0,-LGD,0),0),IF(OR($J180="SWAP",$J180="FUTURE",$J180="CME FUTURE"),IF('Futures &amp; Perps Shifted'!$AE$31,VLOOKUP($M180,'Futures &amp; Perps Shifted'!$AE$32:$AO$76,MATCH($R180,'Futures &amp; Perps Shifted'!$AE$30:$AO$30,0),FALSE),0),0)))</f>
        <v>0</v>
      </c>
      <c r="X180" s="17">
        <f t="shared" si="42"/>
        <v>0</v>
      </c>
      <c r="Y180" s="14" t="str">
        <f t="shared" si="44"/>
        <v>DEFI</v>
      </c>
      <c r="Z180" t="str">
        <f t="shared" si="43"/>
        <v>USDC COIN LONG</v>
      </c>
      <c r="AA180" t="b">
        <f>IF($C180="","",IF(ISERROR(VLOOKUP($Y180,Mappings!$A:$C,3,FALSE)),FALSE,VLOOKUP($Y180,Mappings!$A:$C,3,FALSE)))</f>
        <v>0</v>
      </c>
    </row>
    <row r="181" spans="1:27" customFormat="1" x14ac:dyDescent="0.25">
      <c r="A181" s="14">
        <v>179</v>
      </c>
      <c r="B181" s="71">
        <v>44939.000000196756</v>
      </c>
      <c r="C181" s="14" t="s">
        <v>32</v>
      </c>
      <c r="D181" s="23" t="s">
        <v>33</v>
      </c>
      <c r="E181" s="23" t="s">
        <v>92</v>
      </c>
      <c r="F181" s="101">
        <v>15672.084394</v>
      </c>
      <c r="G181" s="153">
        <v>15673.2151290496</v>
      </c>
      <c r="H181" s="157">
        <v>1.0000721496274001</v>
      </c>
      <c r="I181" s="23">
        <v>0</v>
      </c>
      <c r="J181" s="23" t="s">
        <v>85</v>
      </c>
      <c r="K181" s="24">
        <v>44939.000000196756</v>
      </c>
      <c r="L181" s="23">
        <v>1</v>
      </c>
      <c r="M181" s="23" t="s">
        <v>92</v>
      </c>
      <c r="N181" s="45">
        <f t="shared" si="34"/>
        <v>1</v>
      </c>
      <c r="O181" s="159">
        <f t="shared" si="35"/>
        <v>15672.084394</v>
      </c>
      <c r="P181" s="47">
        <f t="shared" si="36"/>
        <v>15673.215129049609</v>
      </c>
      <c r="Q181" s="25">
        <f t="shared" si="37"/>
        <v>0</v>
      </c>
      <c r="R181" s="26" t="str">
        <f t="shared" si="38"/>
        <v>COIN</v>
      </c>
      <c r="S181" s="26" t="str">
        <f t="shared" si="33"/>
        <v>LONG</v>
      </c>
      <c r="T181" s="26" t="str">
        <f t="shared" si="39"/>
        <v>COIN LONG</v>
      </c>
      <c r="U181" s="17">
        <f t="shared" si="40"/>
        <v>15673.2151290496</v>
      </c>
      <c r="V181" s="17">
        <f t="shared" si="41"/>
        <v>1.0000721496274001</v>
      </c>
      <c r="W181" s="39">
        <f>IF($C181="","",IF(DefaultScenario,IF(OR(AND(Default_Exchange="ALL",NOT(ISERROR(MATCH($C181,$AF$6:$AF$37,0)))),$C181=Default_Exchange),IF($G181&gt;0,-LGD,0),0),IF(OR($J181="SWAP",$J181="FUTURE",$J181="CME FUTURE"),IF('Futures &amp; Perps Shifted'!$AE$31,VLOOKUP($M181,'Futures &amp; Perps Shifted'!$AE$32:$AO$76,MATCH($R181,'Futures &amp; Perps Shifted'!$AE$30:$AO$30,0),FALSE),0),0)))</f>
        <v>0</v>
      </c>
      <c r="X181" s="17">
        <f t="shared" si="42"/>
        <v>0</v>
      </c>
      <c r="Y181" s="14" t="str">
        <f t="shared" si="44"/>
        <v>DYDX</v>
      </c>
      <c r="Z181" t="str">
        <f t="shared" si="43"/>
        <v>USDC COIN LONG</v>
      </c>
      <c r="AA181" t="b">
        <f>IF($C181="","",IF(ISERROR(VLOOKUP($Y181,Mappings!$A:$C,3,FALSE)),FALSE,VLOOKUP($Y181,Mappings!$A:$C,3,FALSE)))</f>
        <v>1</v>
      </c>
    </row>
    <row r="182" spans="1:27" customFormat="1" x14ac:dyDescent="0.25">
      <c r="A182" s="14">
        <v>180</v>
      </c>
      <c r="B182" s="71">
        <v>44939.000003900466</v>
      </c>
      <c r="C182" s="14" t="s">
        <v>39</v>
      </c>
      <c r="D182" s="23" t="s">
        <v>111</v>
      </c>
      <c r="E182" s="23" t="s">
        <v>84</v>
      </c>
      <c r="F182" s="101">
        <v>1E-8</v>
      </c>
      <c r="G182" s="153">
        <v>3.2975847474337499E-9</v>
      </c>
      <c r="H182" s="157">
        <v>0.329758474743375</v>
      </c>
      <c r="I182" s="23">
        <v>0</v>
      </c>
      <c r="J182" s="23" t="s">
        <v>85</v>
      </c>
      <c r="K182" s="24">
        <v>44939.000003900466</v>
      </c>
      <c r="L182" s="23">
        <v>1</v>
      </c>
      <c r="M182" s="23" t="s">
        <v>84</v>
      </c>
      <c r="N182" s="45">
        <f t="shared" si="34"/>
        <v>1</v>
      </c>
      <c r="O182" s="159">
        <f t="shared" si="35"/>
        <v>1E-8</v>
      </c>
      <c r="P182" s="47">
        <f t="shared" si="36"/>
        <v>3.2975847474337499E-9</v>
      </c>
      <c r="Q182" s="25">
        <f t="shared" si="37"/>
        <v>0</v>
      </c>
      <c r="R182" s="26" t="str">
        <f t="shared" si="38"/>
        <v>COIN</v>
      </c>
      <c r="S182" s="26" t="str">
        <f t="shared" si="33"/>
        <v>LONG</v>
      </c>
      <c r="T182" s="26" t="str">
        <f t="shared" si="39"/>
        <v>COIN LONG</v>
      </c>
      <c r="U182" s="17">
        <f t="shared" si="40"/>
        <v>3.2975847474337499E-9</v>
      </c>
      <c r="V182" s="17">
        <f t="shared" si="41"/>
        <v>0.329758474743375</v>
      </c>
      <c r="W182" s="39">
        <f>IF($C182="","",IF(DefaultScenario,IF(OR(AND(Default_Exchange="ALL",NOT(ISERROR(MATCH($C182,$AF$6:$AF$37,0)))),$C182=Default_Exchange),IF($G182&gt;0,-LGD,0),0),IF(OR($J182="SWAP",$J182="FUTURE",$J182="CME FUTURE"),IF('Futures &amp; Perps Shifted'!$AE$31,VLOOKUP($M182,'Futures &amp; Perps Shifted'!$AE$32:$AO$76,MATCH($R182,'Futures &amp; Perps Shifted'!$AE$30:$AO$30,0),FALSE),0),0)))</f>
        <v>0</v>
      </c>
      <c r="X182" s="17">
        <f t="shared" si="42"/>
        <v>0</v>
      </c>
      <c r="Y182" s="14" t="str">
        <f t="shared" si="44"/>
        <v>FUB2</v>
      </c>
      <c r="Z182" t="str">
        <f t="shared" si="43"/>
        <v>ADA COIN LONG</v>
      </c>
      <c r="AA182" t="b">
        <f>IF($C182="","",IF(ISERROR(VLOOKUP($Y182,Mappings!$A:$C,3,FALSE)),FALSE,VLOOKUP($Y182,Mappings!$A:$C,3,FALSE)))</f>
        <v>0</v>
      </c>
    </row>
    <row r="183" spans="1:27" customFormat="1" x14ac:dyDescent="0.25">
      <c r="A183" s="14">
        <v>181</v>
      </c>
      <c r="B183" s="71">
        <v>44939.000003900466</v>
      </c>
      <c r="C183" s="14" t="s">
        <v>39</v>
      </c>
      <c r="D183" s="23" t="s">
        <v>111</v>
      </c>
      <c r="E183" s="23" t="s">
        <v>20</v>
      </c>
      <c r="F183" s="101">
        <v>4.9999999999999998E-8</v>
      </c>
      <c r="G183" s="153">
        <v>5.9855233068706001E-6</v>
      </c>
      <c r="H183" s="157">
        <v>119.710466137412</v>
      </c>
      <c r="I183" s="23">
        <v>0</v>
      </c>
      <c r="J183" s="23" t="s">
        <v>85</v>
      </c>
      <c r="K183" s="24">
        <v>44939.000003900466</v>
      </c>
      <c r="L183" s="23">
        <v>1</v>
      </c>
      <c r="M183" s="23" t="s">
        <v>20</v>
      </c>
      <c r="N183" s="45">
        <f t="shared" si="34"/>
        <v>1</v>
      </c>
      <c r="O183" s="159">
        <f t="shared" si="35"/>
        <v>4.9999999999999998E-8</v>
      </c>
      <c r="P183" s="47">
        <f t="shared" si="36"/>
        <v>5.9855233068705993E-6</v>
      </c>
      <c r="Q183" s="25">
        <f t="shared" si="37"/>
        <v>0</v>
      </c>
      <c r="R183" s="26" t="str">
        <f t="shared" si="38"/>
        <v>COIN</v>
      </c>
      <c r="S183" s="26" t="str">
        <f t="shared" si="33"/>
        <v>LONG</v>
      </c>
      <c r="T183" s="26" t="str">
        <f t="shared" si="39"/>
        <v>COIN LONG</v>
      </c>
      <c r="U183" s="17">
        <f t="shared" si="40"/>
        <v>5.9855233068706001E-6</v>
      </c>
      <c r="V183" s="17">
        <f t="shared" si="41"/>
        <v>119.710466137412</v>
      </c>
      <c r="W183" s="39">
        <f>IF($C183="","",IF(DefaultScenario,IF(OR(AND(Default_Exchange="ALL",NOT(ISERROR(MATCH($C183,$AF$6:$AF$37,0)))),$C183=Default_Exchange),IF($G183&gt;0,-LGD,0),0),IF(OR($J183="SWAP",$J183="FUTURE",$J183="CME FUTURE"),IF('Futures &amp; Perps Shifted'!$AE$31,VLOOKUP($M183,'Futures &amp; Perps Shifted'!$AE$32:$AO$76,MATCH($R183,'Futures &amp; Perps Shifted'!$AE$30:$AO$30,0),FALSE),0),0)))</f>
        <v>0</v>
      </c>
      <c r="X183" s="17">
        <f t="shared" si="42"/>
        <v>0</v>
      </c>
      <c r="Y183" s="14" t="str">
        <f t="shared" si="44"/>
        <v>FUB2</v>
      </c>
      <c r="Z183" t="str">
        <f t="shared" si="43"/>
        <v>BCH COIN LONG</v>
      </c>
      <c r="AA183" t="b">
        <f>IF($C183="","",IF(ISERROR(VLOOKUP($Y183,Mappings!$A:$C,3,FALSE)),FALSE,VLOOKUP($Y183,Mappings!$A:$C,3,FALSE)))</f>
        <v>0</v>
      </c>
    </row>
    <row r="184" spans="1:27" customFormat="1" x14ac:dyDescent="0.25">
      <c r="A184" s="14">
        <v>182</v>
      </c>
      <c r="B184" s="71">
        <v>44939.000003900466</v>
      </c>
      <c r="C184" s="14" t="s">
        <v>39</v>
      </c>
      <c r="D184" s="23" t="s">
        <v>111</v>
      </c>
      <c r="E184" s="23" t="s">
        <v>113</v>
      </c>
      <c r="F184" s="101">
        <v>0.47315189000000002</v>
      </c>
      <c r="G184" s="153">
        <v>19.942399223761299</v>
      </c>
      <c r="H184" s="157">
        <v>42.1479859749927</v>
      </c>
      <c r="I184" s="23">
        <v>0</v>
      </c>
      <c r="J184" s="23" t="s">
        <v>85</v>
      </c>
      <c r="K184" s="24">
        <v>44939.000003900466</v>
      </c>
      <c r="L184" s="23">
        <v>1</v>
      </c>
      <c r="M184" s="23" t="s">
        <v>113</v>
      </c>
      <c r="N184" s="45">
        <f t="shared" si="34"/>
        <v>1</v>
      </c>
      <c r="O184" s="159">
        <f t="shared" si="35"/>
        <v>0.47315189000000002</v>
      </c>
      <c r="P184" s="47">
        <f t="shared" si="36"/>
        <v>19.942399223761289</v>
      </c>
      <c r="Q184" s="25">
        <f t="shared" si="37"/>
        <v>0</v>
      </c>
      <c r="R184" s="26" t="str">
        <f t="shared" si="38"/>
        <v>COIN</v>
      </c>
      <c r="S184" s="26" t="str">
        <f t="shared" si="33"/>
        <v>LONG</v>
      </c>
      <c r="T184" s="26" t="str">
        <f t="shared" si="39"/>
        <v>COIN LONG</v>
      </c>
      <c r="U184" s="17">
        <f t="shared" si="40"/>
        <v>19.942399223761299</v>
      </c>
      <c r="V184" s="17">
        <f t="shared" si="41"/>
        <v>42.1479859749927</v>
      </c>
      <c r="W184" s="39">
        <f>IF($C184="","",IF(DefaultScenario,IF(OR(AND(Default_Exchange="ALL",NOT(ISERROR(MATCH($C184,$AF$6:$AF$37,0)))),$C184=Default_Exchange),IF($G184&gt;0,-LGD,0),0),IF(OR($J184="SWAP",$J184="FUTURE",$J184="CME FUTURE"),IF('Futures &amp; Perps Shifted'!$AE$31,VLOOKUP($M184,'Futures &amp; Perps Shifted'!$AE$32:$AO$76,MATCH($R184,'Futures &amp; Perps Shifted'!$AE$30:$AO$30,0),FALSE),0),0)))</f>
        <v>0</v>
      </c>
      <c r="X184" s="17">
        <f t="shared" si="42"/>
        <v>0</v>
      </c>
      <c r="Y184" s="14" t="str">
        <f t="shared" si="44"/>
        <v>FUB2</v>
      </c>
      <c r="Z184" t="str">
        <f t="shared" si="43"/>
        <v>BSV COIN LONG</v>
      </c>
      <c r="AA184" t="b">
        <f>IF($C184="","",IF(ISERROR(VLOOKUP($Y184,Mappings!$A:$C,3,FALSE)),FALSE,VLOOKUP($Y184,Mappings!$A:$C,3,FALSE)))</f>
        <v>0</v>
      </c>
    </row>
    <row r="185" spans="1:27" customFormat="1" x14ac:dyDescent="0.25">
      <c r="A185" s="14">
        <v>183</v>
      </c>
      <c r="B185" s="71">
        <v>44939.000003900466</v>
      </c>
      <c r="C185" s="14" t="s">
        <v>39</v>
      </c>
      <c r="D185" s="23" t="s">
        <v>111</v>
      </c>
      <c r="E185" s="23" t="s">
        <v>14</v>
      </c>
      <c r="F185" s="101">
        <v>4.0000000000000001E-8</v>
      </c>
      <c r="G185" s="153">
        <v>7.5478352221062302E-4</v>
      </c>
      <c r="H185" s="157">
        <v>18869.5880552655</v>
      </c>
      <c r="I185" s="23">
        <v>0</v>
      </c>
      <c r="J185" s="23" t="s">
        <v>85</v>
      </c>
      <c r="K185" s="24">
        <v>44939.000003900466</v>
      </c>
      <c r="L185" s="23">
        <v>1</v>
      </c>
      <c r="M185" s="23" t="s">
        <v>14</v>
      </c>
      <c r="N185" s="45">
        <f t="shared" si="34"/>
        <v>1</v>
      </c>
      <c r="O185" s="159">
        <f t="shared" si="35"/>
        <v>4.0000000000000001E-8</v>
      </c>
      <c r="P185" s="47">
        <f t="shared" si="36"/>
        <v>7.5478352221061999E-4</v>
      </c>
      <c r="Q185" s="25">
        <f t="shared" si="37"/>
        <v>0</v>
      </c>
      <c r="R185" s="26" t="str">
        <f t="shared" si="38"/>
        <v>COIN</v>
      </c>
      <c r="S185" s="26" t="str">
        <f t="shared" ref="S185:S248" si="45">IF($C185="","",IF($J185="CME FUTURE",IF($G185&gt;0,"LONG","SHORT"),IF($G185&gt;0,"LONG","SHORT")))</f>
        <v>LONG</v>
      </c>
      <c r="T185" s="26" t="str">
        <f t="shared" si="39"/>
        <v>COIN LONG</v>
      </c>
      <c r="U185" s="17">
        <f t="shared" si="40"/>
        <v>7.5478352221062302E-4</v>
      </c>
      <c r="V185" s="17">
        <f t="shared" si="41"/>
        <v>18869.5880552655</v>
      </c>
      <c r="W185" s="39">
        <f>IF($C185="","",IF(DefaultScenario,IF(OR(AND(Default_Exchange="ALL",NOT(ISERROR(MATCH($C185,$AF$6:$AF$37,0)))),$C185=Default_Exchange),IF($G185&gt;0,-LGD,0),0),IF(OR($J185="SWAP",$J185="FUTURE",$J185="CME FUTURE"),IF('Futures &amp; Perps Shifted'!$AE$31,VLOOKUP($M185,'Futures &amp; Perps Shifted'!$AE$32:$AO$76,MATCH($R185,'Futures &amp; Perps Shifted'!$AE$30:$AO$30,0),FALSE),0),0)))</f>
        <v>0</v>
      </c>
      <c r="X185" s="17">
        <f t="shared" si="42"/>
        <v>0</v>
      </c>
      <c r="Y185" s="14" t="str">
        <f t="shared" si="44"/>
        <v>FUB2</v>
      </c>
      <c r="Z185" t="str">
        <f t="shared" si="43"/>
        <v>BTC COIN LONG</v>
      </c>
      <c r="AA185" t="b">
        <f>IF($C185="","",IF(ISERROR(VLOOKUP($Y185,Mappings!$A:$C,3,FALSE)),FALSE,VLOOKUP($Y185,Mappings!$A:$C,3,FALSE)))</f>
        <v>0</v>
      </c>
    </row>
    <row r="186" spans="1:27" customFormat="1" x14ac:dyDescent="0.25">
      <c r="A186" s="14">
        <v>184</v>
      </c>
      <c r="B186" s="71">
        <v>44939.000003900466</v>
      </c>
      <c r="C186" s="14" t="s">
        <v>39</v>
      </c>
      <c r="D186" s="23" t="s">
        <v>111</v>
      </c>
      <c r="E186" s="23" t="s">
        <v>23</v>
      </c>
      <c r="F186" s="101">
        <v>2.9999999999999997E-8</v>
      </c>
      <c r="G186" s="153">
        <v>2.9707274304208201E-8</v>
      </c>
      <c r="H186" s="157">
        <v>0.990242476806942</v>
      </c>
      <c r="I186" s="23">
        <v>0</v>
      </c>
      <c r="J186" s="23" t="s">
        <v>85</v>
      </c>
      <c r="K186" s="24">
        <v>44939.000003900466</v>
      </c>
      <c r="L186" s="23">
        <v>1</v>
      </c>
      <c r="M186" s="23" t="s">
        <v>23</v>
      </c>
      <c r="N186" s="45">
        <f t="shared" si="34"/>
        <v>1</v>
      </c>
      <c r="O186" s="159">
        <f t="shared" si="35"/>
        <v>2.9999999999999997E-8</v>
      </c>
      <c r="P186" s="47">
        <f t="shared" si="36"/>
        <v>2.9707274304208257E-8</v>
      </c>
      <c r="Q186" s="25">
        <f t="shared" si="37"/>
        <v>0</v>
      </c>
      <c r="R186" s="26" t="str">
        <f t="shared" si="38"/>
        <v>COIN</v>
      </c>
      <c r="S186" s="26" t="str">
        <f t="shared" si="45"/>
        <v>LONG</v>
      </c>
      <c r="T186" s="26" t="str">
        <f t="shared" si="39"/>
        <v>COIN LONG</v>
      </c>
      <c r="U186" s="17">
        <f t="shared" si="40"/>
        <v>2.9707274304208201E-8</v>
      </c>
      <c r="V186" s="17">
        <f t="shared" si="41"/>
        <v>0.990242476806942</v>
      </c>
      <c r="W186" s="39">
        <f>IF($C186="","",IF(DefaultScenario,IF(OR(AND(Default_Exchange="ALL",NOT(ISERROR(MATCH($C186,$AF$6:$AF$37,0)))),$C186=Default_Exchange),IF($G186&gt;0,-LGD,0),0),IF(OR($J186="SWAP",$J186="FUTURE",$J186="CME FUTURE"),IF('Futures &amp; Perps Shifted'!$AE$31,VLOOKUP($M186,'Futures &amp; Perps Shifted'!$AE$32:$AO$76,MATCH($R186,'Futures &amp; Perps Shifted'!$AE$30:$AO$30,0),FALSE),0),0)))</f>
        <v>0</v>
      </c>
      <c r="X186" s="17">
        <f t="shared" si="42"/>
        <v>0</v>
      </c>
      <c r="Y186" s="14" t="str">
        <f t="shared" si="44"/>
        <v>FUB2</v>
      </c>
      <c r="Z186" t="str">
        <f t="shared" si="43"/>
        <v>EOS COIN LONG</v>
      </c>
      <c r="AA186" t="b">
        <f>IF($C186="","",IF(ISERROR(VLOOKUP($Y186,Mappings!$A:$C,3,FALSE)),FALSE,VLOOKUP($Y186,Mappings!$A:$C,3,FALSE)))</f>
        <v>0</v>
      </c>
    </row>
    <row r="187" spans="1:27" customFormat="1" x14ac:dyDescent="0.25">
      <c r="A187" s="14">
        <v>185</v>
      </c>
      <c r="B187" s="71">
        <v>44939.000003900466</v>
      </c>
      <c r="C187" s="14" t="s">
        <v>39</v>
      </c>
      <c r="D187" s="23" t="s">
        <v>111</v>
      </c>
      <c r="E187" s="23" t="s">
        <v>29</v>
      </c>
      <c r="F187" s="101">
        <v>1E-8</v>
      </c>
      <c r="G187" s="153">
        <v>2.0917758217744E-7</v>
      </c>
      <c r="H187" s="157">
        <v>20.917758217744002</v>
      </c>
      <c r="I187" s="23">
        <v>0</v>
      </c>
      <c r="J187" s="23" t="s">
        <v>85</v>
      </c>
      <c r="K187" s="24">
        <v>44939.000003900466</v>
      </c>
      <c r="L187" s="23">
        <v>1</v>
      </c>
      <c r="M187" s="23" t="s">
        <v>29</v>
      </c>
      <c r="N187" s="45">
        <f t="shared" ref="N187:N250" si="46">IF($C187="","",IF(OR($J187="SWAP",$J187="FUTURE",$J187="CME FUTURE"),IF($L187=1,ROUND($G187/$H187/$F187,3),POWER(10,ROUND(LOG($G187/$F187),1))),1))</f>
        <v>1</v>
      </c>
      <c r="O187" s="159">
        <f t="shared" si="35"/>
        <v>1E-8</v>
      </c>
      <c r="P187" s="47">
        <f t="shared" si="36"/>
        <v>2.0917758217744002E-7</v>
      </c>
      <c r="Q187" s="25">
        <f t="shared" si="37"/>
        <v>0</v>
      </c>
      <c r="R187" s="26" t="str">
        <f t="shared" si="38"/>
        <v>COIN</v>
      </c>
      <c r="S187" s="26" t="str">
        <f t="shared" si="45"/>
        <v>LONG</v>
      </c>
      <c r="T187" s="26" t="str">
        <f t="shared" si="39"/>
        <v>COIN LONG</v>
      </c>
      <c r="U187" s="17">
        <f t="shared" si="40"/>
        <v>2.0917758217744E-7</v>
      </c>
      <c r="V187" s="17">
        <f t="shared" si="41"/>
        <v>20.917758217744002</v>
      </c>
      <c r="W187" s="39">
        <f>IF($C187="","",IF(DefaultScenario,IF(OR(AND(Default_Exchange="ALL",NOT(ISERROR(MATCH($C187,$AF$6:$AF$37,0)))),$C187=Default_Exchange),IF($G187&gt;0,-LGD,0),0),IF(OR($J187="SWAP",$J187="FUTURE",$J187="CME FUTURE"),IF('Futures &amp; Perps Shifted'!$AE$31,VLOOKUP($M187,'Futures &amp; Perps Shifted'!$AE$32:$AO$76,MATCH($R187,'Futures &amp; Perps Shifted'!$AE$30:$AO$30,0),FALSE),0),0)))</f>
        <v>0</v>
      </c>
      <c r="X187" s="17">
        <f t="shared" si="42"/>
        <v>0</v>
      </c>
      <c r="Y187" s="14" t="str">
        <f t="shared" si="44"/>
        <v>FUB2</v>
      </c>
      <c r="Z187" t="str">
        <f t="shared" si="43"/>
        <v>ETC COIN LONG</v>
      </c>
      <c r="AA187" t="b">
        <f>IF($C187="","",IF(ISERROR(VLOOKUP($Y187,Mappings!$A:$C,3,FALSE)),FALSE,VLOOKUP($Y187,Mappings!$A:$C,3,FALSE)))</f>
        <v>0</v>
      </c>
    </row>
    <row r="188" spans="1:27" customFormat="1" x14ac:dyDescent="0.25">
      <c r="A188" s="14">
        <v>186</v>
      </c>
      <c r="B188" s="71">
        <v>44939.000003900466</v>
      </c>
      <c r="C188" s="14" t="s">
        <v>39</v>
      </c>
      <c r="D188" s="23" t="s">
        <v>111</v>
      </c>
      <c r="E188" s="23" t="s">
        <v>15</v>
      </c>
      <c r="F188" s="101">
        <v>2.9999999999999997E-8</v>
      </c>
      <c r="G188" s="153">
        <v>4.2538155693336497E-5</v>
      </c>
      <c r="H188" s="157">
        <v>1417.9385231112101</v>
      </c>
      <c r="I188" s="23">
        <v>0</v>
      </c>
      <c r="J188" s="23" t="s">
        <v>85</v>
      </c>
      <c r="K188" s="24">
        <v>44939.000003900466</v>
      </c>
      <c r="L188" s="23">
        <v>1</v>
      </c>
      <c r="M188" s="23" t="s">
        <v>15</v>
      </c>
      <c r="N188" s="45">
        <f t="shared" si="46"/>
        <v>1</v>
      </c>
      <c r="O188" s="159">
        <f t="shared" si="35"/>
        <v>2.9999999999999997E-8</v>
      </c>
      <c r="P188" s="47">
        <f t="shared" si="36"/>
        <v>4.2538155693336301E-5</v>
      </c>
      <c r="Q188" s="25">
        <f t="shared" si="37"/>
        <v>0</v>
      </c>
      <c r="R188" s="26" t="str">
        <f t="shared" si="38"/>
        <v>COIN</v>
      </c>
      <c r="S188" s="26" t="str">
        <f t="shared" si="45"/>
        <v>LONG</v>
      </c>
      <c r="T188" s="26" t="str">
        <f t="shared" si="39"/>
        <v>COIN LONG</v>
      </c>
      <c r="U188" s="17">
        <f t="shared" si="40"/>
        <v>4.2538155693336497E-5</v>
      </c>
      <c r="V188" s="17">
        <f t="shared" si="41"/>
        <v>1417.9385231112101</v>
      </c>
      <c r="W188" s="39">
        <f>IF($C188="","",IF(DefaultScenario,IF(OR(AND(Default_Exchange="ALL",NOT(ISERROR(MATCH($C188,$AF$6:$AF$37,0)))),$C188=Default_Exchange),IF($G188&gt;0,-LGD,0),0),IF(OR($J188="SWAP",$J188="FUTURE",$J188="CME FUTURE"),IF('Futures &amp; Perps Shifted'!$AE$31,VLOOKUP($M188,'Futures &amp; Perps Shifted'!$AE$32:$AO$76,MATCH($R188,'Futures &amp; Perps Shifted'!$AE$30:$AO$30,0),FALSE),0),0)))</f>
        <v>0</v>
      </c>
      <c r="X188" s="17">
        <f t="shared" si="42"/>
        <v>0</v>
      </c>
      <c r="Y188" s="14" t="str">
        <f t="shared" si="44"/>
        <v>FUB2</v>
      </c>
      <c r="Z188" t="str">
        <f t="shared" si="43"/>
        <v>ETH COIN LONG</v>
      </c>
      <c r="AA188" t="b">
        <f>IF($C188="","",IF(ISERROR(VLOOKUP($Y188,Mappings!$A:$C,3,FALSE)),FALSE,VLOOKUP($Y188,Mappings!$A:$C,3,FALSE)))</f>
        <v>0</v>
      </c>
    </row>
    <row r="189" spans="1:27" customFormat="1" x14ac:dyDescent="0.25">
      <c r="A189" s="14">
        <v>187</v>
      </c>
      <c r="B189" s="71">
        <v>44939.000003900466</v>
      </c>
      <c r="C189" s="14" t="s">
        <v>39</v>
      </c>
      <c r="D189" s="23" t="s">
        <v>111</v>
      </c>
      <c r="E189" s="23" t="s">
        <v>24</v>
      </c>
      <c r="F189" s="101">
        <v>1E-8</v>
      </c>
      <c r="G189" s="153">
        <v>8.5964229450756099E-7</v>
      </c>
      <c r="H189" s="157">
        <v>85.964229450756093</v>
      </c>
      <c r="I189" s="23">
        <v>0</v>
      </c>
      <c r="J189" s="23" t="s">
        <v>85</v>
      </c>
      <c r="K189" s="24">
        <v>44939.000003900466</v>
      </c>
      <c r="L189" s="23">
        <v>1</v>
      </c>
      <c r="M189" s="23" t="s">
        <v>24</v>
      </c>
      <c r="N189" s="45">
        <f t="shared" si="46"/>
        <v>1</v>
      </c>
      <c r="O189" s="159">
        <f t="shared" si="35"/>
        <v>1E-8</v>
      </c>
      <c r="P189" s="47">
        <f t="shared" si="36"/>
        <v>8.5964229450756099E-7</v>
      </c>
      <c r="Q189" s="25">
        <f t="shared" si="37"/>
        <v>0</v>
      </c>
      <c r="R189" s="26" t="str">
        <f t="shared" si="38"/>
        <v>COIN</v>
      </c>
      <c r="S189" s="26" t="str">
        <f t="shared" si="45"/>
        <v>LONG</v>
      </c>
      <c r="T189" s="26" t="str">
        <f t="shared" si="39"/>
        <v>COIN LONG</v>
      </c>
      <c r="U189" s="17">
        <f t="shared" si="40"/>
        <v>8.5964229450756099E-7</v>
      </c>
      <c r="V189" s="17">
        <f t="shared" si="41"/>
        <v>85.964229450756093</v>
      </c>
      <c r="W189" s="39">
        <f>IF($C189="","",IF(DefaultScenario,IF(OR(AND(Default_Exchange="ALL",NOT(ISERROR(MATCH($C189,$AF$6:$AF$37,0)))),$C189=Default_Exchange),IF($G189&gt;0,-LGD,0),0),IF(OR($J189="SWAP",$J189="FUTURE",$J189="CME FUTURE"),IF('Futures &amp; Perps Shifted'!$AE$31,VLOOKUP($M189,'Futures &amp; Perps Shifted'!$AE$32:$AO$76,MATCH($R189,'Futures &amp; Perps Shifted'!$AE$30:$AO$30,0),FALSE),0),0)))</f>
        <v>0</v>
      </c>
      <c r="X189" s="17">
        <f t="shared" si="42"/>
        <v>0</v>
      </c>
      <c r="Y189" s="14" t="str">
        <f t="shared" si="44"/>
        <v>FUB2</v>
      </c>
      <c r="Z189" t="str">
        <f t="shared" si="43"/>
        <v>LTC COIN LONG</v>
      </c>
      <c r="AA189" t="b">
        <f>IF($C189="","",IF(ISERROR(VLOOKUP($Y189,Mappings!$A:$C,3,FALSE)),FALSE,VLOOKUP($Y189,Mappings!$A:$C,3,FALSE)))</f>
        <v>0</v>
      </c>
    </row>
    <row r="190" spans="1:27" customFormat="1" x14ac:dyDescent="0.25">
      <c r="A190" s="14">
        <v>188</v>
      </c>
      <c r="B190" s="71">
        <v>44939.000003900466</v>
      </c>
      <c r="C190" s="14" t="s">
        <v>39</v>
      </c>
      <c r="D190" s="23" t="s">
        <v>111</v>
      </c>
      <c r="E190" s="23" t="s">
        <v>25</v>
      </c>
      <c r="F190" s="101">
        <v>1E-8</v>
      </c>
      <c r="G190" s="153">
        <v>5.7111199630631599E-10</v>
      </c>
      <c r="H190" s="157">
        <v>5.7111199630631597E-2</v>
      </c>
      <c r="I190" s="23">
        <v>0</v>
      </c>
      <c r="J190" s="23" t="s">
        <v>85</v>
      </c>
      <c r="K190" s="24">
        <v>44939.000003900466</v>
      </c>
      <c r="L190" s="23">
        <v>1</v>
      </c>
      <c r="M190" s="23" t="s">
        <v>25</v>
      </c>
      <c r="N190" s="45">
        <f t="shared" si="46"/>
        <v>1</v>
      </c>
      <c r="O190" s="159">
        <f t="shared" si="35"/>
        <v>1E-8</v>
      </c>
      <c r="P190" s="47">
        <f t="shared" si="36"/>
        <v>5.7111199630631599E-10</v>
      </c>
      <c r="Q190" s="25">
        <f t="shared" si="37"/>
        <v>0</v>
      </c>
      <c r="R190" s="26" t="str">
        <f t="shared" si="38"/>
        <v>COIN</v>
      </c>
      <c r="S190" s="26" t="str">
        <f t="shared" si="45"/>
        <v>LONG</v>
      </c>
      <c r="T190" s="26" t="str">
        <f t="shared" si="39"/>
        <v>COIN LONG</v>
      </c>
      <c r="U190" s="17">
        <f t="shared" si="40"/>
        <v>5.7111199630631599E-10</v>
      </c>
      <c r="V190" s="17">
        <f t="shared" si="41"/>
        <v>5.7111199630631597E-2</v>
      </c>
      <c r="W190" s="39">
        <f>IF($C190="","",IF(DefaultScenario,IF(OR(AND(Default_Exchange="ALL",NOT(ISERROR(MATCH($C190,$AF$6:$AF$37,0)))),$C190=Default_Exchange),IF($G190&gt;0,-LGD,0),0),IF(OR($J190="SWAP",$J190="FUTURE",$J190="CME FUTURE"),IF('Futures &amp; Perps Shifted'!$AE$31,VLOOKUP($M190,'Futures &amp; Perps Shifted'!$AE$32:$AO$76,MATCH($R190,'Futures &amp; Perps Shifted'!$AE$30:$AO$30,0),FALSE),0),0)))</f>
        <v>0</v>
      </c>
      <c r="X190" s="17">
        <f t="shared" si="42"/>
        <v>0</v>
      </c>
      <c r="Y190" s="14" t="str">
        <f t="shared" si="44"/>
        <v>FUB2</v>
      </c>
      <c r="Z190" t="str">
        <f t="shared" si="43"/>
        <v>TRX COIN LONG</v>
      </c>
      <c r="AA190" t="b">
        <f>IF($C190="","",IF(ISERROR(VLOOKUP($Y190,Mappings!$A:$C,3,FALSE)),FALSE,VLOOKUP($Y190,Mappings!$A:$C,3,FALSE)))</f>
        <v>0</v>
      </c>
    </row>
    <row r="191" spans="1:27" customFormat="1" x14ac:dyDescent="0.25">
      <c r="A191" s="14">
        <v>189</v>
      </c>
      <c r="B191" s="71">
        <v>44939.000003900466</v>
      </c>
      <c r="C191" s="14" t="s">
        <v>39</v>
      </c>
      <c r="D191" s="23" t="s">
        <v>111</v>
      </c>
      <c r="E191" s="23" t="s">
        <v>99</v>
      </c>
      <c r="F191" s="101">
        <v>9.9999999999999995E-8</v>
      </c>
      <c r="G191" s="153">
        <v>3.7519714224190102E-8</v>
      </c>
      <c r="H191" s="157">
        <v>0.37519714224190098</v>
      </c>
      <c r="I191" s="23">
        <v>0</v>
      </c>
      <c r="J191" s="23" t="s">
        <v>85</v>
      </c>
      <c r="K191" s="24">
        <v>44939.000003900466</v>
      </c>
      <c r="L191" s="23">
        <v>1</v>
      </c>
      <c r="M191" s="23" t="s">
        <v>99</v>
      </c>
      <c r="N191" s="45">
        <f t="shared" si="46"/>
        <v>1</v>
      </c>
      <c r="O191" s="159">
        <f t="shared" si="35"/>
        <v>9.9999999999999995E-8</v>
      </c>
      <c r="P191" s="47">
        <f t="shared" si="36"/>
        <v>3.7519714224190096E-8</v>
      </c>
      <c r="Q191" s="25">
        <f t="shared" si="37"/>
        <v>0</v>
      </c>
      <c r="R191" s="26" t="str">
        <f t="shared" si="38"/>
        <v>COIN</v>
      </c>
      <c r="S191" s="26" t="str">
        <f t="shared" si="45"/>
        <v>LONG</v>
      </c>
      <c r="T191" s="26" t="str">
        <f t="shared" si="39"/>
        <v>COIN LONG</v>
      </c>
      <c r="U191" s="17">
        <f t="shared" si="40"/>
        <v>3.7519714224190102E-8</v>
      </c>
      <c r="V191" s="17">
        <f t="shared" si="41"/>
        <v>0.37519714224190098</v>
      </c>
      <c r="W191" s="39">
        <f>IF($C191="","",IF(DefaultScenario,IF(OR(AND(Default_Exchange="ALL",NOT(ISERROR(MATCH($C191,$AF$6:$AF$37,0)))),$C191=Default_Exchange),IF($G191&gt;0,-LGD,0),0),IF(OR($J191="SWAP",$J191="FUTURE",$J191="CME FUTURE"),IF('Futures &amp; Perps Shifted'!$AE$31,VLOOKUP($M191,'Futures &amp; Perps Shifted'!$AE$32:$AO$76,MATCH($R191,'Futures &amp; Perps Shifted'!$AE$30:$AO$30,0),FALSE),0),0)))</f>
        <v>0</v>
      </c>
      <c r="X191" s="17">
        <f t="shared" si="42"/>
        <v>0</v>
      </c>
      <c r="Y191" s="14" t="str">
        <f t="shared" si="44"/>
        <v>FUB2</v>
      </c>
      <c r="Z191" t="str">
        <f t="shared" si="43"/>
        <v>XRP COIN LONG</v>
      </c>
      <c r="AA191" t="b">
        <f>IF($C191="","",IF(ISERROR(VLOOKUP($Y191,Mappings!$A:$C,3,FALSE)),FALSE,VLOOKUP($Y191,Mappings!$A:$C,3,FALSE)))</f>
        <v>0</v>
      </c>
    </row>
    <row r="192" spans="1:27" customFormat="1" x14ac:dyDescent="0.25">
      <c r="A192" s="14">
        <v>190</v>
      </c>
      <c r="B192" s="71">
        <v>44939.000004780093</v>
      </c>
      <c r="C192" s="14" t="s">
        <v>39</v>
      </c>
      <c r="D192" s="23" t="s">
        <v>40</v>
      </c>
      <c r="E192" s="23" t="s">
        <v>84</v>
      </c>
      <c r="F192" s="101">
        <v>5.7406599999999999E-3</v>
      </c>
      <c r="G192" s="153">
        <v>1.8930312856203001E-3</v>
      </c>
      <c r="H192" s="157">
        <v>0.329758474743375</v>
      </c>
      <c r="I192" s="23">
        <v>0</v>
      </c>
      <c r="J192" s="23" t="s">
        <v>85</v>
      </c>
      <c r="K192" s="24">
        <v>44939.000004780093</v>
      </c>
      <c r="L192" s="23">
        <v>1</v>
      </c>
      <c r="M192" s="23" t="s">
        <v>84</v>
      </c>
      <c r="N192" s="45">
        <f t="shared" si="46"/>
        <v>1</v>
      </c>
      <c r="O192" s="159">
        <f t="shared" si="35"/>
        <v>5.7406599999999999E-3</v>
      </c>
      <c r="P192" s="47">
        <f t="shared" si="36"/>
        <v>1.8930312856203031E-3</v>
      </c>
      <c r="Q192" s="25">
        <f t="shared" si="37"/>
        <v>0</v>
      </c>
      <c r="R192" s="26" t="str">
        <f t="shared" si="38"/>
        <v>COIN</v>
      </c>
      <c r="S192" s="26" t="str">
        <f t="shared" si="45"/>
        <v>LONG</v>
      </c>
      <c r="T192" s="26" t="str">
        <f t="shared" si="39"/>
        <v>COIN LONG</v>
      </c>
      <c r="U192" s="17">
        <f t="shared" si="40"/>
        <v>1.8930312856203001E-3</v>
      </c>
      <c r="V192" s="17">
        <f t="shared" si="41"/>
        <v>0.329758474743375</v>
      </c>
      <c r="W192" s="39">
        <f>IF($C192="","",IF(DefaultScenario,IF(OR(AND(Default_Exchange="ALL",NOT(ISERROR(MATCH($C192,$AF$6:$AF$37,0)))),$C192=Default_Exchange),IF($G192&gt;0,-LGD,0),0),IF(OR($J192="SWAP",$J192="FUTURE",$J192="CME FUTURE"),IF('Futures &amp; Perps Shifted'!$AE$31,VLOOKUP($M192,'Futures &amp; Perps Shifted'!$AE$32:$AO$76,MATCH($R192,'Futures &amp; Perps Shifted'!$AE$30:$AO$30,0),FALSE),0),0)))</f>
        <v>0</v>
      </c>
      <c r="X192" s="17">
        <f t="shared" si="42"/>
        <v>0</v>
      </c>
      <c r="Y192" s="14" t="str">
        <f t="shared" si="44"/>
        <v>FUBI</v>
      </c>
      <c r="Z192" t="str">
        <f t="shared" si="43"/>
        <v>ADA COIN LONG</v>
      </c>
      <c r="AA192" t="b">
        <f>IF($C192="","",IF(ISERROR(VLOOKUP($Y192,Mappings!$A:$C,3,FALSE)),FALSE,VLOOKUP($Y192,Mappings!$A:$C,3,FALSE)))</f>
        <v>1</v>
      </c>
    </row>
    <row r="193" spans="1:27" customFormat="1" x14ac:dyDescent="0.25">
      <c r="A193" s="14">
        <v>191</v>
      </c>
      <c r="B193" s="71">
        <v>44939.000004780093</v>
      </c>
      <c r="C193" s="14" t="s">
        <v>39</v>
      </c>
      <c r="D193" s="23" t="s">
        <v>40</v>
      </c>
      <c r="E193" s="23" t="s">
        <v>20</v>
      </c>
      <c r="F193" s="101">
        <v>0.72885027999999996</v>
      </c>
      <c r="G193" s="153">
        <v>87.251006763183298</v>
      </c>
      <c r="H193" s="157">
        <v>119.710466137412</v>
      </c>
      <c r="I193" s="23">
        <v>0</v>
      </c>
      <c r="J193" s="23" t="s">
        <v>85</v>
      </c>
      <c r="K193" s="24">
        <v>44939.000004780093</v>
      </c>
      <c r="L193" s="23">
        <v>1</v>
      </c>
      <c r="M193" s="23" t="s">
        <v>20</v>
      </c>
      <c r="N193" s="45">
        <f t="shared" si="46"/>
        <v>1</v>
      </c>
      <c r="O193" s="159">
        <f t="shared" si="35"/>
        <v>0.72885027999999996</v>
      </c>
      <c r="P193" s="47">
        <f t="shared" si="36"/>
        <v>87.251006763183256</v>
      </c>
      <c r="Q193" s="25">
        <f t="shared" si="37"/>
        <v>0</v>
      </c>
      <c r="R193" s="26" t="str">
        <f t="shared" si="38"/>
        <v>COIN</v>
      </c>
      <c r="S193" s="26" t="str">
        <f t="shared" si="45"/>
        <v>LONG</v>
      </c>
      <c r="T193" s="26" t="str">
        <f t="shared" si="39"/>
        <v>COIN LONG</v>
      </c>
      <c r="U193" s="17">
        <f t="shared" si="40"/>
        <v>87.251006763183298</v>
      </c>
      <c r="V193" s="17">
        <f t="shared" si="41"/>
        <v>119.710466137412</v>
      </c>
      <c r="W193" s="39">
        <f>IF($C193="","",IF(DefaultScenario,IF(OR(AND(Default_Exchange="ALL",NOT(ISERROR(MATCH($C193,$AF$6:$AF$37,0)))),$C193=Default_Exchange),IF($G193&gt;0,-LGD,0),0),IF(OR($J193="SWAP",$J193="FUTURE",$J193="CME FUTURE"),IF('Futures &amp; Perps Shifted'!$AE$31,VLOOKUP($M193,'Futures &amp; Perps Shifted'!$AE$32:$AO$76,MATCH($R193,'Futures &amp; Perps Shifted'!$AE$30:$AO$30,0),FALSE),0),0)))</f>
        <v>0</v>
      </c>
      <c r="X193" s="17">
        <f t="shared" si="42"/>
        <v>0</v>
      </c>
      <c r="Y193" s="14" t="str">
        <f t="shared" si="44"/>
        <v>FUBI</v>
      </c>
      <c r="Z193" t="str">
        <f t="shared" si="43"/>
        <v>BCH COIN LONG</v>
      </c>
      <c r="AA193" t="b">
        <f>IF($C193="","",IF(ISERROR(VLOOKUP($Y193,Mappings!$A:$C,3,FALSE)),FALSE,VLOOKUP($Y193,Mappings!$A:$C,3,FALSE)))</f>
        <v>1</v>
      </c>
    </row>
    <row r="194" spans="1:27" customFormat="1" x14ac:dyDescent="0.25">
      <c r="A194" s="14">
        <v>192</v>
      </c>
      <c r="B194" s="71">
        <v>44939.000004780093</v>
      </c>
      <c r="C194" s="14" t="s">
        <v>39</v>
      </c>
      <c r="D194" s="23" t="s">
        <v>40</v>
      </c>
      <c r="E194" s="23" t="s">
        <v>113</v>
      </c>
      <c r="F194" s="101">
        <v>0.11285791000000001</v>
      </c>
      <c r="G194" s="153">
        <v>4.7567336078469902</v>
      </c>
      <c r="H194" s="157">
        <v>42.1479859749927</v>
      </c>
      <c r="I194" s="23">
        <v>0</v>
      </c>
      <c r="J194" s="23" t="s">
        <v>85</v>
      </c>
      <c r="K194" s="24">
        <v>44939.000004780093</v>
      </c>
      <c r="L194" s="23">
        <v>1</v>
      </c>
      <c r="M194" s="23" t="s">
        <v>113</v>
      </c>
      <c r="N194" s="45">
        <f t="shared" si="46"/>
        <v>1</v>
      </c>
      <c r="O194" s="159">
        <f t="shared" ref="O194:O257" si="47">IF($C194="","",IF(OR($J194="SWAP",$J194="FUTURE",$J194="CME FUTURE"),IF($L194=1,$F194*$N194,$AB$2*$F194*$N194/$H194),F194))</f>
        <v>0.11285791000000001</v>
      </c>
      <c r="P194" s="47">
        <f t="shared" ref="P194:P257" si="48">IF($C194="","",IF(OR($J194="SWAP",$J194="FUTURE",$J194="CME FUTURE"),IF(NOT(ISERROR(VLOOKUP($M194,SpotUSDRateTable,2,FALSE))),VLOOKUP($M194,SpotUSDRateTable,2,FALSE),$H194)*O194,VLOOKUP($M194,SpotUSDRateTable,2,FALSE)*O194))</f>
        <v>4.7567336078469884</v>
      </c>
      <c r="Q194" s="25">
        <f t="shared" si="37"/>
        <v>0</v>
      </c>
      <c r="R194" s="26" t="str">
        <f t="shared" si="38"/>
        <v>COIN</v>
      </c>
      <c r="S194" s="26" t="str">
        <f t="shared" si="45"/>
        <v>LONG</v>
      </c>
      <c r="T194" s="26" t="str">
        <f t="shared" si="39"/>
        <v>COIN LONG</v>
      </c>
      <c r="U194" s="17">
        <f t="shared" si="40"/>
        <v>4.7567336078469902</v>
      </c>
      <c r="V194" s="17">
        <f t="shared" si="41"/>
        <v>42.1479859749927</v>
      </c>
      <c r="W194" s="39">
        <f>IF($C194="","",IF(DefaultScenario,IF(OR(AND(Default_Exchange="ALL",NOT(ISERROR(MATCH($C194,$AF$6:$AF$37,0)))),$C194=Default_Exchange),IF($G194&gt;0,-LGD,0),0),IF(OR($J194="SWAP",$J194="FUTURE",$J194="CME FUTURE"),IF('Futures &amp; Perps Shifted'!$AE$31,VLOOKUP($M194,'Futures &amp; Perps Shifted'!$AE$32:$AO$76,MATCH($R194,'Futures &amp; Perps Shifted'!$AE$30:$AO$30,0),FALSE),0),0)))</f>
        <v>0</v>
      </c>
      <c r="X194" s="17">
        <f t="shared" si="42"/>
        <v>0</v>
      </c>
      <c r="Y194" s="14" t="str">
        <f t="shared" si="44"/>
        <v>FUBI</v>
      </c>
      <c r="Z194" t="str">
        <f t="shared" si="43"/>
        <v>BSV COIN LONG</v>
      </c>
      <c r="AA194" t="b">
        <f>IF($C194="","",IF(ISERROR(VLOOKUP($Y194,Mappings!$A:$C,3,FALSE)),FALSE,VLOOKUP($Y194,Mappings!$A:$C,3,FALSE)))</f>
        <v>1</v>
      </c>
    </row>
    <row r="195" spans="1:27" customFormat="1" x14ac:dyDescent="0.25">
      <c r="A195" s="14">
        <v>193</v>
      </c>
      <c r="B195" s="71">
        <v>44939.000004780093</v>
      </c>
      <c r="C195" s="14" t="s">
        <v>39</v>
      </c>
      <c r="D195" s="23" t="s">
        <v>40</v>
      </c>
      <c r="E195" s="23" t="s">
        <v>14</v>
      </c>
      <c r="F195" s="101">
        <v>5.1900000000000003E-6</v>
      </c>
      <c r="G195" s="153">
        <v>9.7933162006828306E-2</v>
      </c>
      <c r="H195" s="157">
        <v>18869.5880552655</v>
      </c>
      <c r="I195" s="23">
        <v>0</v>
      </c>
      <c r="J195" s="23" t="s">
        <v>85</v>
      </c>
      <c r="K195" s="24">
        <v>44939.000004780093</v>
      </c>
      <c r="L195" s="23">
        <v>1</v>
      </c>
      <c r="M195" s="23" t="s">
        <v>14</v>
      </c>
      <c r="N195" s="45">
        <f t="shared" si="46"/>
        <v>1</v>
      </c>
      <c r="O195" s="159">
        <f t="shared" si="47"/>
        <v>5.1900000000000003E-6</v>
      </c>
      <c r="P195" s="47">
        <f t="shared" si="48"/>
        <v>9.7933162006827945E-2</v>
      </c>
      <c r="Q195" s="25">
        <f t="shared" ref="Q195:Q258" si="49">IF($C195="","",IF(OR($J195="SWAP",$J195="FUTURE",$J195="CME FUTURE"),INT($K195-$B195),0))</f>
        <v>0</v>
      </c>
      <c r="R195" s="26" t="str">
        <f t="shared" ref="R195:R258" si="50">IF($C195="","",IF(OR($E195="USD",$E195="EUR"),"CASH",IF($Q195=0,"COIN",IF($Q195&gt;720,"PERP",IF($J195="FUTURE",TEXT($K195-1,"mmm yy"),"CME "&amp;TEXT($K195-1,"mmm yy"))))))</f>
        <v>COIN</v>
      </c>
      <c r="S195" s="26" t="str">
        <f t="shared" si="45"/>
        <v>LONG</v>
      </c>
      <c r="T195" s="26" t="str">
        <f t="shared" ref="T195:T258" si="51">IF($C195="","",$R195&amp;" "&amp;$S195)</f>
        <v>COIN LONG</v>
      </c>
      <c r="U195" s="17">
        <f t="shared" ref="U195:U258" si="52">IF($C195="","",$G195*(1+$W195))</f>
        <v>9.7933162006828306E-2</v>
      </c>
      <c r="V195" s="17">
        <f t="shared" ref="V195:V258" si="53">IF($C195="","",$H195*(1+$W195))</f>
        <v>18869.5880552655</v>
      </c>
      <c r="W195" s="39">
        <f>IF($C195="","",IF(DefaultScenario,IF(OR(AND(Default_Exchange="ALL",NOT(ISERROR(MATCH($C195,$AF$6:$AF$37,0)))),$C195=Default_Exchange),IF($G195&gt;0,-LGD,0),0),IF(OR($J195="SWAP",$J195="FUTURE",$J195="CME FUTURE"),IF('Futures &amp; Perps Shifted'!$AE$31,VLOOKUP($M195,'Futures &amp; Perps Shifted'!$AE$32:$AO$76,MATCH($R195,'Futures &amp; Perps Shifted'!$AE$30:$AO$30,0),FALSE),0),0)))</f>
        <v>0</v>
      </c>
      <c r="X195" s="17">
        <f t="shared" ref="X195:X258" si="54">IF($C195="","",$U195-$G195)</f>
        <v>0</v>
      </c>
      <c r="Y195" s="14" t="str">
        <f t="shared" si="44"/>
        <v>FUBI</v>
      </c>
      <c r="Z195" t="str">
        <f t="shared" ref="Z195:Z258" si="55">IF($C195="","",$M195&amp;" "&amp;$T195)</f>
        <v>BTC COIN LONG</v>
      </c>
      <c r="AA195" t="b">
        <f>IF($C195="","",IF(ISERROR(VLOOKUP($Y195,Mappings!$A:$C,3,FALSE)),FALSE,VLOOKUP($Y195,Mappings!$A:$C,3,FALSE)))</f>
        <v>1</v>
      </c>
    </row>
    <row r="196" spans="1:27" customFormat="1" x14ac:dyDescent="0.25">
      <c r="A196" s="14">
        <v>194</v>
      </c>
      <c r="B196" s="71">
        <v>44939.000004780093</v>
      </c>
      <c r="C196" s="14" t="s">
        <v>39</v>
      </c>
      <c r="D196" s="23" t="s">
        <v>40</v>
      </c>
      <c r="E196" s="23" t="s">
        <v>22</v>
      </c>
      <c r="F196" s="101">
        <v>0.97764076</v>
      </c>
      <c r="G196" s="153">
        <v>5.1125507867595497</v>
      </c>
      <c r="H196" s="157">
        <v>5.2294779390740098</v>
      </c>
      <c r="I196" s="23">
        <v>0</v>
      </c>
      <c r="J196" s="23" t="s">
        <v>85</v>
      </c>
      <c r="K196" s="24">
        <v>44939.000004780093</v>
      </c>
      <c r="L196" s="23">
        <v>1</v>
      </c>
      <c r="M196" s="23" t="s">
        <v>22</v>
      </c>
      <c r="N196" s="45">
        <f t="shared" si="46"/>
        <v>1</v>
      </c>
      <c r="O196" s="159">
        <f t="shared" si="47"/>
        <v>0.97764076</v>
      </c>
      <c r="P196" s="47">
        <f t="shared" si="48"/>
        <v>5.1125507867595488</v>
      </c>
      <c r="Q196" s="25">
        <f t="shared" si="49"/>
        <v>0</v>
      </c>
      <c r="R196" s="26" t="str">
        <f t="shared" si="50"/>
        <v>COIN</v>
      </c>
      <c r="S196" s="26" t="str">
        <f t="shared" si="45"/>
        <v>LONG</v>
      </c>
      <c r="T196" s="26" t="str">
        <f t="shared" si="51"/>
        <v>COIN LONG</v>
      </c>
      <c r="U196" s="17">
        <f t="shared" si="52"/>
        <v>5.1125507867595497</v>
      </c>
      <c r="V196" s="17">
        <f t="shared" si="53"/>
        <v>5.2294779390740098</v>
      </c>
      <c r="W196" s="39">
        <f>IF($C196="","",IF(DefaultScenario,IF(OR(AND(Default_Exchange="ALL",NOT(ISERROR(MATCH($C196,$AF$6:$AF$37,0)))),$C196=Default_Exchange),IF($G196&gt;0,-LGD,0),0),IF(OR($J196="SWAP",$J196="FUTURE",$J196="CME FUTURE"),IF('Futures &amp; Perps Shifted'!$AE$31,VLOOKUP($M196,'Futures &amp; Perps Shifted'!$AE$32:$AO$76,MATCH($R196,'Futures &amp; Perps Shifted'!$AE$30:$AO$30,0),FALSE),0),0)))</f>
        <v>0</v>
      </c>
      <c r="X196" s="17">
        <f t="shared" si="54"/>
        <v>0</v>
      </c>
      <c r="Y196" s="14" t="str">
        <f t="shared" si="44"/>
        <v>FUBI</v>
      </c>
      <c r="Z196" t="str">
        <f t="shared" si="55"/>
        <v>DOT COIN LONG</v>
      </c>
      <c r="AA196" t="b">
        <f>IF($C196="","",IF(ISERROR(VLOOKUP($Y196,Mappings!$A:$C,3,FALSE)),FALSE,VLOOKUP($Y196,Mappings!$A:$C,3,FALSE)))</f>
        <v>1</v>
      </c>
    </row>
    <row r="197" spans="1:27" customFormat="1" x14ac:dyDescent="0.25">
      <c r="A197" s="14">
        <v>195</v>
      </c>
      <c r="B197" s="71">
        <v>44939.000004780093</v>
      </c>
      <c r="C197" s="14" t="s">
        <v>39</v>
      </c>
      <c r="D197" s="23" t="s">
        <v>40</v>
      </c>
      <c r="E197" s="23" t="s">
        <v>23</v>
      </c>
      <c r="F197" s="101">
        <v>3.7085149999999997E-2</v>
      </c>
      <c r="G197" s="153">
        <v>3.6723290788756899E-2</v>
      </c>
      <c r="H197" s="157">
        <v>0.990242476806942</v>
      </c>
      <c r="I197" s="23">
        <v>0</v>
      </c>
      <c r="J197" s="23" t="s">
        <v>85</v>
      </c>
      <c r="K197" s="24">
        <v>44939.000004780093</v>
      </c>
      <c r="L197" s="23">
        <v>1</v>
      </c>
      <c r="M197" s="23" t="s">
        <v>23</v>
      </c>
      <c r="N197" s="45">
        <f t="shared" si="46"/>
        <v>1</v>
      </c>
      <c r="O197" s="159">
        <f t="shared" si="47"/>
        <v>3.7085149999999997E-2</v>
      </c>
      <c r="P197" s="47">
        <f t="shared" si="48"/>
        <v>3.6723290788756961E-2</v>
      </c>
      <c r="Q197" s="25">
        <f t="shared" si="49"/>
        <v>0</v>
      </c>
      <c r="R197" s="26" t="str">
        <f t="shared" si="50"/>
        <v>COIN</v>
      </c>
      <c r="S197" s="26" t="str">
        <f t="shared" si="45"/>
        <v>LONG</v>
      </c>
      <c r="T197" s="26" t="str">
        <f t="shared" si="51"/>
        <v>COIN LONG</v>
      </c>
      <c r="U197" s="17">
        <f t="shared" si="52"/>
        <v>3.6723290788756899E-2</v>
      </c>
      <c r="V197" s="17">
        <f t="shared" si="53"/>
        <v>0.990242476806942</v>
      </c>
      <c r="W197" s="39">
        <f>IF($C197="","",IF(DefaultScenario,IF(OR(AND(Default_Exchange="ALL",NOT(ISERROR(MATCH($C197,$AF$6:$AF$37,0)))),$C197=Default_Exchange),IF($G197&gt;0,-LGD,0),0),IF(OR($J197="SWAP",$J197="FUTURE",$J197="CME FUTURE"),IF('Futures &amp; Perps Shifted'!$AE$31,VLOOKUP($M197,'Futures &amp; Perps Shifted'!$AE$32:$AO$76,MATCH($R197,'Futures &amp; Perps Shifted'!$AE$30:$AO$30,0),FALSE),0),0)))</f>
        <v>0</v>
      </c>
      <c r="X197" s="17">
        <f t="shared" si="54"/>
        <v>0</v>
      </c>
      <c r="Y197" s="14" t="str">
        <f t="shared" si="44"/>
        <v>FUBI</v>
      </c>
      <c r="Z197" t="str">
        <f t="shared" si="55"/>
        <v>EOS COIN LONG</v>
      </c>
      <c r="AA197" t="b">
        <f>IF($C197="","",IF(ISERROR(VLOOKUP($Y197,Mappings!$A:$C,3,FALSE)),FALSE,VLOOKUP($Y197,Mappings!$A:$C,3,FALSE)))</f>
        <v>1</v>
      </c>
    </row>
    <row r="198" spans="1:27" customFormat="1" x14ac:dyDescent="0.25">
      <c r="A198" s="14">
        <v>196</v>
      </c>
      <c r="B198" s="71">
        <v>44939.000004780093</v>
      </c>
      <c r="C198" s="14" t="s">
        <v>39</v>
      </c>
      <c r="D198" s="23" t="s">
        <v>40</v>
      </c>
      <c r="E198" s="23" t="s">
        <v>29</v>
      </c>
      <c r="F198" s="101">
        <v>0.70701212999999996</v>
      </c>
      <c r="G198" s="153">
        <v>14.7891087923522</v>
      </c>
      <c r="H198" s="157">
        <v>20.917758217744002</v>
      </c>
      <c r="I198" s="23">
        <v>0</v>
      </c>
      <c r="J198" s="23" t="s">
        <v>85</v>
      </c>
      <c r="K198" s="24">
        <v>44939.000004780093</v>
      </c>
      <c r="L198" s="23">
        <v>1</v>
      </c>
      <c r="M198" s="23" t="s">
        <v>29</v>
      </c>
      <c r="N198" s="45">
        <f t="shared" si="46"/>
        <v>1</v>
      </c>
      <c r="O198" s="159">
        <f t="shared" si="47"/>
        <v>0.70701212999999996</v>
      </c>
      <c r="P198" s="47">
        <f t="shared" si="48"/>
        <v>14.78910879235219</v>
      </c>
      <c r="Q198" s="25">
        <f t="shared" si="49"/>
        <v>0</v>
      </c>
      <c r="R198" s="26" t="str">
        <f t="shared" si="50"/>
        <v>COIN</v>
      </c>
      <c r="S198" s="26" t="str">
        <f t="shared" si="45"/>
        <v>LONG</v>
      </c>
      <c r="T198" s="26" t="str">
        <f t="shared" si="51"/>
        <v>COIN LONG</v>
      </c>
      <c r="U198" s="17">
        <f t="shared" si="52"/>
        <v>14.7891087923522</v>
      </c>
      <c r="V198" s="17">
        <f t="shared" si="53"/>
        <v>20.917758217744002</v>
      </c>
      <c r="W198" s="39">
        <f>IF($C198="","",IF(DefaultScenario,IF(OR(AND(Default_Exchange="ALL",NOT(ISERROR(MATCH($C198,$AF$6:$AF$37,0)))),$C198=Default_Exchange),IF($G198&gt;0,-LGD,0),0),IF(OR($J198="SWAP",$J198="FUTURE",$J198="CME FUTURE"),IF('Futures &amp; Perps Shifted'!$AE$31,VLOOKUP($M198,'Futures &amp; Perps Shifted'!$AE$32:$AO$76,MATCH($R198,'Futures &amp; Perps Shifted'!$AE$30:$AO$30,0),FALSE),0),0)))</f>
        <v>0</v>
      </c>
      <c r="X198" s="17">
        <f t="shared" si="54"/>
        <v>0</v>
      </c>
      <c r="Y198" s="14" t="str">
        <f t="shared" si="44"/>
        <v>FUBI</v>
      </c>
      <c r="Z198" t="str">
        <f t="shared" si="55"/>
        <v>ETC COIN LONG</v>
      </c>
      <c r="AA198" t="b">
        <f>IF($C198="","",IF(ISERROR(VLOOKUP($Y198,Mappings!$A:$C,3,FALSE)),FALSE,VLOOKUP($Y198,Mappings!$A:$C,3,FALSE)))</f>
        <v>1</v>
      </c>
    </row>
    <row r="199" spans="1:27" customFormat="1" x14ac:dyDescent="0.25">
      <c r="A199" s="14">
        <v>197</v>
      </c>
      <c r="B199" s="71">
        <v>44939.000004780093</v>
      </c>
      <c r="C199" s="14" t="s">
        <v>39</v>
      </c>
      <c r="D199" s="23" t="s">
        <v>40</v>
      </c>
      <c r="E199" s="23" t="s">
        <v>15</v>
      </c>
      <c r="F199" s="101">
        <v>9.5337999999999998E-4</v>
      </c>
      <c r="G199" s="153">
        <v>1.3518342291637699</v>
      </c>
      <c r="H199" s="157">
        <v>1417.9385231112101</v>
      </c>
      <c r="I199" s="23">
        <v>0</v>
      </c>
      <c r="J199" s="23" t="s">
        <v>85</v>
      </c>
      <c r="K199" s="24">
        <v>44939.000004780093</v>
      </c>
      <c r="L199" s="23">
        <v>1</v>
      </c>
      <c r="M199" s="23" t="s">
        <v>15</v>
      </c>
      <c r="N199" s="45">
        <f t="shared" si="46"/>
        <v>1</v>
      </c>
      <c r="O199" s="159">
        <f t="shared" si="47"/>
        <v>9.5337999999999998E-4</v>
      </c>
      <c r="P199" s="47">
        <f t="shared" si="48"/>
        <v>1.3518342291637655</v>
      </c>
      <c r="Q199" s="25">
        <f t="shared" si="49"/>
        <v>0</v>
      </c>
      <c r="R199" s="26" t="str">
        <f t="shared" si="50"/>
        <v>COIN</v>
      </c>
      <c r="S199" s="26" t="str">
        <f t="shared" si="45"/>
        <v>LONG</v>
      </c>
      <c r="T199" s="26" t="str">
        <f t="shared" si="51"/>
        <v>COIN LONG</v>
      </c>
      <c r="U199" s="17">
        <f t="shared" si="52"/>
        <v>1.3518342291637699</v>
      </c>
      <c r="V199" s="17">
        <f t="shared" si="53"/>
        <v>1417.9385231112101</v>
      </c>
      <c r="W199" s="39">
        <f>IF($C199="","",IF(DefaultScenario,IF(OR(AND(Default_Exchange="ALL",NOT(ISERROR(MATCH($C199,$AF$6:$AF$37,0)))),$C199=Default_Exchange),IF($G199&gt;0,-LGD,0),0),IF(OR($J199="SWAP",$J199="FUTURE",$J199="CME FUTURE"),IF('Futures &amp; Perps Shifted'!$AE$31,VLOOKUP($M199,'Futures &amp; Perps Shifted'!$AE$32:$AO$76,MATCH($R199,'Futures &amp; Perps Shifted'!$AE$30:$AO$30,0),FALSE),0),0)))</f>
        <v>0</v>
      </c>
      <c r="X199" s="17">
        <f t="shared" si="54"/>
        <v>0</v>
      </c>
      <c r="Y199" s="14" t="str">
        <f t="shared" si="44"/>
        <v>FUBI</v>
      </c>
      <c r="Z199" t="str">
        <f t="shared" si="55"/>
        <v>ETH COIN LONG</v>
      </c>
      <c r="AA199" t="b">
        <f>IF($C199="","",IF(ISERROR(VLOOKUP($Y199,Mappings!$A:$C,3,FALSE)),FALSE,VLOOKUP($Y199,Mappings!$A:$C,3,FALSE)))</f>
        <v>1</v>
      </c>
    </row>
    <row r="200" spans="1:27" customFormat="1" x14ac:dyDescent="0.25">
      <c r="A200" s="14">
        <v>198</v>
      </c>
      <c r="B200" s="71">
        <v>44939.000004780093</v>
      </c>
      <c r="C200" s="14" t="s">
        <v>39</v>
      </c>
      <c r="D200" s="23" t="s">
        <v>40</v>
      </c>
      <c r="E200" s="23" t="s">
        <v>27</v>
      </c>
      <c r="F200" s="101">
        <v>6.244243E-2</v>
      </c>
      <c r="G200" s="153">
        <v>0.39846584876989299</v>
      </c>
      <c r="H200" s="157">
        <v>6.38133155243787</v>
      </c>
      <c r="I200" s="23">
        <v>0</v>
      </c>
      <c r="J200" s="23" t="s">
        <v>85</v>
      </c>
      <c r="K200" s="24">
        <v>44939.000004780093</v>
      </c>
      <c r="L200" s="23">
        <v>1</v>
      </c>
      <c r="M200" s="23" t="s">
        <v>27</v>
      </c>
      <c r="N200" s="45">
        <f t="shared" si="46"/>
        <v>1</v>
      </c>
      <c r="O200" s="159">
        <f t="shared" si="47"/>
        <v>6.244243E-2</v>
      </c>
      <c r="P200" s="47">
        <f t="shared" si="48"/>
        <v>0.39846584876989305</v>
      </c>
      <c r="Q200" s="25">
        <f t="shared" si="49"/>
        <v>0</v>
      </c>
      <c r="R200" s="26" t="str">
        <f t="shared" si="50"/>
        <v>COIN</v>
      </c>
      <c r="S200" s="26" t="str">
        <f t="shared" si="45"/>
        <v>LONG</v>
      </c>
      <c r="T200" s="26" t="str">
        <f t="shared" si="51"/>
        <v>COIN LONG</v>
      </c>
      <c r="U200" s="17">
        <f t="shared" si="52"/>
        <v>0.39846584876989299</v>
      </c>
      <c r="V200" s="17">
        <f t="shared" si="53"/>
        <v>6.38133155243787</v>
      </c>
      <c r="W200" s="39">
        <f>IF($C200="","",IF(DefaultScenario,IF(OR(AND(Default_Exchange="ALL",NOT(ISERROR(MATCH($C200,$AF$6:$AF$37,0)))),$C200=Default_Exchange),IF($G200&gt;0,-LGD,0),0),IF(OR($J200="SWAP",$J200="FUTURE",$J200="CME FUTURE"),IF('Futures &amp; Perps Shifted'!$AE$31,VLOOKUP($M200,'Futures &amp; Perps Shifted'!$AE$32:$AO$76,MATCH($R200,'Futures &amp; Perps Shifted'!$AE$30:$AO$30,0),FALSE),0),0)))</f>
        <v>0</v>
      </c>
      <c r="X200" s="17">
        <f t="shared" si="54"/>
        <v>0</v>
      </c>
      <c r="Y200" s="14" t="str">
        <f t="shared" si="44"/>
        <v>FUBI</v>
      </c>
      <c r="Z200" t="str">
        <f t="shared" si="55"/>
        <v>LINK COIN LONG</v>
      </c>
      <c r="AA200" t="b">
        <f>IF($C200="","",IF(ISERROR(VLOOKUP($Y200,Mappings!$A:$C,3,FALSE)),FALSE,VLOOKUP($Y200,Mappings!$A:$C,3,FALSE)))</f>
        <v>1</v>
      </c>
    </row>
    <row r="201" spans="1:27" customFormat="1" x14ac:dyDescent="0.25">
      <c r="A201" s="14">
        <v>199</v>
      </c>
      <c r="B201" s="71">
        <v>44939.000004780093</v>
      </c>
      <c r="C201" s="14" t="s">
        <v>39</v>
      </c>
      <c r="D201" s="23" t="s">
        <v>40</v>
      </c>
      <c r="E201" s="23" t="s">
        <v>24</v>
      </c>
      <c r="F201" s="101">
        <v>7.1564416099999999</v>
      </c>
      <c r="G201" s="153">
        <v>615.19798861297795</v>
      </c>
      <c r="H201" s="157">
        <v>85.964229450756093</v>
      </c>
      <c r="I201" s="23">
        <v>0</v>
      </c>
      <c r="J201" s="23" t="s">
        <v>85</v>
      </c>
      <c r="K201" s="24">
        <v>44939.000004780093</v>
      </c>
      <c r="L201" s="23">
        <v>1</v>
      </c>
      <c r="M201" s="23" t="s">
        <v>24</v>
      </c>
      <c r="N201" s="45">
        <f t="shared" si="46"/>
        <v>1</v>
      </c>
      <c r="O201" s="159">
        <f t="shared" si="47"/>
        <v>7.1564416099999999</v>
      </c>
      <c r="P201" s="47">
        <f t="shared" si="48"/>
        <v>615.19798861297829</v>
      </c>
      <c r="Q201" s="25">
        <f t="shared" si="49"/>
        <v>0</v>
      </c>
      <c r="R201" s="26" t="str">
        <f t="shared" si="50"/>
        <v>COIN</v>
      </c>
      <c r="S201" s="26" t="str">
        <f t="shared" si="45"/>
        <v>LONG</v>
      </c>
      <c r="T201" s="26" t="str">
        <f t="shared" si="51"/>
        <v>COIN LONG</v>
      </c>
      <c r="U201" s="17">
        <f t="shared" si="52"/>
        <v>615.19798861297795</v>
      </c>
      <c r="V201" s="17">
        <f t="shared" si="53"/>
        <v>85.964229450756093</v>
      </c>
      <c r="W201" s="39">
        <f>IF($C201="","",IF(DefaultScenario,IF(OR(AND(Default_Exchange="ALL",NOT(ISERROR(MATCH($C201,$AF$6:$AF$37,0)))),$C201=Default_Exchange),IF($G201&gt;0,-LGD,0),0),IF(OR($J201="SWAP",$J201="FUTURE",$J201="CME FUTURE"),IF('Futures &amp; Perps Shifted'!$AE$31,VLOOKUP($M201,'Futures &amp; Perps Shifted'!$AE$32:$AO$76,MATCH($R201,'Futures &amp; Perps Shifted'!$AE$30:$AO$30,0),FALSE),0),0)))</f>
        <v>0</v>
      </c>
      <c r="X201" s="17">
        <f t="shared" si="54"/>
        <v>0</v>
      </c>
      <c r="Y201" s="14" t="str">
        <f t="shared" si="44"/>
        <v>FUBI</v>
      </c>
      <c r="Z201" t="str">
        <f t="shared" si="55"/>
        <v>LTC COIN LONG</v>
      </c>
      <c r="AA201" t="b">
        <f>IF($C201="","",IF(ISERROR(VLOOKUP($Y201,Mappings!$A:$C,3,FALSE)),FALSE,VLOOKUP($Y201,Mappings!$A:$C,3,FALSE)))</f>
        <v>1</v>
      </c>
    </row>
    <row r="202" spans="1:27" customFormat="1" x14ac:dyDescent="0.25">
      <c r="A202" s="14">
        <v>200</v>
      </c>
      <c r="B202" s="71">
        <v>44939.000004780093</v>
      </c>
      <c r="C202" s="14" t="s">
        <v>39</v>
      </c>
      <c r="D202" s="23" t="s">
        <v>40</v>
      </c>
      <c r="E202" s="23" t="s">
        <v>25</v>
      </c>
      <c r="F202" s="101">
        <v>0.95766242000000001</v>
      </c>
      <c r="G202" s="153">
        <v>5.46932496473738E-2</v>
      </c>
      <c r="H202" s="157">
        <v>5.7111199630631597E-2</v>
      </c>
      <c r="I202" s="23">
        <v>0</v>
      </c>
      <c r="J202" s="23" t="s">
        <v>85</v>
      </c>
      <c r="K202" s="24">
        <v>44939.000004780093</v>
      </c>
      <c r="L202" s="23">
        <v>1</v>
      </c>
      <c r="M202" s="23" t="s">
        <v>25</v>
      </c>
      <c r="N202" s="45">
        <f t="shared" si="46"/>
        <v>1</v>
      </c>
      <c r="O202" s="159">
        <f t="shared" si="47"/>
        <v>0.95766242000000001</v>
      </c>
      <c r="P202" s="47">
        <f t="shared" si="48"/>
        <v>5.4693249647373765E-2</v>
      </c>
      <c r="Q202" s="25">
        <f t="shared" si="49"/>
        <v>0</v>
      </c>
      <c r="R202" s="26" t="str">
        <f t="shared" si="50"/>
        <v>COIN</v>
      </c>
      <c r="S202" s="26" t="str">
        <f t="shared" si="45"/>
        <v>LONG</v>
      </c>
      <c r="T202" s="26" t="str">
        <f t="shared" si="51"/>
        <v>COIN LONG</v>
      </c>
      <c r="U202" s="17">
        <f t="shared" si="52"/>
        <v>5.46932496473738E-2</v>
      </c>
      <c r="V202" s="17">
        <f t="shared" si="53"/>
        <v>5.7111199630631597E-2</v>
      </c>
      <c r="W202" s="39">
        <f>IF($C202="","",IF(DefaultScenario,IF(OR(AND(Default_Exchange="ALL",NOT(ISERROR(MATCH($C202,$AF$6:$AF$37,0)))),$C202=Default_Exchange),IF($G202&gt;0,-LGD,0),0),IF(OR($J202="SWAP",$J202="FUTURE",$J202="CME FUTURE"),IF('Futures &amp; Perps Shifted'!$AE$31,VLOOKUP($M202,'Futures &amp; Perps Shifted'!$AE$32:$AO$76,MATCH($R202,'Futures &amp; Perps Shifted'!$AE$30:$AO$30,0),FALSE),0),0)))</f>
        <v>0</v>
      </c>
      <c r="X202" s="17">
        <f t="shared" si="54"/>
        <v>0</v>
      </c>
      <c r="Y202" s="14" t="str">
        <f t="shared" si="44"/>
        <v>FUBI</v>
      </c>
      <c r="Z202" t="str">
        <f t="shared" si="55"/>
        <v>TRX COIN LONG</v>
      </c>
      <c r="AA202" t="b">
        <f>IF($C202="","",IF(ISERROR(VLOOKUP($Y202,Mappings!$A:$C,3,FALSE)),FALSE,VLOOKUP($Y202,Mappings!$A:$C,3,FALSE)))</f>
        <v>1</v>
      </c>
    </row>
    <row r="203" spans="1:27" customFormat="1" x14ac:dyDescent="0.25">
      <c r="A203" s="14">
        <v>201</v>
      </c>
      <c r="B203" s="71">
        <v>44939.000004780093</v>
      </c>
      <c r="C203" s="14" t="s">
        <v>39</v>
      </c>
      <c r="D203" s="23" t="s">
        <v>40</v>
      </c>
      <c r="E203" s="23" t="s">
        <v>99</v>
      </c>
      <c r="F203" s="101">
        <v>0.54364484000000002</v>
      </c>
      <c r="G203" s="153">
        <v>0.20397399036255501</v>
      </c>
      <c r="H203" s="157">
        <v>0.37519714224190098</v>
      </c>
      <c r="I203" s="23">
        <v>0</v>
      </c>
      <c r="J203" s="23" t="s">
        <v>85</v>
      </c>
      <c r="K203" s="24">
        <v>44939.000004780093</v>
      </c>
      <c r="L203" s="23">
        <v>1</v>
      </c>
      <c r="M203" s="23" t="s">
        <v>99</v>
      </c>
      <c r="N203" s="45">
        <f t="shared" si="46"/>
        <v>1</v>
      </c>
      <c r="O203" s="159">
        <f t="shared" si="47"/>
        <v>0.54364484000000002</v>
      </c>
      <c r="P203" s="47">
        <f t="shared" si="48"/>
        <v>0.20397399036255551</v>
      </c>
      <c r="Q203" s="25">
        <f t="shared" si="49"/>
        <v>0</v>
      </c>
      <c r="R203" s="26" t="str">
        <f t="shared" si="50"/>
        <v>COIN</v>
      </c>
      <c r="S203" s="26" t="str">
        <f t="shared" si="45"/>
        <v>LONG</v>
      </c>
      <c r="T203" s="26" t="str">
        <f t="shared" si="51"/>
        <v>COIN LONG</v>
      </c>
      <c r="U203" s="17">
        <f t="shared" si="52"/>
        <v>0.20397399036255501</v>
      </c>
      <c r="V203" s="17">
        <f t="shared" si="53"/>
        <v>0.37519714224190098</v>
      </c>
      <c r="W203" s="39">
        <f>IF($C203="","",IF(DefaultScenario,IF(OR(AND(Default_Exchange="ALL",NOT(ISERROR(MATCH($C203,$AF$6:$AF$37,0)))),$C203=Default_Exchange),IF($G203&gt;0,-LGD,0),0),IF(OR($J203="SWAP",$J203="FUTURE",$J203="CME FUTURE"),IF('Futures &amp; Perps Shifted'!$AE$31,VLOOKUP($M203,'Futures &amp; Perps Shifted'!$AE$32:$AO$76,MATCH($R203,'Futures &amp; Perps Shifted'!$AE$30:$AO$30,0),FALSE),0),0)))</f>
        <v>0</v>
      </c>
      <c r="X203" s="17">
        <f t="shared" si="54"/>
        <v>0</v>
      </c>
      <c r="Y203" s="14" t="str">
        <f t="shared" si="44"/>
        <v>FUBI</v>
      </c>
      <c r="Z203" t="str">
        <f t="shared" si="55"/>
        <v>XRP COIN LONG</v>
      </c>
      <c r="AA203" t="b">
        <f>IF($C203="","",IF(ISERROR(VLOOKUP($Y203,Mappings!$A:$C,3,FALSE)),FALSE,VLOOKUP($Y203,Mappings!$A:$C,3,FALSE)))</f>
        <v>1</v>
      </c>
    </row>
    <row r="204" spans="1:27" customFormat="1" x14ac:dyDescent="0.25">
      <c r="A204" s="14">
        <v>202</v>
      </c>
      <c r="B204" s="71">
        <v>44939.00000104167</v>
      </c>
      <c r="C204" s="14" t="s">
        <v>295</v>
      </c>
      <c r="D204" s="23" t="s">
        <v>440</v>
      </c>
      <c r="E204" s="23" t="s">
        <v>14</v>
      </c>
      <c r="F204" s="101">
        <v>9.9829999999999998E-5</v>
      </c>
      <c r="G204" s="153">
        <v>1.88375097555716</v>
      </c>
      <c r="H204" s="157">
        <v>18869.5880552655</v>
      </c>
      <c r="I204" s="23">
        <v>0</v>
      </c>
      <c r="J204" s="23" t="s">
        <v>85</v>
      </c>
      <c r="K204" s="24">
        <v>44939.00000104167</v>
      </c>
      <c r="L204" s="23">
        <v>1</v>
      </c>
      <c r="M204" s="23" t="s">
        <v>14</v>
      </c>
      <c r="N204" s="45">
        <f t="shared" si="46"/>
        <v>1</v>
      </c>
      <c r="O204" s="159">
        <f t="shared" si="47"/>
        <v>9.9829999999999998E-5</v>
      </c>
      <c r="P204" s="47">
        <f t="shared" si="48"/>
        <v>1.8837509755571549</v>
      </c>
      <c r="Q204" s="25">
        <f t="shared" si="49"/>
        <v>0</v>
      </c>
      <c r="R204" s="26" t="str">
        <f t="shared" si="50"/>
        <v>COIN</v>
      </c>
      <c r="S204" s="26" t="str">
        <f t="shared" si="45"/>
        <v>LONG</v>
      </c>
      <c r="T204" s="26" t="str">
        <f t="shared" si="51"/>
        <v>COIN LONG</v>
      </c>
      <c r="U204" s="17">
        <f t="shared" si="52"/>
        <v>1.88375097555716</v>
      </c>
      <c r="V204" s="17">
        <f t="shared" si="53"/>
        <v>18869.5880552655</v>
      </c>
      <c r="W204" s="39">
        <f>IF($C204="","",IF(DefaultScenario,IF(OR(AND(Default_Exchange="ALL",NOT(ISERROR(MATCH($C204,$AF$6:$AF$37,0)))),$C204=Default_Exchange),IF($G204&gt;0,-LGD,0),0),IF(OR($J204="SWAP",$J204="FUTURE",$J204="CME FUTURE"),IF('Futures &amp; Perps Shifted'!$AE$31,VLOOKUP($M204,'Futures &amp; Perps Shifted'!$AE$32:$AO$76,MATCH($R204,'Futures &amp; Perps Shifted'!$AE$30:$AO$30,0),FALSE),0),0)))</f>
        <v>0</v>
      </c>
      <c r="X204" s="17">
        <f t="shared" si="54"/>
        <v>0</v>
      </c>
      <c r="Y204" s="14" t="str">
        <f t="shared" si="44"/>
        <v>GATE</v>
      </c>
      <c r="Z204" t="str">
        <f t="shared" si="55"/>
        <v>BTC COIN LONG</v>
      </c>
      <c r="AA204" t="b">
        <f>IF($C204="","",IF(ISERROR(VLOOKUP($Y204,Mappings!$A:$C,3,FALSE)),FALSE,VLOOKUP($Y204,Mappings!$A:$C,3,FALSE)))</f>
        <v>1</v>
      </c>
    </row>
    <row r="205" spans="1:27" customFormat="1" x14ac:dyDescent="0.25">
      <c r="A205" s="14">
        <v>203</v>
      </c>
      <c r="B205" s="71">
        <v>44939.00000104167</v>
      </c>
      <c r="C205" s="14" t="s">
        <v>295</v>
      </c>
      <c r="D205" s="23" t="s">
        <v>440</v>
      </c>
      <c r="E205" s="23" t="s">
        <v>38</v>
      </c>
      <c r="F205" s="101">
        <v>10195.00440553</v>
      </c>
      <c r="G205" s="153">
        <v>10195.9428473716</v>
      </c>
      <c r="H205" s="157">
        <v>1.00009204918451</v>
      </c>
      <c r="I205" s="23">
        <v>0</v>
      </c>
      <c r="J205" s="23" t="s">
        <v>85</v>
      </c>
      <c r="K205" s="24">
        <v>44939.00000104167</v>
      </c>
      <c r="L205" s="23">
        <v>1</v>
      </c>
      <c r="M205" s="23" t="s">
        <v>38</v>
      </c>
      <c r="N205" s="45">
        <f t="shared" si="46"/>
        <v>1</v>
      </c>
      <c r="O205" s="159">
        <f t="shared" si="47"/>
        <v>10195.00440553</v>
      </c>
      <c r="P205" s="47">
        <f t="shared" si="48"/>
        <v>10195.942847371605</v>
      </c>
      <c r="Q205" s="25">
        <f t="shared" si="49"/>
        <v>0</v>
      </c>
      <c r="R205" s="26" t="str">
        <f t="shared" si="50"/>
        <v>COIN</v>
      </c>
      <c r="S205" s="26" t="str">
        <f t="shared" si="45"/>
        <v>LONG</v>
      </c>
      <c r="T205" s="26" t="str">
        <f t="shared" si="51"/>
        <v>COIN LONG</v>
      </c>
      <c r="U205" s="17">
        <f t="shared" si="52"/>
        <v>10195.9428473716</v>
      </c>
      <c r="V205" s="17">
        <f t="shared" si="53"/>
        <v>1.00009204918451</v>
      </c>
      <c r="W205" s="39">
        <f>IF($C205="","",IF(DefaultScenario,IF(OR(AND(Default_Exchange="ALL",NOT(ISERROR(MATCH($C205,$AF$6:$AF$37,0)))),$C205=Default_Exchange),IF($G205&gt;0,-LGD,0),0),IF(OR($J205="SWAP",$J205="FUTURE",$J205="CME FUTURE"),IF('Futures &amp; Perps Shifted'!$AE$31,VLOOKUP($M205,'Futures &amp; Perps Shifted'!$AE$32:$AO$76,MATCH($R205,'Futures &amp; Perps Shifted'!$AE$30:$AO$30,0),FALSE),0),0)))</f>
        <v>0</v>
      </c>
      <c r="X205" s="17">
        <f t="shared" si="54"/>
        <v>0</v>
      </c>
      <c r="Y205" s="14" t="str">
        <f t="shared" si="44"/>
        <v>GATE</v>
      </c>
      <c r="Z205" t="str">
        <f t="shared" si="55"/>
        <v>USDT COIN LONG</v>
      </c>
      <c r="AA205" t="b">
        <f>IF($C205="","",IF(ISERROR(VLOOKUP($Y205,Mappings!$A:$C,3,FALSE)),FALSE,VLOOKUP($Y205,Mappings!$A:$C,3,FALSE)))</f>
        <v>1</v>
      </c>
    </row>
    <row r="206" spans="1:27" customFormat="1" x14ac:dyDescent="0.25">
      <c r="A206" s="14">
        <v>204</v>
      </c>
      <c r="B206" s="71">
        <v>44939.000002858797</v>
      </c>
      <c r="C206" s="14" t="s">
        <v>295</v>
      </c>
      <c r="D206" s="23" t="s">
        <v>289</v>
      </c>
      <c r="E206" s="23" t="s">
        <v>14</v>
      </c>
      <c r="F206" s="101">
        <v>1.899957E-2</v>
      </c>
      <c r="G206" s="153">
        <v>358.51405912718201</v>
      </c>
      <c r="H206" s="157">
        <v>18869.5880552655</v>
      </c>
      <c r="I206" s="23">
        <v>0</v>
      </c>
      <c r="J206" s="23" t="s">
        <v>85</v>
      </c>
      <c r="K206" s="24">
        <v>44939.000002858797</v>
      </c>
      <c r="L206" s="23">
        <v>1</v>
      </c>
      <c r="M206" s="23" t="s">
        <v>14</v>
      </c>
      <c r="N206" s="45">
        <f t="shared" si="46"/>
        <v>1</v>
      </c>
      <c r="O206" s="159">
        <f t="shared" si="47"/>
        <v>1.899957E-2</v>
      </c>
      <c r="P206" s="47">
        <f t="shared" si="48"/>
        <v>358.51405912718076</v>
      </c>
      <c r="Q206" s="25">
        <f t="shared" si="49"/>
        <v>0</v>
      </c>
      <c r="R206" s="26" t="str">
        <f t="shared" si="50"/>
        <v>COIN</v>
      </c>
      <c r="S206" s="26" t="str">
        <f t="shared" si="45"/>
        <v>LONG</v>
      </c>
      <c r="T206" s="26" t="str">
        <f t="shared" si="51"/>
        <v>COIN LONG</v>
      </c>
      <c r="U206" s="17">
        <f t="shared" si="52"/>
        <v>358.51405912718201</v>
      </c>
      <c r="V206" s="17">
        <f t="shared" si="53"/>
        <v>18869.5880552655</v>
      </c>
      <c r="W206" s="39">
        <f>IF($C206="","",IF(DefaultScenario,IF(OR(AND(Default_Exchange="ALL",NOT(ISERROR(MATCH($C206,$AF$6:$AF$37,0)))),$C206=Default_Exchange),IF($G206&gt;0,-LGD,0),0),IF(OR($J206="SWAP",$J206="FUTURE",$J206="CME FUTURE"),IF('Futures &amp; Perps Shifted'!$AE$31,VLOOKUP($M206,'Futures &amp; Perps Shifted'!$AE$32:$AO$76,MATCH($R206,'Futures &amp; Perps Shifted'!$AE$30:$AO$30,0),FALSE),0),0)))</f>
        <v>0</v>
      </c>
      <c r="X206" s="17">
        <f t="shared" si="54"/>
        <v>0</v>
      </c>
      <c r="Y206" s="14" t="str">
        <f t="shared" si="44"/>
        <v>GATE</v>
      </c>
      <c r="Z206" t="str">
        <f t="shared" si="55"/>
        <v>BTC COIN LONG</v>
      </c>
      <c r="AA206" t="b">
        <f>IF($C206="","",IF(ISERROR(VLOOKUP($Y206,Mappings!$A:$C,3,FALSE)),FALSE,VLOOKUP($Y206,Mappings!$A:$C,3,FALSE)))</f>
        <v>1</v>
      </c>
    </row>
    <row r="207" spans="1:27" customFormat="1" x14ac:dyDescent="0.25">
      <c r="A207" s="14">
        <v>205</v>
      </c>
      <c r="B207" s="71">
        <v>44939.000002858797</v>
      </c>
      <c r="C207" s="14" t="s">
        <v>295</v>
      </c>
      <c r="D207" s="23" t="s">
        <v>289</v>
      </c>
      <c r="E207" s="23" t="s">
        <v>290</v>
      </c>
      <c r="F207" s="101">
        <v>9.9825000000000001E-4</v>
      </c>
      <c r="G207" s="153">
        <v>3.40920543791141E-4</v>
      </c>
      <c r="H207" s="157">
        <v>0.34151820064226501</v>
      </c>
      <c r="I207" s="23">
        <v>0</v>
      </c>
      <c r="J207" s="23" t="s">
        <v>85</v>
      </c>
      <c r="K207" s="24">
        <v>44939.000002858797</v>
      </c>
      <c r="L207" s="23">
        <v>1</v>
      </c>
      <c r="M207" s="23" t="s">
        <v>290</v>
      </c>
      <c r="N207" s="45">
        <f t="shared" si="46"/>
        <v>1</v>
      </c>
      <c r="O207" s="159">
        <f t="shared" si="47"/>
        <v>9.9825000000000001E-4</v>
      </c>
      <c r="P207" s="47">
        <f t="shared" si="48"/>
        <v>3.4092054379114106E-4</v>
      </c>
      <c r="Q207" s="25">
        <f t="shared" si="49"/>
        <v>0</v>
      </c>
      <c r="R207" s="26" t="str">
        <f t="shared" si="50"/>
        <v>COIN</v>
      </c>
      <c r="S207" s="26" t="str">
        <f t="shared" si="45"/>
        <v>LONG</v>
      </c>
      <c r="T207" s="26" t="str">
        <f t="shared" si="51"/>
        <v>COIN LONG</v>
      </c>
      <c r="U207" s="17">
        <f t="shared" si="52"/>
        <v>3.40920543791141E-4</v>
      </c>
      <c r="V207" s="17">
        <f t="shared" si="53"/>
        <v>0.34151820064226501</v>
      </c>
      <c r="W207" s="39">
        <f>IF($C207="","",IF(DefaultScenario,IF(OR(AND(Default_Exchange="ALL",NOT(ISERROR(MATCH($C207,$AF$6:$AF$37,0)))),$C207=Default_Exchange),IF($G207&gt;0,-LGD,0),0),IF(OR($J207="SWAP",$J207="FUTURE",$J207="CME FUTURE"),IF('Futures &amp; Perps Shifted'!$AE$31,VLOOKUP($M207,'Futures &amp; Perps Shifted'!$AE$32:$AO$76,MATCH($R207,'Futures &amp; Perps Shifted'!$AE$30:$AO$30,0),FALSE),0),0)))</f>
        <v>0</v>
      </c>
      <c r="X207" s="17">
        <f t="shared" si="54"/>
        <v>0</v>
      </c>
      <c r="Y207" s="14" t="str">
        <f t="shared" si="44"/>
        <v>GATE</v>
      </c>
      <c r="Z207" t="str">
        <f t="shared" si="55"/>
        <v>ETHF COIN LONG</v>
      </c>
      <c r="AA207" t="b">
        <f>IF($C207="","",IF(ISERROR(VLOOKUP($Y207,Mappings!$A:$C,3,FALSE)),FALSE,VLOOKUP($Y207,Mappings!$A:$C,3,FALSE)))</f>
        <v>1</v>
      </c>
    </row>
    <row r="208" spans="1:27" customFormat="1" x14ac:dyDescent="0.25">
      <c r="A208" s="14">
        <v>206</v>
      </c>
      <c r="B208" s="71">
        <v>44939.000002858797</v>
      </c>
      <c r="C208" s="14" t="s">
        <v>295</v>
      </c>
      <c r="D208" s="23" t="s">
        <v>289</v>
      </c>
      <c r="E208" s="23" t="s">
        <v>272</v>
      </c>
      <c r="F208" s="101">
        <v>9.9825000000000001E-4</v>
      </c>
      <c r="G208" s="153">
        <v>3.42808374820222E-3</v>
      </c>
      <c r="H208" s="157">
        <v>3.43409341167265</v>
      </c>
      <c r="I208" s="23">
        <v>0</v>
      </c>
      <c r="J208" s="23" t="s">
        <v>85</v>
      </c>
      <c r="K208" s="24">
        <v>44939.000002858797</v>
      </c>
      <c r="L208" s="23">
        <v>1</v>
      </c>
      <c r="M208" s="23" t="s">
        <v>272</v>
      </c>
      <c r="N208" s="45">
        <f t="shared" si="46"/>
        <v>1</v>
      </c>
      <c r="O208" s="159">
        <f t="shared" si="47"/>
        <v>9.9825000000000001E-4</v>
      </c>
      <c r="P208" s="47">
        <f t="shared" si="48"/>
        <v>3.428083748202223E-3</v>
      </c>
      <c r="Q208" s="25">
        <f t="shared" si="49"/>
        <v>0</v>
      </c>
      <c r="R208" s="26" t="str">
        <f t="shared" si="50"/>
        <v>COIN</v>
      </c>
      <c r="S208" s="26" t="str">
        <f t="shared" si="45"/>
        <v>LONG</v>
      </c>
      <c r="T208" s="26" t="str">
        <f t="shared" si="51"/>
        <v>COIN LONG</v>
      </c>
      <c r="U208" s="17">
        <f t="shared" si="52"/>
        <v>3.42808374820222E-3</v>
      </c>
      <c r="V208" s="17">
        <f t="shared" si="53"/>
        <v>3.43409341167265</v>
      </c>
      <c r="W208" s="39">
        <f>IF($C208="","",IF(DefaultScenario,IF(OR(AND(Default_Exchange="ALL",NOT(ISERROR(MATCH($C208,$AF$6:$AF$37,0)))),$C208=Default_Exchange),IF($G208&gt;0,-LGD,0),0),IF(OR($J208="SWAP",$J208="FUTURE",$J208="CME FUTURE"),IF('Futures &amp; Perps Shifted'!$AE$31,VLOOKUP($M208,'Futures &amp; Perps Shifted'!$AE$32:$AO$76,MATCH($R208,'Futures &amp; Perps Shifted'!$AE$30:$AO$30,0),FALSE),0),0)))</f>
        <v>0</v>
      </c>
      <c r="X208" s="17">
        <f t="shared" si="54"/>
        <v>0</v>
      </c>
      <c r="Y208" s="14" t="str">
        <f t="shared" si="44"/>
        <v>GATE</v>
      </c>
      <c r="Z208" t="str">
        <f t="shared" si="55"/>
        <v>ETHW COIN LONG</v>
      </c>
      <c r="AA208" t="b">
        <f>IF($C208="","",IF(ISERROR(VLOOKUP($Y208,Mappings!$A:$C,3,FALSE)),FALSE,VLOOKUP($Y208,Mappings!$A:$C,3,FALSE)))</f>
        <v>1</v>
      </c>
    </row>
    <row r="209" spans="1:27" customFormat="1" x14ac:dyDescent="0.25">
      <c r="A209" s="14">
        <v>207</v>
      </c>
      <c r="B209" s="71">
        <v>44939.000002858797</v>
      </c>
      <c r="C209" s="14" t="s">
        <v>295</v>
      </c>
      <c r="D209" s="23" t="s">
        <v>289</v>
      </c>
      <c r="E209" s="23" t="s">
        <v>291</v>
      </c>
      <c r="F209" s="101">
        <v>9.5929999999999998E-5</v>
      </c>
      <c r="G209" s="153">
        <v>4.0479294959959199E-6</v>
      </c>
      <c r="H209" s="157">
        <v>4.2196700677534803E-2</v>
      </c>
      <c r="I209" s="23">
        <v>0</v>
      </c>
      <c r="J209" s="23" t="s">
        <v>85</v>
      </c>
      <c r="K209" s="24">
        <v>44939.000002858797</v>
      </c>
      <c r="L209" s="23">
        <v>1</v>
      </c>
      <c r="M209" s="23" t="s">
        <v>291</v>
      </c>
      <c r="N209" s="45">
        <f t="shared" si="46"/>
        <v>1</v>
      </c>
      <c r="O209" s="159">
        <f t="shared" si="47"/>
        <v>9.5929999999999998E-5</v>
      </c>
      <c r="P209" s="47">
        <f t="shared" si="48"/>
        <v>4.0479294959959132E-6</v>
      </c>
      <c r="Q209" s="25">
        <f t="shared" si="49"/>
        <v>0</v>
      </c>
      <c r="R209" s="26" t="str">
        <f t="shared" si="50"/>
        <v>COIN</v>
      </c>
      <c r="S209" s="26" t="str">
        <f t="shared" si="45"/>
        <v>LONG</v>
      </c>
      <c r="T209" s="26" t="str">
        <f t="shared" si="51"/>
        <v>COIN LONG</v>
      </c>
      <c r="U209" s="17">
        <f t="shared" si="52"/>
        <v>4.0479294959959199E-6</v>
      </c>
      <c r="V209" s="17">
        <f t="shared" si="53"/>
        <v>4.2196700677534803E-2</v>
      </c>
      <c r="W209" s="39">
        <f>IF($C209="","",IF(DefaultScenario,IF(OR(AND(Default_Exchange="ALL",NOT(ISERROR(MATCH($C209,$AF$6:$AF$37,0)))),$C209=Default_Exchange),IF($G209&gt;0,-LGD,0),0),IF(OR($J209="SWAP",$J209="FUTURE",$J209="CME FUTURE"),IF('Futures &amp; Perps Shifted'!$AE$31,VLOOKUP($M209,'Futures &amp; Perps Shifted'!$AE$32:$AO$76,MATCH($R209,'Futures &amp; Perps Shifted'!$AE$30:$AO$30,0),FALSE),0),0)))</f>
        <v>0</v>
      </c>
      <c r="X209" s="17">
        <f t="shared" si="54"/>
        <v>0</v>
      </c>
      <c r="Y209" s="14" t="str">
        <f t="shared" si="44"/>
        <v>GATE</v>
      </c>
      <c r="Z209" t="str">
        <f t="shared" si="55"/>
        <v>ROSE COIN LONG</v>
      </c>
      <c r="AA209" t="b">
        <f>IF($C209="","",IF(ISERROR(VLOOKUP($Y209,Mappings!$A:$C,3,FALSE)),FALSE,VLOOKUP($Y209,Mappings!$A:$C,3,FALSE)))</f>
        <v>1</v>
      </c>
    </row>
    <row r="210" spans="1:27" customFormat="1" x14ac:dyDescent="0.25">
      <c r="A210" s="14">
        <v>208</v>
      </c>
      <c r="B210" s="71">
        <v>44939.000002858797</v>
      </c>
      <c r="C210" s="14" t="s">
        <v>295</v>
      </c>
      <c r="D210" s="23" t="s">
        <v>289</v>
      </c>
      <c r="E210" s="23" t="s">
        <v>38</v>
      </c>
      <c r="F210" s="101">
        <v>71.681742360000001</v>
      </c>
      <c r="G210" s="153">
        <v>71.688340605928701</v>
      </c>
      <c r="H210" s="157">
        <v>1.00009204918451</v>
      </c>
      <c r="I210" s="23">
        <v>0</v>
      </c>
      <c r="J210" s="23" t="s">
        <v>85</v>
      </c>
      <c r="K210" s="24">
        <v>44939.000002858797</v>
      </c>
      <c r="L210" s="23">
        <v>1</v>
      </c>
      <c r="M210" s="23" t="s">
        <v>38</v>
      </c>
      <c r="N210" s="45">
        <f t="shared" si="46"/>
        <v>1</v>
      </c>
      <c r="O210" s="159">
        <f t="shared" si="47"/>
        <v>71.681742360000001</v>
      </c>
      <c r="P210" s="47">
        <f t="shared" si="48"/>
        <v>71.688340605928502</v>
      </c>
      <c r="Q210" s="25">
        <f t="shared" si="49"/>
        <v>0</v>
      </c>
      <c r="R210" s="26" t="str">
        <f t="shared" si="50"/>
        <v>COIN</v>
      </c>
      <c r="S210" s="26" t="str">
        <f t="shared" si="45"/>
        <v>LONG</v>
      </c>
      <c r="T210" s="26" t="str">
        <f t="shared" si="51"/>
        <v>COIN LONG</v>
      </c>
      <c r="U210" s="17">
        <f t="shared" si="52"/>
        <v>71.688340605928701</v>
      </c>
      <c r="V210" s="17">
        <f t="shared" si="53"/>
        <v>1.00009204918451</v>
      </c>
      <c r="W210" s="39">
        <f>IF($C210="","",IF(DefaultScenario,IF(OR(AND(Default_Exchange="ALL",NOT(ISERROR(MATCH($C210,$AF$6:$AF$37,0)))),$C210=Default_Exchange),IF($G210&gt;0,-LGD,0),0),IF(OR($J210="SWAP",$J210="FUTURE",$J210="CME FUTURE"),IF('Futures &amp; Perps Shifted'!$AE$31,VLOOKUP($M210,'Futures &amp; Perps Shifted'!$AE$32:$AO$76,MATCH($R210,'Futures &amp; Perps Shifted'!$AE$30:$AO$30,0),FALSE),0),0)))</f>
        <v>0</v>
      </c>
      <c r="X210" s="17">
        <f t="shared" si="54"/>
        <v>0</v>
      </c>
      <c r="Y210" s="14" t="str">
        <f t="shared" si="44"/>
        <v>GATE</v>
      </c>
      <c r="Z210" t="str">
        <f t="shared" si="55"/>
        <v>USDT COIN LONG</v>
      </c>
      <c r="AA210" t="b">
        <f>IF($C210="","",IF(ISERROR(VLOOKUP($Y210,Mappings!$A:$C,3,FALSE)),FALSE,VLOOKUP($Y210,Mappings!$A:$C,3,FALSE)))</f>
        <v>1</v>
      </c>
    </row>
    <row r="211" spans="1:27" customFormat="1" x14ac:dyDescent="0.25">
      <c r="A211" s="14">
        <v>209</v>
      </c>
      <c r="B211" s="71">
        <v>44939.000001817127</v>
      </c>
      <c r="C211" s="14" t="s">
        <v>295</v>
      </c>
      <c r="D211" s="23" t="s">
        <v>292</v>
      </c>
      <c r="E211" s="23" t="s">
        <v>14</v>
      </c>
      <c r="F211" s="101">
        <v>1.995E-4</v>
      </c>
      <c r="G211" s="153">
        <v>3.7644828170254798</v>
      </c>
      <c r="H211" s="157">
        <v>18869.5880552655</v>
      </c>
      <c r="I211" s="23">
        <v>0</v>
      </c>
      <c r="J211" s="23" t="s">
        <v>85</v>
      </c>
      <c r="K211" s="24">
        <v>44939.000001817127</v>
      </c>
      <c r="L211" s="23">
        <v>1</v>
      </c>
      <c r="M211" s="23" t="s">
        <v>14</v>
      </c>
      <c r="N211" s="45">
        <f t="shared" si="46"/>
        <v>1</v>
      </c>
      <c r="O211" s="159">
        <f t="shared" si="47"/>
        <v>1.995E-4</v>
      </c>
      <c r="P211" s="47">
        <f t="shared" si="48"/>
        <v>3.7644828170254674</v>
      </c>
      <c r="Q211" s="25">
        <f t="shared" si="49"/>
        <v>0</v>
      </c>
      <c r="R211" s="26" t="str">
        <f t="shared" si="50"/>
        <v>COIN</v>
      </c>
      <c r="S211" s="26" t="str">
        <f t="shared" si="45"/>
        <v>LONG</v>
      </c>
      <c r="T211" s="26" t="str">
        <f t="shared" si="51"/>
        <v>COIN LONG</v>
      </c>
      <c r="U211" s="17">
        <f t="shared" si="52"/>
        <v>3.7644828170254798</v>
      </c>
      <c r="V211" s="17">
        <f t="shared" si="53"/>
        <v>18869.5880552655</v>
      </c>
      <c r="W211" s="39">
        <f>IF($C211="","",IF(DefaultScenario,IF(OR(AND(Default_Exchange="ALL",NOT(ISERROR(MATCH($C211,$AF$6:$AF$37,0)))),$C211=Default_Exchange),IF($G211&gt;0,-LGD,0),0),IF(OR($J211="SWAP",$J211="FUTURE",$J211="CME FUTURE"),IF('Futures &amp; Perps Shifted'!$AE$31,VLOOKUP($M211,'Futures &amp; Perps Shifted'!$AE$32:$AO$76,MATCH($R211,'Futures &amp; Perps Shifted'!$AE$30:$AO$30,0),FALSE),0),0)))</f>
        <v>0</v>
      </c>
      <c r="X211" s="17">
        <f t="shared" si="54"/>
        <v>0</v>
      </c>
      <c r="Y211" s="14" t="str">
        <f t="shared" si="44"/>
        <v>GATE</v>
      </c>
      <c r="Z211" t="str">
        <f t="shared" si="55"/>
        <v>BTC COIN LONG</v>
      </c>
      <c r="AA211" t="b">
        <f>IF($C211="","",IF(ISERROR(VLOOKUP($Y211,Mappings!$A:$C,3,FALSE)),FALSE,VLOOKUP($Y211,Mappings!$A:$C,3,FALSE)))</f>
        <v>1</v>
      </c>
    </row>
    <row r="212" spans="1:27" customFormat="1" x14ac:dyDescent="0.25">
      <c r="A212" s="14">
        <v>210</v>
      </c>
      <c r="B212" s="71">
        <v>44939.000001817127</v>
      </c>
      <c r="C212" s="14" t="s">
        <v>295</v>
      </c>
      <c r="D212" s="23" t="s">
        <v>292</v>
      </c>
      <c r="E212" s="23" t="s">
        <v>15</v>
      </c>
      <c r="F212" s="101">
        <v>9.9825000000000001E-4</v>
      </c>
      <c r="G212" s="153">
        <v>1.4154571306957699</v>
      </c>
      <c r="H212" s="157">
        <v>1417.9385231112101</v>
      </c>
      <c r="I212" s="23">
        <v>0</v>
      </c>
      <c r="J212" s="23" t="s">
        <v>85</v>
      </c>
      <c r="K212" s="24">
        <v>44939.000001817127</v>
      </c>
      <c r="L212" s="23">
        <v>1</v>
      </c>
      <c r="M212" s="23" t="s">
        <v>15</v>
      </c>
      <c r="N212" s="45">
        <f t="shared" si="46"/>
        <v>1</v>
      </c>
      <c r="O212" s="159">
        <f t="shared" si="47"/>
        <v>9.9825000000000001E-4</v>
      </c>
      <c r="P212" s="47">
        <f t="shared" si="48"/>
        <v>1.4154571306957655</v>
      </c>
      <c r="Q212" s="25">
        <f t="shared" si="49"/>
        <v>0</v>
      </c>
      <c r="R212" s="26" t="str">
        <f t="shared" si="50"/>
        <v>COIN</v>
      </c>
      <c r="S212" s="26" t="str">
        <f t="shared" si="45"/>
        <v>LONG</v>
      </c>
      <c r="T212" s="26" t="str">
        <f t="shared" si="51"/>
        <v>COIN LONG</v>
      </c>
      <c r="U212" s="17">
        <f t="shared" si="52"/>
        <v>1.4154571306957699</v>
      </c>
      <c r="V212" s="17">
        <f t="shared" si="53"/>
        <v>1417.9385231112101</v>
      </c>
      <c r="W212" s="39">
        <f>IF($C212="","",IF(DefaultScenario,IF(OR(AND(Default_Exchange="ALL",NOT(ISERROR(MATCH($C212,$AF$6:$AF$37,0)))),$C212=Default_Exchange),IF($G212&gt;0,-LGD,0),0),IF(OR($J212="SWAP",$J212="FUTURE",$J212="CME FUTURE"),IF('Futures &amp; Perps Shifted'!$AE$31,VLOOKUP($M212,'Futures &amp; Perps Shifted'!$AE$32:$AO$76,MATCH($R212,'Futures &amp; Perps Shifted'!$AE$30:$AO$30,0),FALSE),0),0)))</f>
        <v>0</v>
      </c>
      <c r="X212" s="17">
        <f t="shared" si="54"/>
        <v>0</v>
      </c>
      <c r="Y212" s="14" t="str">
        <f t="shared" si="44"/>
        <v>GATE</v>
      </c>
      <c r="Z212" t="str">
        <f t="shared" si="55"/>
        <v>ETH COIN LONG</v>
      </c>
      <c r="AA212" t="b">
        <f>IF($C212="","",IF(ISERROR(VLOOKUP($Y212,Mappings!$A:$C,3,FALSE)),FALSE,VLOOKUP($Y212,Mappings!$A:$C,3,FALSE)))</f>
        <v>1</v>
      </c>
    </row>
    <row r="213" spans="1:27" customFormat="1" x14ac:dyDescent="0.25">
      <c r="A213" s="14">
        <v>211</v>
      </c>
      <c r="B213" s="71">
        <v>44939.000001817127</v>
      </c>
      <c r="C213" s="14" t="s">
        <v>295</v>
      </c>
      <c r="D213" s="23" t="s">
        <v>292</v>
      </c>
      <c r="E213" s="23" t="s">
        <v>38</v>
      </c>
      <c r="F213" s="101">
        <v>59.393906000000001</v>
      </c>
      <c r="G213" s="153">
        <v>59.399373160612399</v>
      </c>
      <c r="H213" s="157">
        <v>1.00009204918451</v>
      </c>
      <c r="I213" s="23">
        <v>0</v>
      </c>
      <c r="J213" s="23" t="s">
        <v>85</v>
      </c>
      <c r="K213" s="24">
        <v>44939.000001817127</v>
      </c>
      <c r="L213" s="23">
        <v>1</v>
      </c>
      <c r="M213" s="23" t="s">
        <v>38</v>
      </c>
      <c r="N213" s="45">
        <f t="shared" si="46"/>
        <v>1</v>
      </c>
      <c r="O213" s="159">
        <f t="shared" si="47"/>
        <v>59.393906000000001</v>
      </c>
      <c r="P213" s="47">
        <f t="shared" si="48"/>
        <v>59.399373160612164</v>
      </c>
      <c r="Q213" s="25">
        <f t="shared" si="49"/>
        <v>0</v>
      </c>
      <c r="R213" s="26" t="str">
        <f t="shared" si="50"/>
        <v>COIN</v>
      </c>
      <c r="S213" s="26" t="str">
        <f t="shared" si="45"/>
        <v>LONG</v>
      </c>
      <c r="T213" s="26" t="str">
        <f t="shared" si="51"/>
        <v>COIN LONG</v>
      </c>
      <c r="U213" s="17">
        <f t="shared" si="52"/>
        <v>59.399373160612399</v>
      </c>
      <c r="V213" s="17">
        <f t="shared" si="53"/>
        <v>1.00009204918451</v>
      </c>
      <c r="W213" s="39">
        <f>IF($C213="","",IF(DefaultScenario,IF(OR(AND(Default_Exchange="ALL",NOT(ISERROR(MATCH($C213,$AF$6:$AF$37,0)))),$C213=Default_Exchange),IF($G213&gt;0,-LGD,0),0),IF(OR($J213="SWAP",$J213="FUTURE",$J213="CME FUTURE"),IF('Futures &amp; Perps Shifted'!$AE$31,VLOOKUP($M213,'Futures &amp; Perps Shifted'!$AE$32:$AO$76,MATCH($R213,'Futures &amp; Perps Shifted'!$AE$30:$AO$30,0),FALSE),0),0)))</f>
        <v>0</v>
      </c>
      <c r="X213" s="17">
        <f t="shared" si="54"/>
        <v>0</v>
      </c>
      <c r="Y213" s="14" t="str">
        <f t="shared" si="44"/>
        <v>GATE</v>
      </c>
      <c r="Z213" t="str">
        <f t="shared" si="55"/>
        <v>USDT COIN LONG</v>
      </c>
      <c r="AA213" t="b">
        <f>IF($C213="","",IF(ISERROR(VLOOKUP($Y213,Mappings!$A:$C,3,FALSE)),FALSE,VLOOKUP($Y213,Mappings!$A:$C,3,FALSE)))</f>
        <v>1</v>
      </c>
    </row>
    <row r="214" spans="1:27" customFormat="1" x14ac:dyDescent="0.25">
      <c r="A214" s="14">
        <v>212</v>
      </c>
      <c r="B214" s="71">
        <v>44939.000001504632</v>
      </c>
      <c r="C214" s="14" t="s">
        <v>295</v>
      </c>
      <c r="D214" s="23" t="s">
        <v>441</v>
      </c>
      <c r="E214" s="23" t="s">
        <v>38</v>
      </c>
      <c r="F214" s="101">
        <v>10045.794859</v>
      </c>
      <c r="G214" s="153">
        <v>10046.719566224499</v>
      </c>
      <c r="H214" s="157">
        <v>1.00009204918451</v>
      </c>
      <c r="I214" s="23">
        <v>0</v>
      </c>
      <c r="J214" s="23" t="s">
        <v>85</v>
      </c>
      <c r="K214" s="24">
        <v>44939.000001504632</v>
      </c>
      <c r="L214" s="23">
        <v>1</v>
      </c>
      <c r="M214" s="23" t="s">
        <v>38</v>
      </c>
      <c r="N214" s="45">
        <f t="shared" si="46"/>
        <v>1</v>
      </c>
      <c r="O214" s="159">
        <f t="shared" si="47"/>
        <v>10045.794859</v>
      </c>
      <c r="P214" s="47">
        <f t="shared" si="48"/>
        <v>10046.719566224525</v>
      </c>
      <c r="Q214" s="25">
        <f t="shared" si="49"/>
        <v>0</v>
      </c>
      <c r="R214" s="26" t="str">
        <f t="shared" si="50"/>
        <v>COIN</v>
      </c>
      <c r="S214" s="26" t="str">
        <f t="shared" si="45"/>
        <v>LONG</v>
      </c>
      <c r="T214" s="26" t="str">
        <f t="shared" si="51"/>
        <v>COIN LONG</v>
      </c>
      <c r="U214" s="17">
        <f t="shared" si="52"/>
        <v>10046.719566224499</v>
      </c>
      <c r="V214" s="17">
        <f t="shared" si="53"/>
        <v>1.00009204918451</v>
      </c>
      <c r="W214" s="39">
        <f>IF($C214="","",IF(DefaultScenario,IF(OR(AND(Default_Exchange="ALL",NOT(ISERROR(MATCH($C214,$AF$6:$AF$37,0)))),$C214=Default_Exchange),IF($G214&gt;0,-LGD,0),0),IF(OR($J214="SWAP",$J214="FUTURE",$J214="CME FUTURE"),IF('Futures &amp; Perps Shifted'!$AE$31,VLOOKUP($M214,'Futures &amp; Perps Shifted'!$AE$32:$AO$76,MATCH($R214,'Futures &amp; Perps Shifted'!$AE$30:$AO$30,0),FALSE),0),0)))</f>
        <v>0</v>
      </c>
      <c r="X214" s="17">
        <f t="shared" si="54"/>
        <v>0</v>
      </c>
      <c r="Y214" s="14" t="str">
        <f t="shared" si="44"/>
        <v>GATE</v>
      </c>
      <c r="Z214" t="str">
        <f t="shared" si="55"/>
        <v>USDT COIN LONG</v>
      </c>
      <c r="AA214" t="b">
        <f>IF($C214="","",IF(ISERROR(VLOOKUP($Y214,Mappings!$A:$C,3,FALSE)),FALSE,VLOOKUP($Y214,Mappings!$A:$C,3,FALSE)))</f>
        <v>1</v>
      </c>
    </row>
    <row r="215" spans="1:27" customFormat="1" x14ac:dyDescent="0.25">
      <c r="A215" s="14">
        <v>213</v>
      </c>
      <c r="B215" s="71">
        <v>44938.000005324073</v>
      </c>
      <c r="C215" s="14" t="s">
        <v>39</v>
      </c>
      <c r="D215" s="23" t="s">
        <v>114</v>
      </c>
      <c r="E215" s="23" t="s">
        <v>38</v>
      </c>
      <c r="F215" s="101">
        <v>1E-8</v>
      </c>
      <c r="G215" s="153">
        <v>1.00009204918451E-8</v>
      </c>
      <c r="H215" s="157">
        <v>1.00009204918451</v>
      </c>
      <c r="I215" s="23">
        <v>0</v>
      </c>
      <c r="J215" s="23" t="s">
        <v>85</v>
      </c>
      <c r="K215" s="24">
        <v>44938.000005324073</v>
      </c>
      <c r="L215" s="23">
        <v>1</v>
      </c>
      <c r="M215" s="23" t="s">
        <v>38</v>
      </c>
      <c r="N215" s="45">
        <f t="shared" si="46"/>
        <v>1</v>
      </c>
      <c r="O215" s="159">
        <f t="shared" si="47"/>
        <v>1E-8</v>
      </c>
      <c r="P215" s="47">
        <f t="shared" si="48"/>
        <v>1.00009204918451E-8</v>
      </c>
      <c r="Q215" s="25">
        <f t="shared" si="49"/>
        <v>0</v>
      </c>
      <c r="R215" s="26" t="str">
        <f t="shared" si="50"/>
        <v>COIN</v>
      </c>
      <c r="S215" s="26" t="str">
        <f t="shared" si="45"/>
        <v>LONG</v>
      </c>
      <c r="T215" s="26" t="str">
        <f t="shared" si="51"/>
        <v>COIN LONG</v>
      </c>
      <c r="U215" s="17">
        <f t="shared" si="52"/>
        <v>1.00009204918451E-8</v>
      </c>
      <c r="V215" s="17">
        <f t="shared" si="53"/>
        <v>1.00009204918451</v>
      </c>
      <c r="W215" s="39">
        <f>IF($C215="","",IF(DefaultScenario,IF(OR(AND(Default_Exchange="ALL",NOT(ISERROR(MATCH($C215,$AF$6:$AF$37,0)))),$C215=Default_Exchange),IF($G215&gt;0,-LGD,0),0),IF(OR($J215="SWAP",$J215="FUTURE",$J215="CME FUTURE"),IF('Futures &amp; Perps Shifted'!$AE$31,VLOOKUP($M215,'Futures &amp; Perps Shifted'!$AE$32:$AO$76,MATCH($R215,'Futures &amp; Perps Shifted'!$AE$30:$AO$30,0),FALSE),0),0)))</f>
        <v>0</v>
      </c>
      <c r="X215" s="17">
        <f t="shared" si="54"/>
        <v>0</v>
      </c>
      <c r="Y215" s="14" t="str">
        <f t="shared" si="44"/>
        <v>HUB2</v>
      </c>
      <c r="Z215" t="str">
        <f t="shared" si="55"/>
        <v>USDT COIN LONG</v>
      </c>
      <c r="AA215" t="b">
        <f>IF($C215="","",IF(ISERROR(VLOOKUP($Y215,Mappings!$A:$C,3,FALSE)),FALSE,VLOOKUP($Y215,Mappings!$A:$C,3,FALSE)))</f>
        <v>0</v>
      </c>
    </row>
    <row r="216" spans="1:27" customFormat="1" x14ac:dyDescent="0.25">
      <c r="A216" s="14">
        <v>214</v>
      </c>
      <c r="B216" s="71">
        <v>44938.000005324073</v>
      </c>
      <c r="C216" s="14" t="s">
        <v>39</v>
      </c>
      <c r="D216" s="23" t="s">
        <v>114</v>
      </c>
      <c r="E216" s="23" t="s">
        <v>99</v>
      </c>
      <c r="F216" s="101">
        <v>7.4209999999999996E-5</v>
      </c>
      <c r="G216" s="153">
        <v>2.78433799257714E-5</v>
      </c>
      <c r="H216" s="157">
        <v>0.37519714224190098</v>
      </c>
      <c r="I216" s="23">
        <v>0</v>
      </c>
      <c r="J216" s="23" t="s">
        <v>85</v>
      </c>
      <c r="K216" s="24">
        <v>44938.000005324073</v>
      </c>
      <c r="L216" s="23">
        <v>1</v>
      </c>
      <c r="M216" s="23" t="s">
        <v>99</v>
      </c>
      <c r="N216" s="45">
        <f t="shared" si="46"/>
        <v>1</v>
      </c>
      <c r="O216" s="159">
        <f t="shared" si="47"/>
        <v>7.4209999999999996E-5</v>
      </c>
      <c r="P216" s="47">
        <f t="shared" si="48"/>
        <v>2.7843379925771471E-5</v>
      </c>
      <c r="Q216" s="25">
        <f t="shared" si="49"/>
        <v>0</v>
      </c>
      <c r="R216" s="26" t="str">
        <f t="shared" si="50"/>
        <v>COIN</v>
      </c>
      <c r="S216" s="26" t="str">
        <f t="shared" si="45"/>
        <v>LONG</v>
      </c>
      <c r="T216" s="26" t="str">
        <f t="shared" si="51"/>
        <v>COIN LONG</v>
      </c>
      <c r="U216" s="17">
        <f t="shared" si="52"/>
        <v>2.78433799257714E-5</v>
      </c>
      <c r="V216" s="17">
        <f t="shared" si="53"/>
        <v>0.37519714224190098</v>
      </c>
      <c r="W216" s="39">
        <f>IF($C216="","",IF(DefaultScenario,IF(OR(AND(Default_Exchange="ALL",NOT(ISERROR(MATCH($C216,$AF$6:$AF$37,0)))),$C216=Default_Exchange),IF($G216&gt;0,-LGD,0),0),IF(OR($J216="SWAP",$J216="FUTURE",$J216="CME FUTURE"),IF('Futures &amp; Perps Shifted'!$AE$31,VLOOKUP($M216,'Futures &amp; Perps Shifted'!$AE$32:$AO$76,MATCH($R216,'Futures &amp; Perps Shifted'!$AE$30:$AO$30,0),FALSE),0),0)))</f>
        <v>0</v>
      </c>
      <c r="X216" s="17">
        <f t="shared" si="54"/>
        <v>0</v>
      </c>
      <c r="Y216" s="14" t="str">
        <f t="shared" si="44"/>
        <v>HUB2</v>
      </c>
      <c r="Z216" t="str">
        <f t="shared" si="55"/>
        <v>XRP COIN LONG</v>
      </c>
      <c r="AA216" t="b">
        <f>IF($C216="","",IF(ISERROR(VLOOKUP($Y216,Mappings!$A:$C,3,FALSE)),FALSE,VLOOKUP($Y216,Mappings!$A:$C,3,FALSE)))</f>
        <v>0</v>
      </c>
    </row>
    <row r="217" spans="1:27" customFormat="1" x14ac:dyDescent="0.25">
      <c r="A217" s="14">
        <v>215</v>
      </c>
      <c r="B217" s="71">
        <v>44939.000002083332</v>
      </c>
      <c r="C217" s="14" t="s">
        <v>39</v>
      </c>
      <c r="D217" s="23" t="s">
        <v>115</v>
      </c>
      <c r="E217" s="23" t="s">
        <v>84</v>
      </c>
      <c r="F217" s="101">
        <v>1E-8</v>
      </c>
      <c r="G217" s="153">
        <v>3.2975847474337499E-9</v>
      </c>
      <c r="H217" s="157">
        <v>0.329758474743375</v>
      </c>
      <c r="I217" s="23">
        <v>0</v>
      </c>
      <c r="J217" s="23" t="s">
        <v>85</v>
      </c>
      <c r="K217" s="24">
        <v>44939.000002083332</v>
      </c>
      <c r="L217" s="23">
        <v>1</v>
      </c>
      <c r="M217" s="23" t="s">
        <v>84</v>
      </c>
      <c r="N217" s="45">
        <f t="shared" si="46"/>
        <v>1</v>
      </c>
      <c r="O217" s="159">
        <f t="shared" si="47"/>
        <v>1E-8</v>
      </c>
      <c r="P217" s="47">
        <f t="shared" si="48"/>
        <v>3.2975847474337499E-9</v>
      </c>
      <c r="Q217" s="25">
        <f t="shared" si="49"/>
        <v>0</v>
      </c>
      <c r="R217" s="26" t="str">
        <f t="shared" si="50"/>
        <v>COIN</v>
      </c>
      <c r="S217" s="26" t="str">
        <f t="shared" si="45"/>
        <v>LONG</v>
      </c>
      <c r="T217" s="26" t="str">
        <f t="shared" si="51"/>
        <v>COIN LONG</v>
      </c>
      <c r="U217" s="17">
        <f t="shared" si="52"/>
        <v>3.2975847474337499E-9</v>
      </c>
      <c r="V217" s="17">
        <f t="shared" si="53"/>
        <v>0.329758474743375</v>
      </c>
      <c r="W217" s="39">
        <f>IF($C217="","",IF(DefaultScenario,IF(OR(AND(Default_Exchange="ALL",NOT(ISERROR(MATCH($C217,$AF$6:$AF$37,0)))),$C217=Default_Exchange),IF($G217&gt;0,-LGD,0),0),IF(OR($J217="SWAP",$J217="FUTURE",$J217="CME FUTURE"),IF('Futures &amp; Perps Shifted'!$AE$31,VLOOKUP($M217,'Futures &amp; Perps Shifted'!$AE$32:$AO$76,MATCH($R217,'Futures &amp; Perps Shifted'!$AE$30:$AO$30,0),FALSE),0),0)))</f>
        <v>0</v>
      </c>
      <c r="X217" s="17">
        <f t="shared" si="54"/>
        <v>0</v>
      </c>
      <c r="Y217" s="14" t="str">
        <f t="shared" si="44"/>
        <v>HUB2</v>
      </c>
      <c r="Z217" t="str">
        <f t="shared" si="55"/>
        <v>ADA COIN LONG</v>
      </c>
      <c r="AA217" t="b">
        <f>IF($C217="","",IF(ISERROR(VLOOKUP($Y217,Mappings!$A:$C,3,FALSE)),FALSE,VLOOKUP($Y217,Mappings!$A:$C,3,FALSE)))</f>
        <v>0</v>
      </c>
    </row>
    <row r="218" spans="1:27" customFormat="1" x14ac:dyDescent="0.25">
      <c r="A218" s="14">
        <v>216</v>
      </c>
      <c r="B218" s="71">
        <v>44939.000002083332</v>
      </c>
      <c r="C218" s="14" t="s">
        <v>39</v>
      </c>
      <c r="D218" s="23" t="s">
        <v>115</v>
      </c>
      <c r="E218" s="23" t="s">
        <v>20</v>
      </c>
      <c r="F218" s="101">
        <v>1E-8</v>
      </c>
      <c r="G218" s="153">
        <v>1.1971046613741201E-6</v>
      </c>
      <c r="H218" s="157">
        <v>119.710466137412</v>
      </c>
      <c r="I218" s="23">
        <v>0</v>
      </c>
      <c r="J218" s="23" t="s">
        <v>85</v>
      </c>
      <c r="K218" s="24">
        <v>44939.000002083332</v>
      </c>
      <c r="L218" s="23">
        <v>1</v>
      </c>
      <c r="M218" s="23" t="s">
        <v>20</v>
      </c>
      <c r="N218" s="45">
        <f t="shared" si="46"/>
        <v>1</v>
      </c>
      <c r="O218" s="159">
        <f t="shared" si="47"/>
        <v>1E-8</v>
      </c>
      <c r="P218" s="47">
        <f t="shared" si="48"/>
        <v>1.1971046613741201E-6</v>
      </c>
      <c r="Q218" s="25">
        <f t="shared" si="49"/>
        <v>0</v>
      </c>
      <c r="R218" s="26" t="str">
        <f t="shared" si="50"/>
        <v>COIN</v>
      </c>
      <c r="S218" s="26" t="str">
        <f t="shared" si="45"/>
        <v>LONG</v>
      </c>
      <c r="T218" s="26" t="str">
        <f t="shared" si="51"/>
        <v>COIN LONG</v>
      </c>
      <c r="U218" s="17">
        <f t="shared" si="52"/>
        <v>1.1971046613741201E-6</v>
      </c>
      <c r="V218" s="17">
        <f t="shared" si="53"/>
        <v>119.710466137412</v>
      </c>
      <c r="W218" s="39">
        <f>IF($C218="","",IF(DefaultScenario,IF(OR(AND(Default_Exchange="ALL",NOT(ISERROR(MATCH($C218,$AF$6:$AF$37,0)))),$C218=Default_Exchange),IF($G218&gt;0,-LGD,0),0),IF(OR($J218="SWAP",$J218="FUTURE",$J218="CME FUTURE"),IF('Futures &amp; Perps Shifted'!$AE$31,VLOOKUP($M218,'Futures &amp; Perps Shifted'!$AE$32:$AO$76,MATCH($R218,'Futures &amp; Perps Shifted'!$AE$30:$AO$30,0),FALSE),0),0)))</f>
        <v>0</v>
      </c>
      <c r="X218" s="17">
        <f t="shared" si="54"/>
        <v>0</v>
      </c>
      <c r="Y218" s="14" t="str">
        <f t="shared" si="44"/>
        <v>HUB2</v>
      </c>
      <c r="Z218" t="str">
        <f t="shared" si="55"/>
        <v>BCH COIN LONG</v>
      </c>
      <c r="AA218" t="b">
        <f>IF($C218="","",IF(ISERROR(VLOOKUP($Y218,Mappings!$A:$C,3,FALSE)),FALSE,VLOOKUP($Y218,Mappings!$A:$C,3,FALSE)))</f>
        <v>0</v>
      </c>
    </row>
    <row r="219" spans="1:27" customFormat="1" x14ac:dyDescent="0.25">
      <c r="A219" s="14">
        <v>217</v>
      </c>
      <c r="B219" s="71">
        <v>44939.000002083332</v>
      </c>
      <c r="C219" s="14" t="s">
        <v>39</v>
      </c>
      <c r="D219" s="23" t="s">
        <v>115</v>
      </c>
      <c r="E219" s="23" t="s">
        <v>113</v>
      </c>
      <c r="F219" s="101">
        <v>1E-8</v>
      </c>
      <c r="G219" s="153">
        <v>4.2147985974992698E-7</v>
      </c>
      <c r="H219" s="157">
        <v>42.1479859749927</v>
      </c>
      <c r="I219" s="23">
        <v>0</v>
      </c>
      <c r="J219" s="23" t="s">
        <v>85</v>
      </c>
      <c r="K219" s="24">
        <v>44939.000002083332</v>
      </c>
      <c r="L219" s="23">
        <v>1</v>
      </c>
      <c r="M219" s="23" t="s">
        <v>113</v>
      </c>
      <c r="N219" s="45">
        <f t="shared" si="46"/>
        <v>1</v>
      </c>
      <c r="O219" s="159">
        <f t="shared" si="47"/>
        <v>1E-8</v>
      </c>
      <c r="P219" s="47">
        <f t="shared" si="48"/>
        <v>4.2147985974992703E-7</v>
      </c>
      <c r="Q219" s="25">
        <f t="shared" si="49"/>
        <v>0</v>
      </c>
      <c r="R219" s="26" t="str">
        <f t="shared" si="50"/>
        <v>COIN</v>
      </c>
      <c r="S219" s="26" t="str">
        <f t="shared" si="45"/>
        <v>LONG</v>
      </c>
      <c r="T219" s="26" t="str">
        <f t="shared" si="51"/>
        <v>COIN LONG</v>
      </c>
      <c r="U219" s="17">
        <f t="shared" si="52"/>
        <v>4.2147985974992698E-7</v>
      </c>
      <c r="V219" s="17">
        <f t="shared" si="53"/>
        <v>42.1479859749927</v>
      </c>
      <c r="W219" s="39">
        <f>IF($C219="","",IF(DefaultScenario,IF(OR(AND(Default_Exchange="ALL",NOT(ISERROR(MATCH($C219,$AF$6:$AF$37,0)))),$C219=Default_Exchange),IF($G219&gt;0,-LGD,0),0),IF(OR($J219="SWAP",$J219="FUTURE",$J219="CME FUTURE"),IF('Futures &amp; Perps Shifted'!$AE$31,VLOOKUP($M219,'Futures &amp; Perps Shifted'!$AE$32:$AO$76,MATCH($R219,'Futures &amp; Perps Shifted'!$AE$30:$AO$30,0),FALSE),0),0)))</f>
        <v>0</v>
      </c>
      <c r="X219" s="17">
        <f t="shared" si="54"/>
        <v>0</v>
      </c>
      <c r="Y219" s="14" t="str">
        <f t="shared" si="44"/>
        <v>HUB2</v>
      </c>
      <c r="Z219" t="str">
        <f t="shared" si="55"/>
        <v>BSV COIN LONG</v>
      </c>
      <c r="AA219" t="b">
        <f>IF($C219="","",IF(ISERROR(VLOOKUP($Y219,Mappings!$A:$C,3,FALSE)),FALSE,VLOOKUP($Y219,Mappings!$A:$C,3,FALSE)))</f>
        <v>0</v>
      </c>
    </row>
    <row r="220" spans="1:27" customFormat="1" x14ac:dyDescent="0.25">
      <c r="A220" s="14">
        <v>218</v>
      </c>
      <c r="B220" s="71">
        <v>44939.000002083332</v>
      </c>
      <c r="C220" s="14" t="s">
        <v>39</v>
      </c>
      <c r="D220" s="23" t="s">
        <v>115</v>
      </c>
      <c r="E220" s="23" t="s">
        <v>23</v>
      </c>
      <c r="F220" s="101">
        <v>1E-8</v>
      </c>
      <c r="G220" s="153">
        <v>9.9024247680694202E-9</v>
      </c>
      <c r="H220" s="157">
        <v>0.990242476806942</v>
      </c>
      <c r="I220" s="23">
        <v>0</v>
      </c>
      <c r="J220" s="23" t="s">
        <v>85</v>
      </c>
      <c r="K220" s="24">
        <v>44939.000002083332</v>
      </c>
      <c r="L220" s="23">
        <v>1</v>
      </c>
      <c r="M220" s="23" t="s">
        <v>23</v>
      </c>
      <c r="N220" s="45">
        <f t="shared" si="46"/>
        <v>1</v>
      </c>
      <c r="O220" s="159">
        <f t="shared" si="47"/>
        <v>1E-8</v>
      </c>
      <c r="P220" s="47">
        <f t="shared" si="48"/>
        <v>9.9024247680694202E-9</v>
      </c>
      <c r="Q220" s="25">
        <f t="shared" si="49"/>
        <v>0</v>
      </c>
      <c r="R220" s="26" t="str">
        <f t="shared" si="50"/>
        <v>COIN</v>
      </c>
      <c r="S220" s="26" t="str">
        <f t="shared" si="45"/>
        <v>LONG</v>
      </c>
      <c r="T220" s="26" t="str">
        <f t="shared" si="51"/>
        <v>COIN LONG</v>
      </c>
      <c r="U220" s="17">
        <f t="shared" si="52"/>
        <v>9.9024247680694202E-9</v>
      </c>
      <c r="V220" s="17">
        <f t="shared" si="53"/>
        <v>0.990242476806942</v>
      </c>
      <c r="W220" s="39">
        <f>IF($C220="","",IF(DefaultScenario,IF(OR(AND(Default_Exchange="ALL",NOT(ISERROR(MATCH($C220,$AF$6:$AF$37,0)))),$C220=Default_Exchange),IF($G220&gt;0,-LGD,0),0),IF(OR($J220="SWAP",$J220="FUTURE",$J220="CME FUTURE"),IF('Futures &amp; Perps Shifted'!$AE$31,VLOOKUP($M220,'Futures &amp; Perps Shifted'!$AE$32:$AO$76,MATCH($R220,'Futures &amp; Perps Shifted'!$AE$30:$AO$30,0),FALSE),0),0)))</f>
        <v>0</v>
      </c>
      <c r="X220" s="17">
        <f t="shared" si="54"/>
        <v>0</v>
      </c>
      <c r="Y220" s="14" t="str">
        <f t="shared" si="44"/>
        <v>HUB2</v>
      </c>
      <c r="Z220" t="str">
        <f t="shared" si="55"/>
        <v>EOS COIN LONG</v>
      </c>
      <c r="AA220" t="b">
        <f>IF($C220="","",IF(ISERROR(VLOOKUP($Y220,Mappings!$A:$C,3,FALSE)),FALSE,VLOOKUP($Y220,Mappings!$A:$C,3,FALSE)))</f>
        <v>0</v>
      </c>
    </row>
    <row r="221" spans="1:27" customFormat="1" x14ac:dyDescent="0.25">
      <c r="A221" s="14">
        <v>219</v>
      </c>
      <c r="B221" s="71">
        <v>44939.000002083332</v>
      </c>
      <c r="C221" s="14" t="s">
        <v>39</v>
      </c>
      <c r="D221" s="23" t="s">
        <v>115</v>
      </c>
      <c r="E221" s="23" t="s">
        <v>29</v>
      </c>
      <c r="F221" s="101">
        <v>1E-8</v>
      </c>
      <c r="G221" s="153">
        <v>2.0917758217744E-7</v>
      </c>
      <c r="H221" s="157">
        <v>20.917758217744002</v>
      </c>
      <c r="I221" s="23">
        <v>0</v>
      </c>
      <c r="J221" s="23" t="s">
        <v>85</v>
      </c>
      <c r="K221" s="24">
        <v>44939.000002083332</v>
      </c>
      <c r="L221" s="23">
        <v>1</v>
      </c>
      <c r="M221" s="23" t="s">
        <v>29</v>
      </c>
      <c r="N221" s="45">
        <f t="shared" si="46"/>
        <v>1</v>
      </c>
      <c r="O221" s="159">
        <f t="shared" si="47"/>
        <v>1E-8</v>
      </c>
      <c r="P221" s="47">
        <f t="shared" si="48"/>
        <v>2.0917758217744002E-7</v>
      </c>
      <c r="Q221" s="25">
        <f t="shared" si="49"/>
        <v>0</v>
      </c>
      <c r="R221" s="26" t="str">
        <f t="shared" si="50"/>
        <v>COIN</v>
      </c>
      <c r="S221" s="26" t="str">
        <f t="shared" si="45"/>
        <v>LONG</v>
      </c>
      <c r="T221" s="26" t="str">
        <f t="shared" si="51"/>
        <v>COIN LONG</v>
      </c>
      <c r="U221" s="17">
        <f t="shared" si="52"/>
        <v>2.0917758217744E-7</v>
      </c>
      <c r="V221" s="17">
        <f t="shared" si="53"/>
        <v>20.917758217744002</v>
      </c>
      <c r="W221" s="39">
        <f>IF($C221="","",IF(DefaultScenario,IF(OR(AND(Default_Exchange="ALL",NOT(ISERROR(MATCH($C221,$AF$6:$AF$37,0)))),$C221=Default_Exchange),IF($G221&gt;0,-LGD,0),0),IF(OR($J221="SWAP",$J221="FUTURE",$J221="CME FUTURE"),IF('Futures &amp; Perps Shifted'!$AE$31,VLOOKUP($M221,'Futures &amp; Perps Shifted'!$AE$32:$AO$76,MATCH($R221,'Futures &amp; Perps Shifted'!$AE$30:$AO$30,0),FALSE),0),0)))</f>
        <v>0</v>
      </c>
      <c r="X221" s="17">
        <f t="shared" si="54"/>
        <v>0</v>
      </c>
      <c r="Y221" s="14" t="str">
        <f t="shared" si="44"/>
        <v>HUB2</v>
      </c>
      <c r="Z221" t="str">
        <f t="shared" si="55"/>
        <v>ETC COIN LONG</v>
      </c>
      <c r="AA221" t="b">
        <f>IF($C221="","",IF(ISERROR(VLOOKUP($Y221,Mappings!$A:$C,3,FALSE)),FALSE,VLOOKUP($Y221,Mappings!$A:$C,3,FALSE)))</f>
        <v>0</v>
      </c>
    </row>
    <row r="222" spans="1:27" customFormat="1" x14ac:dyDescent="0.25">
      <c r="A222" s="14">
        <v>220</v>
      </c>
      <c r="B222" s="71">
        <v>44939.000002083332</v>
      </c>
      <c r="C222" s="14" t="s">
        <v>39</v>
      </c>
      <c r="D222" s="23" t="s">
        <v>115</v>
      </c>
      <c r="E222" s="23" t="s">
        <v>15</v>
      </c>
      <c r="F222" s="101">
        <v>1E-8</v>
      </c>
      <c r="G222" s="153">
        <v>1.41793852311121E-5</v>
      </c>
      <c r="H222" s="157">
        <v>1417.9385231112101</v>
      </c>
      <c r="I222" s="23">
        <v>0</v>
      </c>
      <c r="J222" s="23" t="s">
        <v>85</v>
      </c>
      <c r="K222" s="24">
        <v>44939.000002083332</v>
      </c>
      <c r="L222" s="23">
        <v>1</v>
      </c>
      <c r="M222" s="23" t="s">
        <v>15</v>
      </c>
      <c r="N222" s="45">
        <f t="shared" si="46"/>
        <v>1</v>
      </c>
      <c r="O222" s="159">
        <f t="shared" si="47"/>
        <v>1E-8</v>
      </c>
      <c r="P222" s="47">
        <f t="shared" si="48"/>
        <v>1.4179385231112102E-5</v>
      </c>
      <c r="Q222" s="25">
        <f t="shared" si="49"/>
        <v>0</v>
      </c>
      <c r="R222" s="26" t="str">
        <f t="shared" si="50"/>
        <v>COIN</v>
      </c>
      <c r="S222" s="26" t="str">
        <f t="shared" si="45"/>
        <v>LONG</v>
      </c>
      <c r="T222" s="26" t="str">
        <f t="shared" si="51"/>
        <v>COIN LONG</v>
      </c>
      <c r="U222" s="17">
        <f t="shared" si="52"/>
        <v>1.41793852311121E-5</v>
      </c>
      <c r="V222" s="17">
        <f t="shared" si="53"/>
        <v>1417.9385231112101</v>
      </c>
      <c r="W222" s="39">
        <f>IF($C222="","",IF(DefaultScenario,IF(OR(AND(Default_Exchange="ALL",NOT(ISERROR(MATCH($C222,$AF$6:$AF$37,0)))),$C222=Default_Exchange),IF($G222&gt;0,-LGD,0),0),IF(OR($J222="SWAP",$J222="FUTURE",$J222="CME FUTURE"),IF('Futures &amp; Perps Shifted'!$AE$31,VLOOKUP($M222,'Futures &amp; Perps Shifted'!$AE$32:$AO$76,MATCH($R222,'Futures &amp; Perps Shifted'!$AE$30:$AO$30,0),FALSE),0),0)))</f>
        <v>0</v>
      </c>
      <c r="X222" s="17">
        <f t="shared" si="54"/>
        <v>0</v>
      </c>
      <c r="Y222" s="14" t="str">
        <f t="shared" si="44"/>
        <v>HUB2</v>
      </c>
      <c r="Z222" t="str">
        <f t="shared" si="55"/>
        <v>ETH COIN LONG</v>
      </c>
      <c r="AA222" t="b">
        <f>IF($C222="","",IF(ISERROR(VLOOKUP($Y222,Mappings!$A:$C,3,FALSE)),FALSE,VLOOKUP($Y222,Mappings!$A:$C,3,FALSE)))</f>
        <v>0</v>
      </c>
    </row>
    <row r="223" spans="1:27" customFormat="1" x14ac:dyDescent="0.25">
      <c r="A223" s="14">
        <v>221</v>
      </c>
      <c r="B223" s="71">
        <v>44939.000002083332</v>
      </c>
      <c r="C223" s="14" t="s">
        <v>39</v>
      </c>
      <c r="D223" s="23" t="s">
        <v>115</v>
      </c>
      <c r="E223" s="23" t="s">
        <v>27</v>
      </c>
      <c r="F223" s="101">
        <v>1E-8</v>
      </c>
      <c r="G223" s="153">
        <v>6.3813315524378703E-8</v>
      </c>
      <c r="H223" s="157">
        <v>6.38133155243787</v>
      </c>
      <c r="I223" s="23">
        <v>0</v>
      </c>
      <c r="J223" s="23" t="s">
        <v>85</v>
      </c>
      <c r="K223" s="24">
        <v>44939.000002083332</v>
      </c>
      <c r="L223" s="23">
        <v>1</v>
      </c>
      <c r="M223" s="23" t="s">
        <v>27</v>
      </c>
      <c r="N223" s="45">
        <f t="shared" si="46"/>
        <v>1</v>
      </c>
      <c r="O223" s="159">
        <f t="shared" si="47"/>
        <v>1E-8</v>
      </c>
      <c r="P223" s="47">
        <f t="shared" si="48"/>
        <v>6.3813315524378703E-8</v>
      </c>
      <c r="Q223" s="25">
        <f t="shared" si="49"/>
        <v>0</v>
      </c>
      <c r="R223" s="26" t="str">
        <f t="shared" si="50"/>
        <v>COIN</v>
      </c>
      <c r="S223" s="26" t="str">
        <f t="shared" si="45"/>
        <v>LONG</v>
      </c>
      <c r="T223" s="26" t="str">
        <f t="shared" si="51"/>
        <v>COIN LONG</v>
      </c>
      <c r="U223" s="17">
        <f t="shared" si="52"/>
        <v>6.3813315524378703E-8</v>
      </c>
      <c r="V223" s="17">
        <f t="shared" si="53"/>
        <v>6.38133155243787</v>
      </c>
      <c r="W223" s="39">
        <f>IF($C223="","",IF(DefaultScenario,IF(OR(AND(Default_Exchange="ALL",NOT(ISERROR(MATCH($C223,$AF$6:$AF$37,0)))),$C223=Default_Exchange),IF($G223&gt;0,-LGD,0),0),IF(OR($J223="SWAP",$J223="FUTURE",$J223="CME FUTURE"),IF('Futures &amp; Perps Shifted'!$AE$31,VLOOKUP($M223,'Futures &amp; Perps Shifted'!$AE$32:$AO$76,MATCH($R223,'Futures &amp; Perps Shifted'!$AE$30:$AO$30,0),FALSE),0),0)))</f>
        <v>0</v>
      </c>
      <c r="X223" s="17">
        <f t="shared" si="54"/>
        <v>0</v>
      </c>
      <c r="Y223" s="14" t="str">
        <f t="shared" si="44"/>
        <v>HUB2</v>
      </c>
      <c r="Z223" t="str">
        <f t="shared" si="55"/>
        <v>LINK COIN LONG</v>
      </c>
      <c r="AA223" t="b">
        <f>IF($C223="","",IF(ISERROR(VLOOKUP($Y223,Mappings!$A:$C,3,FALSE)),FALSE,VLOOKUP($Y223,Mappings!$A:$C,3,FALSE)))</f>
        <v>0</v>
      </c>
    </row>
    <row r="224" spans="1:27" customFormat="1" x14ac:dyDescent="0.25">
      <c r="A224" s="14">
        <v>222</v>
      </c>
      <c r="B224" s="71">
        <v>44939.000002083332</v>
      </c>
      <c r="C224" s="14" t="s">
        <v>39</v>
      </c>
      <c r="D224" s="23" t="s">
        <v>115</v>
      </c>
      <c r="E224" s="23" t="s">
        <v>24</v>
      </c>
      <c r="F224" s="101">
        <v>1E-8</v>
      </c>
      <c r="G224" s="153">
        <v>8.5964229450756099E-7</v>
      </c>
      <c r="H224" s="157">
        <v>85.964229450756093</v>
      </c>
      <c r="I224" s="23">
        <v>0</v>
      </c>
      <c r="J224" s="23" t="s">
        <v>85</v>
      </c>
      <c r="K224" s="24">
        <v>44939.000002083332</v>
      </c>
      <c r="L224" s="23">
        <v>1</v>
      </c>
      <c r="M224" s="23" t="s">
        <v>24</v>
      </c>
      <c r="N224" s="45">
        <f t="shared" si="46"/>
        <v>1</v>
      </c>
      <c r="O224" s="159">
        <f t="shared" si="47"/>
        <v>1E-8</v>
      </c>
      <c r="P224" s="47">
        <f t="shared" si="48"/>
        <v>8.5964229450756099E-7</v>
      </c>
      <c r="Q224" s="25">
        <f t="shared" si="49"/>
        <v>0</v>
      </c>
      <c r="R224" s="26" t="str">
        <f t="shared" si="50"/>
        <v>COIN</v>
      </c>
      <c r="S224" s="26" t="str">
        <f t="shared" si="45"/>
        <v>LONG</v>
      </c>
      <c r="T224" s="26" t="str">
        <f t="shared" si="51"/>
        <v>COIN LONG</v>
      </c>
      <c r="U224" s="17">
        <f t="shared" si="52"/>
        <v>8.5964229450756099E-7</v>
      </c>
      <c r="V224" s="17">
        <f t="shared" si="53"/>
        <v>85.964229450756093</v>
      </c>
      <c r="W224" s="39">
        <f>IF($C224="","",IF(DefaultScenario,IF(OR(AND(Default_Exchange="ALL",NOT(ISERROR(MATCH($C224,$AF$6:$AF$37,0)))),$C224=Default_Exchange),IF($G224&gt;0,-LGD,0),0),IF(OR($J224="SWAP",$J224="FUTURE",$J224="CME FUTURE"),IF('Futures &amp; Perps Shifted'!$AE$31,VLOOKUP($M224,'Futures &amp; Perps Shifted'!$AE$32:$AO$76,MATCH($R224,'Futures &amp; Perps Shifted'!$AE$30:$AO$30,0),FALSE),0),0)))</f>
        <v>0</v>
      </c>
      <c r="X224" s="17">
        <f t="shared" si="54"/>
        <v>0</v>
      </c>
      <c r="Y224" s="14" t="str">
        <f t="shared" si="44"/>
        <v>HUB2</v>
      </c>
      <c r="Z224" t="str">
        <f t="shared" si="55"/>
        <v>LTC COIN LONG</v>
      </c>
      <c r="AA224" t="b">
        <f>IF($C224="","",IF(ISERROR(VLOOKUP($Y224,Mappings!$A:$C,3,FALSE)),FALSE,VLOOKUP($Y224,Mappings!$A:$C,3,FALSE)))</f>
        <v>0</v>
      </c>
    </row>
    <row r="225" spans="1:27" customFormat="1" x14ac:dyDescent="0.25">
      <c r="A225" s="14">
        <v>223</v>
      </c>
      <c r="B225" s="71">
        <v>44939.000002083332</v>
      </c>
      <c r="C225" s="14" t="s">
        <v>39</v>
      </c>
      <c r="D225" s="23" t="s">
        <v>115</v>
      </c>
      <c r="E225" s="23" t="s">
        <v>38</v>
      </c>
      <c r="F225" s="101">
        <v>3.2621029500000001</v>
      </c>
      <c r="G225" s="153">
        <v>3.2624032239163401</v>
      </c>
      <c r="H225" s="157">
        <v>1.00009204918451</v>
      </c>
      <c r="I225" s="23">
        <v>0</v>
      </c>
      <c r="J225" s="23" t="s">
        <v>85</v>
      </c>
      <c r="K225" s="24">
        <v>44939.000002083332</v>
      </c>
      <c r="L225" s="23">
        <v>1</v>
      </c>
      <c r="M225" s="23" t="s">
        <v>38</v>
      </c>
      <c r="N225" s="45">
        <f t="shared" si="46"/>
        <v>1</v>
      </c>
      <c r="O225" s="159">
        <f t="shared" si="47"/>
        <v>3.2621029500000001</v>
      </c>
      <c r="P225" s="47">
        <f t="shared" si="48"/>
        <v>3.2624032239163352</v>
      </c>
      <c r="Q225" s="25">
        <f t="shared" si="49"/>
        <v>0</v>
      </c>
      <c r="R225" s="26" t="str">
        <f t="shared" si="50"/>
        <v>COIN</v>
      </c>
      <c r="S225" s="26" t="str">
        <f t="shared" si="45"/>
        <v>LONG</v>
      </c>
      <c r="T225" s="26" t="str">
        <f t="shared" si="51"/>
        <v>COIN LONG</v>
      </c>
      <c r="U225" s="17">
        <f t="shared" si="52"/>
        <v>3.2624032239163401</v>
      </c>
      <c r="V225" s="17">
        <f t="shared" si="53"/>
        <v>1.00009204918451</v>
      </c>
      <c r="W225" s="39">
        <f>IF($C225="","",IF(DefaultScenario,IF(OR(AND(Default_Exchange="ALL",NOT(ISERROR(MATCH($C225,$AF$6:$AF$37,0)))),$C225=Default_Exchange),IF($G225&gt;0,-LGD,0),0),IF(OR($J225="SWAP",$J225="FUTURE",$J225="CME FUTURE"),IF('Futures &amp; Perps Shifted'!$AE$31,VLOOKUP($M225,'Futures &amp; Perps Shifted'!$AE$32:$AO$76,MATCH($R225,'Futures &amp; Perps Shifted'!$AE$30:$AO$30,0),FALSE),0),0)))</f>
        <v>0</v>
      </c>
      <c r="X225" s="17">
        <f t="shared" si="54"/>
        <v>0</v>
      </c>
      <c r="Y225" s="14" t="str">
        <f t="shared" si="44"/>
        <v>HUB2</v>
      </c>
      <c r="Z225" t="str">
        <f t="shared" si="55"/>
        <v>USDT COIN LONG</v>
      </c>
      <c r="AA225" t="b">
        <f>IF($C225="","",IF(ISERROR(VLOOKUP($Y225,Mappings!$A:$C,3,FALSE)),FALSE,VLOOKUP($Y225,Mappings!$A:$C,3,FALSE)))</f>
        <v>0</v>
      </c>
    </row>
    <row r="226" spans="1:27" customFormat="1" x14ac:dyDescent="0.25">
      <c r="A226" s="14">
        <v>224</v>
      </c>
      <c r="B226" s="71">
        <v>44939.000002083332</v>
      </c>
      <c r="C226" s="14" t="s">
        <v>39</v>
      </c>
      <c r="D226" s="23" t="s">
        <v>115</v>
      </c>
      <c r="E226" s="23" t="s">
        <v>99</v>
      </c>
      <c r="F226" s="101">
        <v>6.4869999999999994E-5</v>
      </c>
      <c r="G226" s="153">
        <v>2.4339038617232101E-5</v>
      </c>
      <c r="H226" s="157">
        <v>0.37519714224190098</v>
      </c>
      <c r="I226" s="23">
        <v>0</v>
      </c>
      <c r="J226" s="23" t="s">
        <v>85</v>
      </c>
      <c r="K226" s="24">
        <v>44939.000002083332</v>
      </c>
      <c r="L226" s="23">
        <v>1</v>
      </c>
      <c r="M226" s="23" t="s">
        <v>99</v>
      </c>
      <c r="N226" s="45">
        <f t="shared" si="46"/>
        <v>1</v>
      </c>
      <c r="O226" s="159">
        <f t="shared" si="47"/>
        <v>6.4869999999999994E-5</v>
      </c>
      <c r="P226" s="47">
        <f t="shared" si="48"/>
        <v>2.4339038617232115E-5</v>
      </c>
      <c r="Q226" s="25">
        <f t="shared" si="49"/>
        <v>0</v>
      </c>
      <c r="R226" s="26" t="str">
        <f t="shared" si="50"/>
        <v>COIN</v>
      </c>
      <c r="S226" s="26" t="str">
        <f t="shared" si="45"/>
        <v>LONG</v>
      </c>
      <c r="T226" s="26" t="str">
        <f t="shared" si="51"/>
        <v>COIN LONG</v>
      </c>
      <c r="U226" s="17">
        <f t="shared" si="52"/>
        <v>2.4339038617232101E-5</v>
      </c>
      <c r="V226" s="17">
        <f t="shared" si="53"/>
        <v>0.37519714224190098</v>
      </c>
      <c r="W226" s="39">
        <f>IF($C226="","",IF(DefaultScenario,IF(OR(AND(Default_Exchange="ALL",NOT(ISERROR(MATCH($C226,$AF$6:$AF$37,0)))),$C226=Default_Exchange),IF($G226&gt;0,-LGD,0),0),IF(OR($J226="SWAP",$J226="FUTURE",$J226="CME FUTURE"),IF('Futures &amp; Perps Shifted'!$AE$31,VLOOKUP($M226,'Futures &amp; Perps Shifted'!$AE$32:$AO$76,MATCH($R226,'Futures &amp; Perps Shifted'!$AE$30:$AO$30,0),FALSE),0),0)))</f>
        <v>0</v>
      </c>
      <c r="X226" s="17">
        <f t="shared" si="54"/>
        <v>0</v>
      </c>
      <c r="Y226" s="14" t="str">
        <f t="shared" si="44"/>
        <v>HUB2</v>
      </c>
      <c r="Z226" t="str">
        <f t="shared" si="55"/>
        <v>XRP COIN LONG</v>
      </c>
      <c r="AA226" t="b">
        <f>IF($C226="","",IF(ISERROR(VLOOKUP($Y226,Mappings!$A:$C,3,FALSE)),FALSE,VLOOKUP($Y226,Mappings!$A:$C,3,FALSE)))</f>
        <v>0</v>
      </c>
    </row>
    <row r="227" spans="1:27" customFormat="1" x14ac:dyDescent="0.25">
      <c r="A227" s="14">
        <v>225</v>
      </c>
      <c r="B227" s="71">
        <v>44939.00000104167</v>
      </c>
      <c r="C227" s="14" t="s">
        <v>39</v>
      </c>
      <c r="D227" s="23" t="s">
        <v>41</v>
      </c>
      <c r="E227" s="23" t="s">
        <v>116</v>
      </c>
      <c r="F227" s="101">
        <v>0.10014646000000001</v>
      </c>
      <c r="G227" s="153">
        <v>6.7960525951868096</v>
      </c>
      <c r="H227" s="157">
        <v>67.861136531304297</v>
      </c>
      <c r="I227" s="23">
        <v>0</v>
      </c>
      <c r="J227" s="23" t="s">
        <v>85</v>
      </c>
      <c r="K227" s="24">
        <v>44939.00000104167</v>
      </c>
      <c r="L227" s="23">
        <v>1</v>
      </c>
      <c r="M227" s="23" t="s">
        <v>116</v>
      </c>
      <c r="N227" s="45">
        <f t="shared" si="46"/>
        <v>1</v>
      </c>
      <c r="O227" s="159">
        <f t="shared" si="47"/>
        <v>0.10014646000000001</v>
      </c>
      <c r="P227" s="47">
        <f t="shared" si="48"/>
        <v>6.7960525951868052</v>
      </c>
      <c r="Q227" s="25">
        <f t="shared" si="49"/>
        <v>0</v>
      </c>
      <c r="R227" s="26" t="str">
        <f t="shared" si="50"/>
        <v>COIN</v>
      </c>
      <c r="S227" s="26" t="str">
        <f t="shared" si="45"/>
        <v>LONG</v>
      </c>
      <c r="T227" s="26" t="str">
        <f t="shared" si="51"/>
        <v>COIN LONG</v>
      </c>
      <c r="U227" s="17">
        <f t="shared" si="52"/>
        <v>6.7960525951868096</v>
      </c>
      <c r="V227" s="17">
        <f t="shared" si="53"/>
        <v>67.861136531304297</v>
      </c>
      <c r="W227" s="39">
        <f>IF($C227="","",IF(DefaultScenario,IF(OR(AND(Default_Exchange="ALL",NOT(ISERROR(MATCH($C227,$AF$6:$AF$37,0)))),$C227=Default_Exchange),IF($G227&gt;0,-LGD,0),0),IF(OR($J227="SWAP",$J227="FUTURE",$J227="CME FUTURE"),IF('Futures &amp; Perps Shifted'!$AE$31,VLOOKUP($M227,'Futures &amp; Perps Shifted'!$AE$32:$AO$76,MATCH($R227,'Futures &amp; Perps Shifted'!$AE$30:$AO$30,0),FALSE),0),0)))</f>
        <v>0</v>
      </c>
      <c r="X227" s="17">
        <f t="shared" si="54"/>
        <v>0</v>
      </c>
      <c r="Y227" s="14" t="str">
        <f t="shared" si="44"/>
        <v>HUBI</v>
      </c>
      <c r="Z227" t="str">
        <f t="shared" si="55"/>
        <v>AAVE COIN LONG</v>
      </c>
      <c r="AA227" t="b">
        <f>IF($C227="","",IF(ISERROR(VLOOKUP($Y227,Mappings!$A:$C,3,FALSE)),FALSE,VLOOKUP($Y227,Mappings!$A:$C,3,FALSE)))</f>
        <v>1</v>
      </c>
    </row>
    <row r="228" spans="1:27" customFormat="1" x14ac:dyDescent="0.25">
      <c r="A228" s="14">
        <v>226</v>
      </c>
      <c r="B228" s="71">
        <v>44939.00000104167</v>
      </c>
      <c r="C228" s="14" t="s">
        <v>39</v>
      </c>
      <c r="D228" s="23" t="s">
        <v>41</v>
      </c>
      <c r="E228" s="23" t="s">
        <v>84</v>
      </c>
      <c r="F228" s="101">
        <v>3.2091999999999998E-4</v>
      </c>
      <c r="G228" s="153">
        <v>1.05826089714644E-4</v>
      </c>
      <c r="H228" s="157">
        <v>0.329758474743375</v>
      </c>
      <c r="I228" s="23">
        <v>0</v>
      </c>
      <c r="J228" s="23" t="s">
        <v>85</v>
      </c>
      <c r="K228" s="24">
        <v>44939.00000104167</v>
      </c>
      <c r="L228" s="23">
        <v>1</v>
      </c>
      <c r="M228" s="23" t="s">
        <v>84</v>
      </c>
      <c r="N228" s="45">
        <f t="shared" si="46"/>
        <v>1</v>
      </c>
      <c r="O228" s="159">
        <f t="shared" si="47"/>
        <v>3.2091999999999998E-4</v>
      </c>
      <c r="P228" s="47">
        <f t="shared" si="48"/>
        <v>1.058260897146439E-4</v>
      </c>
      <c r="Q228" s="25">
        <f t="shared" si="49"/>
        <v>0</v>
      </c>
      <c r="R228" s="26" t="str">
        <f t="shared" si="50"/>
        <v>COIN</v>
      </c>
      <c r="S228" s="26" t="str">
        <f t="shared" si="45"/>
        <v>LONG</v>
      </c>
      <c r="T228" s="26" t="str">
        <f t="shared" si="51"/>
        <v>COIN LONG</v>
      </c>
      <c r="U228" s="17">
        <f t="shared" si="52"/>
        <v>1.05826089714644E-4</v>
      </c>
      <c r="V228" s="17">
        <f t="shared" si="53"/>
        <v>0.329758474743375</v>
      </c>
      <c r="W228" s="39">
        <f>IF($C228="","",IF(DefaultScenario,IF(OR(AND(Default_Exchange="ALL",NOT(ISERROR(MATCH($C228,$AF$6:$AF$37,0)))),$C228=Default_Exchange),IF($G228&gt;0,-LGD,0),0),IF(OR($J228="SWAP",$J228="FUTURE",$J228="CME FUTURE"),IF('Futures &amp; Perps Shifted'!$AE$31,VLOOKUP($M228,'Futures &amp; Perps Shifted'!$AE$32:$AO$76,MATCH($R228,'Futures &amp; Perps Shifted'!$AE$30:$AO$30,0),FALSE),0),0)))</f>
        <v>0</v>
      </c>
      <c r="X228" s="17">
        <f t="shared" si="54"/>
        <v>0</v>
      </c>
      <c r="Y228" s="14" t="str">
        <f t="shared" si="44"/>
        <v>HUBI</v>
      </c>
      <c r="Z228" t="str">
        <f t="shared" si="55"/>
        <v>ADA COIN LONG</v>
      </c>
      <c r="AA228" t="b">
        <f>IF($C228="","",IF(ISERROR(VLOOKUP($Y228,Mappings!$A:$C,3,FALSE)),FALSE,VLOOKUP($Y228,Mappings!$A:$C,3,FALSE)))</f>
        <v>1</v>
      </c>
    </row>
    <row r="229" spans="1:27" customFormat="1" x14ac:dyDescent="0.25">
      <c r="A229" s="14">
        <v>227</v>
      </c>
      <c r="B229" s="71">
        <v>44939.00000104167</v>
      </c>
      <c r="C229" s="14" t="s">
        <v>39</v>
      </c>
      <c r="D229" s="23" t="s">
        <v>41</v>
      </c>
      <c r="E229" s="23" t="s">
        <v>20</v>
      </c>
      <c r="F229" s="101">
        <v>5.3552000000000005E-4</v>
      </c>
      <c r="G229" s="153">
        <v>6.4107348825906907E-2</v>
      </c>
      <c r="H229" s="157">
        <v>119.710466137412</v>
      </c>
      <c r="I229" s="23">
        <v>0</v>
      </c>
      <c r="J229" s="23" t="s">
        <v>85</v>
      </c>
      <c r="K229" s="24">
        <v>44939.00000104167</v>
      </c>
      <c r="L229" s="23">
        <v>1</v>
      </c>
      <c r="M229" s="23" t="s">
        <v>20</v>
      </c>
      <c r="N229" s="45">
        <f t="shared" si="46"/>
        <v>1</v>
      </c>
      <c r="O229" s="159">
        <f t="shared" si="47"/>
        <v>5.3552000000000005E-4</v>
      </c>
      <c r="P229" s="47">
        <f t="shared" si="48"/>
        <v>6.4107348825906879E-2</v>
      </c>
      <c r="Q229" s="25">
        <f t="shared" si="49"/>
        <v>0</v>
      </c>
      <c r="R229" s="26" t="str">
        <f t="shared" si="50"/>
        <v>COIN</v>
      </c>
      <c r="S229" s="26" t="str">
        <f t="shared" si="45"/>
        <v>LONG</v>
      </c>
      <c r="T229" s="26" t="str">
        <f t="shared" si="51"/>
        <v>COIN LONG</v>
      </c>
      <c r="U229" s="17">
        <f t="shared" si="52"/>
        <v>6.4107348825906907E-2</v>
      </c>
      <c r="V229" s="17">
        <f t="shared" si="53"/>
        <v>119.710466137412</v>
      </c>
      <c r="W229" s="39">
        <f>IF($C229="","",IF(DefaultScenario,IF(OR(AND(Default_Exchange="ALL",NOT(ISERROR(MATCH($C229,$AF$6:$AF$37,0)))),$C229=Default_Exchange),IF($G229&gt;0,-LGD,0),0),IF(OR($J229="SWAP",$J229="FUTURE",$J229="CME FUTURE"),IF('Futures &amp; Perps Shifted'!$AE$31,VLOOKUP($M229,'Futures &amp; Perps Shifted'!$AE$32:$AO$76,MATCH($R229,'Futures &amp; Perps Shifted'!$AE$30:$AO$30,0),FALSE),0),0)))</f>
        <v>0</v>
      </c>
      <c r="X229" s="17">
        <f t="shared" si="54"/>
        <v>0</v>
      </c>
      <c r="Y229" s="14" t="str">
        <f t="shared" si="44"/>
        <v>HUBI</v>
      </c>
      <c r="Z229" t="str">
        <f t="shared" si="55"/>
        <v>BCH COIN LONG</v>
      </c>
      <c r="AA229" t="b">
        <f>IF($C229="","",IF(ISERROR(VLOOKUP($Y229,Mappings!$A:$C,3,FALSE)),FALSE,VLOOKUP($Y229,Mappings!$A:$C,3,FALSE)))</f>
        <v>1</v>
      </c>
    </row>
    <row r="230" spans="1:27" customFormat="1" x14ac:dyDescent="0.25">
      <c r="A230" s="14">
        <v>228</v>
      </c>
      <c r="B230" s="71">
        <v>44939.00000104167</v>
      </c>
      <c r="C230" s="14" t="s">
        <v>39</v>
      </c>
      <c r="D230" s="23" t="s">
        <v>41</v>
      </c>
      <c r="E230" s="23" t="s">
        <v>113</v>
      </c>
      <c r="F230" s="101">
        <v>2.9999999999999997E-8</v>
      </c>
      <c r="G230" s="153">
        <v>1.2644395792497801E-6</v>
      </c>
      <c r="H230" s="157">
        <v>42.1479859749927</v>
      </c>
      <c r="I230" s="23">
        <v>0</v>
      </c>
      <c r="J230" s="23" t="s">
        <v>85</v>
      </c>
      <c r="K230" s="24">
        <v>44939.00000104167</v>
      </c>
      <c r="L230" s="23">
        <v>1</v>
      </c>
      <c r="M230" s="23" t="s">
        <v>113</v>
      </c>
      <c r="N230" s="45">
        <f t="shared" si="46"/>
        <v>1</v>
      </c>
      <c r="O230" s="159">
        <f t="shared" si="47"/>
        <v>2.9999999999999997E-8</v>
      </c>
      <c r="P230" s="47">
        <f t="shared" si="48"/>
        <v>1.2644395792497809E-6</v>
      </c>
      <c r="Q230" s="25">
        <f t="shared" si="49"/>
        <v>0</v>
      </c>
      <c r="R230" s="26" t="str">
        <f t="shared" si="50"/>
        <v>COIN</v>
      </c>
      <c r="S230" s="26" t="str">
        <f t="shared" si="45"/>
        <v>LONG</v>
      </c>
      <c r="T230" s="26" t="str">
        <f t="shared" si="51"/>
        <v>COIN LONG</v>
      </c>
      <c r="U230" s="17">
        <f t="shared" si="52"/>
        <v>1.2644395792497801E-6</v>
      </c>
      <c r="V230" s="17">
        <f t="shared" si="53"/>
        <v>42.1479859749927</v>
      </c>
      <c r="W230" s="39">
        <f>IF($C230="","",IF(DefaultScenario,IF(OR(AND(Default_Exchange="ALL",NOT(ISERROR(MATCH($C230,$AF$6:$AF$37,0)))),$C230=Default_Exchange),IF($G230&gt;0,-LGD,0),0),IF(OR($J230="SWAP",$J230="FUTURE",$J230="CME FUTURE"),IF('Futures &amp; Perps Shifted'!$AE$31,VLOOKUP($M230,'Futures &amp; Perps Shifted'!$AE$32:$AO$76,MATCH($R230,'Futures &amp; Perps Shifted'!$AE$30:$AO$30,0),FALSE),0),0)))</f>
        <v>0</v>
      </c>
      <c r="X230" s="17">
        <f t="shared" si="54"/>
        <v>0</v>
      </c>
      <c r="Y230" s="14" t="str">
        <f t="shared" si="44"/>
        <v>HUBI</v>
      </c>
      <c r="Z230" t="str">
        <f t="shared" si="55"/>
        <v>BSV COIN LONG</v>
      </c>
      <c r="AA230" t="b">
        <f>IF($C230="","",IF(ISERROR(VLOOKUP($Y230,Mappings!$A:$C,3,FALSE)),FALSE,VLOOKUP($Y230,Mappings!$A:$C,3,FALSE)))</f>
        <v>1</v>
      </c>
    </row>
    <row r="231" spans="1:27" customFormat="1" x14ac:dyDescent="0.25">
      <c r="A231" s="14">
        <v>229</v>
      </c>
      <c r="B231" s="71">
        <v>44939.00000104167</v>
      </c>
      <c r="C231" s="14" t="s">
        <v>39</v>
      </c>
      <c r="D231" s="23" t="s">
        <v>41</v>
      </c>
      <c r="E231" s="23" t="s">
        <v>14</v>
      </c>
      <c r="F231" s="101">
        <v>18.041232239999999</v>
      </c>
      <c r="G231" s="153">
        <v>340430.62037817598</v>
      </c>
      <c r="H231" s="157">
        <v>18869.5880552655</v>
      </c>
      <c r="I231" s="23">
        <v>0</v>
      </c>
      <c r="J231" s="23" t="s">
        <v>85</v>
      </c>
      <c r="K231" s="24">
        <v>44939.00000104167</v>
      </c>
      <c r="L231" s="23">
        <v>1</v>
      </c>
      <c r="M231" s="23" t="s">
        <v>14</v>
      </c>
      <c r="N231" s="45">
        <f t="shared" si="46"/>
        <v>1</v>
      </c>
      <c r="O231" s="159">
        <f t="shared" si="47"/>
        <v>18.041232239999999</v>
      </c>
      <c r="P231" s="47">
        <f t="shared" si="48"/>
        <v>340430.62037817482</v>
      </c>
      <c r="Q231" s="25">
        <f t="shared" si="49"/>
        <v>0</v>
      </c>
      <c r="R231" s="26" t="str">
        <f t="shared" si="50"/>
        <v>COIN</v>
      </c>
      <c r="S231" s="26" t="str">
        <f t="shared" si="45"/>
        <v>LONG</v>
      </c>
      <c r="T231" s="26" t="str">
        <f t="shared" si="51"/>
        <v>COIN LONG</v>
      </c>
      <c r="U231" s="17">
        <f t="shared" si="52"/>
        <v>340430.62037817598</v>
      </c>
      <c r="V231" s="17">
        <f t="shared" si="53"/>
        <v>18869.5880552655</v>
      </c>
      <c r="W231" s="39">
        <f>IF($C231="","",IF(DefaultScenario,IF(OR(AND(Default_Exchange="ALL",NOT(ISERROR(MATCH($C231,$AF$6:$AF$37,0)))),$C231=Default_Exchange),IF($G231&gt;0,-LGD,0),0),IF(OR($J231="SWAP",$J231="FUTURE",$J231="CME FUTURE"),IF('Futures &amp; Perps Shifted'!$AE$31,VLOOKUP($M231,'Futures &amp; Perps Shifted'!$AE$32:$AO$76,MATCH($R231,'Futures &amp; Perps Shifted'!$AE$30:$AO$30,0),FALSE),0),0)))</f>
        <v>0</v>
      </c>
      <c r="X231" s="17">
        <f t="shared" si="54"/>
        <v>0</v>
      </c>
      <c r="Y231" s="14" t="str">
        <f t="shared" si="44"/>
        <v>HUBI</v>
      </c>
      <c r="Z231" t="str">
        <f t="shared" si="55"/>
        <v>BTC COIN LONG</v>
      </c>
      <c r="AA231" t="b">
        <f>IF($C231="","",IF(ISERROR(VLOOKUP($Y231,Mappings!$A:$C,3,FALSE)),FALSE,VLOOKUP($Y231,Mappings!$A:$C,3,FALSE)))</f>
        <v>1</v>
      </c>
    </row>
    <row r="232" spans="1:27" customFormat="1" x14ac:dyDescent="0.25">
      <c r="A232" s="14">
        <v>230</v>
      </c>
      <c r="B232" s="71">
        <v>44939.00000104167</v>
      </c>
      <c r="C232" s="14" t="s">
        <v>39</v>
      </c>
      <c r="D232" s="23" t="s">
        <v>41</v>
      </c>
      <c r="E232" s="23" t="s">
        <v>14</v>
      </c>
      <c r="F232" s="101">
        <v>-0.70682544000000003</v>
      </c>
      <c r="G232" s="153">
        <v>-13337.5048797818</v>
      </c>
      <c r="H232" s="157">
        <v>18869.5880552655</v>
      </c>
      <c r="I232" s="23">
        <v>0</v>
      </c>
      <c r="J232" s="23" t="s">
        <v>253</v>
      </c>
      <c r="K232" s="24">
        <v>44939.00000104167</v>
      </c>
      <c r="L232" s="23">
        <v>1</v>
      </c>
      <c r="M232" s="23" t="s">
        <v>14</v>
      </c>
      <c r="N232" s="45">
        <f t="shared" si="46"/>
        <v>1</v>
      </c>
      <c r="O232" s="159">
        <f t="shared" si="47"/>
        <v>-0.70682544000000003</v>
      </c>
      <c r="P232" s="47">
        <f t="shared" si="48"/>
        <v>-13337.504879781782</v>
      </c>
      <c r="Q232" s="25">
        <f t="shared" si="49"/>
        <v>0</v>
      </c>
      <c r="R232" s="26" t="str">
        <f t="shared" si="50"/>
        <v>COIN</v>
      </c>
      <c r="S232" s="26" t="str">
        <f t="shared" si="45"/>
        <v>SHORT</v>
      </c>
      <c r="T232" s="26" t="str">
        <f t="shared" si="51"/>
        <v>COIN SHORT</v>
      </c>
      <c r="U232" s="17">
        <f t="shared" si="52"/>
        <v>-13337.5048797818</v>
      </c>
      <c r="V232" s="17">
        <f t="shared" si="53"/>
        <v>18869.5880552655</v>
      </c>
      <c r="W232" s="39">
        <f>IF($C232="","",IF(DefaultScenario,IF(OR(AND(Default_Exchange="ALL",NOT(ISERROR(MATCH($C232,$AF$6:$AF$37,0)))),$C232=Default_Exchange),IF($G232&gt;0,-LGD,0),0),IF(OR($J232="SWAP",$J232="FUTURE",$J232="CME FUTURE"),IF('Futures &amp; Perps Shifted'!$AE$31,VLOOKUP($M232,'Futures &amp; Perps Shifted'!$AE$32:$AO$76,MATCH($R232,'Futures &amp; Perps Shifted'!$AE$30:$AO$30,0),FALSE),0),0)))</f>
        <v>0</v>
      </c>
      <c r="X232" s="17">
        <f t="shared" si="54"/>
        <v>0</v>
      </c>
      <c r="Y232" s="14" t="str">
        <f t="shared" si="44"/>
        <v>HUBI</v>
      </c>
      <c r="Z232" t="str">
        <f t="shared" si="55"/>
        <v>BTC COIN SHORT</v>
      </c>
      <c r="AA232" t="b">
        <f>IF($C232="","",IF(ISERROR(VLOOKUP($Y232,Mappings!$A:$C,3,FALSE)),FALSE,VLOOKUP($Y232,Mappings!$A:$C,3,FALSE)))</f>
        <v>1</v>
      </c>
    </row>
    <row r="233" spans="1:27" customFormat="1" x14ac:dyDescent="0.25">
      <c r="A233" s="14">
        <v>231</v>
      </c>
      <c r="B233" s="71">
        <v>44939.00000104167</v>
      </c>
      <c r="C233" s="14" t="s">
        <v>39</v>
      </c>
      <c r="D233" s="23" t="s">
        <v>41</v>
      </c>
      <c r="E233" s="23" t="s">
        <v>22</v>
      </c>
      <c r="F233" s="101">
        <v>3.8972899999999999E-3</v>
      </c>
      <c r="G233" s="153">
        <v>2.03807920771737E-2</v>
      </c>
      <c r="H233" s="157">
        <v>5.2294779390740098</v>
      </c>
      <c r="I233" s="23">
        <v>0</v>
      </c>
      <c r="J233" s="23" t="s">
        <v>85</v>
      </c>
      <c r="K233" s="24">
        <v>44939.00000104167</v>
      </c>
      <c r="L233" s="23">
        <v>1</v>
      </c>
      <c r="M233" s="23" t="s">
        <v>22</v>
      </c>
      <c r="N233" s="45">
        <f t="shared" si="46"/>
        <v>1</v>
      </c>
      <c r="O233" s="159">
        <f t="shared" si="47"/>
        <v>3.8972899999999999E-3</v>
      </c>
      <c r="P233" s="47">
        <f t="shared" si="48"/>
        <v>2.0380792077173748E-2</v>
      </c>
      <c r="Q233" s="25">
        <f t="shared" si="49"/>
        <v>0</v>
      </c>
      <c r="R233" s="26" t="str">
        <f t="shared" si="50"/>
        <v>COIN</v>
      </c>
      <c r="S233" s="26" t="str">
        <f t="shared" si="45"/>
        <v>LONG</v>
      </c>
      <c r="T233" s="26" t="str">
        <f t="shared" si="51"/>
        <v>COIN LONG</v>
      </c>
      <c r="U233" s="17">
        <f t="shared" si="52"/>
        <v>2.03807920771737E-2</v>
      </c>
      <c r="V233" s="17">
        <f t="shared" si="53"/>
        <v>5.2294779390740098</v>
      </c>
      <c r="W233" s="39">
        <f>IF($C233="","",IF(DefaultScenario,IF(OR(AND(Default_Exchange="ALL",NOT(ISERROR(MATCH($C233,$AF$6:$AF$37,0)))),$C233=Default_Exchange),IF($G233&gt;0,-LGD,0),0),IF(OR($J233="SWAP",$J233="FUTURE",$J233="CME FUTURE"),IF('Futures &amp; Perps Shifted'!$AE$31,VLOOKUP($M233,'Futures &amp; Perps Shifted'!$AE$32:$AO$76,MATCH($R233,'Futures &amp; Perps Shifted'!$AE$30:$AO$30,0),FALSE),0),0)))</f>
        <v>0</v>
      </c>
      <c r="X233" s="17">
        <f t="shared" si="54"/>
        <v>0</v>
      </c>
      <c r="Y233" s="14" t="str">
        <f t="shared" si="44"/>
        <v>HUBI</v>
      </c>
      <c r="Z233" t="str">
        <f t="shared" si="55"/>
        <v>DOT COIN LONG</v>
      </c>
      <c r="AA233" t="b">
        <f>IF($C233="","",IF(ISERROR(VLOOKUP($Y233,Mappings!$A:$C,3,FALSE)),FALSE,VLOOKUP($Y233,Mappings!$A:$C,3,FALSE)))</f>
        <v>1</v>
      </c>
    </row>
    <row r="234" spans="1:27" customFormat="1" x14ac:dyDescent="0.25">
      <c r="A234" s="14">
        <v>232</v>
      </c>
      <c r="B234" s="71">
        <v>44939.00000104167</v>
      </c>
      <c r="C234" s="14" t="s">
        <v>39</v>
      </c>
      <c r="D234" s="23" t="s">
        <v>41</v>
      </c>
      <c r="E234" s="23" t="s">
        <v>29</v>
      </c>
      <c r="F234" s="101">
        <v>0.1010306</v>
      </c>
      <c r="G234" s="153">
        <v>2.1133336633936102</v>
      </c>
      <c r="H234" s="157">
        <v>20.917758217744002</v>
      </c>
      <c r="I234" s="23">
        <v>0</v>
      </c>
      <c r="J234" s="23" t="s">
        <v>85</v>
      </c>
      <c r="K234" s="24">
        <v>44939.00000104167</v>
      </c>
      <c r="L234" s="23">
        <v>1</v>
      </c>
      <c r="M234" s="23" t="s">
        <v>29</v>
      </c>
      <c r="N234" s="45">
        <f t="shared" si="46"/>
        <v>1</v>
      </c>
      <c r="O234" s="159">
        <f t="shared" si="47"/>
        <v>0.1010306</v>
      </c>
      <c r="P234" s="47">
        <f t="shared" si="48"/>
        <v>2.1133336633936071</v>
      </c>
      <c r="Q234" s="25">
        <f t="shared" si="49"/>
        <v>0</v>
      </c>
      <c r="R234" s="26" t="str">
        <f t="shared" si="50"/>
        <v>COIN</v>
      </c>
      <c r="S234" s="26" t="str">
        <f t="shared" si="45"/>
        <v>LONG</v>
      </c>
      <c r="T234" s="26" t="str">
        <f t="shared" si="51"/>
        <v>COIN LONG</v>
      </c>
      <c r="U234" s="17">
        <f t="shared" si="52"/>
        <v>2.1133336633936102</v>
      </c>
      <c r="V234" s="17">
        <f t="shared" si="53"/>
        <v>20.917758217744002</v>
      </c>
      <c r="W234" s="39">
        <f>IF($C234="","",IF(DefaultScenario,IF(OR(AND(Default_Exchange="ALL",NOT(ISERROR(MATCH($C234,$AF$6:$AF$37,0)))),$C234=Default_Exchange),IF($G234&gt;0,-LGD,0),0),IF(OR($J234="SWAP",$J234="FUTURE",$J234="CME FUTURE"),IF('Futures &amp; Perps Shifted'!$AE$31,VLOOKUP($M234,'Futures &amp; Perps Shifted'!$AE$32:$AO$76,MATCH($R234,'Futures &amp; Perps Shifted'!$AE$30:$AO$30,0),FALSE),0),0)))</f>
        <v>0</v>
      </c>
      <c r="X234" s="17">
        <f t="shared" si="54"/>
        <v>0</v>
      </c>
      <c r="Y234" s="14" t="str">
        <f t="shared" si="44"/>
        <v>HUBI</v>
      </c>
      <c r="Z234" t="str">
        <f t="shared" si="55"/>
        <v>ETC COIN LONG</v>
      </c>
      <c r="AA234" t="b">
        <f>IF($C234="","",IF(ISERROR(VLOOKUP($Y234,Mappings!$A:$C,3,FALSE)),FALSE,VLOOKUP($Y234,Mappings!$A:$C,3,FALSE)))</f>
        <v>1</v>
      </c>
    </row>
    <row r="235" spans="1:27" customFormat="1" x14ac:dyDescent="0.25">
      <c r="A235" s="14">
        <v>233</v>
      </c>
      <c r="B235" s="71">
        <v>44939.00000104167</v>
      </c>
      <c r="C235" s="14" t="s">
        <v>39</v>
      </c>
      <c r="D235" s="23" t="s">
        <v>41</v>
      </c>
      <c r="E235" s="23" t="s">
        <v>15</v>
      </c>
      <c r="F235" s="101">
        <v>146.63241235999999</v>
      </c>
      <c r="G235" s="153">
        <v>207915.74622197301</v>
      </c>
      <c r="H235" s="157">
        <v>1417.9385231112101</v>
      </c>
      <c r="I235" s="23">
        <v>0</v>
      </c>
      <c r="J235" s="23" t="s">
        <v>85</v>
      </c>
      <c r="K235" s="24">
        <v>44939.00000104167</v>
      </c>
      <c r="L235" s="23">
        <v>1</v>
      </c>
      <c r="M235" s="23" t="s">
        <v>15</v>
      </c>
      <c r="N235" s="45">
        <f t="shared" si="46"/>
        <v>1</v>
      </c>
      <c r="O235" s="159">
        <f t="shared" si="47"/>
        <v>146.63241235999999</v>
      </c>
      <c r="P235" s="47">
        <f t="shared" si="48"/>
        <v>207915.74622197234</v>
      </c>
      <c r="Q235" s="25">
        <f t="shared" si="49"/>
        <v>0</v>
      </c>
      <c r="R235" s="26" t="str">
        <f t="shared" si="50"/>
        <v>COIN</v>
      </c>
      <c r="S235" s="26" t="str">
        <f t="shared" si="45"/>
        <v>LONG</v>
      </c>
      <c r="T235" s="26" t="str">
        <f t="shared" si="51"/>
        <v>COIN LONG</v>
      </c>
      <c r="U235" s="17">
        <f t="shared" si="52"/>
        <v>207915.74622197301</v>
      </c>
      <c r="V235" s="17">
        <f t="shared" si="53"/>
        <v>1417.9385231112101</v>
      </c>
      <c r="W235" s="39">
        <f>IF($C235="","",IF(DefaultScenario,IF(OR(AND(Default_Exchange="ALL",NOT(ISERROR(MATCH($C235,$AF$6:$AF$37,0)))),$C235=Default_Exchange),IF($G235&gt;0,-LGD,0),0),IF(OR($J235="SWAP",$J235="FUTURE",$J235="CME FUTURE"),IF('Futures &amp; Perps Shifted'!$AE$31,VLOOKUP($M235,'Futures &amp; Perps Shifted'!$AE$32:$AO$76,MATCH($R235,'Futures &amp; Perps Shifted'!$AE$30:$AO$30,0),FALSE),0),0)))</f>
        <v>0</v>
      </c>
      <c r="X235" s="17">
        <f t="shared" si="54"/>
        <v>0</v>
      </c>
      <c r="Y235" s="14" t="str">
        <f t="shared" si="44"/>
        <v>HUBI</v>
      </c>
      <c r="Z235" t="str">
        <f t="shared" si="55"/>
        <v>ETH COIN LONG</v>
      </c>
      <c r="AA235" t="b">
        <f>IF($C235="","",IF(ISERROR(VLOOKUP($Y235,Mappings!$A:$C,3,FALSE)),FALSE,VLOOKUP($Y235,Mappings!$A:$C,3,FALSE)))</f>
        <v>1</v>
      </c>
    </row>
    <row r="236" spans="1:27" customFormat="1" x14ac:dyDescent="0.25">
      <c r="A236" s="14">
        <v>234</v>
      </c>
      <c r="B236" s="71">
        <v>44939.00000104167</v>
      </c>
      <c r="C236" s="14" t="s">
        <v>39</v>
      </c>
      <c r="D236" s="23" t="s">
        <v>41</v>
      </c>
      <c r="E236" s="23" t="s">
        <v>15</v>
      </c>
      <c r="F236" s="101">
        <v>-2.6088340000000002E-2</v>
      </c>
      <c r="G236" s="153">
        <v>-36.991662290023299</v>
      </c>
      <c r="H236" s="157">
        <v>1417.9385231112101</v>
      </c>
      <c r="I236" s="23">
        <v>0</v>
      </c>
      <c r="J236" s="23" t="s">
        <v>253</v>
      </c>
      <c r="K236" s="24">
        <v>44939.00000104167</v>
      </c>
      <c r="L236" s="23">
        <v>1</v>
      </c>
      <c r="M236" s="23" t="s">
        <v>15</v>
      </c>
      <c r="N236" s="45">
        <f t="shared" si="46"/>
        <v>1</v>
      </c>
      <c r="O236" s="159">
        <f t="shared" si="47"/>
        <v>-2.6088340000000002E-2</v>
      </c>
      <c r="P236" s="47">
        <f t="shared" si="48"/>
        <v>-36.991662290023108</v>
      </c>
      <c r="Q236" s="25">
        <f t="shared" si="49"/>
        <v>0</v>
      </c>
      <c r="R236" s="26" t="str">
        <f t="shared" si="50"/>
        <v>COIN</v>
      </c>
      <c r="S236" s="26" t="str">
        <f t="shared" si="45"/>
        <v>SHORT</v>
      </c>
      <c r="T236" s="26" t="str">
        <f t="shared" si="51"/>
        <v>COIN SHORT</v>
      </c>
      <c r="U236" s="17">
        <f t="shared" si="52"/>
        <v>-36.991662290023299</v>
      </c>
      <c r="V236" s="17">
        <f t="shared" si="53"/>
        <v>1417.9385231112101</v>
      </c>
      <c r="W236" s="39">
        <f>IF($C236="","",IF(DefaultScenario,IF(OR(AND(Default_Exchange="ALL",NOT(ISERROR(MATCH($C236,$AF$6:$AF$37,0)))),$C236=Default_Exchange),IF($G236&gt;0,-LGD,0),0),IF(OR($J236="SWAP",$J236="FUTURE",$J236="CME FUTURE"),IF('Futures &amp; Perps Shifted'!$AE$31,VLOOKUP($M236,'Futures &amp; Perps Shifted'!$AE$32:$AO$76,MATCH($R236,'Futures &amp; Perps Shifted'!$AE$30:$AO$30,0),FALSE),0),0)))</f>
        <v>0</v>
      </c>
      <c r="X236" s="17">
        <f t="shared" si="54"/>
        <v>0</v>
      </c>
      <c r="Y236" s="14" t="str">
        <f t="shared" si="44"/>
        <v>HUBI</v>
      </c>
      <c r="Z236" t="str">
        <f t="shared" si="55"/>
        <v>ETH COIN SHORT</v>
      </c>
      <c r="AA236" t="b">
        <f>IF($C236="","",IF(ISERROR(VLOOKUP($Y236,Mappings!$A:$C,3,FALSE)),FALSE,VLOOKUP($Y236,Mappings!$A:$C,3,FALSE)))</f>
        <v>1</v>
      </c>
    </row>
    <row r="237" spans="1:27" customFormat="1" x14ac:dyDescent="0.25">
      <c r="A237" s="14">
        <v>235</v>
      </c>
      <c r="B237" s="71">
        <v>44939.00000104167</v>
      </c>
      <c r="C237" s="14" t="s">
        <v>39</v>
      </c>
      <c r="D237" s="23" t="s">
        <v>41</v>
      </c>
      <c r="E237" s="23" t="s">
        <v>27</v>
      </c>
      <c r="F237" s="101">
        <v>9.5620999999999998E-4</v>
      </c>
      <c r="G237" s="153">
        <v>6.1018930437566196E-3</v>
      </c>
      <c r="H237" s="157">
        <v>6.38133155243787</v>
      </c>
      <c r="I237" s="23">
        <v>0</v>
      </c>
      <c r="J237" s="23" t="s">
        <v>85</v>
      </c>
      <c r="K237" s="24">
        <v>44939.00000104167</v>
      </c>
      <c r="L237" s="23">
        <v>1</v>
      </c>
      <c r="M237" s="23" t="s">
        <v>27</v>
      </c>
      <c r="N237" s="45">
        <f t="shared" si="46"/>
        <v>1</v>
      </c>
      <c r="O237" s="159">
        <f t="shared" si="47"/>
        <v>9.5620999999999998E-4</v>
      </c>
      <c r="P237" s="47">
        <f t="shared" si="48"/>
        <v>6.1018930437566152E-3</v>
      </c>
      <c r="Q237" s="25">
        <f t="shared" si="49"/>
        <v>0</v>
      </c>
      <c r="R237" s="26" t="str">
        <f t="shared" si="50"/>
        <v>COIN</v>
      </c>
      <c r="S237" s="26" t="str">
        <f t="shared" si="45"/>
        <v>LONG</v>
      </c>
      <c r="T237" s="26" t="str">
        <f t="shared" si="51"/>
        <v>COIN LONG</v>
      </c>
      <c r="U237" s="17">
        <f t="shared" si="52"/>
        <v>6.1018930437566196E-3</v>
      </c>
      <c r="V237" s="17">
        <f t="shared" si="53"/>
        <v>6.38133155243787</v>
      </c>
      <c r="W237" s="39">
        <f>IF($C237="","",IF(DefaultScenario,IF(OR(AND(Default_Exchange="ALL",NOT(ISERROR(MATCH($C237,$AF$6:$AF$37,0)))),$C237=Default_Exchange),IF($G237&gt;0,-LGD,0),0),IF(OR($J237="SWAP",$J237="FUTURE",$J237="CME FUTURE"),IF('Futures &amp; Perps Shifted'!$AE$31,VLOOKUP($M237,'Futures &amp; Perps Shifted'!$AE$32:$AO$76,MATCH($R237,'Futures &amp; Perps Shifted'!$AE$30:$AO$30,0),FALSE),0),0)))</f>
        <v>0</v>
      </c>
      <c r="X237" s="17">
        <f t="shared" si="54"/>
        <v>0</v>
      </c>
      <c r="Y237" s="14" t="str">
        <f t="shared" si="44"/>
        <v>HUBI</v>
      </c>
      <c r="Z237" t="str">
        <f t="shared" si="55"/>
        <v>LINK COIN LONG</v>
      </c>
      <c r="AA237" t="b">
        <f>IF($C237="","",IF(ISERROR(VLOOKUP($Y237,Mappings!$A:$C,3,FALSE)),FALSE,VLOOKUP($Y237,Mappings!$A:$C,3,FALSE)))</f>
        <v>1</v>
      </c>
    </row>
    <row r="238" spans="1:27" customFormat="1" x14ac:dyDescent="0.25">
      <c r="A238" s="14">
        <v>236</v>
      </c>
      <c r="B238" s="71">
        <v>44939.00000104167</v>
      </c>
      <c r="C238" s="14" t="s">
        <v>39</v>
      </c>
      <c r="D238" s="23" t="s">
        <v>41</v>
      </c>
      <c r="E238" s="23" t="s">
        <v>24</v>
      </c>
      <c r="F238" s="101">
        <v>2.4771099999999998E-3</v>
      </c>
      <c r="G238" s="153">
        <v>0.21294285241476199</v>
      </c>
      <c r="H238" s="157">
        <v>85.964229450756093</v>
      </c>
      <c r="I238" s="23">
        <v>0</v>
      </c>
      <c r="J238" s="23" t="s">
        <v>85</v>
      </c>
      <c r="K238" s="24">
        <v>44939.00000104167</v>
      </c>
      <c r="L238" s="23">
        <v>1</v>
      </c>
      <c r="M238" s="23" t="s">
        <v>24</v>
      </c>
      <c r="N238" s="45">
        <f t="shared" si="46"/>
        <v>1</v>
      </c>
      <c r="O238" s="159">
        <f t="shared" si="47"/>
        <v>2.4771099999999998E-3</v>
      </c>
      <c r="P238" s="47">
        <f t="shared" si="48"/>
        <v>0.21294285241476241</v>
      </c>
      <c r="Q238" s="25">
        <f t="shared" si="49"/>
        <v>0</v>
      </c>
      <c r="R238" s="26" t="str">
        <f t="shared" si="50"/>
        <v>COIN</v>
      </c>
      <c r="S238" s="26" t="str">
        <f t="shared" si="45"/>
        <v>LONG</v>
      </c>
      <c r="T238" s="26" t="str">
        <f t="shared" si="51"/>
        <v>COIN LONG</v>
      </c>
      <c r="U238" s="17">
        <f t="shared" si="52"/>
        <v>0.21294285241476199</v>
      </c>
      <c r="V238" s="17">
        <f t="shared" si="53"/>
        <v>85.964229450756093</v>
      </c>
      <c r="W238" s="39">
        <f>IF($C238="","",IF(DefaultScenario,IF(OR(AND(Default_Exchange="ALL",NOT(ISERROR(MATCH($C238,$AF$6:$AF$37,0)))),$C238=Default_Exchange),IF($G238&gt;0,-LGD,0),0),IF(OR($J238="SWAP",$J238="FUTURE",$J238="CME FUTURE"),IF('Futures &amp; Perps Shifted'!$AE$31,VLOOKUP($M238,'Futures &amp; Perps Shifted'!$AE$32:$AO$76,MATCH($R238,'Futures &amp; Perps Shifted'!$AE$30:$AO$30,0),FALSE),0),0)))</f>
        <v>0</v>
      </c>
      <c r="X238" s="17">
        <f t="shared" si="54"/>
        <v>0</v>
      </c>
      <c r="Y238" s="14" t="str">
        <f t="shared" si="44"/>
        <v>HUBI</v>
      </c>
      <c r="Z238" t="str">
        <f t="shared" si="55"/>
        <v>LTC COIN LONG</v>
      </c>
      <c r="AA238" t="b">
        <f>IF($C238="","",IF(ISERROR(VLOOKUP($Y238,Mappings!$A:$C,3,FALSE)),FALSE,VLOOKUP($Y238,Mappings!$A:$C,3,FALSE)))</f>
        <v>1</v>
      </c>
    </row>
    <row r="239" spans="1:27" customFormat="1" x14ac:dyDescent="0.25">
      <c r="A239" s="14">
        <v>237</v>
      </c>
      <c r="B239" s="71">
        <v>44939.00000104167</v>
      </c>
      <c r="C239" s="14" t="s">
        <v>39</v>
      </c>
      <c r="D239" s="23" t="s">
        <v>41</v>
      </c>
      <c r="E239" s="23" t="s">
        <v>37</v>
      </c>
      <c r="F239" s="101">
        <v>71073.205401560001</v>
      </c>
      <c r="G239" s="153">
        <v>0.67316157360309703</v>
      </c>
      <c r="H239" s="157">
        <v>9.4713833405960602E-6</v>
      </c>
      <c r="I239" s="23">
        <v>0</v>
      </c>
      <c r="J239" s="23" t="s">
        <v>85</v>
      </c>
      <c r="K239" s="24">
        <v>44939.00000104167</v>
      </c>
      <c r="L239" s="23">
        <v>1</v>
      </c>
      <c r="M239" s="23" t="s">
        <v>37</v>
      </c>
      <c r="N239" s="45">
        <f t="shared" si="46"/>
        <v>1</v>
      </c>
      <c r="O239" s="159">
        <f t="shared" si="47"/>
        <v>71073.205401560001</v>
      </c>
      <c r="P239" s="47">
        <f t="shared" si="48"/>
        <v>0.67316157360309736</v>
      </c>
      <c r="Q239" s="25">
        <f t="shared" si="49"/>
        <v>0</v>
      </c>
      <c r="R239" s="26" t="str">
        <f t="shared" si="50"/>
        <v>COIN</v>
      </c>
      <c r="S239" s="26" t="str">
        <f t="shared" si="45"/>
        <v>LONG</v>
      </c>
      <c r="T239" s="26" t="str">
        <f t="shared" si="51"/>
        <v>COIN LONG</v>
      </c>
      <c r="U239" s="17">
        <f t="shared" si="52"/>
        <v>0.67316157360309703</v>
      </c>
      <c r="V239" s="17">
        <f t="shared" si="53"/>
        <v>9.4713833405960602E-6</v>
      </c>
      <c r="W239" s="39">
        <f>IF($C239="","",IF(DefaultScenario,IF(OR(AND(Default_Exchange="ALL",NOT(ISERROR(MATCH($C239,$AF$6:$AF$37,0)))),$C239=Default_Exchange),IF($G239&gt;0,-LGD,0),0),IF(OR($J239="SWAP",$J239="FUTURE",$J239="CME FUTURE"),IF('Futures &amp; Perps Shifted'!$AE$31,VLOOKUP($M239,'Futures &amp; Perps Shifted'!$AE$32:$AO$76,MATCH($R239,'Futures &amp; Perps Shifted'!$AE$30:$AO$30,0),FALSE),0),0)))</f>
        <v>0</v>
      </c>
      <c r="X239" s="17">
        <f t="shared" si="54"/>
        <v>0</v>
      </c>
      <c r="Y239" s="14" t="str">
        <f t="shared" si="44"/>
        <v>HUBI</v>
      </c>
      <c r="Z239" t="str">
        <f t="shared" si="55"/>
        <v>SHIB COIN LONG</v>
      </c>
      <c r="AA239" t="b">
        <f>IF($C239="","",IF(ISERROR(VLOOKUP($Y239,Mappings!$A:$C,3,FALSE)),FALSE,VLOOKUP($Y239,Mappings!$A:$C,3,FALSE)))</f>
        <v>1</v>
      </c>
    </row>
    <row r="240" spans="1:27" customFormat="1" x14ac:dyDescent="0.25">
      <c r="A240" s="14">
        <v>238</v>
      </c>
      <c r="B240" s="71">
        <v>44939.00000104167</v>
      </c>
      <c r="C240" s="14" t="s">
        <v>39</v>
      </c>
      <c r="D240" s="23" t="s">
        <v>41</v>
      </c>
      <c r="E240" s="23" t="s">
        <v>25</v>
      </c>
      <c r="F240" s="101">
        <v>4.8644999999999998E-4</v>
      </c>
      <c r="G240" s="153">
        <v>2.7781743060320699E-5</v>
      </c>
      <c r="H240" s="157">
        <v>5.7111199630631597E-2</v>
      </c>
      <c r="I240" s="23">
        <v>0</v>
      </c>
      <c r="J240" s="23" t="s">
        <v>85</v>
      </c>
      <c r="K240" s="24">
        <v>44939.00000104167</v>
      </c>
      <c r="L240" s="23">
        <v>1</v>
      </c>
      <c r="M240" s="23" t="s">
        <v>25</v>
      </c>
      <c r="N240" s="45">
        <f t="shared" si="46"/>
        <v>1</v>
      </c>
      <c r="O240" s="159">
        <f t="shared" si="47"/>
        <v>4.8644999999999998E-4</v>
      </c>
      <c r="P240" s="47">
        <f t="shared" si="48"/>
        <v>2.7781743060320739E-5</v>
      </c>
      <c r="Q240" s="25">
        <f t="shared" si="49"/>
        <v>0</v>
      </c>
      <c r="R240" s="26" t="str">
        <f t="shared" si="50"/>
        <v>COIN</v>
      </c>
      <c r="S240" s="26" t="str">
        <f t="shared" si="45"/>
        <v>LONG</v>
      </c>
      <c r="T240" s="26" t="str">
        <f t="shared" si="51"/>
        <v>COIN LONG</v>
      </c>
      <c r="U240" s="17">
        <f t="shared" si="52"/>
        <v>2.7781743060320699E-5</v>
      </c>
      <c r="V240" s="17">
        <f t="shared" si="53"/>
        <v>5.7111199630631597E-2</v>
      </c>
      <c r="W240" s="39">
        <f>IF($C240="","",IF(DefaultScenario,IF(OR(AND(Default_Exchange="ALL",NOT(ISERROR(MATCH($C240,$AF$6:$AF$37,0)))),$C240=Default_Exchange),IF($G240&gt;0,-LGD,0),0),IF(OR($J240="SWAP",$J240="FUTURE",$J240="CME FUTURE"),IF('Futures &amp; Perps Shifted'!$AE$31,VLOOKUP($M240,'Futures &amp; Perps Shifted'!$AE$32:$AO$76,MATCH($R240,'Futures &amp; Perps Shifted'!$AE$30:$AO$30,0),FALSE),0),0)))</f>
        <v>0</v>
      </c>
      <c r="X240" s="17">
        <f t="shared" si="54"/>
        <v>0</v>
      </c>
      <c r="Y240" s="14" t="str">
        <f t="shared" si="44"/>
        <v>HUBI</v>
      </c>
      <c r="Z240" t="str">
        <f t="shared" si="55"/>
        <v>TRX COIN LONG</v>
      </c>
      <c r="AA240" t="b">
        <f>IF($C240="","",IF(ISERROR(VLOOKUP($Y240,Mappings!$A:$C,3,FALSE)),FALSE,VLOOKUP($Y240,Mappings!$A:$C,3,FALSE)))</f>
        <v>1</v>
      </c>
    </row>
    <row r="241" spans="1:27" customFormat="1" x14ac:dyDescent="0.25">
      <c r="A241" s="14">
        <v>239</v>
      </c>
      <c r="B241" s="71">
        <v>44939.00000104167</v>
      </c>
      <c r="C241" s="14" t="s">
        <v>39</v>
      </c>
      <c r="D241" s="23" t="s">
        <v>41</v>
      </c>
      <c r="E241" s="23" t="s">
        <v>99</v>
      </c>
      <c r="F241" s="101">
        <v>1.9184000000000001E-4</v>
      </c>
      <c r="G241" s="153">
        <v>7.1977819767686302E-5</v>
      </c>
      <c r="H241" s="157">
        <v>0.37519714224190098</v>
      </c>
      <c r="I241" s="23">
        <v>0</v>
      </c>
      <c r="J241" s="23" t="s">
        <v>85</v>
      </c>
      <c r="K241" s="24">
        <v>44939.00000104167</v>
      </c>
      <c r="L241" s="23">
        <v>1</v>
      </c>
      <c r="M241" s="23" t="s">
        <v>99</v>
      </c>
      <c r="N241" s="45">
        <f t="shared" si="46"/>
        <v>1</v>
      </c>
      <c r="O241" s="159">
        <f t="shared" si="47"/>
        <v>1.9184000000000001E-4</v>
      </c>
      <c r="P241" s="47">
        <f t="shared" si="48"/>
        <v>7.1977819767686288E-5</v>
      </c>
      <c r="Q241" s="25">
        <f t="shared" si="49"/>
        <v>0</v>
      </c>
      <c r="R241" s="26" t="str">
        <f t="shared" si="50"/>
        <v>COIN</v>
      </c>
      <c r="S241" s="26" t="str">
        <f t="shared" si="45"/>
        <v>LONG</v>
      </c>
      <c r="T241" s="26" t="str">
        <f t="shared" si="51"/>
        <v>COIN LONG</v>
      </c>
      <c r="U241" s="17">
        <f t="shared" si="52"/>
        <v>7.1977819767686302E-5</v>
      </c>
      <c r="V241" s="17">
        <f t="shared" si="53"/>
        <v>0.37519714224190098</v>
      </c>
      <c r="W241" s="39">
        <f>IF($C241="","",IF(DefaultScenario,IF(OR(AND(Default_Exchange="ALL",NOT(ISERROR(MATCH($C241,$AF$6:$AF$37,0)))),$C241=Default_Exchange),IF($G241&gt;0,-LGD,0),0),IF(OR($J241="SWAP",$J241="FUTURE",$J241="CME FUTURE"),IF('Futures &amp; Perps Shifted'!$AE$31,VLOOKUP($M241,'Futures &amp; Perps Shifted'!$AE$32:$AO$76,MATCH($R241,'Futures &amp; Perps Shifted'!$AE$30:$AO$30,0),FALSE),0),0)))</f>
        <v>0</v>
      </c>
      <c r="X241" s="17">
        <f t="shared" si="54"/>
        <v>0</v>
      </c>
      <c r="Y241" s="14" t="str">
        <f t="shared" ref="Y241:Y304" si="56">IF($C241="","",IF(ISERROR(SEARCH("-",$D241)),$C241,LEFT($D241,SEARCH("-",$D241)-1)))</f>
        <v>HUBI</v>
      </c>
      <c r="Z241" t="str">
        <f t="shared" si="55"/>
        <v>XRP COIN LONG</v>
      </c>
      <c r="AA241" t="b">
        <f>IF($C241="","",IF(ISERROR(VLOOKUP($Y241,Mappings!$A:$C,3,FALSE)),FALSE,VLOOKUP($Y241,Mappings!$A:$C,3,FALSE)))</f>
        <v>1</v>
      </c>
    </row>
    <row r="242" spans="1:27" customFormat="1" x14ac:dyDescent="0.25">
      <c r="A242" s="14">
        <v>240</v>
      </c>
      <c r="B242" s="71">
        <v>44939.00000104167</v>
      </c>
      <c r="C242" s="14" t="s">
        <v>39</v>
      </c>
      <c r="D242" s="23" t="s">
        <v>41</v>
      </c>
      <c r="E242" s="23" t="s">
        <v>117</v>
      </c>
      <c r="F242" s="101">
        <v>2.4299999999999999E-3</v>
      </c>
      <c r="G242" s="153">
        <v>2.9853911400186601</v>
      </c>
      <c r="H242" s="157">
        <v>1228.5560246990401</v>
      </c>
      <c r="I242" s="23">
        <v>0</v>
      </c>
      <c r="J242" s="23" t="s">
        <v>85</v>
      </c>
      <c r="K242" s="24">
        <v>44939.00000104167</v>
      </c>
      <c r="L242" s="23">
        <v>1</v>
      </c>
      <c r="M242" s="23" t="s">
        <v>117</v>
      </c>
      <c r="N242" s="45">
        <f t="shared" si="46"/>
        <v>1</v>
      </c>
      <c r="O242" s="159">
        <f t="shared" si="47"/>
        <v>2.4299999999999999E-3</v>
      </c>
      <c r="P242" s="47">
        <f t="shared" si="48"/>
        <v>2.9853911400186672</v>
      </c>
      <c r="Q242" s="25">
        <f t="shared" si="49"/>
        <v>0</v>
      </c>
      <c r="R242" s="26" t="str">
        <f t="shared" si="50"/>
        <v>COIN</v>
      </c>
      <c r="S242" s="26" t="str">
        <f t="shared" si="45"/>
        <v>LONG</v>
      </c>
      <c r="T242" s="26" t="str">
        <f t="shared" si="51"/>
        <v>COIN LONG</v>
      </c>
      <c r="U242" s="17">
        <f t="shared" si="52"/>
        <v>2.9853911400186601</v>
      </c>
      <c r="V242" s="17">
        <f t="shared" si="53"/>
        <v>1228.5560246990401</v>
      </c>
      <c r="W242" s="39">
        <f>IF($C242="","",IF(DefaultScenario,IF(OR(AND(Default_Exchange="ALL",NOT(ISERROR(MATCH($C242,$AF$6:$AF$37,0)))),$C242=Default_Exchange),IF($G242&gt;0,-LGD,0),0),IF(OR($J242="SWAP",$J242="FUTURE",$J242="CME FUTURE"),IF('Futures &amp; Perps Shifted'!$AE$31,VLOOKUP($M242,'Futures &amp; Perps Shifted'!$AE$32:$AO$76,MATCH($R242,'Futures &amp; Perps Shifted'!$AE$30:$AO$30,0),FALSE),0),0)))</f>
        <v>0</v>
      </c>
      <c r="X242" s="17">
        <f t="shared" si="54"/>
        <v>0</v>
      </c>
      <c r="Y242" s="14" t="str">
        <f t="shared" si="56"/>
        <v>HUBI</v>
      </c>
      <c r="Z242" t="str">
        <f t="shared" si="55"/>
        <v>YFII COIN LONG</v>
      </c>
      <c r="AA242" t="b">
        <f>IF($C242="","",IF(ISERROR(VLOOKUP($Y242,Mappings!$A:$C,3,FALSE)),FALSE,VLOOKUP($Y242,Mappings!$A:$C,3,FALSE)))</f>
        <v>1</v>
      </c>
    </row>
    <row r="243" spans="1:27" customFormat="1" x14ac:dyDescent="0.25">
      <c r="A243" s="14">
        <v>241</v>
      </c>
      <c r="B243" s="71">
        <v>44939.000001504632</v>
      </c>
      <c r="C243" s="14" t="s">
        <v>39</v>
      </c>
      <c r="D243" s="23" t="s">
        <v>42</v>
      </c>
      <c r="E243" s="23" t="s">
        <v>38</v>
      </c>
      <c r="F243" s="101">
        <v>38063.850801009998</v>
      </c>
      <c r="G243" s="153">
        <v>38067.3545474356</v>
      </c>
      <c r="H243" s="157">
        <v>1.00009204918451</v>
      </c>
      <c r="I243" s="23">
        <v>0</v>
      </c>
      <c r="J243" s="23" t="s">
        <v>85</v>
      </c>
      <c r="K243" s="24">
        <v>44939.000001504632</v>
      </c>
      <c r="L243" s="23">
        <v>1</v>
      </c>
      <c r="M243" s="23" t="s">
        <v>38</v>
      </c>
      <c r="N243" s="45">
        <f t="shared" si="46"/>
        <v>1</v>
      </c>
      <c r="O243" s="159">
        <f t="shared" si="47"/>
        <v>38063.850801009998</v>
      </c>
      <c r="P243" s="47">
        <f t="shared" si="48"/>
        <v>38067.354547435541</v>
      </c>
      <c r="Q243" s="25">
        <f t="shared" si="49"/>
        <v>0</v>
      </c>
      <c r="R243" s="26" t="str">
        <f t="shared" si="50"/>
        <v>COIN</v>
      </c>
      <c r="S243" s="26" t="str">
        <f t="shared" si="45"/>
        <v>LONG</v>
      </c>
      <c r="T243" s="26" t="str">
        <f t="shared" si="51"/>
        <v>COIN LONG</v>
      </c>
      <c r="U243" s="17">
        <f t="shared" si="52"/>
        <v>38067.3545474356</v>
      </c>
      <c r="V243" s="17">
        <f t="shared" si="53"/>
        <v>1.00009204918451</v>
      </c>
      <c r="W243" s="39">
        <f>IF($C243="","",IF(DefaultScenario,IF(OR(AND(Default_Exchange="ALL",NOT(ISERROR(MATCH($C243,$AF$6:$AF$37,0)))),$C243=Default_Exchange),IF($G243&gt;0,-LGD,0),0),IF(OR($J243="SWAP",$J243="FUTURE",$J243="CME FUTURE"),IF('Futures &amp; Perps Shifted'!$AE$31,VLOOKUP($M243,'Futures &amp; Perps Shifted'!$AE$32:$AO$76,MATCH($R243,'Futures &amp; Perps Shifted'!$AE$30:$AO$30,0),FALSE),0),0)))</f>
        <v>0</v>
      </c>
      <c r="X243" s="17">
        <f t="shared" si="54"/>
        <v>0</v>
      </c>
      <c r="Y243" s="14" t="str">
        <f t="shared" si="56"/>
        <v>HUBI</v>
      </c>
      <c r="Z243" t="str">
        <f t="shared" si="55"/>
        <v>USDT COIN LONG</v>
      </c>
      <c r="AA243" t="b">
        <f>IF($C243="","",IF(ISERROR(VLOOKUP($Y243,Mappings!$A:$C,3,FALSE)),FALSE,VLOOKUP($Y243,Mappings!$A:$C,3,FALSE)))</f>
        <v>1</v>
      </c>
    </row>
    <row r="244" spans="1:27" customFormat="1" x14ac:dyDescent="0.25">
      <c r="A244" s="14">
        <v>242</v>
      </c>
      <c r="B244" s="71">
        <v>44939.000001504632</v>
      </c>
      <c r="C244" s="14" t="s">
        <v>39</v>
      </c>
      <c r="D244" s="23" t="s">
        <v>42</v>
      </c>
      <c r="E244" s="23" t="s">
        <v>38</v>
      </c>
      <c r="F244" s="101">
        <v>170.33860000000001</v>
      </c>
      <c r="G244" s="153">
        <v>170.354279529221</v>
      </c>
      <c r="H244" s="157">
        <v>1.00009204918451</v>
      </c>
      <c r="I244" s="23">
        <v>0</v>
      </c>
      <c r="J244" s="23" t="s">
        <v>253</v>
      </c>
      <c r="K244" s="24">
        <v>44939.000001504632</v>
      </c>
      <c r="L244" s="23">
        <v>1</v>
      </c>
      <c r="M244" s="23" t="s">
        <v>38</v>
      </c>
      <c r="N244" s="45">
        <f t="shared" si="46"/>
        <v>1</v>
      </c>
      <c r="O244" s="159">
        <f t="shared" si="47"/>
        <v>170.33860000000001</v>
      </c>
      <c r="P244" s="47">
        <f t="shared" si="48"/>
        <v>170.35427952922058</v>
      </c>
      <c r="Q244" s="25">
        <f t="shared" si="49"/>
        <v>0</v>
      </c>
      <c r="R244" s="26" t="str">
        <f t="shared" si="50"/>
        <v>COIN</v>
      </c>
      <c r="S244" s="26" t="str">
        <f t="shared" si="45"/>
        <v>LONG</v>
      </c>
      <c r="T244" s="26" t="str">
        <f t="shared" si="51"/>
        <v>COIN LONG</v>
      </c>
      <c r="U244" s="17">
        <f t="shared" si="52"/>
        <v>170.354279529221</v>
      </c>
      <c r="V244" s="17">
        <f t="shared" si="53"/>
        <v>1.00009204918451</v>
      </c>
      <c r="W244" s="39">
        <f>IF($C244="","",IF(DefaultScenario,IF(OR(AND(Default_Exchange="ALL",NOT(ISERROR(MATCH($C244,$AF$6:$AF$37,0)))),$C244=Default_Exchange),IF($G244&gt;0,-LGD,0),0),IF(OR($J244="SWAP",$J244="FUTURE",$J244="CME FUTURE"),IF('Futures &amp; Perps Shifted'!$AE$31,VLOOKUP($M244,'Futures &amp; Perps Shifted'!$AE$32:$AO$76,MATCH($R244,'Futures &amp; Perps Shifted'!$AE$30:$AO$30,0),FALSE),0),0)))</f>
        <v>0</v>
      </c>
      <c r="X244" s="17">
        <f t="shared" si="54"/>
        <v>0</v>
      </c>
      <c r="Y244" s="14" t="str">
        <f t="shared" si="56"/>
        <v>HUBI</v>
      </c>
      <c r="Z244" t="str">
        <f t="shared" si="55"/>
        <v>USDT COIN LONG</v>
      </c>
      <c r="AA244" t="b">
        <f>IF($C244="","",IF(ISERROR(VLOOKUP($Y244,Mappings!$A:$C,3,FALSE)),FALSE,VLOOKUP($Y244,Mappings!$A:$C,3,FALSE)))</f>
        <v>1</v>
      </c>
    </row>
    <row r="245" spans="1:27" customFormat="1" x14ac:dyDescent="0.25">
      <c r="A245" s="14">
        <v>243</v>
      </c>
      <c r="B245" s="71">
        <v>44939.000003240741</v>
      </c>
      <c r="C245" s="14" t="s">
        <v>39</v>
      </c>
      <c r="D245" s="23" t="s">
        <v>120</v>
      </c>
      <c r="E245" s="23" t="s">
        <v>121</v>
      </c>
      <c r="F245" s="101">
        <v>377.09760540000002</v>
      </c>
      <c r="G245" s="153">
        <v>9.8431534717962399E-2</v>
      </c>
      <c r="H245" s="157">
        <v>2.6102402483715799E-4</v>
      </c>
      <c r="I245" s="23">
        <v>0</v>
      </c>
      <c r="J245" s="23" t="s">
        <v>85</v>
      </c>
      <c r="K245" s="24">
        <v>44939.000003240741</v>
      </c>
      <c r="L245" s="23">
        <v>1</v>
      </c>
      <c r="M245" s="23" t="s">
        <v>121</v>
      </c>
      <c r="N245" s="45">
        <f t="shared" si="46"/>
        <v>1</v>
      </c>
      <c r="O245" s="159">
        <f t="shared" si="47"/>
        <v>377.09760540000002</v>
      </c>
      <c r="P245" s="47">
        <f t="shared" si="48"/>
        <v>9.8431534717962413E-2</v>
      </c>
      <c r="Q245" s="25">
        <f t="shared" si="49"/>
        <v>0</v>
      </c>
      <c r="R245" s="26" t="str">
        <f t="shared" si="50"/>
        <v>COIN</v>
      </c>
      <c r="S245" s="26" t="str">
        <f t="shared" si="45"/>
        <v>LONG</v>
      </c>
      <c r="T245" s="26" t="str">
        <f t="shared" si="51"/>
        <v>COIN LONG</v>
      </c>
      <c r="U245" s="17">
        <f t="shared" si="52"/>
        <v>9.8431534717962399E-2</v>
      </c>
      <c r="V245" s="17">
        <f t="shared" si="53"/>
        <v>2.6102402483715799E-4</v>
      </c>
      <c r="W245" s="39">
        <f>IF($C245="","",IF(DefaultScenario,IF(OR(AND(Default_Exchange="ALL",NOT(ISERROR(MATCH($C245,$AF$6:$AF$37,0)))),$C245=Default_Exchange),IF($G245&gt;0,-LGD,0),0),IF(OR($J245="SWAP",$J245="FUTURE",$J245="CME FUTURE"),IF('Futures &amp; Perps Shifted'!$AE$31,VLOOKUP($M245,'Futures &amp; Perps Shifted'!$AE$32:$AO$76,MATCH($R245,'Futures &amp; Perps Shifted'!$AE$30:$AO$30,0),FALSE),0),0)))</f>
        <v>0</v>
      </c>
      <c r="X245" s="17">
        <f t="shared" si="54"/>
        <v>0</v>
      </c>
      <c r="Y245" s="14" t="str">
        <f t="shared" si="56"/>
        <v>HUBI</v>
      </c>
      <c r="Z245" t="str">
        <f t="shared" si="55"/>
        <v>AAC COIN LONG</v>
      </c>
      <c r="AA245" t="b">
        <f>IF($C245="","",IF(ISERROR(VLOOKUP($Y245,Mappings!$A:$C,3,FALSE)),FALSE,VLOOKUP($Y245,Mappings!$A:$C,3,FALSE)))</f>
        <v>1</v>
      </c>
    </row>
    <row r="246" spans="1:27" customFormat="1" x14ac:dyDescent="0.25">
      <c r="A246" s="14">
        <v>244</v>
      </c>
      <c r="B246" s="71">
        <v>44939.000003240741</v>
      </c>
      <c r="C246" s="14" t="s">
        <v>39</v>
      </c>
      <c r="D246" s="23" t="s">
        <v>120</v>
      </c>
      <c r="E246" s="23" t="s">
        <v>84</v>
      </c>
      <c r="F246" s="101">
        <v>1.1000000000000001E-7</v>
      </c>
      <c r="G246" s="153">
        <v>3.62734322217713E-8</v>
      </c>
      <c r="H246" s="157">
        <v>0.329758474743375</v>
      </c>
      <c r="I246" s="23">
        <v>0</v>
      </c>
      <c r="J246" s="23" t="s">
        <v>85</v>
      </c>
      <c r="K246" s="24">
        <v>44939.000003240741</v>
      </c>
      <c r="L246" s="23">
        <v>1</v>
      </c>
      <c r="M246" s="23" t="s">
        <v>84</v>
      </c>
      <c r="N246" s="45">
        <f t="shared" si="46"/>
        <v>1</v>
      </c>
      <c r="O246" s="159">
        <f t="shared" si="47"/>
        <v>1.1000000000000001E-7</v>
      </c>
      <c r="P246" s="47">
        <f t="shared" si="48"/>
        <v>3.6273432221771254E-8</v>
      </c>
      <c r="Q246" s="25">
        <f t="shared" si="49"/>
        <v>0</v>
      </c>
      <c r="R246" s="26" t="str">
        <f t="shared" si="50"/>
        <v>COIN</v>
      </c>
      <c r="S246" s="26" t="str">
        <f t="shared" si="45"/>
        <v>LONG</v>
      </c>
      <c r="T246" s="26" t="str">
        <f t="shared" si="51"/>
        <v>COIN LONG</v>
      </c>
      <c r="U246" s="17">
        <f t="shared" si="52"/>
        <v>3.62734322217713E-8</v>
      </c>
      <c r="V246" s="17">
        <f t="shared" si="53"/>
        <v>0.329758474743375</v>
      </c>
      <c r="W246" s="39">
        <f>IF($C246="","",IF(DefaultScenario,IF(OR(AND(Default_Exchange="ALL",NOT(ISERROR(MATCH($C246,$AF$6:$AF$37,0)))),$C246=Default_Exchange),IF($G246&gt;0,-LGD,0),0),IF(OR($J246="SWAP",$J246="FUTURE",$J246="CME FUTURE"),IF('Futures &amp; Perps Shifted'!$AE$31,VLOOKUP($M246,'Futures &amp; Perps Shifted'!$AE$32:$AO$76,MATCH($R246,'Futures &amp; Perps Shifted'!$AE$30:$AO$30,0),FALSE),0),0)))</f>
        <v>0</v>
      </c>
      <c r="X246" s="17">
        <f t="shared" si="54"/>
        <v>0</v>
      </c>
      <c r="Y246" s="14" t="str">
        <f t="shared" si="56"/>
        <v>HUBI</v>
      </c>
      <c r="Z246" t="str">
        <f t="shared" si="55"/>
        <v>ADA COIN LONG</v>
      </c>
      <c r="AA246" t="b">
        <f>IF($C246="","",IF(ISERROR(VLOOKUP($Y246,Mappings!$A:$C,3,FALSE)),FALSE,VLOOKUP($Y246,Mappings!$A:$C,3,FALSE)))</f>
        <v>1</v>
      </c>
    </row>
    <row r="247" spans="1:27" customFormat="1" x14ac:dyDescent="0.25">
      <c r="A247" s="14">
        <v>245</v>
      </c>
      <c r="B247" s="71">
        <v>44939.000003240741</v>
      </c>
      <c r="C247" s="14" t="s">
        <v>39</v>
      </c>
      <c r="D247" s="23" t="s">
        <v>120</v>
      </c>
      <c r="E247" s="23" t="s">
        <v>122</v>
      </c>
      <c r="F247" s="101">
        <v>2.6E-7</v>
      </c>
      <c r="G247" s="153">
        <v>5.5256887809946897E-8</v>
      </c>
      <c r="H247" s="157">
        <v>0.21252649157671899</v>
      </c>
      <c r="I247" s="23">
        <v>0</v>
      </c>
      <c r="J247" s="23" t="s">
        <v>85</v>
      </c>
      <c r="K247" s="24">
        <v>44939.000003240741</v>
      </c>
      <c r="L247" s="23">
        <v>1</v>
      </c>
      <c r="M247" s="23" t="s">
        <v>122</v>
      </c>
      <c r="N247" s="45">
        <f t="shared" si="46"/>
        <v>1</v>
      </c>
      <c r="O247" s="159">
        <f t="shared" si="47"/>
        <v>2.6E-7</v>
      </c>
      <c r="P247" s="47">
        <f t="shared" si="48"/>
        <v>5.5256887809946937E-8</v>
      </c>
      <c r="Q247" s="25">
        <f t="shared" si="49"/>
        <v>0</v>
      </c>
      <c r="R247" s="26" t="str">
        <f t="shared" si="50"/>
        <v>COIN</v>
      </c>
      <c r="S247" s="26" t="str">
        <f t="shared" si="45"/>
        <v>LONG</v>
      </c>
      <c r="T247" s="26" t="str">
        <f t="shared" si="51"/>
        <v>COIN LONG</v>
      </c>
      <c r="U247" s="17">
        <f t="shared" si="52"/>
        <v>5.5256887809946897E-8</v>
      </c>
      <c r="V247" s="17">
        <f t="shared" si="53"/>
        <v>0.21252649157671899</v>
      </c>
      <c r="W247" s="39">
        <f>IF($C247="","",IF(DefaultScenario,IF(OR(AND(Default_Exchange="ALL",NOT(ISERROR(MATCH($C247,$AF$6:$AF$37,0)))),$C247=Default_Exchange),IF($G247&gt;0,-LGD,0),0),IF(OR($J247="SWAP",$J247="FUTURE",$J247="CME FUTURE"),IF('Futures &amp; Perps Shifted'!$AE$31,VLOOKUP($M247,'Futures &amp; Perps Shifted'!$AE$32:$AO$76,MATCH($R247,'Futures &amp; Perps Shifted'!$AE$30:$AO$30,0),FALSE),0),0)))</f>
        <v>0</v>
      </c>
      <c r="X247" s="17">
        <f t="shared" si="54"/>
        <v>0</v>
      </c>
      <c r="Y247" s="14" t="str">
        <f t="shared" si="56"/>
        <v>HUBI</v>
      </c>
      <c r="Z247" t="str">
        <f t="shared" si="55"/>
        <v>ALGO COIN LONG</v>
      </c>
      <c r="AA247" t="b">
        <f>IF($C247="","",IF(ISERROR(VLOOKUP($Y247,Mappings!$A:$C,3,FALSE)),FALSE,VLOOKUP($Y247,Mappings!$A:$C,3,FALSE)))</f>
        <v>1</v>
      </c>
    </row>
    <row r="248" spans="1:27" customFormat="1" x14ac:dyDescent="0.25">
      <c r="A248" s="14">
        <v>246</v>
      </c>
      <c r="B248" s="71">
        <v>44939.000003240741</v>
      </c>
      <c r="C248" s="14" t="s">
        <v>39</v>
      </c>
      <c r="D248" s="23" t="s">
        <v>120</v>
      </c>
      <c r="E248" s="23" t="s">
        <v>123</v>
      </c>
      <c r="F248" s="101">
        <v>0.53247394999999997</v>
      </c>
      <c r="G248" s="153">
        <v>1.6120070397661099E-2</v>
      </c>
      <c r="H248" s="157">
        <v>3.0273913677206402E-2</v>
      </c>
      <c r="I248" s="23">
        <v>0</v>
      </c>
      <c r="J248" s="23" t="s">
        <v>85</v>
      </c>
      <c r="K248" s="24">
        <v>44939.000003240741</v>
      </c>
      <c r="L248" s="23">
        <v>1</v>
      </c>
      <c r="M248" s="23" t="s">
        <v>123</v>
      </c>
      <c r="N248" s="45">
        <f t="shared" si="46"/>
        <v>1</v>
      </c>
      <c r="O248" s="159">
        <f t="shared" si="47"/>
        <v>0.53247394999999997</v>
      </c>
      <c r="P248" s="47">
        <f t="shared" si="48"/>
        <v>1.6120070397661116E-2</v>
      </c>
      <c r="Q248" s="25">
        <f t="shared" si="49"/>
        <v>0</v>
      </c>
      <c r="R248" s="26" t="str">
        <f t="shared" si="50"/>
        <v>COIN</v>
      </c>
      <c r="S248" s="26" t="str">
        <f t="shared" si="45"/>
        <v>LONG</v>
      </c>
      <c r="T248" s="26" t="str">
        <f t="shared" si="51"/>
        <v>COIN LONG</v>
      </c>
      <c r="U248" s="17">
        <f t="shared" si="52"/>
        <v>1.6120070397661099E-2</v>
      </c>
      <c r="V248" s="17">
        <f t="shared" si="53"/>
        <v>3.0273913677206402E-2</v>
      </c>
      <c r="W248" s="39">
        <f>IF($C248="","",IF(DefaultScenario,IF(OR(AND(Default_Exchange="ALL",NOT(ISERROR(MATCH($C248,$AF$6:$AF$37,0)))),$C248=Default_Exchange),IF($G248&gt;0,-LGD,0),0),IF(OR($J248="SWAP",$J248="FUTURE",$J248="CME FUTURE"),IF('Futures &amp; Perps Shifted'!$AE$31,VLOOKUP($M248,'Futures &amp; Perps Shifted'!$AE$32:$AO$76,MATCH($R248,'Futures &amp; Perps Shifted'!$AE$30:$AO$30,0),FALSE),0),0)))</f>
        <v>0</v>
      </c>
      <c r="X248" s="17">
        <f t="shared" si="54"/>
        <v>0</v>
      </c>
      <c r="Y248" s="14" t="str">
        <f t="shared" si="56"/>
        <v>HUBI</v>
      </c>
      <c r="Z248" t="str">
        <f t="shared" si="55"/>
        <v>ARPA COIN LONG</v>
      </c>
      <c r="AA248" t="b">
        <f>IF($C248="","",IF(ISERROR(VLOOKUP($Y248,Mappings!$A:$C,3,FALSE)),FALSE,VLOOKUP($Y248,Mappings!$A:$C,3,FALSE)))</f>
        <v>1</v>
      </c>
    </row>
    <row r="249" spans="1:27" customFormat="1" x14ac:dyDescent="0.25">
      <c r="A249" s="14">
        <v>247</v>
      </c>
      <c r="B249" s="71">
        <v>44939.000003240741</v>
      </c>
      <c r="C249" s="14" t="s">
        <v>39</v>
      </c>
      <c r="D249" s="23" t="s">
        <v>120</v>
      </c>
      <c r="E249" s="23" t="s">
        <v>35</v>
      </c>
      <c r="F249" s="101">
        <v>4.3657420000000002E-2</v>
      </c>
      <c r="G249" s="153">
        <v>0.53588137669726599</v>
      </c>
      <c r="H249" s="157">
        <v>12.274691832390999</v>
      </c>
      <c r="I249" s="23">
        <v>0</v>
      </c>
      <c r="J249" s="23" t="s">
        <v>85</v>
      </c>
      <c r="K249" s="24">
        <v>44939.000003240741</v>
      </c>
      <c r="L249" s="23">
        <v>1</v>
      </c>
      <c r="M249" s="23" t="s">
        <v>35</v>
      </c>
      <c r="N249" s="45">
        <f t="shared" si="46"/>
        <v>1</v>
      </c>
      <c r="O249" s="159">
        <f t="shared" si="47"/>
        <v>4.3657420000000002E-2</v>
      </c>
      <c r="P249" s="47">
        <f t="shared" si="48"/>
        <v>0.53588137669726355</v>
      </c>
      <c r="Q249" s="25">
        <f t="shared" si="49"/>
        <v>0</v>
      </c>
      <c r="R249" s="26" t="str">
        <f t="shared" si="50"/>
        <v>COIN</v>
      </c>
      <c r="S249" s="26" t="str">
        <f t="shared" ref="S249:S312" si="57">IF($C249="","",IF($J249="CME FUTURE",IF($G249&gt;0,"LONG","SHORT"),IF($G249&gt;0,"LONG","SHORT")))</f>
        <v>LONG</v>
      </c>
      <c r="T249" s="26" t="str">
        <f t="shared" si="51"/>
        <v>COIN LONG</v>
      </c>
      <c r="U249" s="17">
        <f t="shared" si="52"/>
        <v>0.53588137669726599</v>
      </c>
      <c r="V249" s="17">
        <f t="shared" si="53"/>
        <v>12.274691832390999</v>
      </c>
      <c r="W249" s="39">
        <f>IF($C249="","",IF(DefaultScenario,IF(OR(AND(Default_Exchange="ALL",NOT(ISERROR(MATCH($C249,$AF$6:$AF$37,0)))),$C249=Default_Exchange),IF($G249&gt;0,-LGD,0),0),IF(OR($J249="SWAP",$J249="FUTURE",$J249="CME FUTURE"),IF('Futures &amp; Perps Shifted'!$AE$31,VLOOKUP($M249,'Futures &amp; Perps Shifted'!$AE$32:$AO$76,MATCH($R249,'Futures &amp; Perps Shifted'!$AE$30:$AO$30,0),FALSE),0),0)))</f>
        <v>0</v>
      </c>
      <c r="X249" s="17">
        <f t="shared" si="54"/>
        <v>0</v>
      </c>
      <c r="Y249" s="14" t="str">
        <f t="shared" si="56"/>
        <v>HUBI</v>
      </c>
      <c r="Z249" t="str">
        <f t="shared" si="55"/>
        <v>ATOM COIN LONG</v>
      </c>
      <c r="AA249" t="b">
        <f>IF($C249="","",IF(ISERROR(VLOOKUP($Y249,Mappings!$A:$C,3,FALSE)),FALSE,VLOOKUP($Y249,Mappings!$A:$C,3,FALSE)))</f>
        <v>1</v>
      </c>
    </row>
    <row r="250" spans="1:27" customFormat="1" x14ac:dyDescent="0.25">
      <c r="A250" s="14">
        <v>248</v>
      </c>
      <c r="B250" s="71">
        <v>44939.000003240741</v>
      </c>
      <c r="C250" s="14" t="s">
        <v>39</v>
      </c>
      <c r="D250" s="23" t="s">
        <v>120</v>
      </c>
      <c r="E250" s="23" t="s">
        <v>187</v>
      </c>
      <c r="F250" s="101">
        <v>1.5389969999999999E-2</v>
      </c>
      <c r="G250" s="153">
        <v>0.23788815677752301</v>
      </c>
      <c r="H250" s="157">
        <v>15.4573502597811</v>
      </c>
      <c r="I250" s="23">
        <v>0</v>
      </c>
      <c r="J250" s="23" t="s">
        <v>85</v>
      </c>
      <c r="K250" s="24">
        <v>44939.000003240741</v>
      </c>
      <c r="L250" s="23">
        <v>1</v>
      </c>
      <c r="M250" s="23" t="s">
        <v>187</v>
      </c>
      <c r="N250" s="45">
        <f t="shared" si="46"/>
        <v>1</v>
      </c>
      <c r="O250" s="159">
        <f t="shared" si="47"/>
        <v>1.5389969999999999E-2</v>
      </c>
      <c r="P250" s="47">
        <f t="shared" si="48"/>
        <v>0.23788815677752331</v>
      </c>
      <c r="Q250" s="25">
        <f t="shared" si="49"/>
        <v>0</v>
      </c>
      <c r="R250" s="26" t="str">
        <f t="shared" si="50"/>
        <v>COIN</v>
      </c>
      <c r="S250" s="26" t="str">
        <f t="shared" si="57"/>
        <v>LONG</v>
      </c>
      <c r="T250" s="26" t="str">
        <f t="shared" si="51"/>
        <v>COIN LONG</v>
      </c>
      <c r="U250" s="17">
        <f t="shared" si="52"/>
        <v>0.23788815677752301</v>
      </c>
      <c r="V250" s="17">
        <f t="shared" si="53"/>
        <v>15.4573502597811</v>
      </c>
      <c r="W250" s="39">
        <f>IF($C250="","",IF(DefaultScenario,IF(OR(AND(Default_Exchange="ALL",NOT(ISERROR(MATCH($C250,$AF$6:$AF$37,0)))),$C250=Default_Exchange),IF($G250&gt;0,-LGD,0),0),IF(OR($J250="SWAP",$J250="FUTURE",$J250="CME FUTURE"),IF('Futures &amp; Perps Shifted'!$AE$31,VLOOKUP($M250,'Futures &amp; Perps Shifted'!$AE$32:$AO$76,MATCH($R250,'Futures &amp; Perps Shifted'!$AE$30:$AO$30,0),FALSE),0),0)))</f>
        <v>0</v>
      </c>
      <c r="X250" s="17">
        <f t="shared" si="54"/>
        <v>0</v>
      </c>
      <c r="Y250" s="14" t="str">
        <f t="shared" si="56"/>
        <v>HUBI</v>
      </c>
      <c r="Z250" t="str">
        <f t="shared" si="55"/>
        <v>AVAX COIN LONG</v>
      </c>
      <c r="AA250" t="b">
        <f>IF($C250="","",IF(ISERROR(VLOOKUP($Y250,Mappings!$A:$C,3,FALSE)),FALSE,VLOOKUP($Y250,Mappings!$A:$C,3,FALSE)))</f>
        <v>1</v>
      </c>
    </row>
    <row r="251" spans="1:27" customFormat="1" x14ac:dyDescent="0.25">
      <c r="A251" s="14">
        <v>249</v>
      </c>
      <c r="B251" s="71">
        <v>44939.000003240741</v>
      </c>
      <c r="C251" s="14" t="s">
        <v>39</v>
      </c>
      <c r="D251" s="23" t="s">
        <v>120</v>
      </c>
      <c r="E251" s="23" t="s">
        <v>124</v>
      </c>
      <c r="F251" s="101">
        <v>2.0454320000000002E-2</v>
      </c>
      <c r="G251" s="153">
        <v>4.1885132344188104E-3</v>
      </c>
      <c r="H251" s="157">
        <v>0.20477401519184199</v>
      </c>
      <c r="I251" s="23">
        <v>0</v>
      </c>
      <c r="J251" s="23" t="s">
        <v>85</v>
      </c>
      <c r="K251" s="24">
        <v>44939.000003240741</v>
      </c>
      <c r="L251" s="23">
        <v>1</v>
      </c>
      <c r="M251" s="23" t="s">
        <v>124</v>
      </c>
      <c r="N251" s="45">
        <f t="shared" ref="N251:N314" si="58">IF($C251="","",IF(OR($J251="SWAP",$J251="FUTURE",$J251="CME FUTURE"),IF($L251=1,ROUND($G251/$H251/$F251,3),POWER(10,ROUND(LOG($G251/$F251),1))),1))</f>
        <v>1</v>
      </c>
      <c r="O251" s="159">
        <f t="shared" si="47"/>
        <v>2.0454320000000002E-2</v>
      </c>
      <c r="P251" s="47">
        <f t="shared" si="48"/>
        <v>4.1885132344187974E-3</v>
      </c>
      <c r="Q251" s="25">
        <f t="shared" si="49"/>
        <v>0</v>
      </c>
      <c r="R251" s="26" t="str">
        <f t="shared" si="50"/>
        <v>COIN</v>
      </c>
      <c r="S251" s="26" t="str">
        <f t="shared" si="57"/>
        <v>LONG</v>
      </c>
      <c r="T251" s="26" t="str">
        <f t="shared" si="51"/>
        <v>COIN LONG</v>
      </c>
      <c r="U251" s="17">
        <f t="shared" si="52"/>
        <v>4.1885132344188104E-3</v>
      </c>
      <c r="V251" s="17">
        <f t="shared" si="53"/>
        <v>0.20477401519184199</v>
      </c>
      <c r="W251" s="39">
        <f>IF($C251="","",IF(DefaultScenario,IF(OR(AND(Default_Exchange="ALL",NOT(ISERROR(MATCH($C251,$AF$6:$AF$37,0)))),$C251=Default_Exchange),IF($G251&gt;0,-LGD,0),0),IF(OR($J251="SWAP",$J251="FUTURE",$J251="CME FUTURE"),IF('Futures &amp; Perps Shifted'!$AE$31,VLOOKUP($M251,'Futures &amp; Perps Shifted'!$AE$32:$AO$76,MATCH($R251,'Futures &amp; Perps Shifted'!$AE$30:$AO$30,0),FALSE),0),0)))</f>
        <v>0</v>
      </c>
      <c r="X251" s="17">
        <f t="shared" si="54"/>
        <v>0</v>
      </c>
      <c r="Y251" s="14" t="str">
        <f t="shared" si="56"/>
        <v>HUBI</v>
      </c>
      <c r="Z251" t="str">
        <f t="shared" si="55"/>
        <v>BAT COIN LONG</v>
      </c>
      <c r="AA251" t="b">
        <f>IF($C251="","",IF(ISERROR(VLOOKUP($Y251,Mappings!$A:$C,3,FALSE)),FALSE,VLOOKUP($Y251,Mappings!$A:$C,3,FALSE)))</f>
        <v>1</v>
      </c>
    </row>
    <row r="252" spans="1:27" customFormat="1" x14ac:dyDescent="0.25">
      <c r="A252" s="14">
        <v>250</v>
      </c>
      <c r="B252" s="71">
        <v>44939.000003240741</v>
      </c>
      <c r="C252" s="14" t="s">
        <v>39</v>
      </c>
      <c r="D252" s="23" t="s">
        <v>120</v>
      </c>
      <c r="E252" s="23" t="s">
        <v>20</v>
      </c>
      <c r="F252" s="101">
        <v>22.00176016</v>
      </c>
      <c r="G252" s="153">
        <v>2633.8409645971401</v>
      </c>
      <c r="H252" s="157">
        <v>119.710466137412</v>
      </c>
      <c r="I252" s="23">
        <v>0</v>
      </c>
      <c r="J252" s="23" t="s">
        <v>85</v>
      </c>
      <c r="K252" s="24">
        <v>44939.000003240741</v>
      </c>
      <c r="L252" s="23">
        <v>1</v>
      </c>
      <c r="M252" s="23" t="s">
        <v>20</v>
      </c>
      <c r="N252" s="45">
        <f t="shared" si="58"/>
        <v>1</v>
      </c>
      <c r="O252" s="159">
        <f t="shared" si="47"/>
        <v>22.00176016</v>
      </c>
      <c r="P252" s="47">
        <f t="shared" si="48"/>
        <v>2633.8409645971406</v>
      </c>
      <c r="Q252" s="25">
        <f t="shared" si="49"/>
        <v>0</v>
      </c>
      <c r="R252" s="26" t="str">
        <f t="shared" si="50"/>
        <v>COIN</v>
      </c>
      <c r="S252" s="26" t="str">
        <f t="shared" si="57"/>
        <v>LONG</v>
      </c>
      <c r="T252" s="26" t="str">
        <f t="shared" si="51"/>
        <v>COIN LONG</v>
      </c>
      <c r="U252" s="17">
        <f t="shared" si="52"/>
        <v>2633.8409645971401</v>
      </c>
      <c r="V252" s="17">
        <f t="shared" si="53"/>
        <v>119.710466137412</v>
      </c>
      <c r="W252" s="39">
        <f>IF($C252="","",IF(DefaultScenario,IF(OR(AND(Default_Exchange="ALL",NOT(ISERROR(MATCH($C252,$AF$6:$AF$37,0)))),$C252=Default_Exchange),IF($G252&gt;0,-LGD,0),0),IF(OR($J252="SWAP",$J252="FUTURE",$J252="CME FUTURE"),IF('Futures &amp; Perps Shifted'!$AE$31,VLOOKUP($M252,'Futures &amp; Perps Shifted'!$AE$32:$AO$76,MATCH($R252,'Futures &amp; Perps Shifted'!$AE$30:$AO$30,0),FALSE),0),0)))</f>
        <v>0</v>
      </c>
      <c r="X252" s="17">
        <f t="shared" si="54"/>
        <v>0</v>
      </c>
      <c r="Y252" s="14" t="str">
        <f t="shared" si="56"/>
        <v>HUBI</v>
      </c>
      <c r="Z252" t="str">
        <f t="shared" si="55"/>
        <v>BCH COIN LONG</v>
      </c>
      <c r="AA252" t="b">
        <f>IF($C252="","",IF(ISERROR(VLOOKUP($Y252,Mappings!$A:$C,3,FALSE)),FALSE,VLOOKUP($Y252,Mappings!$A:$C,3,FALSE)))</f>
        <v>1</v>
      </c>
    </row>
    <row r="253" spans="1:27" customFormat="1" x14ac:dyDescent="0.25">
      <c r="A253" s="14">
        <v>251</v>
      </c>
      <c r="B253" s="71">
        <v>44939.000003240741</v>
      </c>
      <c r="C253" s="14" t="s">
        <v>39</v>
      </c>
      <c r="D253" s="23" t="s">
        <v>120</v>
      </c>
      <c r="E253" s="23" t="s">
        <v>125</v>
      </c>
      <c r="F253" s="101">
        <v>2.5033500000000001E-3</v>
      </c>
      <c r="G253" s="153">
        <v>1.13535741150493E-4</v>
      </c>
      <c r="H253" s="157">
        <v>4.5353522739726197E-2</v>
      </c>
      <c r="I253" s="23">
        <v>0</v>
      </c>
      <c r="J253" s="23" t="s">
        <v>85</v>
      </c>
      <c r="K253" s="24">
        <v>44939.000003240741</v>
      </c>
      <c r="L253" s="23">
        <v>1</v>
      </c>
      <c r="M253" s="23" t="s">
        <v>125</v>
      </c>
      <c r="N253" s="45">
        <f t="shared" si="58"/>
        <v>1</v>
      </c>
      <c r="O253" s="159">
        <f t="shared" si="47"/>
        <v>2.5033500000000001E-3</v>
      </c>
      <c r="P253" s="47">
        <f t="shared" si="48"/>
        <v>1.1353574115049359E-4</v>
      </c>
      <c r="Q253" s="25">
        <f t="shared" si="49"/>
        <v>0</v>
      </c>
      <c r="R253" s="26" t="str">
        <f t="shared" si="50"/>
        <v>COIN</v>
      </c>
      <c r="S253" s="26" t="str">
        <f t="shared" si="57"/>
        <v>LONG</v>
      </c>
      <c r="T253" s="26" t="str">
        <f t="shared" si="51"/>
        <v>COIN LONG</v>
      </c>
      <c r="U253" s="17">
        <f t="shared" si="52"/>
        <v>1.13535741150493E-4</v>
      </c>
      <c r="V253" s="17">
        <f t="shared" si="53"/>
        <v>4.5353522739726197E-2</v>
      </c>
      <c r="W253" s="39">
        <f>IF($C253="","",IF(DefaultScenario,IF(OR(AND(Default_Exchange="ALL",NOT(ISERROR(MATCH($C253,$AF$6:$AF$37,0)))),$C253=Default_Exchange),IF($G253&gt;0,-LGD,0),0),IF(OR($J253="SWAP",$J253="FUTURE",$J253="CME FUTURE"),IF('Futures &amp; Perps Shifted'!$AE$31,VLOOKUP($M253,'Futures &amp; Perps Shifted'!$AE$32:$AO$76,MATCH($R253,'Futures &amp; Perps Shifted'!$AE$30:$AO$30,0),FALSE),0),0)))</f>
        <v>0</v>
      </c>
      <c r="X253" s="17">
        <f t="shared" si="54"/>
        <v>0</v>
      </c>
      <c r="Y253" s="14" t="str">
        <f t="shared" si="56"/>
        <v>HUBI</v>
      </c>
      <c r="Z253" t="str">
        <f t="shared" si="55"/>
        <v>BHD COIN LONG</v>
      </c>
      <c r="AA253" t="b">
        <f>IF($C253="","",IF(ISERROR(VLOOKUP($Y253,Mappings!$A:$C,3,FALSE)),FALSE,VLOOKUP($Y253,Mappings!$A:$C,3,FALSE)))</f>
        <v>1</v>
      </c>
    </row>
    <row r="254" spans="1:27" customFormat="1" x14ac:dyDescent="0.25">
      <c r="A254" s="14">
        <v>252</v>
      </c>
      <c r="B254" s="71">
        <v>44939.000003240741</v>
      </c>
      <c r="C254" s="14" t="s">
        <v>39</v>
      </c>
      <c r="D254" s="23" t="s">
        <v>120</v>
      </c>
      <c r="E254" s="23" t="s">
        <v>126</v>
      </c>
      <c r="F254" s="101">
        <v>115.29838952</v>
      </c>
      <c r="G254" s="153">
        <v>6.7795787076243297</v>
      </c>
      <c r="H254" s="157">
        <v>5.8800289716521299E-2</v>
      </c>
      <c r="I254" s="23">
        <v>0</v>
      </c>
      <c r="J254" s="23" t="s">
        <v>85</v>
      </c>
      <c r="K254" s="24">
        <v>44939.000003240741</v>
      </c>
      <c r="L254" s="23">
        <v>1</v>
      </c>
      <c r="M254" s="23" t="s">
        <v>126</v>
      </c>
      <c r="N254" s="45">
        <f t="shared" si="58"/>
        <v>1</v>
      </c>
      <c r="O254" s="159">
        <f t="shared" si="47"/>
        <v>115.29838952</v>
      </c>
      <c r="P254" s="47">
        <f t="shared" si="48"/>
        <v>6.7795787076243235</v>
      </c>
      <c r="Q254" s="25">
        <f t="shared" si="49"/>
        <v>0</v>
      </c>
      <c r="R254" s="26" t="str">
        <f t="shared" si="50"/>
        <v>COIN</v>
      </c>
      <c r="S254" s="26" t="str">
        <f t="shared" si="57"/>
        <v>LONG</v>
      </c>
      <c r="T254" s="26" t="str">
        <f t="shared" si="51"/>
        <v>COIN LONG</v>
      </c>
      <c r="U254" s="17">
        <f t="shared" si="52"/>
        <v>6.7795787076243297</v>
      </c>
      <c r="V254" s="17">
        <f t="shared" si="53"/>
        <v>5.8800289716521299E-2</v>
      </c>
      <c r="W254" s="39">
        <f>IF($C254="","",IF(DefaultScenario,IF(OR(AND(Default_Exchange="ALL",NOT(ISERROR(MATCH($C254,$AF$6:$AF$37,0)))),$C254=Default_Exchange),IF($G254&gt;0,-LGD,0),0),IF(OR($J254="SWAP",$J254="FUTURE",$J254="CME FUTURE"),IF('Futures &amp; Perps Shifted'!$AE$31,VLOOKUP($M254,'Futures &amp; Perps Shifted'!$AE$32:$AO$76,MATCH($R254,'Futures &amp; Perps Shifted'!$AE$30:$AO$30,0),FALSE),0),0)))</f>
        <v>0</v>
      </c>
      <c r="X254" s="17">
        <f t="shared" si="54"/>
        <v>0</v>
      </c>
      <c r="Y254" s="14" t="str">
        <f t="shared" si="56"/>
        <v>HUBI</v>
      </c>
      <c r="Z254" t="str">
        <f t="shared" si="55"/>
        <v>BLZ COIN LONG</v>
      </c>
      <c r="AA254" t="b">
        <f>IF($C254="","",IF(ISERROR(VLOOKUP($Y254,Mappings!$A:$C,3,FALSE)),FALSE,VLOOKUP($Y254,Mappings!$A:$C,3,FALSE)))</f>
        <v>1</v>
      </c>
    </row>
    <row r="255" spans="1:27" customFormat="1" x14ac:dyDescent="0.25">
      <c r="A255" s="14">
        <v>253</v>
      </c>
      <c r="B255" s="71">
        <v>44939.000003240741</v>
      </c>
      <c r="C255" s="14" t="s">
        <v>39</v>
      </c>
      <c r="D255" s="23" t="s">
        <v>120</v>
      </c>
      <c r="E255" s="23" t="s">
        <v>127</v>
      </c>
      <c r="F255" s="101">
        <v>14.7502</v>
      </c>
      <c r="G255" s="153">
        <v>2.82684210675981</v>
      </c>
      <c r="H255" s="157">
        <v>0.19164771370963199</v>
      </c>
      <c r="I255" s="23">
        <v>0</v>
      </c>
      <c r="J255" s="23" t="s">
        <v>85</v>
      </c>
      <c r="K255" s="24">
        <v>44939.000003240741</v>
      </c>
      <c r="L255" s="23">
        <v>1</v>
      </c>
      <c r="M255" s="23" t="s">
        <v>127</v>
      </c>
      <c r="N255" s="45">
        <f t="shared" si="58"/>
        <v>1</v>
      </c>
      <c r="O255" s="159">
        <f t="shared" si="47"/>
        <v>14.7502</v>
      </c>
      <c r="P255" s="47">
        <f t="shared" si="48"/>
        <v>2.8268421067598135</v>
      </c>
      <c r="Q255" s="25">
        <f t="shared" si="49"/>
        <v>0</v>
      </c>
      <c r="R255" s="26" t="str">
        <f t="shared" si="50"/>
        <v>COIN</v>
      </c>
      <c r="S255" s="26" t="str">
        <f t="shared" si="57"/>
        <v>LONG</v>
      </c>
      <c r="T255" s="26" t="str">
        <f t="shared" si="51"/>
        <v>COIN LONG</v>
      </c>
      <c r="U255" s="17">
        <f t="shared" si="52"/>
        <v>2.82684210675981</v>
      </c>
      <c r="V255" s="17">
        <f t="shared" si="53"/>
        <v>0.19164771370963199</v>
      </c>
      <c r="W255" s="39">
        <f>IF($C255="","",IF(DefaultScenario,IF(OR(AND(Default_Exchange="ALL",NOT(ISERROR(MATCH($C255,$AF$6:$AF$37,0)))),$C255=Default_Exchange),IF($G255&gt;0,-LGD,0),0),IF(OR($J255="SWAP",$J255="FUTURE",$J255="CME FUTURE"),IF('Futures &amp; Perps Shifted'!$AE$31,VLOOKUP($M255,'Futures &amp; Perps Shifted'!$AE$32:$AO$76,MATCH($R255,'Futures &amp; Perps Shifted'!$AE$30:$AO$30,0),FALSE),0),0)))</f>
        <v>0</v>
      </c>
      <c r="X255" s="17">
        <f t="shared" si="54"/>
        <v>0</v>
      </c>
      <c r="Y255" s="14" t="str">
        <f t="shared" si="56"/>
        <v>HUBI</v>
      </c>
      <c r="Z255" t="str">
        <f t="shared" si="55"/>
        <v>BOBA COIN LONG</v>
      </c>
      <c r="AA255" t="b">
        <f>IF($C255="","",IF(ISERROR(VLOOKUP($Y255,Mappings!$A:$C,3,FALSE)),FALSE,VLOOKUP($Y255,Mappings!$A:$C,3,FALSE)))</f>
        <v>1</v>
      </c>
    </row>
    <row r="256" spans="1:27" customFormat="1" x14ac:dyDescent="0.25">
      <c r="A256" s="14">
        <v>254</v>
      </c>
      <c r="B256" s="71">
        <v>44939.000003240741</v>
      </c>
      <c r="C256" s="14" t="s">
        <v>39</v>
      </c>
      <c r="D256" s="23" t="s">
        <v>120</v>
      </c>
      <c r="E256" s="23" t="s">
        <v>113</v>
      </c>
      <c r="F256" s="101">
        <v>1.807E-4</v>
      </c>
      <c r="G256" s="153">
        <v>7.6161410656811904E-3</v>
      </c>
      <c r="H256" s="157">
        <v>42.1479859749927</v>
      </c>
      <c r="I256" s="23">
        <v>0</v>
      </c>
      <c r="J256" s="23" t="s">
        <v>85</v>
      </c>
      <c r="K256" s="24">
        <v>44939.000003240741</v>
      </c>
      <c r="L256" s="23">
        <v>1</v>
      </c>
      <c r="M256" s="23" t="s">
        <v>113</v>
      </c>
      <c r="N256" s="45">
        <f t="shared" si="58"/>
        <v>1</v>
      </c>
      <c r="O256" s="159">
        <f t="shared" si="47"/>
        <v>1.807E-4</v>
      </c>
      <c r="P256" s="47">
        <f t="shared" si="48"/>
        <v>7.6161410656811809E-3</v>
      </c>
      <c r="Q256" s="25">
        <f t="shared" si="49"/>
        <v>0</v>
      </c>
      <c r="R256" s="26" t="str">
        <f t="shared" si="50"/>
        <v>COIN</v>
      </c>
      <c r="S256" s="26" t="str">
        <f t="shared" si="57"/>
        <v>LONG</v>
      </c>
      <c r="T256" s="26" t="str">
        <f t="shared" si="51"/>
        <v>COIN LONG</v>
      </c>
      <c r="U256" s="17">
        <f t="shared" si="52"/>
        <v>7.6161410656811904E-3</v>
      </c>
      <c r="V256" s="17">
        <f t="shared" si="53"/>
        <v>42.1479859749927</v>
      </c>
      <c r="W256" s="39">
        <f>IF($C256="","",IF(DefaultScenario,IF(OR(AND(Default_Exchange="ALL",NOT(ISERROR(MATCH($C256,$AF$6:$AF$37,0)))),$C256=Default_Exchange),IF($G256&gt;0,-LGD,0),0),IF(OR($J256="SWAP",$J256="FUTURE",$J256="CME FUTURE"),IF('Futures &amp; Perps Shifted'!$AE$31,VLOOKUP($M256,'Futures &amp; Perps Shifted'!$AE$32:$AO$76,MATCH($R256,'Futures &amp; Perps Shifted'!$AE$30:$AO$30,0),FALSE),0),0)))</f>
        <v>0</v>
      </c>
      <c r="X256" s="17">
        <f t="shared" si="54"/>
        <v>0</v>
      </c>
      <c r="Y256" s="14" t="str">
        <f t="shared" si="56"/>
        <v>HUBI</v>
      </c>
      <c r="Z256" t="str">
        <f t="shared" si="55"/>
        <v>BSV COIN LONG</v>
      </c>
      <c r="AA256" t="b">
        <f>IF($C256="","",IF(ISERROR(VLOOKUP($Y256,Mappings!$A:$C,3,FALSE)),FALSE,VLOOKUP($Y256,Mappings!$A:$C,3,FALSE)))</f>
        <v>1</v>
      </c>
    </row>
    <row r="257" spans="1:27" customFormat="1" x14ac:dyDescent="0.25">
      <c r="A257" s="14">
        <v>255</v>
      </c>
      <c r="B257" s="71">
        <v>44939.000003240741</v>
      </c>
      <c r="C257" s="14" t="s">
        <v>39</v>
      </c>
      <c r="D257" s="23" t="s">
        <v>120</v>
      </c>
      <c r="E257" s="23" t="s">
        <v>14</v>
      </c>
      <c r="F257" s="101">
        <v>108.63868278</v>
      </c>
      <c r="G257" s="153">
        <v>2049967.1909252701</v>
      </c>
      <c r="H257" s="157">
        <v>18869.5880552655</v>
      </c>
      <c r="I257" s="23">
        <v>0</v>
      </c>
      <c r="J257" s="23" t="s">
        <v>85</v>
      </c>
      <c r="K257" s="24">
        <v>44939.000003240741</v>
      </c>
      <c r="L257" s="23">
        <v>1</v>
      </c>
      <c r="M257" s="23" t="s">
        <v>14</v>
      </c>
      <c r="N257" s="45">
        <f t="shared" si="58"/>
        <v>1</v>
      </c>
      <c r="O257" s="159">
        <f t="shared" si="47"/>
        <v>108.63868278</v>
      </c>
      <c r="P257" s="47">
        <f t="shared" si="48"/>
        <v>2049967.1909252657</v>
      </c>
      <c r="Q257" s="25">
        <f t="shared" si="49"/>
        <v>0</v>
      </c>
      <c r="R257" s="26" t="str">
        <f t="shared" si="50"/>
        <v>COIN</v>
      </c>
      <c r="S257" s="26" t="str">
        <f t="shared" si="57"/>
        <v>LONG</v>
      </c>
      <c r="T257" s="26" t="str">
        <f t="shared" si="51"/>
        <v>COIN LONG</v>
      </c>
      <c r="U257" s="17">
        <f t="shared" si="52"/>
        <v>2049967.1909252701</v>
      </c>
      <c r="V257" s="17">
        <f t="shared" si="53"/>
        <v>18869.5880552655</v>
      </c>
      <c r="W257" s="39">
        <f>IF($C257="","",IF(DefaultScenario,IF(OR(AND(Default_Exchange="ALL",NOT(ISERROR(MATCH($C257,$AF$6:$AF$37,0)))),$C257=Default_Exchange),IF($G257&gt;0,-LGD,0),0),IF(OR($J257="SWAP",$J257="FUTURE",$J257="CME FUTURE"),IF('Futures &amp; Perps Shifted'!$AE$31,VLOOKUP($M257,'Futures &amp; Perps Shifted'!$AE$32:$AO$76,MATCH($R257,'Futures &amp; Perps Shifted'!$AE$30:$AO$30,0),FALSE),0),0)))</f>
        <v>0</v>
      </c>
      <c r="X257" s="17">
        <f t="shared" si="54"/>
        <v>0</v>
      </c>
      <c r="Y257" s="14" t="str">
        <f t="shared" si="56"/>
        <v>HUBI</v>
      </c>
      <c r="Z257" t="str">
        <f t="shared" si="55"/>
        <v>BTC COIN LONG</v>
      </c>
      <c r="AA257" t="b">
        <f>IF($C257="","",IF(ISERROR(VLOOKUP($Y257,Mappings!$A:$C,3,FALSE)),FALSE,VLOOKUP($Y257,Mappings!$A:$C,3,FALSE)))</f>
        <v>1</v>
      </c>
    </row>
    <row r="258" spans="1:27" customFormat="1" x14ac:dyDescent="0.25">
      <c r="A258" s="14">
        <v>256</v>
      </c>
      <c r="B258" s="71">
        <v>44939.000003240741</v>
      </c>
      <c r="C258" s="14" t="s">
        <v>39</v>
      </c>
      <c r="D258" s="23" t="s">
        <v>120</v>
      </c>
      <c r="E258" s="23" t="s">
        <v>128</v>
      </c>
      <c r="F258" s="101">
        <v>0.33565571999999999</v>
      </c>
      <c r="G258" s="153">
        <v>5.0099972829981999E-3</v>
      </c>
      <c r="H258" s="157">
        <v>1.49260000187043E-2</v>
      </c>
      <c r="I258" s="23">
        <v>0</v>
      </c>
      <c r="J258" s="23" t="s">
        <v>85</v>
      </c>
      <c r="K258" s="24">
        <v>44939.000003240741</v>
      </c>
      <c r="L258" s="23">
        <v>1</v>
      </c>
      <c r="M258" s="23" t="s">
        <v>128</v>
      </c>
      <c r="N258" s="45">
        <f t="shared" si="58"/>
        <v>1</v>
      </c>
      <c r="O258" s="159">
        <f t="shared" ref="O258:O314" si="59">IF($C258="","",IF(OR($J258="SWAP",$J258="FUTURE",$J258="CME FUTURE"),IF($L258=1,$F258*$N258,$AB$2*$F258*$N258/$H258),F258))</f>
        <v>0.33565571999999999</v>
      </c>
      <c r="P258" s="47">
        <f t="shared" ref="P258:P321" si="60">IF($C258="","",IF(OR($J258="SWAP",$J258="FUTURE",$J258="CME FUTURE"),IF(NOT(ISERROR(VLOOKUP($M258,SpotUSDRateTable,2,FALSE))),VLOOKUP($M258,SpotUSDRateTable,2,FALSE),$H258)*O258,VLOOKUP($M258,SpotUSDRateTable,2,FALSE)*O258))</f>
        <v>5.0099972829982051E-3</v>
      </c>
      <c r="Q258" s="25">
        <f t="shared" si="49"/>
        <v>0</v>
      </c>
      <c r="R258" s="26" t="str">
        <f t="shared" si="50"/>
        <v>COIN</v>
      </c>
      <c r="S258" s="26" t="str">
        <f t="shared" si="57"/>
        <v>LONG</v>
      </c>
      <c r="T258" s="26" t="str">
        <f t="shared" si="51"/>
        <v>COIN LONG</v>
      </c>
      <c r="U258" s="17">
        <f t="shared" si="52"/>
        <v>5.0099972829981999E-3</v>
      </c>
      <c r="V258" s="17">
        <f t="shared" si="53"/>
        <v>1.49260000187043E-2</v>
      </c>
      <c r="W258" s="39">
        <f>IF($C258="","",IF(DefaultScenario,IF(OR(AND(Default_Exchange="ALL",NOT(ISERROR(MATCH($C258,$AF$6:$AF$37,0)))),$C258=Default_Exchange),IF($G258&gt;0,-LGD,0),0),IF(OR($J258="SWAP",$J258="FUTURE",$J258="CME FUTURE"),IF('Futures &amp; Perps Shifted'!$AE$31,VLOOKUP($M258,'Futures &amp; Perps Shifted'!$AE$32:$AO$76,MATCH($R258,'Futures &amp; Perps Shifted'!$AE$30:$AO$30,0),FALSE),0),0)))</f>
        <v>0</v>
      </c>
      <c r="X258" s="17">
        <f t="shared" si="54"/>
        <v>0</v>
      </c>
      <c r="Y258" s="14" t="str">
        <f t="shared" si="56"/>
        <v>HUBI</v>
      </c>
      <c r="Z258" t="str">
        <f t="shared" si="55"/>
        <v>BTM COIN LONG</v>
      </c>
      <c r="AA258" t="b">
        <f>IF($C258="","",IF(ISERROR(VLOOKUP($Y258,Mappings!$A:$C,3,FALSE)),FALSE,VLOOKUP($Y258,Mappings!$A:$C,3,FALSE)))</f>
        <v>1</v>
      </c>
    </row>
    <row r="259" spans="1:27" customFormat="1" x14ac:dyDescent="0.25">
      <c r="A259" s="14">
        <v>257</v>
      </c>
      <c r="B259" s="71">
        <v>44939.000003240741</v>
      </c>
      <c r="C259" s="14" t="s">
        <v>39</v>
      </c>
      <c r="D259" s="23" t="s">
        <v>120</v>
      </c>
      <c r="E259" s="23" t="s">
        <v>129</v>
      </c>
      <c r="F259" s="101">
        <v>1367501156.8785999</v>
      </c>
      <c r="G259" s="153">
        <v>935.32266578065196</v>
      </c>
      <c r="H259" s="157">
        <v>6.8396480769024001E-7</v>
      </c>
      <c r="I259" s="23">
        <v>0</v>
      </c>
      <c r="J259" s="23" t="s">
        <v>85</v>
      </c>
      <c r="K259" s="24">
        <v>44939.000003240741</v>
      </c>
      <c r="L259" s="23">
        <v>1</v>
      </c>
      <c r="M259" s="23" t="s">
        <v>129</v>
      </c>
      <c r="N259" s="45">
        <f t="shared" si="58"/>
        <v>1</v>
      </c>
      <c r="O259" s="159">
        <f t="shared" si="59"/>
        <v>1367501156.8785999</v>
      </c>
      <c r="P259" s="47">
        <f t="shared" si="60"/>
        <v>935.3226657806523</v>
      </c>
      <c r="Q259" s="25">
        <f t="shared" ref="Q259:Q322" si="61">IF($C259="","",IF(OR($J259="SWAP",$J259="FUTURE",$J259="CME FUTURE"),INT($K259-$B259),0))</f>
        <v>0</v>
      </c>
      <c r="R259" s="26" t="str">
        <f t="shared" ref="R259:R322" si="62">IF($C259="","",IF(OR($E259="USD",$E259="EUR"),"CASH",IF($Q259=0,"COIN",IF($Q259&gt;720,"PERP",IF($J259="FUTURE",TEXT($K259-1,"mmm yy"),"CME "&amp;TEXT($K259-1,"mmm yy"))))))</f>
        <v>COIN</v>
      </c>
      <c r="S259" s="26" t="str">
        <f t="shared" si="57"/>
        <v>LONG</v>
      </c>
      <c r="T259" s="26" t="str">
        <f t="shared" ref="T259:T322" si="63">IF($C259="","",$R259&amp;" "&amp;$S259)</f>
        <v>COIN LONG</v>
      </c>
      <c r="U259" s="17">
        <f t="shared" ref="U259:U322" si="64">IF($C259="","",$G259*(1+$W259))</f>
        <v>935.32266578065196</v>
      </c>
      <c r="V259" s="17">
        <f t="shared" ref="V259:V322" si="65">IF($C259="","",$H259*(1+$W259))</f>
        <v>6.8396480769024001E-7</v>
      </c>
      <c r="W259" s="39">
        <f>IF($C259="","",IF(DefaultScenario,IF(OR(AND(Default_Exchange="ALL",NOT(ISERROR(MATCH($C259,$AF$6:$AF$37,0)))),$C259=Default_Exchange),IF($G259&gt;0,-LGD,0),0),IF(OR($J259="SWAP",$J259="FUTURE",$J259="CME FUTURE"),IF('Futures &amp; Perps Shifted'!$AE$31,VLOOKUP($M259,'Futures &amp; Perps Shifted'!$AE$32:$AO$76,MATCH($R259,'Futures &amp; Perps Shifted'!$AE$30:$AO$30,0),FALSE),0),0)))</f>
        <v>0</v>
      </c>
      <c r="X259" s="17">
        <f t="shared" ref="X259:X322" si="66">IF($C259="","",$U259-$G259)</f>
        <v>0</v>
      </c>
      <c r="Y259" s="14" t="str">
        <f t="shared" si="56"/>
        <v>HUBI</v>
      </c>
      <c r="Z259" t="str">
        <f t="shared" ref="Z259:Z322" si="67">IF($C259="","",$M259&amp;" "&amp;$T259)</f>
        <v>BTT COIN LONG</v>
      </c>
      <c r="AA259" t="b">
        <f>IF($C259="","",IF(ISERROR(VLOOKUP($Y259,Mappings!$A:$C,3,FALSE)),FALSE,VLOOKUP($Y259,Mappings!$A:$C,3,FALSE)))</f>
        <v>1</v>
      </c>
    </row>
    <row r="260" spans="1:27" customFormat="1" x14ac:dyDescent="0.25">
      <c r="A260" s="14">
        <v>258</v>
      </c>
      <c r="B260" s="71">
        <v>44939.000003240741</v>
      </c>
      <c r="C260" s="14" t="s">
        <v>39</v>
      </c>
      <c r="D260" s="23" t="s">
        <v>120</v>
      </c>
      <c r="E260" s="23" t="s">
        <v>130</v>
      </c>
      <c r="F260" s="101">
        <v>1.7855998900000001</v>
      </c>
      <c r="G260" s="153">
        <v>4.3801594662575801E-3</v>
      </c>
      <c r="H260" s="157">
        <v>2.4530464471845198E-3</v>
      </c>
      <c r="I260" s="23">
        <v>0</v>
      </c>
      <c r="J260" s="23" t="s">
        <v>85</v>
      </c>
      <c r="K260" s="24">
        <v>44939.000003240741</v>
      </c>
      <c r="L260" s="23">
        <v>1</v>
      </c>
      <c r="M260" s="23" t="s">
        <v>130</v>
      </c>
      <c r="N260" s="45">
        <f t="shared" si="58"/>
        <v>1</v>
      </c>
      <c r="O260" s="159">
        <f t="shared" si="59"/>
        <v>1.7855998900000001</v>
      </c>
      <c r="P260" s="47">
        <f t="shared" si="60"/>
        <v>4.3801594662575697E-3</v>
      </c>
      <c r="Q260" s="25">
        <f t="shared" si="61"/>
        <v>0</v>
      </c>
      <c r="R260" s="26" t="str">
        <f t="shared" si="62"/>
        <v>COIN</v>
      </c>
      <c r="S260" s="26" t="str">
        <f t="shared" si="57"/>
        <v>LONG</v>
      </c>
      <c r="T260" s="26" t="str">
        <f t="shared" si="63"/>
        <v>COIN LONG</v>
      </c>
      <c r="U260" s="17">
        <f t="shared" si="64"/>
        <v>4.3801594662575801E-3</v>
      </c>
      <c r="V260" s="17">
        <f t="shared" si="65"/>
        <v>2.4530464471845198E-3</v>
      </c>
      <c r="W260" s="39">
        <f>IF($C260="","",IF(DefaultScenario,IF(OR(AND(Default_Exchange="ALL",NOT(ISERROR(MATCH($C260,$AF$6:$AF$37,0)))),$C260=Default_Exchange),IF($G260&gt;0,-LGD,0),0),IF(OR($J260="SWAP",$J260="FUTURE",$J260="CME FUTURE"),IF('Futures &amp; Perps Shifted'!$AE$31,VLOOKUP($M260,'Futures &amp; Perps Shifted'!$AE$32:$AO$76,MATCH($R260,'Futures &amp; Perps Shifted'!$AE$30:$AO$30,0),FALSE),0),0)))</f>
        <v>0</v>
      </c>
      <c r="X260" s="17">
        <f t="shared" si="66"/>
        <v>0</v>
      </c>
      <c r="Y260" s="14" t="str">
        <f t="shared" si="56"/>
        <v>HUBI</v>
      </c>
      <c r="Z260" t="str">
        <f t="shared" si="67"/>
        <v>CMT COIN LONG</v>
      </c>
      <c r="AA260" t="b">
        <f>IF($C260="","",IF(ISERROR(VLOOKUP($Y260,Mappings!$A:$C,3,FALSE)),FALSE,VLOOKUP($Y260,Mappings!$A:$C,3,FALSE)))</f>
        <v>1</v>
      </c>
    </row>
    <row r="261" spans="1:27" customFormat="1" x14ac:dyDescent="0.25">
      <c r="A261" s="14">
        <v>259</v>
      </c>
      <c r="B261" s="71">
        <v>44939.000003240741</v>
      </c>
      <c r="C261" s="14" t="s">
        <v>39</v>
      </c>
      <c r="D261" s="23" t="s">
        <v>120</v>
      </c>
      <c r="E261" s="23" t="s">
        <v>131</v>
      </c>
      <c r="F261" s="101">
        <v>0.30791584</v>
      </c>
      <c r="G261" s="153">
        <v>2.04778472878973E-2</v>
      </c>
      <c r="H261" s="157">
        <v>6.6504689358940702E-2</v>
      </c>
      <c r="I261" s="23">
        <v>0</v>
      </c>
      <c r="J261" s="23" t="s">
        <v>85</v>
      </c>
      <c r="K261" s="24">
        <v>44939.000003240741</v>
      </c>
      <c r="L261" s="23">
        <v>1</v>
      </c>
      <c r="M261" s="23" t="s">
        <v>131</v>
      </c>
      <c r="N261" s="45">
        <f t="shared" si="58"/>
        <v>1</v>
      </c>
      <c r="O261" s="159">
        <f t="shared" si="59"/>
        <v>0.30791584</v>
      </c>
      <c r="P261" s="47">
        <f t="shared" si="60"/>
        <v>2.0477847287897286E-2</v>
      </c>
      <c r="Q261" s="25">
        <f t="shared" si="61"/>
        <v>0</v>
      </c>
      <c r="R261" s="26" t="str">
        <f t="shared" si="62"/>
        <v>COIN</v>
      </c>
      <c r="S261" s="26" t="str">
        <f t="shared" si="57"/>
        <v>LONG</v>
      </c>
      <c r="T261" s="26" t="str">
        <f t="shared" si="63"/>
        <v>COIN LONG</v>
      </c>
      <c r="U261" s="17">
        <f t="shared" si="64"/>
        <v>2.04778472878973E-2</v>
      </c>
      <c r="V261" s="17">
        <f t="shared" si="65"/>
        <v>6.6504689358940702E-2</v>
      </c>
      <c r="W261" s="39">
        <f>IF($C261="","",IF(DefaultScenario,IF(OR(AND(Default_Exchange="ALL",NOT(ISERROR(MATCH($C261,$AF$6:$AF$37,0)))),$C261=Default_Exchange),IF($G261&gt;0,-LGD,0),0),IF(OR($J261="SWAP",$J261="FUTURE",$J261="CME FUTURE"),IF('Futures &amp; Perps Shifted'!$AE$31,VLOOKUP($M261,'Futures &amp; Perps Shifted'!$AE$32:$AO$76,MATCH($R261,'Futures &amp; Perps Shifted'!$AE$30:$AO$30,0),FALSE),0),0)))</f>
        <v>0</v>
      </c>
      <c r="X261" s="17">
        <f t="shared" si="66"/>
        <v>0</v>
      </c>
      <c r="Y261" s="14" t="str">
        <f t="shared" si="56"/>
        <v>HUBI</v>
      </c>
      <c r="Z261" t="str">
        <f t="shared" si="67"/>
        <v>CRO COIN LONG</v>
      </c>
      <c r="AA261" t="b">
        <f>IF($C261="","",IF(ISERROR(VLOOKUP($Y261,Mappings!$A:$C,3,FALSE)),FALSE,VLOOKUP($Y261,Mappings!$A:$C,3,FALSE)))</f>
        <v>1</v>
      </c>
    </row>
    <row r="262" spans="1:27" customFormat="1" x14ac:dyDescent="0.25">
      <c r="A262" s="14">
        <v>260</v>
      </c>
      <c r="B262" s="71">
        <v>44939.000003240741</v>
      </c>
      <c r="C262" s="14" t="s">
        <v>39</v>
      </c>
      <c r="D262" s="23" t="s">
        <v>120</v>
      </c>
      <c r="E262" s="23" t="s">
        <v>132</v>
      </c>
      <c r="F262" s="101">
        <v>5.6119999999999998E-5</v>
      </c>
      <c r="G262" s="153">
        <v>2.7698860571246102E-3</v>
      </c>
      <c r="H262" s="157">
        <v>49.356487119112799</v>
      </c>
      <c r="I262" s="23">
        <v>0</v>
      </c>
      <c r="J262" s="23" t="s">
        <v>85</v>
      </c>
      <c r="K262" s="24">
        <v>44939.000003240741</v>
      </c>
      <c r="L262" s="23">
        <v>1</v>
      </c>
      <c r="M262" s="23" t="s">
        <v>132</v>
      </c>
      <c r="N262" s="45">
        <f t="shared" si="58"/>
        <v>1</v>
      </c>
      <c r="O262" s="159">
        <f t="shared" si="59"/>
        <v>5.6119999999999998E-5</v>
      </c>
      <c r="P262" s="47">
        <f t="shared" si="60"/>
        <v>2.7698860571246102E-3</v>
      </c>
      <c r="Q262" s="25">
        <f t="shared" si="61"/>
        <v>0</v>
      </c>
      <c r="R262" s="26" t="str">
        <f t="shared" si="62"/>
        <v>COIN</v>
      </c>
      <c r="S262" s="26" t="str">
        <f t="shared" si="57"/>
        <v>LONG</v>
      </c>
      <c r="T262" s="26" t="str">
        <f t="shared" si="63"/>
        <v>COIN LONG</v>
      </c>
      <c r="U262" s="17">
        <f t="shared" si="64"/>
        <v>2.7698860571246102E-3</v>
      </c>
      <c r="V262" s="17">
        <f t="shared" si="65"/>
        <v>49.356487119112799</v>
      </c>
      <c r="W262" s="39">
        <f>IF($C262="","",IF(DefaultScenario,IF(OR(AND(Default_Exchange="ALL",NOT(ISERROR(MATCH($C262,$AF$6:$AF$37,0)))),$C262=Default_Exchange),IF($G262&gt;0,-LGD,0),0),IF(OR($J262="SWAP",$J262="FUTURE",$J262="CME FUTURE"),IF('Futures &amp; Perps Shifted'!$AE$31,VLOOKUP($M262,'Futures &amp; Perps Shifted'!$AE$32:$AO$76,MATCH($R262,'Futures &amp; Perps Shifted'!$AE$30:$AO$30,0),FALSE),0),0)))</f>
        <v>0</v>
      </c>
      <c r="X262" s="17">
        <f t="shared" si="66"/>
        <v>0</v>
      </c>
      <c r="Y262" s="14" t="str">
        <f t="shared" si="56"/>
        <v>HUBI</v>
      </c>
      <c r="Z262" t="str">
        <f t="shared" si="67"/>
        <v>DASH COIN LONG</v>
      </c>
      <c r="AA262" t="b">
        <f>IF($C262="","",IF(ISERROR(VLOOKUP($Y262,Mappings!$A:$C,3,FALSE)),FALSE,VLOOKUP($Y262,Mappings!$A:$C,3,FALSE)))</f>
        <v>1</v>
      </c>
    </row>
    <row r="263" spans="1:27" customFormat="1" x14ac:dyDescent="0.25">
      <c r="A263" s="14">
        <v>261</v>
      </c>
      <c r="B263" s="71">
        <v>44939.000003240741</v>
      </c>
      <c r="C263" s="14" t="s">
        <v>39</v>
      </c>
      <c r="D263" s="23" t="s">
        <v>120</v>
      </c>
      <c r="E263" s="23" t="s">
        <v>133</v>
      </c>
      <c r="F263" s="101">
        <v>5.9800000000000001E-4</v>
      </c>
      <c r="G263" s="153">
        <v>6.9374385267831303E-6</v>
      </c>
      <c r="H263" s="157">
        <v>1.16010677705403E-2</v>
      </c>
      <c r="I263" s="23">
        <v>0</v>
      </c>
      <c r="J263" s="23" t="s">
        <v>85</v>
      </c>
      <c r="K263" s="24">
        <v>44939.000003240741</v>
      </c>
      <c r="L263" s="23">
        <v>1</v>
      </c>
      <c r="M263" s="23" t="s">
        <v>133</v>
      </c>
      <c r="N263" s="45">
        <f t="shared" si="58"/>
        <v>1</v>
      </c>
      <c r="O263" s="159">
        <f t="shared" si="59"/>
        <v>5.9800000000000001E-4</v>
      </c>
      <c r="P263" s="47">
        <f t="shared" si="60"/>
        <v>6.937438526783099E-6</v>
      </c>
      <c r="Q263" s="25">
        <f t="shared" si="61"/>
        <v>0</v>
      </c>
      <c r="R263" s="26" t="str">
        <f t="shared" si="62"/>
        <v>COIN</v>
      </c>
      <c r="S263" s="26" t="str">
        <f t="shared" si="57"/>
        <v>LONG</v>
      </c>
      <c r="T263" s="26" t="str">
        <f t="shared" si="63"/>
        <v>COIN LONG</v>
      </c>
      <c r="U263" s="17">
        <f t="shared" si="64"/>
        <v>6.9374385267831303E-6</v>
      </c>
      <c r="V263" s="17">
        <f t="shared" si="65"/>
        <v>1.16010677705403E-2</v>
      </c>
      <c r="W263" s="39">
        <f>IF($C263="","",IF(DefaultScenario,IF(OR(AND(Default_Exchange="ALL",NOT(ISERROR(MATCH($C263,$AF$6:$AF$37,0)))),$C263=Default_Exchange),IF($G263&gt;0,-LGD,0),0),IF(OR($J263="SWAP",$J263="FUTURE",$J263="CME FUTURE"),IF('Futures &amp; Perps Shifted'!$AE$31,VLOOKUP($M263,'Futures &amp; Perps Shifted'!$AE$32:$AO$76,MATCH($R263,'Futures &amp; Perps Shifted'!$AE$30:$AO$30,0),FALSE),0),0)))</f>
        <v>0</v>
      </c>
      <c r="X263" s="17">
        <f t="shared" si="66"/>
        <v>0</v>
      </c>
      <c r="Y263" s="14" t="str">
        <f t="shared" si="56"/>
        <v>HUBI</v>
      </c>
      <c r="Z263" t="str">
        <f t="shared" si="67"/>
        <v>DON COIN LONG</v>
      </c>
      <c r="AA263" t="b">
        <f>IF($C263="","",IF(ISERROR(VLOOKUP($Y263,Mappings!$A:$C,3,FALSE)),FALSE,VLOOKUP($Y263,Mappings!$A:$C,3,FALSE)))</f>
        <v>1</v>
      </c>
    </row>
    <row r="264" spans="1:27" customFormat="1" x14ac:dyDescent="0.25">
      <c r="A264" s="14">
        <v>262</v>
      </c>
      <c r="B264" s="71">
        <v>44939.000003240741</v>
      </c>
      <c r="C264" s="14" t="s">
        <v>39</v>
      </c>
      <c r="D264" s="23" t="s">
        <v>120</v>
      </c>
      <c r="E264" s="23" t="s">
        <v>22</v>
      </c>
      <c r="F264" s="101">
        <v>40059.791036850002</v>
      </c>
      <c r="G264" s="153">
        <v>209491.793471121</v>
      </c>
      <c r="H264" s="157">
        <v>5.2294779390740098</v>
      </c>
      <c r="I264" s="23">
        <v>0</v>
      </c>
      <c r="J264" s="23" t="s">
        <v>85</v>
      </c>
      <c r="K264" s="24">
        <v>44939.000003240741</v>
      </c>
      <c r="L264" s="23">
        <v>1</v>
      </c>
      <c r="M264" s="23" t="s">
        <v>22</v>
      </c>
      <c r="N264" s="45">
        <f t="shared" si="58"/>
        <v>1</v>
      </c>
      <c r="O264" s="159">
        <f t="shared" si="59"/>
        <v>40059.791036850002</v>
      </c>
      <c r="P264" s="47">
        <f t="shared" si="60"/>
        <v>209491.79347112184</v>
      </c>
      <c r="Q264" s="25">
        <f t="shared" si="61"/>
        <v>0</v>
      </c>
      <c r="R264" s="26" t="str">
        <f t="shared" si="62"/>
        <v>COIN</v>
      </c>
      <c r="S264" s="26" t="str">
        <f t="shared" si="57"/>
        <v>LONG</v>
      </c>
      <c r="T264" s="26" t="str">
        <f t="shared" si="63"/>
        <v>COIN LONG</v>
      </c>
      <c r="U264" s="17">
        <f t="shared" si="64"/>
        <v>209491.793471121</v>
      </c>
      <c r="V264" s="17">
        <f t="shared" si="65"/>
        <v>5.2294779390740098</v>
      </c>
      <c r="W264" s="39">
        <f>IF($C264="","",IF(DefaultScenario,IF(OR(AND(Default_Exchange="ALL",NOT(ISERROR(MATCH($C264,$AF$6:$AF$37,0)))),$C264=Default_Exchange),IF($G264&gt;0,-LGD,0),0),IF(OR($J264="SWAP",$J264="FUTURE",$J264="CME FUTURE"),IF('Futures &amp; Perps Shifted'!$AE$31,VLOOKUP($M264,'Futures &amp; Perps Shifted'!$AE$32:$AO$76,MATCH($R264,'Futures &amp; Perps Shifted'!$AE$30:$AO$30,0),FALSE),0),0)))</f>
        <v>0</v>
      </c>
      <c r="X264" s="17">
        <f t="shared" si="66"/>
        <v>0</v>
      </c>
      <c r="Y264" s="14" t="str">
        <f t="shared" si="56"/>
        <v>HUBI</v>
      </c>
      <c r="Z264" t="str">
        <f t="shared" si="67"/>
        <v>DOT COIN LONG</v>
      </c>
      <c r="AA264" t="b">
        <f>IF($C264="","",IF(ISERROR(VLOOKUP($Y264,Mappings!$A:$C,3,FALSE)),FALSE,VLOOKUP($Y264,Mappings!$A:$C,3,FALSE)))</f>
        <v>1</v>
      </c>
    </row>
    <row r="265" spans="1:27" customFormat="1" x14ac:dyDescent="0.25">
      <c r="A265" s="14">
        <v>263</v>
      </c>
      <c r="B265" s="71">
        <v>44939.000003240741</v>
      </c>
      <c r="C265" s="14" t="s">
        <v>39</v>
      </c>
      <c r="D265" s="23" t="s">
        <v>120</v>
      </c>
      <c r="E265" s="23" t="s">
        <v>28</v>
      </c>
      <c r="F265" s="101">
        <v>1E-8</v>
      </c>
      <c r="G265" s="153">
        <v>3.04096198903759E-9</v>
      </c>
      <c r="H265" s="157">
        <v>0.304096198903759</v>
      </c>
      <c r="I265" s="23">
        <v>0</v>
      </c>
      <c r="J265" s="23" t="s">
        <v>85</v>
      </c>
      <c r="K265" s="24">
        <v>44939.000003240741</v>
      </c>
      <c r="L265" s="23">
        <v>1</v>
      </c>
      <c r="M265" s="23" t="s">
        <v>28</v>
      </c>
      <c r="N265" s="45">
        <f t="shared" si="58"/>
        <v>1</v>
      </c>
      <c r="O265" s="159">
        <f t="shared" si="59"/>
        <v>1E-8</v>
      </c>
      <c r="P265" s="47">
        <f t="shared" si="60"/>
        <v>3.04096198903759E-9</v>
      </c>
      <c r="Q265" s="25">
        <f t="shared" si="61"/>
        <v>0</v>
      </c>
      <c r="R265" s="26" t="str">
        <f t="shared" si="62"/>
        <v>COIN</v>
      </c>
      <c r="S265" s="26" t="str">
        <f t="shared" si="57"/>
        <v>LONG</v>
      </c>
      <c r="T265" s="26" t="str">
        <f t="shared" si="63"/>
        <v>COIN LONG</v>
      </c>
      <c r="U265" s="17">
        <f t="shared" si="64"/>
        <v>3.04096198903759E-9</v>
      </c>
      <c r="V265" s="17">
        <f t="shared" si="65"/>
        <v>0.304096198903759</v>
      </c>
      <c r="W265" s="39">
        <f>IF($C265="","",IF(DefaultScenario,IF(OR(AND(Default_Exchange="ALL",NOT(ISERROR(MATCH($C265,$AF$6:$AF$37,0)))),$C265=Default_Exchange),IF($G265&gt;0,-LGD,0),0),IF(OR($J265="SWAP",$J265="FUTURE",$J265="CME FUTURE"),IF('Futures &amp; Perps Shifted'!$AE$31,VLOOKUP($M265,'Futures &amp; Perps Shifted'!$AE$32:$AO$76,MATCH($R265,'Futures &amp; Perps Shifted'!$AE$30:$AO$30,0),FALSE),0),0)))</f>
        <v>0</v>
      </c>
      <c r="X265" s="17">
        <f t="shared" si="66"/>
        <v>0</v>
      </c>
      <c r="Y265" s="14" t="str">
        <f t="shared" si="56"/>
        <v>HUBI</v>
      </c>
      <c r="Z265" t="str">
        <f t="shared" si="67"/>
        <v>ENJ COIN LONG</v>
      </c>
      <c r="AA265" t="b">
        <f>IF($C265="","",IF(ISERROR(VLOOKUP($Y265,Mappings!$A:$C,3,FALSE)),FALSE,VLOOKUP($Y265,Mappings!$A:$C,3,FALSE)))</f>
        <v>1</v>
      </c>
    </row>
    <row r="266" spans="1:27" customFormat="1" x14ac:dyDescent="0.25">
      <c r="A266" s="14">
        <v>264</v>
      </c>
      <c r="B266" s="71">
        <v>44939.000003240741</v>
      </c>
      <c r="C266" s="14" t="s">
        <v>39</v>
      </c>
      <c r="D266" s="23" t="s">
        <v>120</v>
      </c>
      <c r="E266" s="23" t="s">
        <v>23</v>
      </c>
      <c r="F266" s="101">
        <v>2110.8363221999998</v>
      </c>
      <c r="G266" s="153">
        <v>2090.23978782938</v>
      </c>
      <c r="H266" s="157">
        <v>0.990242476806942</v>
      </c>
      <c r="I266" s="23">
        <v>0</v>
      </c>
      <c r="J266" s="23" t="s">
        <v>85</v>
      </c>
      <c r="K266" s="24">
        <v>44939.000003240741</v>
      </c>
      <c r="L266" s="23">
        <v>1</v>
      </c>
      <c r="M266" s="23" t="s">
        <v>23</v>
      </c>
      <c r="N266" s="45">
        <f t="shared" si="58"/>
        <v>1</v>
      </c>
      <c r="O266" s="159">
        <f t="shared" si="59"/>
        <v>2110.8363221999998</v>
      </c>
      <c r="P266" s="47">
        <f t="shared" si="60"/>
        <v>2090.2397878293841</v>
      </c>
      <c r="Q266" s="25">
        <f t="shared" si="61"/>
        <v>0</v>
      </c>
      <c r="R266" s="26" t="str">
        <f t="shared" si="62"/>
        <v>COIN</v>
      </c>
      <c r="S266" s="26" t="str">
        <f t="shared" si="57"/>
        <v>LONG</v>
      </c>
      <c r="T266" s="26" t="str">
        <f t="shared" si="63"/>
        <v>COIN LONG</v>
      </c>
      <c r="U266" s="17">
        <f t="shared" si="64"/>
        <v>2090.23978782938</v>
      </c>
      <c r="V266" s="17">
        <f t="shared" si="65"/>
        <v>0.990242476806942</v>
      </c>
      <c r="W266" s="39">
        <f>IF($C266="","",IF(DefaultScenario,IF(OR(AND(Default_Exchange="ALL",NOT(ISERROR(MATCH($C266,$AF$6:$AF$37,0)))),$C266=Default_Exchange),IF($G266&gt;0,-LGD,0),0),IF(OR($J266="SWAP",$J266="FUTURE",$J266="CME FUTURE"),IF('Futures &amp; Perps Shifted'!$AE$31,VLOOKUP($M266,'Futures &amp; Perps Shifted'!$AE$32:$AO$76,MATCH($R266,'Futures &amp; Perps Shifted'!$AE$30:$AO$30,0),FALSE),0),0)))</f>
        <v>0</v>
      </c>
      <c r="X266" s="17">
        <f t="shared" si="66"/>
        <v>0</v>
      </c>
      <c r="Y266" s="14" t="str">
        <f t="shared" si="56"/>
        <v>HUBI</v>
      </c>
      <c r="Z266" t="str">
        <f t="shared" si="67"/>
        <v>EOS COIN LONG</v>
      </c>
      <c r="AA266" t="b">
        <f>IF($C266="","",IF(ISERROR(VLOOKUP($Y266,Mappings!$A:$C,3,FALSE)),FALSE,VLOOKUP($Y266,Mappings!$A:$C,3,FALSE)))</f>
        <v>1</v>
      </c>
    </row>
    <row r="267" spans="1:27" customFormat="1" x14ac:dyDescent="0.25">
      <c r="A267" s="14">
        <v>265</v>
      </c>
      <c r="B267" s="71">
        <v>44939.000003240741</v>
      </c>
      <c r="C267" s="14" t="s">
        <v>39</v>
      </c>
      <c r="D267" s="23" t="s">
        <v>120</v>
      </c>
      <c r="E267" s="23" t="s">
        <v>29</v>
      </c>
      <c r="F267" s="101">
        <v>8859.7328020599998</v>
      </c>
      <c r="G267" s="153">
        <v>185325.74862730701</v>
      </c>
      <c r="H267" s="157">
        <v>20.917758217744002</v>
      </c>
      <c r="I267" s="23">
        <v>0</v>
      </c>
      <c r="J267" s="23" t="s">
        <v>85</v>
      </c>
      <c r="K267" s="24">
        <v>44939.000003240741</v>
      </c>
      <c r="L267" s="23">
        <v>1</v>
      </c>
      <c r="M267" s="23" t="s">
        <v>29</v>
      </c>
      <c r="N267" s="45">
        <f t="shared" si="58"/>
        <v>1</v>
      </c>
      <c r="O267" s="159">
        <f t="shared" si="59"/>
        <v>8859.7328020599998</v>
      </c>
      <c r="P267" s="47">
        <f t="shared" si="60"/>
        <v>185325.74862730666</v>
      </c>
      <c r="Q267" s="25">
        <f t="shared" si="61"/>
        <v>0</v>
      </c>
      <c r="R267" s="26" t="str">
        <f t="shared" si="62"/>
        <v>COIN</v>
      </c>
      <c r="S267" s="26" t="str">
        <f t="shared" si="57"/>
        <v>LONG</v>
      </c>
      <c r="T267" s="26" t="str">
        <f t="shared" si="63"/>
        <v>COIN LONG</v>
      </c>
      <c r="U267" s="17">
        <f t="shared" si="64"/>
        <v>185325.74862730701</v>
      </c>
      <c r="V267" s="17">
        <f t="shared" si="65"/>
        <v>20.917758217744002</v>
      </c>
      <c r="W267" s="39">
        <f>IF($C267="","",IF(DefaultScenario,IF(OR(AND(Default_Exchange="ALL",NOT(ISERROR(MATCH($C267,$AF$6:$AF$37,0)))),$C267=Default_Exchange),IF($G267&gt;0,-LGD,0),0),IF(OR($J267="SWAP",$J267="FUTURE",$J267="CME FUTURE"),IF('Futures &amp; Perps Shifted'!$AE$31,VLOOKUP($M267,'Futures &amp; Perps Shifted'!$AE$32:$AO$76,MATCH($R267,'Futures &amp; Perps Shifted'!$AE$30:$AO$30,0),FALSE),0),0)))</f>
        <v>0</v>
      </c>
      <c r="X267" s="17">
        <f t="shared" si="66"/>
        <v>0</v>
      </c>
      <c r="Y267" s="14" t="str">
        <f t="shared" si="56"/>
        <v>HUBI</v>
      </c>
      <c r="Z267" t="str">
        <f t="shared" si="67"/>
        <v>ETC COIN LONG</v>
      </c>
      <c r="AA267" t="b">
        <f>IF($C267="","",IF(ISERROR(VLOOKUP($Y267,Mappings!$A:$C,3,FALSE)),FALSE,VLOOKUP($Y267,Mappings!$A:$C,3,FALSE)))</f>
        <v>1</v>
      </c>
    </row>
    <row r="268" spans="1:27" customFormat="1" x14ac:dyDescent="0.25">
      <c r="A268" s="14">
        <v>266</v>
      </c>
      <c r="B268" s="71">
        <v>44939.000003240741</v>
      </c>
      <c r="C268" s="14" t="s">
        <v>39</v>
      </c>
      <c r="D268" s="23" t="s">
        <v>120</v>
      </c>
      <c r="E268" s="23" t="s">
        <v>15</v>
      </c>
      <c r="F268" s="101">
        <v>4854.4770517999996</v>
      </c>
      <c r="G268" s="153">
        <v>6883350.0213065902</v>
      </c>
      <c r="H268" s="157">
        <v>1417.9385231112101</v>
      </c>
      <c r="I268" s="23">
        <v>0</v>
      </c>
      <c r="J268" s="23" t="s">
        <v>85</v>
      </c>
      <c r="K268" s="24">
        <v>44939.000003240741</v>
      </c>
      <c r="L268" s="23">
        <v>1</v>
      </c>
      <c r="M268" s="23" t="s">
        <v>15</v>
      </c>
      <c r="N268" s="45">
        <f t="shared" si="58"/>
        <v>1</v>
      </c>
      <c r="O268" s="159">
        <f t="shared" si="59"/>
        <v>4854.4770517999996</v>
      </c>
      <c r="P268" s="47">
        <f t="shared" si="60"/>
        <v>6883350.0213065529</v>
      </c>
      <c r="Q268" s="25">
        <f t="shared" si="61"/>
        <v>0</v>
      </c>
      <c r="R268" s="26" t="str">
        <f t="shared" si="62"/>
        <v>COIN</v>
      </c>
      <c r="S268" s="26" t="str">
        <f t="shared" si="57"/>
        <v>LONG</v>
      </c>
      <c r="T268" s="26" t="str">
        <f t="shared" si="63"/>
        <v>COIN LONG</v>
      </c>
      <c r="U268" s="17">
        <f t="shared" si="64"/>
        <v>6883350.0213065902</v>
      </c>
      <c r="V268" s="17">
        <f t="shared" si="65"/>
        <v>1417.9385231112101</v>
      </c>
      <c r="W268" s="39">
        <f>IF($C268="","",IF(DefaultScenario,IF(OR(AND(Default_Exchange="ALL",NOT(ISERROR(MATCH($C268,$AF$6:$AF$37,0)))),$C268=Default_Exchange),IF($G268&gt;0,-LGD,0),0),IF(OR($J268="SWAP",$J268="FUTURE",$J268="CME FUTURE"),IF('Futures &amp; Perps Shifted'!$AE$31,VLOOKUP($M268,'Futures &amp; Perps Shifted'!$AE$32:$AO$76,MATCH($R268,'Futures &amp; Perps Shifted'!$AE$30:$AO$30,0),FALSE),0),0)))</f>
        <v>0</v>
      </c>
      <c r="X268" s="17">
        <f t="shared" si="66"/>
        <v>0</v>
      </c>
      <c r="Y268" s="14" t="str">
        <f t="shared" si="56"/>
        <v>HUBI</v>
      </c>
      <c r="Z268" t="str">
        <f t="shared" si="67"/>
        <v>ETH COIN LONG</v>
      </c>
      <c r="AA268" t="b">
        <f>IF($C268="","",IF(ISERROR(VLOOKUP($Y268,Mappings!$A:$C,3,FALSE)),FALSE,VLOOKUP($Y268,Mappings!$A:$C,3,FALSE)))</f>
        <v>1</v>
      </c>
    </row>
    <row r="269" spans="1:27" customFormat="1" x14ac:dyDescent="0.25">
      <c r="A269" s="14">
        <v>267</v>
      </c>
      <c r="B269" s="71">
        <v>44939.000003240741</v>
      </c>
      <c r="C269" s="14" t="s">
        <v>39</v>
      </c>
      <c r="D269" s="23" t="s">
        <v>120</v>
      </c>
      <c r="E269" s="23" t="s">
        <v>290</v>
      </c>
      <c r="F269" s="101">
        <v>9823.8364263999993</v>
      </c>
      <c r="G269" s="153">
        <v>3355.0189397480699</v>
      </c>
      <c r="H269" s="157">
        <v>0.34151820064226501</v>
      </c>
      <c r="I269" s="23">
        <v>0</v>
      </c>
      <c r="J269" s="23" t="s">
        <v>85</v>
      </c>
      <c r="K269" s="24">
        <v>44939.000003240741</v>
      </c>
      <c r="L269" s="23">
        <v>1</v>
      </c>
      <c r="M269" s="23" t="s">
        <v>290</v>
      </c>
      <c r="N269" s="45">
        <f t="shared" si="58"/>
        <v>1</v>
      </c>
      <c r="O269" s="159">
        <f t="shared" si="59"/>
        <v>9823.8364263999993</v>
      </c>
      <c r="P269" s="47">
        <f t="shared" si="60"/>
        <v>3355.0189397480667</v>
      </c>
      <c r="Q269" s="25">
        <f t="shared" si="61"/>
        <v>0</v>
      </c>
      <c r="R269" s="26" t="str">
        <f t="shared" si="62"/>
        <v>COIN</v>
      </c>
      <c r="S269" s="26" t="str">
        <f t="shared" si="57"/>
        <v>LONG</v>
      </c>
      <c r="T269" s="26" t="str">
        <f t="shared" si="63"/>
        <v>COIN LONG</v>
      </c>
      <c r="U269" s="17">
        <f t="shared" si="64"/>
        <v>3355.0189397480699</v>
      </c>
      <c r="V269" s="17">
        <f t="shared" si="65"/>
        <v>0.34151820064226501</v>
      </c>
      <c r="W269" s="39">
        <f>IF($C269="","",IF(DefaultScenario,IF(OR(AND(Default_Exchange="ALL",NOT(ISERROR(MATCH($C269,$AF$6:$AF$37,0)))),$C269=Default_Exchange),IF($G269&gt;0,-LGD,0),0),IF(OR($J269="SWAP",$J269="FUTURE",$J269="CME FUTURE"),IF('Futures &amp; Perps Shifted'!$AE$31,VLOOKUP($M269,'Futures &amp; Perps Shifted'!$AE$32:$AO$76,MATCH($R269,'Futures &amp; Perps Shifted'!$AE$30:$AO$30,0),FALSE),0),0)))</f>
        <v>0</v>
      </c>
      <c r="X269" s="17">
        <f t="shared" si="66"/>
        <v>0</v>
      </c>
      <c r="Y269" s="14" t="str">
        <f t="shared" si="56"/>
        <v>HUBI</v>
      </c>
      <c r="Z269" t="str">
        <f t="shared" si="67"/>
        <v>ETHF COIN LONG</v>
      </c>
      <c r="AA269" t="b">
        <f>IF($C269="","",IF(ISERROR(VLOOKUP($Y269,Mappings!$A:$C,3,FALSE)),FALSE,VLOOKUP($Y269,Mappings!$A:$C,3,FALSE)))</f>
        <v>1</v>
      </c>
    </row>
    <row r="270" spans="1:27" customFormat="1" x14ac:dyDescent="0.25">
      <c r="A270" s="14">
        <v>268</v>
      </c>
      <c r="B270" s="71">
        <v>44939.000003240741</v>
      </c>
      <c r="C270" s="14" t="s">
        <v>39</v>
      </c>
      <c r="D270" s="23" t="s">
        <v>120</v>
      </c>
      <c r="E270" s="23" t="s">
        <v>272</v>
      </c>
      <c r="F270" s="101">
        <v>3460.93190667</v>
      </c>
      <c r="G270" s="153">
        <v>11885.1634589431</v>
      </c>
      <c r="H270" s="157">
        <v>3.43409341167265</v>
      </c>
      <c r="I270" s="23">
        <v>0</v>
      </c>
      <c r="J270" s="23" t="s">
        <v>85</v>
      </c>
      <c r="K270" s="24">
        <v>44939.000003240741</v>
      </c>
      <c r="L270" s="23">
        <v>1</v>
      </c>
      <c r="M270" s="23" t="s">
        <v>272</v>
      </c>
      <c r="N270" s="45">
        <f t="shared" si="58"/>
        <v>1</v>
      </c>
      <c r="O270" s="159">
        <f t="shared" si="59"/>
        <v>3460.93190667</v>
      </c>
      <c r="P270" s="47">
        <f t="shared" si="60"/>
        <v>11885.163458943111</v>
      </c>
      <c r="Q270" s="25">
        <f t="shared" si="61"/>
        <v>0</v>
      </c>
      <c r="R270" s="26" t="str">
        <f t="shared" si="62"/>
        <v>COIN</v>
      </c>
      <c r="S270" s="26" t="str">
        <f t="shared" si="57"/>
        <v>LONG</v>
      </c>
      <c r="T270" s="26" t="str">
        <f t="shared" si="63"/>
        <v>COIN LONG</v>
      </c>
      <c r="U270" s="17">
        <f t="shared" si="64"/>
        <v>11885.1634589431</v>
      </c>
      <c r="V270" s="17">
        <f t="shared" si="65"/>
        <v>3.43409341167265</v>
      </c>
      <c r="W270" s="39">
        <f>IF($C270="","",IF(DefaultScenario,IF(OR(AND(Default_Exchange="ALL",NOT(ISERROR(MATCH($C270,$AF$6:$AF$37,0)))),$C270=Default_Exchange),IF($G270&gt;0,-LGD,0),0),IF(OR($J270="SWAP",$J270="FUTURE",$J270="CME FUTURE"),IF('Futures &amp; Perps Shifted'!$AE$31,VLOOKUP($M270,'Futures &amp; Perps Shifted'!$AE$32:$AO$76,MATCH($R270,'Futures &amp; Perps Shifted'!$AE$30:$AO$30,0),FALSE),0),0)))</f>
        <v>0</v>
      </c>
      <c r="X270" s="17">
        <f t="shared" si="66"/>
        <v>0</v>
      </c>
      <c r="Y270" s="14" t="str">
        <f t="shared" si="56"/>
        <v>HUBI</v>
      </c>
      <c r="Z270" t="str">
        <f t="shared" si="67"/>
        <v>ETHW COIN LONG</v>
      </c>
      <c r="AA270" t="b">
        <f>IF($C270="","",IF(ISERROR(VLOOKUP($Y270,Mappings!$A:$C,3,FALSE)),FALSE,VLOOKUP($Y270,Mappings!$A:$C,3,FALSE)))</f>
        <v>1</v>
      </c>
    </row>
    <row r="271" spans="1:27" customFormat="1" x14ac:dyDescent="0.25">
      <c r="A271" s="14">
        <v>269</v>
      </c>
      <c r="B271" s="71">
        <v>44939.000003240741</v>
      </c>
      <c r="C271" s="14" t="s">
        <v>39</v>
      </c>
      <c r="D271" s="23" t="s">
        <v>120</v>
      </c>
      <c r="E271" s="23" t="s">
        <v>258</v>
      </c>
      <c r="F271" s="101">
        <v>106105.15993081999</v>
      </c>
      <c r="G271" s="153">
        <v>115077.732305167</v>
      </c>
      <c r="H271" s="157">
        <v>1.0845630163527999</v>
      </c>
      <c r="I271" s="23">
        <v>0</v>
      </c>
      <c r="J271" s="23" t="s">
        <v>85</v>
      </c>
      <c r="K271" s="24">
        <v>44939.000003240741</v>
      </c>
      <c r="L271" s="23">
        <v>1</v>
      </c>
      <c r="M271" s="23" t="s">
        <v>258</v>
      </c>
      <c r="N271" s="45">
        <f t="shared" si="58"/>
        <v>1</v>
      </c>
      <c r="O271" s="159">
        <f t="shared" si="59"/>
        <v>106105.15993081999</v>
      </c>
      <c r="P271" s="47">
        <f t="shared" si="60"/>
        <v>115077.73230516638</v>
      </c>
      <c r="Q271" s="25">
        <f t="shared" si="61"/>
        <v>0</v>
      </c>
      <c r="R271" s="26" t="str">
        <f t="shared" si="62"/>
        <v>COIN</v>
      </c>
      <c r="S271" s="26" t="str">
        <f t="shared" si="57"/>
        <v>LONG</v>
      </c>
      <c r="T271" s="26" t="str">
        <f t="shared" si="63"/>
        <v>COIN LONG</v>
      </c>
      <c r="U271" s="17">
        <f t="shared" si="64"/>
        <v>115077.732305167</v>
      </c>
      <c r="V271" s="17">
        <f t="shared" si="65"/>
        <v>1.0845630163527999</v>
      </c>
      <c r="W271" s="39">
        <f>IF($C271="","",IF(DefaultScenario,IF(OR(AND(Default_Exchange="ALL",NOT(ISERROR(MATCH($C271,$AF$6:$AF$37,0)))),$C271=Default_Exchange),IF($G271&gt;0,-LGD,0),0),IF(OR($J271="SWAP",$J271="FUTURE",$J271="CME FUTURE"),IF('Futures &amp; Perps Shifted'!$AE$31,VLOOKUP($M271,'Futures &amp; Perps Shifted'!$AE$32:$AO$76,MATCH($R271,'Futures &amp; Perps Shifted'!$AE$30:$AO$30,0),FALSE),0),0)))</f>
        <v>0</v>
      </c>
      <c r="X271" s="17">
        <f t="shared" si="66"/>
        <v>0</v>
      </c>
      <c r="Y271" s="14" t="str">
        <f t="shared" si="56"/>
        <v>HUBI</v>
      </c>
      <c r="Z271" t="str">
        <f t="shared" si="67"/>
        <v>EUROC COIN LONG</v>
      </c>
      <c r="AA271" t="b">
        <f>IF($C271="","",IF(ISERROR(VLOOKUP($Y271,Mappings!$A:$C,3,FALSE)),FALSE,VLOOKUP($Y271,Mappings!$A:$C,3,FALSE)))</f>
        <v>1</v>
      </c>
    </row>
    <row r="272" spans="1:27" customFormat="1" x14ac:dyDescent="0.25">
      <c r="A272" s="14">
        <v>270</v>
      </c>
      <c r="B272" s="71">
        <v>44939.000003240741</v>
      </c>
      <c r="C272" s="14" t="s">
        <v>39</v>
      </c>
      <c r="D272" s="23" t="s">
        <v>120</v>
      </c>
      <c r="E272" s="23" t="s">
        <v>30</v>
      </c>
      <c r="F272" s="101">
        <v>1.0244641699999999</v>
      </c>
      <c r="G272" s="153">
        <v>3.9475318864603102</v>
      </c>
      <c r="H272" s="157">
        <v>3.8532649574853499</v>
      </c>
      <c r="I272" s="23">
        <v>0</v>
      </c>
      <c r="J272" s="23" t="s">
        <v>85</v>
      </c>
      <c r="K272" s="24">
        <v>44939.000003240741</v>
      </c>
      <c r="L272" s="23">
        <v>1</v>
      </c>
      <c r="M272" s="23" t="s">
        <v>30</v>
      </c>
      <c r="N272" s="45">
        <f t="shared" si="58"/>
        <v>1</v>
      </c>
      <c r="O272" s="159">
        <f t="shared" si="59"/>
        <v>1.0244641699999999</v>
      </c>
      <c r="P272" s="47">
        <f t="shared" si="60"/>
        <v>3.9475318864603137</v>
      </c>
      <c r="Q272" s="25">
        <f t="shared" si="61"/>
        <v>0</v>
      </c>
      <c r="R272" s="26" t="str">
        <f t="shared" si="62"/>
        <v>COIN</v>
      </c>
      <c r="S272" s="26" t="str">
        <f t="shared" si="57"/>
        <v>LONG</v>
      </c>
      <c r="T272" s="26" t="str">
        <f t="shared" si="63"/>
        <v>COIN LONG</v>
      </c>
      <c r="U272" s="17">
        <f t="shared" si="64"/>
        <v>3.9475318864603102</v>
      </c>
      <c r="V272" s="17">
        <f t="shared" si="65"/>
        <v>3.8532649574853499</v>
      </c>
      <c r="W272" s="39">
        <f>IF($C272="","",IF(DefaultScenario,IF(OR(AND(Default_Exchange="ALL",NOT(ISERROR(MATCH($C272,$AF$6:$AF$37,0)))),$C272=Default_Exchange),IF($G272&gt;0,-LGD,0),0),IF(OR($J272="SWAP",$J272="FUTURE",$J272="CME FUTURE"),IF('Futures &amp; Perps Shifted'!$AE$31,VLOOKUP($M272,'Futures &amp; Perps Shifted'!$AE$32:$AO$76,MATCH($R272,'Futures &amp; Perps Shifted'!$AE$30:$AO$30,0),FALSE),0),0)))</f>
        <v>0</v>
      </c>
      <c r="X272" s="17">
        <f t="shared" si="66"/>
        <v>0</v>
      </c>
      <c r="Y272" s="14" t="str">
        <f t="shared" si="56"/>
        <v>HUBI</v>
      </c>
      <c r="Z272" t="str">
        <f t="shared" si="67"/>
        <v>FIL COIN LONG</v>
      </c>
      <c r="AA272" t="b">
        <f>IF($C272="","",IF(ISERROR(VLOOKUP($Y272,Mappings!$A:$C,3,FALSE)),FALSE,VLOOKUP($Y272,Mappings!$A:$C,3,FALSE)))</f>
        <v>1</v>
      </c>
    </row>
    <row r="273" spans="1:27" customFormat="1" x14ac:dyDescent="0.25">
      <c r="A273" s="14">
        <v>271</v>
      </c>
      <c r="B273" s="71">
        <v>44939.000003240741</v>
      </c>
      <c r="C273" s="14" t="s">
        <v>39</v>
      </c>
      <c r="D273" s="23" t="s">
        <v>120</v>
      </c>
      <c r="E273" s="23" t="s">
        <v>973</v>
      </c>
      <c r="F273" s="101">
        <v>1214222.2371169401</v>
      </c>
      <c r="G273" s="153">
        <v>53439.032654800198</v>
      </c>
      <c r="H273" s="157">
        <v>4.4010915811990299E-2</v>
      </c>
      <c r="I273" s="23">
        <v>0</v>
      </c>
      <c r="J273" s="23" t="s">
        <v>85</v>
      </c>
      <c r="K273" s="24">
        <v>44939.000003240741</v>
      </c>
      <c r="L273" s="23">
        <v>1</v>
      </c>
      <c r="M273" s="23" t="s">
        <v>973</v>
      </c>
      <c r="N273" s="45">
        <f t="shared" si="58"/>
        <v>1</v>
      </c>
      <c r="O273" s="159">
        <f t="shared" si="59"/>
        <v>1214222.2371169401</v>
      </c>
      <c r="P273" s="47">
        <f t="shared" si="60"/>
        <v>53439.032654800176</v>
      </c>
      <c r="Q273" s="25">
        <f t="shared" si="61"/>
        <v>0</v>
      </c>
      <c r="R273" s="26" t="str">
        <f t="shared" si="62"/>
        <v>COIN</v>
      </c>
      <c r="S273" s="26" t="str">
        <f t="shared" si="57"/>
        <v>LONG</v>
      </c>
      <c r="T273" s="26" t="str">
        <f t="shared" si="63"/>
        <v>COIN LONG</v>
      </c>
      <c r="U273" s="17">
        <f t="shared" si="64"/>
        <v>53439.032654800198</v>
      </c>
      <c r="V273" s="17">
        <f t="shared" si="65"/>
        <v>4.4010915811990299E-2</v>
      </c>
      <c r="W273" s="39">
        <f>IF($C273="","",IF(DefaultScenario,IF(OR(AND(Default_Exchange="ALL",NOT(ISERROR(MATCH($C273,$AF$6:$AF$37,0)))),$C273=Default_Exchange),IF($G273&gt;0,-LGD,0),0),IF(OR($J273="SWAP",$J273="FUTURE",$J273="CME FUTURE"),IF('Futures &amp; Perps Shifted'!$AE$31,VLOOKUP($M273,'Futures &amp; Perps Shifted'!$AE$32:$AO$76,MATCH($R273,'Futures &amp; Perps Shifted'!$AE$30:$AO$30,0),FALSE),0),0)))</f>
        <v>0</v>
      </c>
      <c r="X273" s="17">
        <f t="shared" si="66"/>
        <v>0</v>
      </c>
      <c r="Y273" s="14" t="str">
        <f t="shared" si="56"/>
        <v>HUBI</v>
      </c>
      <c r="Z273" t="str">
        <f t="shared" si="67"/>
        <v>FLR COIN LONG</v>
      </c>
      <c r="AA273" t="b">
        <f>IF($C273="","",IF(ISERROR(VLOOKUP($Y273,Mappings!$A:$C,3,FALSE)),FALSE,VLOOKUP($Y273,Mappings!$A:$C,3,FALSE)))</f>
        <v>1</v>
      </c>
    </row>
    <row r="274" spans="1:27" customFormat="1" x14ac:dyDescent="0.25">
      <c r="A274" s="14">
        <v>272</v>
      </c>
      <c r="B274" s="71">
        <v>44939.000003240741</v>
      </c>
      <c r="C274" s="14" t="s">
        <v>39</v>
      </c>
      <c r="D274" s="23" t="s">
        <v>120</v>
      </c>
      <c r="E274" s="23" t="s">
        <v>109</v>
      </c>
      <c r="F274" s="101">
        <v>0.68557060000000003</v>
      </c>
      <c r="G274" s="153">
        <v>0.94664344380638399</v>
      </c>
      <c r="H274" s="157">
        <v>1.3808110263281099</v>
      </c>
      <c r="I274" s="23">
        <v>0</v>
      </c>
      <c r="J274" s="23" t="s">
        <v>85</v>
      </c>
      <c r="K274" s="24">
        <v>44939.000003240741</v>
      </c>
      <c r="L274" s="23">
        <v>1</v>
      </c>
      <c r="M274" s="23" t="s">
        <v>109</v>
      </c>
      <c r="N274" s="45">
        <f t="shared" si="58"/>
        <v>1</v>
      </c>
      <c r="O274" s="159">
        <f t="shared" si="59"/>
        <v>0.68557060000000003</v>
      </c>
      <c r="P274" s="47">
        <f t="shared" si="60"/>
        <v>0.9466434438063781</v>
      </c>
      <c r="Q274" s="25">
        <f t="shared" si="61"/>
        <v>0</v>
      </c>
      <c r="R274" s="26" t="str">
        <f t="shared" si="62"/>
        <v>COIN</v>
      </c>
      <c r="S274" s="26" t="str">
        <f t="shared" si="57"/>
        <v>LONG</v>
      </c>
      <c r="T274" s="26" t="str">
        <f t="shared" si="63"/>
        <v>COIN LONG</v>
      </c>
      <c r="U274" s="17">
        <f t="shared" si="64"/>
        <v>0.94664344380638399</v>
      </c>
      <c r="V274" s="17">
        <f t="shared" si="65"/>
        <v>1.3808110263281099</v>
      </c>
      <c r="W274" s="39">
        <f>IF($C274="","",IF(DefaultScenario,IF(OR(AND(Default_Exchange="ALL",NOT(ISERROR(MATCH($C274,$AF$6:$AF$37,0)))),$C274=Default_Exchange),IF($G274&gt;0,-LGD,0),0),IF(OR($J274="SWAP",$J274="FUTURE",$J274="CME FUTURE"),IF('Futures &amp; Perps Shifted'!$AE$31,VLOOKUP($M274,'Futures &amp; Perps Shifted'!$AE$32:$AO$76,MATCH($R274,'Futures &amp; Perps Shifted'!$AE$30:$AO$30,0),FALSE),0),0)))</f>
        <v>0</v>
      </c>
      <c r="X274" s="17">
        <f t="shared" si="66"/>
        <v>0</v>
      </c>
      <c r="Y274" s="14" t="str">
        <f t="shared" si="56"/>
        <v>HUBI</v>
      </c>
      <c r="Z274" t="str">
        <f t="shared" si="67"/>
        <v>FTT COIN LONG</v>
      </c>
      <c r="AA274" t="b">
        <f>IF($C274="","",IF(ISERROR(VLOOKUP($Y274,Mappings!$A:$C,3,FALSE)),FALSE,VLOOKUP($Y274,Mappings!$A:$C,3,FALSE)))</f>
        <v>1</v>
      </c>
    </row>
    <row r="275" spans="1:27" customFormat="1" x14ac:dyDescent="0.25">
      <c r="A275" s="14">
        <v>273</v>
      </c>
      <c r="B275" s="71">
        <v>44939.000003240741</v>
      </c>
      <c r="C275" s="14" t="s">
        <v>39</v>
      </c>
      <c r="D275" s="23" t="s">
        <v>120</v>
      </c>
      <c r="E275" s="23" t="s">
        <v>134</v>
      </c>
      <c r="F275" s="101">
        <v>54.776400000000002</v>
      </c>
      <c r="G275" s="153">
        <v>123.290471367386</v>
      </c>
      <c r="H275" s="157">
        <v>2.2507954405069799</v>
      </c>
      <c r="I275" s="23">
        <v>0</v>
      </c>
      <c r="J275" s="23" t="s">
        <v>85</v>
      </c>
      <c r="K275" s="24">
        <v>44939.000003240741</v>
      </c>
      <c r="L275" s="23">
        <v>1</v>
      </c>
      <c r="M275" s="23" t="s">
        <v>134</v>
      </c>
      <c r="N275" s="45">
        <f t="shared" si="58"/>
        <v>1</v>
      </c>
      <c r="O275" s="159">
        <f t="shared" si="59"/>
        <v>54.776400000000002</v>
      </c>
      <c r="P275" s="47">
        <f t="shared" si="60"/>
        <v>123.29047136738654</v>
      </c>
      <c r="Q275" s="25">
        <f t="shared" si="61"/>
        <v>0</v>
      </c>
      <c r="R275" s="26" t="str">
        <f t="shared" si="62"/>
        <v>COIN</v>
      </c>
      <c r="S275" s="26" t="str">
        <f t="shared" si="57"/>
        <v>LONG</v>
      </c>
      <c r="T275" s="26" t="str">
        <f t="shared" si="63"/>
        <v>COIN LONG</v>
      </c>
      <c r="U275" s="17">
        <f t="shared" si="64"/>
        <v>123.290471367386</v>
      </c>
      <c r="V275" s="17">
        <f t="shared" si="65"/>
        <v>2.2507954405069799</v>
      </c>
      <c r="W275" s="39">
        <f>IF($C275="","",IF(DefaultScenario,IF(OR(AND(Default_Exchange="ALL",NOT(ISERROR(MATCH($C275,$AF$6:$AF$37,0)))),$C275=Default_Exchange),IF($G275&gt;0,-LGD,0),0),IF(OR($J275="SWAP",$J275="FUTURE",$J275="CME FUTURE"),IF('Futures &amp; Perps Shifted'!$AE$31,VLOOKUP($M275,'Futures &amp; Perps Shifted'!$AE$32:$AO$76,MATCH($R275,'Futures &amp; Perps Shifted'!$AE$30:$AO$30,0),FALSE),0),0)))</f>
        <v>0</v>
      </c>
      <c r="X275" s="17">
        <f t="shared" si="66"/>
        <v>0</v>
      </c>
      <c r="Y275" s="14" t="str">
        <f t="shared" si="56"/>
        <v>HUBI</v>
      </c>
      <c r="Z275" t="str">
        <f t="shared" si="67"/>
        <v>GAS COIN LONG</v>
      </c>
      <c r="AA275" t="b">
        <f>IF($C275="","",IF(ISERROR(VLOOKUP($Y275,Mappings!$A:$C,3,FALSE)),FALSE,VLOOKUP($Y275,Mappings!$A:$C,3,FALSE)))</f>
        <v>1</v>
      </c>
    </row>
    <row r="276" spans="1:27" customFormat="1" x14ac:dyDescent="0.25">
      <c r="A276" s="14">
        <v>274</v>
      </c>
      <c r="B276" s="71">
        <v>44939.000003240741</v>
      </c>
      <c r="C276" s="14" t="s">
        <v>39</v>
      </c>
      <c r="D276" s="23" t="s">
        <v>120</v>
      </c>
      <c r="E276" s="23" t="s">
        <v>135</v>
      </c>
      <c r="F276" s="101">
        <v>3.4060489999999999E-2</v>
      </c>
      <c r="G276" s="153">
        <v>1.62290185554767E-3</v>
      </c>
      <c r="H276" s="157">
        <v>4.7647636764699498E-2</v>
      </c>
      <c r="I276" s="23">
        <v>0</v>
      </c>
      <c r="J276" s="23" t="s">
        <v>85</v>
      </c>
      <c r="K276" s="24">
        <v>44939.000003240741</v>
      </c>
      <c r="L276" s="23">
        <v>1</v>
      </c>
      <c r="M276" s="23" t="s">
        <v>135</v>
      </c>
      <c r="N276" s="45">
        <f t="shared" si="58"/>
        <v>1</v>
      </c>
      <c r="O276" s="159">
        <f t="shared" si="59"/>
        <v>3.4060489999999999E-2</v>
      </c>
      <c r="P276" s="47">
        <f t="shared" si="60"/>
        <v>1.6229018555476795E-3</v>
      </c>
      <c r="Q276" s="25">
        <f t="shared" si="61"/>
        <v>0</v>
      </c>
      <c r="R276" s="26" t="str">
        <f t="shared" si="62"/>
        <v>COIN</v>
      </c>
      <c r="S276" s="26" t="str">
        <f t="shared" si="57"/>
        <v>LONG</v>
      </c>
      <c r="T276" s="26" t="str">
        <f t="shared" si="63"/>
        <v>COIN LONG</v>
      </c>
      <c r="U276" s="17">
        <f t="shared" si="64"/>
        <v>1.62290185554767E-3</v>
      </c>
      <c r="V276" s="17">
        <f t="shared" si="65"/>
        <v>4.7647636764699498E-2</v>
      </c>
      <c r="W276" s="39">
        <f>IF($C276="","",IF(DefaultScenario,IF(OR(AND(Default_Exchange="ALL",NOT(ISERROR(MATCH($C276,$AF$6:$AF$37,0)))),$C276=Default_Exchange),IF($G276&gt;0,-LGD,0),0),IF(OR($J276="SWAP",$J276="FUTURE",$J276="CME FUTURE"),IF('Futures &amp; Perps Shifted'!$AE$31,VLOOKUP($M276,'Futures &amp; Perps Shifted'!$AE$32:$AO$76,MATCH($R276,'Futures &amp; Perps Shifted'!$AE$30:$AO$30,0),FALSE),0),0)))</f>
        <v>0</v>
      </c>
      <c r="X276" s="17">
        <f t="shared" si="66"/>
        <v>0</v>
      </c>
      <c r="Y276" s="14" t="str">
        <f t="shared" si="56"/>
        <v>HUBI</v>
      </c>
      <c r="Z276" t="str">
        <f t="shared" si="67"/>
        <v>HBAR COIN LONG</v>
      </c>
      <c r="AA276" t="b">
        <f>IF($C276="","",IF(ISERROR(VLOOKUP($Y276,Mappings!$A:$C,3,FALSE)),FALSE,VLOOKUP($Y276,Mappings!$A:$C,3,FALSE)))</f>
        <v>1</v>
      </c>
    </row>
    <row r="277" spans="1:27" customFormat="1" x14ac:dyDescent="0.25">
      <c r="A277" s="14">
        <v>275</v>
      </c>
      <c r="B277" s="71">
        <v>44939.000003240741</v>
      </c>
      <c r="C277" s="14" t="s">
        <v>39</v>
      </c>
      <c r="D277" s="23" t="s">
        <v>120</v>
      </c>
      <c r="E277" s="23" t="s">
        <v>136</v>
      </c>
      <c r="F277" s="101">
        <v>5337.6979873099999</v>
      </c>
      <c r="G277" s="153">
        <v>1.0398940855485499</v>
      </c>
      <c r="H277" s="157">
        <v>1.9482070510936099E-4</v>
      </c>
      <c r="I277" s="23">
        <v>0</v>
      </c>
      <c r="J277" s="23" t="s">
        <v>85</v>
      </c>
      <c r="K277" s="24">
        <v>44939.000003240741</v>
      </c>
      <c r="L277" s="23">
        <v>1</v>
      </c>
      <c r="M277" s="23" t="s">
        <v>136</v>
      </c>
      <c r="N277" s="45">
        <f t="shared" si="58"/>
        <v>1</v>
      </c>
      <c r="O277" s="159">
        <f t="shared" si="59"/>
        <v>5337.6979873099999</v>
      </c>
      <c r="P277" s="47">
        <f t="shared" si="60"/>
        <v>1.0398940855485512</v>
      </c>
      <c r="Q277" s="25">
        <f t="shared" si="61"/>
        <v>0</v>
      </c>
      <c r="R277" s="26" t="str">
        <f t="shared" si="62"/>
        <v>COIN</v>
      </c>
      <c r="S277" s="26" t="str">
        <f t="shared" si="57"/>
        <v>LONG</v>
      </c>
      <c r="T277" s="26" t="str">
        <f t="shared" si="63"/>
        <v>COIN LONG</v>
      </c>
      <c r="U277" s="17">
        <f t="shared" si="64"/>
        <v>1.0398940855485499</v>
      </c>
      <c r="V277" s="17">
        <f t="shared" si="65"/>
        <v>1.9482070510936099E-4</v>
      </c>
      <c r="W277" s="39">
        <f>IF($C277="","",IF(DefaultScenario,IF(OR(AND(Default_Exchange="ALL",NOT(ISERROR(MATCH($C277,$AF$6:$AF$37,0)))),$C277=Default_Exchange),IF($G277&gt;0,-LGD,0),0),IF(OR($J277="SWAP",$J277="FUTURE",$J277="CME FUTURE"),IF('Futures &amp; Perps Shifted'!$AE$31,VLOOKUP($M277,'Futures &amp; Perps Shifted'!$AE$32:$AO$76,MATCH($R277,'Futures &amp; Perps Shifted'!$AE$30:$AO$30,0),FALSE),0),0)))</f>
        <v>0</v>
      </c>
      <c r="X277" s="17">
        <f t="shared" si="66"/>
        <v>0</v>
      </c>
      <c r="Y277" s="14" t="str">
        <f t="shared" si="56"/>
        <v>HUBI</v>
      </c>
      <c r="Z277" t="str">
        <f t="shared" si="67"/>
        <v>HPT COIN LONG</v>
      </c>
      <c r="AA277" t="b">
        <f>IF($C277="","",IF(ISERROR(VLOOKUP($Y277,Mappings!$A:$C,3,FALSE)),FALSE,VLOOKUP($Y277,Mappings!$A:$C,3,FALSE)))</f>
        <v>1</v>
      </c>
    </row>
    <row r="278" spans="1:27" customFormat="1" x14ac:dyDescent="0.25">
      <c r="A278" s="14">
        <v>276</v>
      </c>
      <c r="B278" s="71">
        <v>44939.000003240741</v>
      </c>
      <c r="C278" s="14" t="s">
        <v>39</v>
      </c>
      <c r="D278" s="23" t="s">
        <v>120</v>
      </c>
      <c r="E278" s="23" t="s">
        <v>137</v>
      </c>
      <c r="F278" s="101">
        <v>1594.9850023900001</v>
      </c>
      <c r="G278" s="153">
        <v>8106.9204874240804</v>
      </c>
      <c r="H278" s="157">
        <v>5.0827565621471598</v>
      </c>
      <c r="I278" s="23">
        <v>0</v>
      </c>
      <c r="J278" s="23" t="s">
        <v>85</v>
      </c>
      <c r="K278" s="24">
        <v>44939.000003240741</v>
      </c>
      <c r="L278" s="23">
        <v>1</v>
      </c>
      <c r="M278" s="23" t="s">
        <v>137</v>
      </c>
      <c r="N278" s="45">
        <f t="shared" si="58"/>
        <v>1</v>
      </c>
      <c r="O278" s="159">
        <f t="shared" si="59"/>
        <v>1594.9850023900001</v>
      </c>
      <c r="P278" s="47">
        <f t="shared" si="60"/>
        <v>8106.9204874240759</v>
      </c>
      <c r="Q278" s="25">
        <f t="shared" si="61"/>
        <v>0</v>
      </c>
      <c r="R278" s="26" t="str">
        <f t="shared" si="62"/>
        <v>COIN</v>
      </c>
      <c r="S278" s="26" t="str">
        <f t="shared" si="57"/>
        <v>LONG</v>
      </c>
      <c r="T278" s="26" t="str">
        <f t="shared" si="63"/>
        <v>COIN LONG</v>
      </c>
      <c r="U278" s="17">
        <f t="shared" si="64"/>
        <v>8106.9204874240804</v>
      </c>
      <c r="V278" s="17">
        <f t="shared" si="65"/>
        <v>5.0827565621471598</v>
      </c>
      <c r="W278" s="39">
        <f>IF($C278="","",IF(DefaultScenario,IF(OR(AND(Default_Exchange="ALL",NOT(ISERROR(MATCH($C278,$AF$6:$AF$37,0)))),$C278=Default_Exchange),IF($G278&gt;0,-LGD,0),0),IF(OR($J278="SWAP",$J278="FUTURE",$J278="CME FUTURE"),IF('Futures &amp; Perps Shifted'!$AE$31,VLOOKUP($M278,'Futures &amp; Perps Shifted'!$AE$32:$AO$76,MATCH($R278,'Futures &amp; Perps Shifted'!$AE$30:$AO$30,0),FALSE),0),0)))</f>
        <v>0</v>
      </c>
      <c r="X278" s="17">
        <f t="shared" si="66"/>
        <v>0</v>
      </c>
      <c r="Y278" s="14" t="str">
        <f t="shared" si="56"/>
        <v>HUBI</v>
      </c>
      <c r="Z278" t="str">
        <f t="shared" si="67"/>
        <v>HT COIN LONG</v>
      </c>
      <c r="AA278" t="b">
        <f>IF($C278="","",IF(ISERROR(VLOOKUP($Y278,Mappings!$A:$C,3,FALSE)),FALSE,VLOOKUP($Y278,Mappings!$A:$C,3,FALSE)))</f>
        <v>1</v>
      </c>
    </row>
    <row r="279" spans="1:27" customFormat="1" x14ac:dyDescent="0.25">
      <c r="A279" s="14">
        <v>277</v>
      </c>
      <c r="B279" s="71">
        <v>44939.000003240741</v>
      </c>
      <c r="C279" s="14" t="s">
        <v>39</v>
      </c>
      <c r="D279" s="23" t="s">
        <v>120</v>
      </c>
      <c r="E279" s="23" t="s">
        <v>139</v>
      </c>
      <c r="F279" s="101">
        <v>14.785856219999999</v>
      </c>
      <c r="G279" s="153">
        <v>0.121917236886426</v>
      </c>
      <c r="H279" s="157">
        <v>8.2455310718845091E-3</v>
      </c>
      <c r="I279" s="23">
        <v>0</v>
      </c>
      <c r="J279" s="23" t="s">
        <v>85</v>
      </c>
      <c r="K279" s="24">
        <v>44939.000003240741</v>
      </c>
      <c r="L279" s="23">
        <v>1</v>
      </c>
      <c r="M279" s="23" t="s">
        <v>139</v>
      </c>
      <c r="N279" s="45">
        <f t="shared" si="58"/>
        <v>1</v>
      </c>
      <c r="O279" s="159">
        <f t="shared" si="59"/>
        <v>14.785856219999999</v>
      </c>
      <c r="P279" s="47">
        <f t="shared" si="60"/>
        <v>0.12191723688642683</v>
      </c>
      <c r="Q279" s="25">
        <f t="shared" si="61"/>
        <v>0</v>
      </c>
      <c r="R279" s="26" t="str">
        <f t="shared" si="62"/>
        <v>COIN</v>
      </c>
      <c r="S279" s="26" t="str">
        <f t="shared" si="57"/>
        <v>LONG</v>
      </c>
      <c r="T279" s="26" t="str">
        <f t="shared" si="63"/>
        <v>COIN LONG</v>
      </c>
      <c r="U279" s="17">
        <f t="shared" si="64"/>
        <v>0.121917236886426</v>
      </c>
      <c r="V279" s="17">
        <f t="shared" si="65"/>
        <v>8.2455310718845091E-3</v>
      </c>
      <c r="W279" s="39">
        <f>IF($C279="","",IF(DefaultScenario,IF(OR(AND(Default_Exchange="ALL",NOT(ISERROR(MATCH($C279,$AF$6:$AF$37,0)))),$C279=Default_Exchange),IF($G279&gt;0,-LGD,0),0),IF(OR($J279="SWAP",$J279="FUTURE",$J279="CME FUTURE"),IF('Futures &amp; Perps Shifted'!$AE$31,VLOOKUP($M279,'Futures &amp; Perps Shifted'!$AE$32:$AO$76,MATCH($R279,'Futures &amp; Perps Shifted'!$AE$30:$AO$30,0),FALSE),0),0)))</f>
        <v>0</v>
      </c>
      <c r="X279" s="17">
        <f t="shared" si="66"/>
        <v>0</v>
      </c>
      <c r="Y279" s="14" t="str">
        <f t="shared" si="56"/>
        <v>HUBI</v>
      </c>
      <c r="Z279" t="str">
        <f t="shared" si="67"/>
        <v>IOST COIN LONG</v>
      </c>
      <c r="AA279" t="b">
        <f>IF($C279="","",IF(ISERROR(VLOOKUP($Y279,Mappings!$A:$C,3,FALSE)),FALSE,VLOOKUP($Y279,Mappings!$A:$C,3,FALSE)))</f>
        <v>1</v>
      </c>
    </row>
    <row r="280" spans="1:27" customFormat="1" x14ac:dyDescent="0.25">
      <c r="A280" s="14">
        <v>278</v>
      </c>
      <c r="B280" s="71">
        <v>44939.000003240741</v>
      </c>
      <c r="C280" s="14" t="s">
        <v>39</v>
      </c>
      <c r="D280" s="23" t="s">
        <v>120</v>
      </c>
      <c r="E280" s="23" t="s">
        <v>140</v>
      </c>
      <c r="F280" s="101">
        <v>0.81765067999999996</v>
      </c>
      <c r="G280" s="153">
        <v>1.1689388986948599E-2</v>
      </c>
      <c r="H280" s="157">
        <v>1.4296311704833E-2</v>
      </c>
      <c r="I280" s="23">
        <v>0</v>
      </c>
      <c r="J280" s="23" t="s">
        <v>85</v>
      </c>
      <c r="K280" s="24">
        <v>44939.000003240741</v>
      </c>
      <c r="L280" s="23">
        <v>1</v>
      </c>
      <c r="M280" s="23" t="s">
        <v>140</v>
      </c>
      <c r="N280" s="45">
        <f t="shared" si="58"/>
        <v>1</v>
      </c>
      <c r="O280" s="159">
        <f t="shared" si="59"/>
        <v>0.81765067999999996</v>
      </c>
      <c r="P280" s="47">
        <f t="shared" si="60"/>
        <v>1.1689388986948662E-2</v>
      </c>
      <c r="Q280" s="25">
        <f t="shared" si="61"/>
        <v>0</v>
      </c>
      <c r="R280" s="26" t="str">
        <f t="shared" si="62"/>
        <v>COIN</v>
      </c>
      <c r="S280" s="26" t="str">
        <f t="shared" si="57"/>
        <v>LONG</v>
      </c>
      <c r="T280" s="26" t="str">
        <f t="shared" si="63"/>
        <v>COIN LONG</v>
      </c>
      <c r="U280" s="17">
        <f t="shared" si="64"/>
        <v>1.1689388986948599E-2</v>
      </c>
      <c r="V280" s="17">
        <f t="shared" si="65"/>
        <v>1.4296311704833E-2</v>
      </c>
      <c r="W280" s="39">
        <f>IF($C280="","",IF(DefaultScenario,IF(OR(AND(Default_Exchange="ALL",NOT(ISERROR(MATCH($C280,$AF$6:$AF$37,0)))),$C280=Default_Exchange),IF($G280&gt;0,-LGD,0),0),IF(OR($J280="SWAP",$J280="FUTURE",$J280="CME FUTURE"),IF('Futures &amp; Perps Shifted'!$AE$31,VLOOKUP($M280,'Futures &amp; Perps Shifted'!$AE$32:$AO$76,MATCH($R280,'Futures &amp; Perps Shifted'!$AE$30:$AO$30,0),FALSE),0),0)))</f>
        <v>0</v>
      </c>
      <c r="X280" s="17">
        <f t="shared" si="66"/>
        <v>0</v>
      </c>
      <c r="Y280" s="14" t="str">
        <f t="shared" si="56"/>
        <v>HUBI</v>
      </c>
      <c r="Z280" t="str">
        <f t="shared" si="67"/>
        <v>IRIS COIN LONG</v>
      </c>
      <c r="AA280" t="b">
        <f>IF($C280="","",IF(ISERROR(VLOOKUP($Y280,Mappings!$A:$C,3,FALSE)),FALSE,VLOOKUP($Y280,Mappings!$A:$C,3,FALSE)))</f>
        <v>1</v>
      </c>
    </row>
    <row r="281" spans="1:27" customFormat="1" x14ac:dyDescent="0.25">
      <c r="A281" s="14">
        <v>279</v>
      </c>
      <c r="B281" s="71">
        <v>44939.000003240741</v>
      </c>
      <c r="C281" s="14" t="s">
        <v>39</v>
      </c>
      <c r="D281" s="23" t="s">
        <v>120</v>
      </c>
      <c r="E281" s="23" t="s">
        <v>141</v>
      </c>
      <c r="F281" s="101">
        <v>9.1121815000000002</v>
      </c>
      <c r="G281" s="153">
        <v>0.20061593833102701</v>
      </c>
      <c r="H281" s="157">
        <v>2.20162359947535E-2</v>
      </c>
      <c r="I281" s="23">
        <v>0</v>
      </c>
      <c r="J281" s="23" t="s">
        <v>85</v>
      </c>
      <c r="K281" s="24">
        <v>44939.000003240741</v>
      </c>
      <c r="L281" s="23">
        <v>1</v>
      </c>
      <c r="M281" s="23" t="s">
        <v>141</v>
      </c>
      <c r="N281" s="45">
        <f t="shared" si="58"/>
        <v>1</v>
      </c>
      <c r="O281" s="159">
        <f t="shared" si="59"/>
        <v>9.1121815000000002</v>
      </c>
      <c r="P281" s="47">
        <f t="shared" si="60"/>
        <v>0.20061593833102695</v>
      </c>
      <c r="Q281" s="25">
        <f t="shared" si="61"/>
        <v>0</v>
      </c>
      <c r="R281" s="26" t="str">
        <f t="shared" si="62"/>
        <v>COIN</v>
      </c>
      <c r="S281" s="26" t="str">
        <f t="shared" si="57"/>
        <v>LONG</v>
      </c>
      <c r="T281" s="26" t="str">
        <f t="shared" si="63"/>
        <v>COIN LONG</v>
      </c>
      <c r="U281" s="17">
        <f t="shared" si="64"/>
        <v>0.20061593833102701</v>
      </c>
      <c r="V281" s="17">
        <f t="shared" si="65"/>
        <v>2.20162359947535E-2</v>
      </c>
      <c r="W281" s="39">
        <f>IF($C281="","",IF(DefaultScenario,IF(OR(AND(Default_Exchange="ALL",NOT(ISERROR(MATCH($C281,$AF$6:$AF$37,0)))),$C281=Default_Exchange),IF($G281&gt;0,-LGD,0),0),IF(OR($J281="SWAP",$J281="FUTURE",$J281="CME FUTURE"),IF('Futures &amp; Perps Shifted'!$AE$31,VLOOKUP($M281,'Futures &amp; Perps Shifted'!$AE$32:$AO$76,MATCH($R281,'Futures &amp; Perps Shifted'!$AE$30:$AO$30,0),FALSE),0),0)))</f>
        <v>0</v>
      </c>
      <c r="X281" s="17">
        <f t="shared" si="66"/>
        <v>0</v>
      </c>
      <c r="Y281" s="14" t="str">
        <f t="shared" si="56"/>
        <v>HUBI</v>
      </c>
      <c r="Z281" t="str">
        <f t="shared" si="67"/>
        <v>JST COIN LONG</v>
      </c>
      <c r="AA281" t="b">
        <f>IF($C281="","",IF(ISERROR(VLOOKUP($Y281,Mappings!$A:$C,3,FALSE)),FALSE,VLOOKUP($Y281,Mappings!$A:$C,3,FALSE)))</f>
        <v>1</v>
      </c>
    </row>
    <row r="282" spans="1:27" customFormat="1" x14ac:dyDescent="0.25">
      <c r="A282" s="14">
        <v>280</v>
      </c>
      <c r="B282" s="71">
        <v>44939.000003240741</v>
      </c>
      <c r="C282" s="14" t="s">
        <v>39</v>
      </c>
      <c r="D282" s="23" t="s">
        <v>120</v>
      </c>
      <c r="E282" s="23" t="s">
        <v>43</v>
      </c>
      <c r="F282" s="101">
        <v>1.4966E-4</v>
      </c>
      <c r="G282" s="153">
        <v>4.2395197801870397E-3</v>
      </c>
      <c r="H282" s="157">
        <v>28.327674597000101</v>
      </c>
      <c r="I282" s="23">
        <v>0</v>
      </c>
      <c r="J282" s="23" t="s">
        <v>85</v>
      </c>
      <c r="K282" s="24">
        <v>44939.000003240741</v>
      </c>
      <c r="L282" s="23">
        <v>1</v>
      </c>
      <c r="M282" s="23" t="s">
        <v>43</v>
      </c>
      <c r="N282" s="45">
        <f t="shared" si="58"/>
        <v>1</v>
      </c>
      <c r="O282" s="159">
        <f t="shared" si="59"/>
        <v>1.4966E-4</v>
      </c>
      <c r="P282" s="47">
        <f t="shared" si="60"/>
        <v>4.2395197801870354E-3</v>
      </c>
      <c r="Q282" s="25">
        <f t="shared" si="61"/>
        <v>0</v>
      </c>
      <c r="R282" s="26" t="str">
        <f t="shared" si="62"/>
        <v>COIN</v>
      </c>
      <c r="S282" s="26" t="str">
        <f t="shared" si="57"/>
        <v>LONG</v>
      </c>
      <c r="T282" s="26" t="str">
        <f t="shared" si="63"/>
        <v>COIN LONG</v>
      </c>
      <c r="U282" s="17">
        <f t="shared" si="64"/>
        <v>4.2395197801870397E-3</v>
      </c>
      <c r="V282" s="17">
        <f t="shared" si="65"/>
        <v>28.327674597000101</v>
      </c>
      <c r="W282" s="39">
        <f>IF($C282="","",IF(DefaultScenario,IF(OR(AND(Default_Exchange="ALL",NOT(ISERROR(MATCH($C282,$AF$6:$AF$37,0)))),$C282=Default_Exchange),IF($G282&gt;0,-LGD,0),0),IF(OR($J282="SWAP",$J282="FUTURE",$J282="CME FUTURE"),IF('Futures &amp; Perps Shifted'!$AE$31,VLOOKUP($M282,'Futures &amp; Perps Shifted'!$AE$32:$AO$76,MATCH($R282,'Futures &amp; Perps Shifted'!$AE$30:$AO$30,0),FALSE),0),0)))</f>
        <v>0</v>
      </c>
      <c r="X282" s="17">
        <f t="shared" si="66"/>
        <v>0</v>
      </c>
      <c r="Y282" s="14" t="str">
        <f t="shared" si="56"/>
        <v>HUBI</v>
      </c>
      <c r="Z282" t="str">
        <f t="shared" si="67"/>
        <v>KSM COIN LONG</v>
      </c>
      <c r="AA282" t="b">
        <f>IF($C282="","",IF(ISERROR(VLOOKUP($Y282,Mappings!$A:$C,3,FALSE)),FALSE,VLOOKUP($Y282,Mappings!$A:$C,3,FALSE)))</f>
        <v>1</v>
      </c>
    </row>
    <row r="283" spans="1:27" customFormat="1" x14ac:dyDescent="0.25">
      <c r="A283" s="14">
        <v>281</v>
      </c>
      <c r="B283" s="71">
        <v>44939.000003240741</v>
      </c>
      <c r="C283" s="14" t="s">
        <v>39</v>
      </c>
      <c r="D283" s="23" t="s">
        <v>120</v>
      </c>
      <c r="E283" s="23" t="s">
        <v>142</v>
      </c>
      <c r="F283" s="101">
        <v>0.24234807999999999</v>
      </c>
      <c r="G283" s="153">
        <v>3.0956421739687298E-4</v>
      </c>
      <c r="H283" s="157">
        <v>1.2773537029749601E-3</v>
      </c>
      <c r="I283" s="23">
        <v>0</v>
      </c>
      <c r="J283" s="23" t="s">
        <v>85</v>
      </c>
      <c r="K283" s="24">
        <v>44939.000003240741</v>
      </c>
      <c r="L283" s="23">
        <v>1</v>
      </c>
      <c r="M283" s="23" t="s">
        <v>142</v>
      </c>
      <c r="N283" s="45">
        <f t="shared" si="58"/>
        <v>1</v>
      </c>
      <c r="O283" s="159">
        <f t="shared" si="59"/>
        <v>0.24234807999999999</v>
      </c>
      <c r="P283" s="47">
        <f t="shared" si="60"/>
        <v>3.0956421739687185E-4</v>
      </c>
      <c r="Q283" s="25">
        <f t="shared" si="61"/>
        <v>0</v>
      </c>
      <c r="R283" s="26" t="str">
        <f t="shared" si="62"/>
        <v>COIN</v>
      </c>
      <c r="S283" s="26" t="str">
        <f t="shared" si="57"/>
        <v>LONG</v>
      </c>
      <c r="T283" s="26" t="str">
        <f t="shared" si="63"/>
        <v>COIN LONG</v>
      </c>
      <c r="U283" s="17">
        <f t="shared" si="64"/>
        <v>3.0956421739687298E-4</v>
      </c>
      <c r="V283" s="17">
        <f t="shared" si="65"/>
        <v>1.2773537029749601E-3</v>
      </c>
      <c r="W283" s="39">
        <f>IF($C283="","",IF(DefaultScenario,IF(OR(AND(Default_Exchange="ALL",NOT(ISERROR(MATCH($C283,$AF$6:$AF$37,0)))),$C283=Default_Exchange),IF($G283&gt;0,-LGD,0),0),IF(OR($J283="SWAP",$J283="FUTURE",$J283="CME FUTURE"),IF('Futures &amp; Perps Shifted'!$AE$31,VLOOKUP($M283,'Futures &amp; Perps Shifted'!$AE$32:$AO$76,MATCH($R283,'Futures &amp; Perps Shifted'!$AE$30:$AO$30,0),FALSE),0),0)))</f>
        <v>0</v>
      </c>
      <c r="X283" s="17">
        <f t="shared" si="66"/>
        <v>0</v>
      </c>
      <c r="Y283" s="14" t="str">
        <f t="shared" si="56"/>
        <v>HUBI</v>
      </c>
      <c r="Z283" t="str">
        <f t="shared" si="67"/>
        <v>LAMB COIN LONG</v>
      </c>
      <c r="AA283" t="b">
        <f>IF($C283="","",IF(ISERROR(VLOOKUP($Y283,Mappings!$A:$C,3,FALSE)),FALSE,VLOOKUP($Y283,Mappings!$A:$C,3,FALSE)))</f>
        <v>1</v>
      </c>
    </row>
    <row r="284" spans="1:27" customFormat="1" x14ac:dyDescent="0.25">
      <c r="A284" s="14">
        <v>282</v>
      </c>
      <c r="B284" s="71">
        <v>44939.000003240741</v>
      </c>
      <c r="C284" s="14" t="s">
        <v>39</v>
      </c>
      <c r="D284" s="23" t="s">
        <v>120</v>
      </c>
      <c r="E284" s="23" t="s">
        <v>143</v>
      </c>
      <c r="F284" s="101">
        <v>1E-8</v>
      </c>
      <c r="G284" s="153">
        <v>0</v>
      </c>
      <c r="H284" s="157">
        <v>0</v>
      </c>
      <c r="I284" s="23">
        <v>0</v>
      </c>
      <c r="J284" s="23" t="s">
        <v>85</v>
      </c>
      <c r="K284" s="24">
        <v>44939.000003240741</v>
      </c>
      <c r="L284" s="23">
        <v>1</v>
      </c>
      <c r="M284" s="23" t="s">
        <v>143</v>
      </c>
      <c r="N284" s="45">
        <f t="shared" si="58"/>
        <v>1</v>
      </c>
      <c r="O284" s="159">
        <f t="shared" si="59"/>
        <v>1E-8</v>
      </c>
      <c r="P284" s="47">
        <f t="shared" si="60"/>
        <v>0</v>
      </c>
      <c r="Q284" s="25">
        <f t="shared" si="61"/>
        <v>0</v>
      </c>
      <c r="R284" s="26" t="str">
        <f t="shared" si="62"/>
        <v>COIN</v>
      </c>
      <c r="S284" s="26" t="str">
        <f t="shared" si="57"/>
        <v>SHORT</v>
      </c>
      <c r="T284" s="26" t="str">
        <f t="shared" si="63"/>
        <v>COIN SHORT</v>
      </c>
      <c r="U284" s="17">
        <f t="shared" si="64"/>
        <v>0</v>
      </c>
      <c r="V284" s="17">
        <f t="shared" si="65"/>
        <v>0</v>
      </c>
      <c r="W284" s="39">
        <f>IF($C284="","",IF(DefaultScenario,IF(OR(AND(Default_Exchange="ALL",NOT(ISERROR(MATCH($C284,$AF$6:$AF$37,0)))),$C284=Default_Exchange),IF($G284&gt;0,-LGD,0),0),IF(OR($J284="SWAP",$J284="FUTURE",$J284="CME FUTURE"),IF('Futures &amp; Perps Shifted'!$AE$31,VLOOKUP($M284,'Futures &amp; Perps Shifted'!$AE$32:$AO$76,MATCH($R284,'Futures &amp; Perps Shifted'!$AE$30:$AO$30,0),FALSE),0),0)))</f>
        <v>0</v>
      </c>
      <c r="X284" s="17">
        <f t="shared" si="66"/>
        <v>0</v>
      </c>
      <c r="Y284" s="14" t="str">
        <f t="shared" si="56"/>
        <v>HUBI</v>
      </c>
      <c r="Z284" t="str">
        <f t="shared" si="67"/>
        <v>LEND COIN SHORT</v>
      </c>
      <c r="AA284" t="b">
        <f>IF($C284="","",IF(ISERROR(VLOOKUP($Y284,Mappings!$A:$C,3,FALSE)),FALSE,VLOOKUP($Y284,Mappings!$A:$C,3,FALSE)))</f>
        <v>1</v>
      </c>
    </row>
    <row r="285" spans="1:27" customFormat="1" x14ac:dyDescent="0.25">
      <c r="A285" s="14">
        <v>283</v>
      </c>
      <c r="B285" s="71">
        <v>44939.000003240741</v>
      </c>
      <c r="C285" s="14" t="s">
        <v>39</v>
      </c>
      <c r="D285" s="23" t="s">
        <v>120</v>
      </c>
      <c r="E285" s="23" t="s">
        <v>27</v>
      </c>
      <c r="F285" s="101">
        <v>538.90453062999995</v>
      </c>
      <c r="G285" s="153">
        <v>3438.9284850609401</v>
      </c>
      <c r="H285" s="157">
        <v>6.38133155243787</v>
      </c>
      <c r="I285" s="23">
        <v>0</v>
      </c>
      <c r="J285" s="23" t="s">
        <v>85</v>
      </c>
      <c r="K285" s="24">
        <v>44939.000003240741</v>
      </c>
      <c r="L285" s="23">
        <v>1</v>
      </c>
      <c r="M285" s="23" t="s">
        <v>27</v>
      </c>
      <c r="N285" s="45">
        <f t="shared" si="58"/>
        <v>1</v>
      </c>
      <c r="O285" s="159">
        <f t="shared" si="59"/>
        <v>538.90453062999995</v>
      </c>
      <c r="P285" s="47">
        <f t="shared" si="60"/>
        <v>3438.9284850609392</v>
      </c>
      <c r="Q285" s="25">
        <f t="shared" si="61"/>
        <v>0</v>
      </c>
      <c r="R285" s="26" t="str">
        <f t="shared" si="62"/>
        <v>COIN</v>
      </c>
      <c r="S285" s="26" t="str">
        <f t="shared" si="57"/>
        <v>LONG</v>
      </c>
      <c r="T285" s="26" t="str">
        <f t="shared" si="63"/>
        <v>COIN LONG</v>
      </c>
      <c r="U285" s="17">
        <f t="shared" si="64"/>
        <v>3438.9284850609401</v>
      </c>
      <c r="V285" s="17">
        <f t="shared" si="65"/>
        <v>6.38133155243787</v>
      </c>
      <c r="W285" s="39">
        <f>IF($C285="","",IF(DefaultScenario,IF(OR(AND(Default_Exchange="ALL",NOT(ISERROR(MATCH($C285,$AF$6:$AF$37,0)))),$C285=Default_Exchange),IF($G285&gt;0,-LGD,0),0),IF(OR($J285="SWAP",$J285="FUTURE",$J285="CME FUTURE"),IF('Futures &amp; Perps Shifted'!$AE$31,VLOOKUP($M285,'Futures &amp; Perps Shifted'!$AE$32:$AO$76,MATCH($R285,'Futures &amp; Perps Shifted'!$AE$30:$AO$30,0),FALSE),0),0)))</f>
        <v>0</v>
      </c>
      <c r="X285" s="17">
        <f t="shared" si="66"/>
        <v>0</v>
      </c>
      <c r="Y285" s="14" t="str">
        <f t="shared" si="56"/>
        <v>HUBI</v>
      </c>
      <c r="Z285" t="str">
        <f t="shared" si="67"/>
        <v>LINK COIN LONG</v>
      </c>
      <c r="AA285" t="b">
        <f>IF($C285="","",IF(ISERROR(VLOOKUP($Y285,Mappings!$A:$C,3,FALSE)),FALSE,VLOOKUP($Y285,Mappings!$A:$C,3,FALSE)))</f>
        <v>1</v>
      </c>
    </row>
    <row r="286" spans="1:27" customFormat="1" x14ac:dyDescent="0.25">
      <c r="A286" s="14">
        <v>284</v>
      </c>
      <c r="B286" s="71">
        <v>44939.000003240741</v>
      </c>
      <c r="C286" s="14" t="s">
        <v>39</v>
      </c>
      <c r="D286" s="23" t="s">
        <v>120</v>
      </c>
      <c r="E286" s="23" t="s">
        <v>144</v>
      </c>
      <c r="F286" s="101">
        <v>4.3289484800000002</v>
      </c>
      <c r="G286" s="153">
        <v>1.2336208176422599E-6</v>
      </c>
      <c r="H286" s="157">
        <v>2.8497008530862999E-7</v>
      </c>
      <c r="I286" s="23">
        <v>0</v>
      </c>
      <c r="J286" s="23" t="s">
        <v>85</v>
      </c>
      <c r="K286" s="24">
        <v>44939.000003240741</v>
      </c>
      <c r="L286" s="23">
        <v>1</v>
      </c>
      <c r="M286" s="23" t="s">
        <v>144</v>
      </c>
      <c r="N286" s="45">
        <f t="shared" si="58"/>
        <v>1</v>
      </c>
      <c r="O286" s="159">
        <f t="shared" si="59"/>
        <v>4.3289484800000002</v>
      </c>
      <c r="P286" s="47">
        <f t="shared" si="60"/>
        <v>1.2336208176422642E-6</v>
      </c>
      <c r="Q286" s="25">
        <f t="shared" si="61"/>
        <v>0</v>
      </c>
      <c r="R286" s="26" t="str">
        <f t="shared" si="62"/>
        <v>COIN</v>
      </c>
      <c r="S286" s="26" t="str">
        <f t="shared" si="57"/>
        <v>LONG</v>
      </c>
      <c r="T286" s="26" t="str">
        <f t="shared" si="63"/>
        <v>COIN LONG</v>
      </c>
      <c r="U286" s="17">
        <f t="shared" si="64"/>
        <v>1.2336208176422599E-6</v>
      </c>
      <c r="V286" s="17">
        <f t="shared" si="65"/>
        <v>2.8497008530862999E-7</v>
      </c>
      <c r="W286" s="39">
        <f>IF($C286="","",IF(DefaultScenario,IF(OR(AND(Default_Exchange="ALL",NOT(ISERROR(MATCH($C286,$AF$6:$AF$37,0)))),$C286=Default_Exchange),IF($G286&gt;0,-LGD,0),0),IF(OR($J286="SWAP",$J286="FUTURE",$J286="CME FUTURE"),IF('Futures &amp; Perps Shifted'!$AE$31,VLOOKUP($M286,'Futures &amp; Perps Shifted'!$AE$32:$AO$76,MATCH($R286,'Futures &amp; Perps Shifted'!$AE$30:$AO$30,0),FALSE),0),0)))</f>
        <v>0</v>
      </c>
      <c r="X286" s="17">
        <f t="shared" si="66"/>
        <v>0</v>
      </c>
      <c r="Y286" s="14" t="str">
        <f t="shared" si="56"/>
        <v>HUBI</v>
      </c>
      <c r="Z286" t="str">
        <f t="shared" si="67"/>
        <v>LOL COIN LONG</v>
      </c>
      <c r="AA286" t="b">
        <f>IF($C286="","",IF(ISERROR(VLOOKUP($Y286,Mappings!$A:$C,3,FALSE)),FALSE,VLOOKUP($Y286,Mappings!$A:$C,3,FALSE)))</f>
        <v>1</v>
      </c>
    </row>
    <row r="287" spans="1:27" customFormat="1" x14ac:dyDescent="0.25">
      <c r="A287" s="14">
        <v>285</v>
      </c>
      <c r="B287" s="71">
        <v>44939.000003240741</v>
      </c>
      <c r="C287" s="14" t="s">
        <v>39</v>
      </c>
      <c r="D287" s="23" t="s">
        <v>120</v>
      </c>
      <c r="E287" s="23" t="s">
        <v>24</v>
      </c>
      <c r="F287" s="101">
        <v>7241.7835004299995</v>
      </c>
      <c r="G287" s="153">
        <v>622534.33846366405</v>
      </c>
      <c r="H287" s="157">
        <v>85.964229450756093</v>
      </c>
      <c r="I287" s="23">
        <v>0</v>
      </c>
      <c r="J287" s="23" t="s">
        <v>85</v>
      </c>
      <c r="K287" s="24">
        <v>44939.000003240741</v>
      </c>
      <c r="L287" s="23">
        <v>1</v>
      </c>
      <c r="M287" s="23" t="s">
        <v>24</v>
      </c>
      <c r="N287" s="45">
        <f t="shared" si="58"/>
        <v>1</v>
      </c>
      <c r="O287" s="159">
        <f t="shared" si="59"/>
        <v>7241.7835004299995</v>
      </c>
      <c r="P287" s="47">
        <f t="shared" si="60"/>
        <v>622534.33846366417</v>
      </c>
      <c r="Q287" s="25">
        <f t="shared" si="61"/>
        <v>0</v>
      </c>
      <c r="R287" s="26" t="str">
        <f t="shared" si="62"/>
        <v>COIN</v>
      </c>
      <c r="S287" s="26" t="str">
        <f t="shared" si="57"/>
        <v>LONG</v>
      </c>
      <c r="T287" s="26" t="str">
        <f t="shared" si="63"/>
        <v>COIN LONG</v>
      </c>
      <c r="U287" s="17">
        <f t="shared" si="64"/>
        <v>622534.33846366405</v>
      </c>
      <c r="V287" s="17">
        <f t="shared" si="65"/>
        <v>85.964229450756093</v>
      </c>
      <c r="W287" s="39">
        <f>IF($C287="","",IF(DefaultScenario,IF(OR(AND(Default_Exchange="ALL",NOT(ISERROR(MATCH($C287,$AF$6:$AF$37,0)))),$C287=Default_Exchange),IF($G287&gt;0,-LGD,0),0),IF(OR($J287="SWAP",$J287="FUTURE",$J287="CME FUTURE"),IF('Futures &amp; Perps Shifted'!$AE$31,VLOOKUP($M287,'Futures &amp; Perps Shifted'!$AE$32:$AO$76,MATCH($R287,'Futures &amp; Perps Shifted'!$AE$30:$AO$30,0),FALSE),0),0)))</f>
        <v>0</v>
      </c>
      <c r="X287" s="17">
        <f t="shared" si="66"/>
        <v>0</v>
      </c>
      <c r="Y287" s="14" t="str">
        <f t="shared" si="56"/>
        <v>HUBI</v>
      </c>
      <c r="Z287" t="str">
        <f t="shared" si="67"/>
        <v>LTC COIN LONG</v>
      </c>
      <c r="AA287" t="b">
        <f>IF($C287="","",IF(ISERROR(VLOOKUP($Y287,Mappings!$A:$C,3,FALSE)),FALSE,VLOOKUP($Y287,Mappings!$A:$C,3,FALSE)))</f>
        <v>1</v>
      </c>
    </row>
    <row r="288" spans="1:27" customFormat="1" x14ac:dyDescent="0.25">
      <c r="A288" s="14">
        <v>286</v>
      </c>
      <c r="B288" s="71">
        <v>44939.000003240741</v>
      </c>
      <c r="C288" s="14" t="s">
        <v>39</v>
      </c>
      <c r="D288" s="23" t="s">
        <v>120</v>
      </c>
      <c r="E288" s="23" t="s">
        <v>145</v>
      </c>
      <c r="F288" s="101">
        <v>0.66495972999999997</v>
      </c>
      <c r="G288" s="153">
        <v>1.7157540226222701E-4</v>
      </c>
      <c r="H288" s="157">
        <v>2.5802374868960399E-4</v>
      </c>
      <c r="I288" s="23">
        <v>0</v>
      </c>
      <c r="J288" s="23" t="s">
        <v>85</v>
      </c>
      <c r="K288" s="24">
        <v>44939.000003240741</v>
      </c>
      <c r="L288" s="23">
        <v>1</v>
      </c>
      <c r="M288" s="23" t="s">
        <v>145</v>
      </c>
      <c r="N288" s="45">
        <f t="shared" si="58"/>
        <v>1</v>
      </c>
      <c r="O288" s="159">
        <f t="shared" si="59"/>
        <v>0.66495972999999997</v>
      </c>
      <c r="P288" s="47">
        <f t="shared" si="60"/>
        <v>1.715754022622269E-4</v>
      </c>
      <c r="Q288" s="25">
        <f t="shared" si="61"/>
        <v>0</v>
      </c>
      <c r="R288" s="26" t="str">
        <f t="shared" si="62"/>
        <v>COIN</v>
      </c>
      <c r="S288" s="26" t="str">
        <f t="shared" si="57"/>
        <v>LONG</v>
      </c>
      <c r="T288" s="26" t="str">
        <f t="shared" si="63"/>
        <v>COIN LONG</v>
      </c>
      <c r="U288" s="17">
        <f t="shared" si="64"/>
        <v>1.7157540226222701E-4</v>
      </c>
      <c r="V288" s="17">
        <f t="shared" si="65"/>
        <v>2.5802374868960399E-4</v>
      </c>
      <c r="W288" s="39">
        <f>IF($C288="","",IF(DefaultScenario,IF(OR(AND(Default_Exchange="ALL",NOT(ISERROR(MATCH($C288,$AF$6:$AF$37,0)))),$C288=Default_Exchange),IF($G288&gt;0,-LGD,0),0),IF(OR($J288="SWAP",$J288="FUTURE",$J288="CME FUTURE"),IF('Futures &amp; Perps Shifted'!$AE$31,VLOOKUP($M288,'Futures &amp; Perps Shifted'!$AE$32:$AO$76,MATCH($R288,'Futures &amp; Perps Shifted'!$AE$30:$AO$30,0),FALSE),0),0)))</f>
        <v>0</v>
      </c>
      <c r="X288" s="17">
        <f t="shared" si="66"/>
        <v>0</v>
      </c>
      <c r="Y288" s="14" t="str">
        <f t="shared" si="56"/>
        <v>HUBI</v>
      </c>
      <c r="Z288" t="str">
        <f t="shared" si="67"/>
        <v>LXT COIN LONG</v>
      </c>
      <c r="AA288" t="b">
        <f>IF($C288="","",IF(ISERROR(VLOOKUP($Y288,Mappings!$A:$C,3,FALSE)),FALSE,VLOOKUP($Y288,Mappings!$A:$C,3,FALSE)))</f>
        <v>1</v>
      </c>
    </row>
    <row r="289" spans="1:27" customFormat="1" x14ac:dyDescent="0.25">
      <c r="A289" s="14">
        <v>287</v>
      </c>
      <c r="B289" s="71">
        <v>44939.000003240741</v>
      </c>
      <c r="C289" s="14" t="s">
        <v>39</v>
      </c>
      <c r="D289" s="23" t="s">
        <v>120</v>
      </c>
      <c r="E289" s="23" t="s">
        <v>192</v>
      </c>
      <c r="F289" s="101">
        <v>0.34</v>
      </c>
      <c r="G289" s="153">
        <v>0.14023380532507301</v>
      </c>
      <c r="H289" s="157">
        <v>0.41245236860315698</v>
      </c>
      <c r="I289" s="23">
        <v>0</v>
      </c>
      <c r="J289" s="23" t="s">
        <v>85</v>
      </c>
      <c r="K289" s="24">
        <v>44939.000003240741</v>
      </c>
      <c r="L289" s="23">
        <v>1</v>
      </c>
      <c r="M289" s="23" t="s">
        <v>192</v>
      </c>
      <c r="N289" s="45">
        <f t="shared" si="58"/>
        <v>1</v>
      </c>
      <c r="O289" s="159">
        <f t="shared" si="59"/>
        <v>0.34</v>
      </c>
      <c r="P289" s="47">
        <f t="shared" si="60"/>
        <v>0.14023380532507337</v>
      </c>
      <c r="Q289" s="25">
        <f t="shared" si="61"/>
        <v>0</v>
      </c>
      <c r="R289" s="26" t="str">
        <f t="shared" si="62"/>
        <v>COIN</v>
      </c>
      <c r="S289" s="26" t="str">
        <f t="shared" si="57"/>
        <v>LONG</v>
      </c>
      <c r="T289" s="26" t="str">
        <f t="shared" si="63"/>
        <v>COIN LONG</v>
      </c>
      <c r="U289" s="17">
        <f t="shared" si="64"/>
        <v>0.14023380532507301</v>
      </c>
      <c r="V289" s="17">
        <f t="shared" si="65"/>
        <v>0.41245236860315698</v>
      </c>
      <c r="W289" s="39">
        <f>IF($C289="","",IF(DefaultScenario,IF(OR(AND(Default_Exchange="ALL",NOT(ISERROR(MATCH($C289,$AF$6:$AF$37,0)))),$C289=Default_Exchange),IF($G289&gt;0,-LGD,0),0),IF(OR($J289="SWAP",$J289="FUTURE",$J289="CME FUTURE"),IF('Futures &amp; Perps Shifted'!$AE$31,VLOOKUP($M289,'Futures &amp; Perps Shifted'!$AE$32:$AO$76,MATCH($R289,'Futures &amp; Perps Shifted'!$AE$30:$AO$30,0),FALSE),0),0)))</f>
        <v>0</v>
      </c>
      <c r="X289" s="17">
        <f t="shared" si="66"/>
        <v>0</v>
      </c>
      <c r="Y289" s="14" t="str">
        <f t="shared" si="56"/>
        <v>HUBI</v>
      </c>
      <c r="Z289" t="str">
        <f t="shared" si="67"/>
        <v>MANA COIN LONG</v>
      </c>
      <c r="AA289" t="b">
        <f>IF($C289="","",IF(ISERROR(VLOOKUP($Y289,Mappings!$A:$C,3,FALSE)),FALSE,VLOOKUP($Y289,Mappings!$A:$C,3,FALSE)))</f>
        <v>1</v>
      </c>
    </row>
    <row r="290" spans="1:27" customFormat="1" x14ac:dyDescent="0.25">
      <c r="A290" s="14">
        <v>288</v>
      </c>
      <c r="B290" s="71">
        <v>44939.000003240741</v>
      </c>
      <c r="C290" s="14" t="s">
        <v>39</v>
      </c>
      <c r="D290" s="23" t="s">
        <v>120</v>
      </c>
      <c r="E290" s="23" t="s">
        <v>146</v>
      </c>
      <c r="F290" s="101">
        <v>0.89105878000000005</v>
      </c>
      <c r="G290" s="153">
        <v>6.3991039922190902</v>
      </c>
      <c r="H290" s="157">
        <v>7.18146112899431</v>
      </c>
      <c r="I290" s="23">
        <v>0</v>
      </c>
      <c r="J290" s="23" t="s">
        <v>85</v>
      </c>
      <c r="K290" s="24">
        <v>44939.000003240741</v>
      </c>
      <c r="L290" s="23">
        <v>1</v>
      </c>
      <c r="M290" s="23" t="s">
        <v>146</v>
      </c>
      <c r="N290" s="45">
        <f t="shared" si="58"/>
        <v>1</v>
      </c>
      <c r="O290" s="159">
        <f t="shared" si="59"/>
        <v>0.89105878000000005</v>
      </c>
      <c r="P290" s="47">
        <f t="shared" si="60"/>
        <v>6.3991039922190929</v>
      </c>
      <c r="Q290" s="25">
        <f t="shared" si="61"/>
        <v>0</v>
      </c>
      <c r="R290" s="26" t="str">
        <f t="shared" si="62"/>
        <v>COIN</v>
      </c>
      <c r="S290" s="26" t="str">
        <f t="shared" si="57"/>
        <v>LONG</v>
      </c>
      <c r="T290" s="26" t="str">
        <f t="shared" si="63"/>
        <v>COIN LONG</v>
      </c>
      <c r="U290" s="17">
        <f t="shared" si="64"/>
        <v>6.3991039922190902</v>
      </c>
      <c r="V290" s="17">
        <f t="shared" si="65"/>
        <v>7.18146112899431</v>
      </c>
      <c r="W290" s="39">
        <f>IF($C290="","",IF(DefaultScenario,IF(OR(AND(Default_Exchange="ALL",NOT(ISERROR(MATCH($C290,$AF$6:$AF$37,0)))),$C290=Default_Exchange),IF($G290&gt;0,-LGD,0),0),IF(OR($J290="SWAP",$J290="FUTURE",$J290="CME FUTURE"),IF('Futures &amp; Perps Shifted'!$AE$31,VLOOKUP($M290,'Futures &amp; Perps Shifted'!$AE$32:$AO$76,MATCH($R290,'Futures &amp; Perps Shifted'!$AE$30:$AO$30,0),FALSE),0),0)))</f>
        <v>0</v>
      </c>
      <c r="X290" s="17">
        <f t="shared" si="66"/>
        <v>0</v>
      </c>
      <c r="Y290" s="14" t="str">
        <f t="shared" si="56"/>
        <v>HUBI</v>
      </c>
      <c r="Z290" t="str">
        <f t="shared" si="67"/>
        <v>NEO COIN LONG</v>
      </c>
      <c r="AA290" t="b">
        <f>IF($C290="","",IF(ISERROR(VLOOKUP($Y290,Mappings!$A:$C,3,FALSE)),FALSE,VLOOKUP($Y290,Mappings!$A:$C,3,FALSE)))</f>
        <v>1</v>
      </c>
    </row>
    <row r="291" spans="1:27" customFormat="1" x14ac:dyDescent="0.25">
      <c r="A291" s="14">
        <v>289</v>
      </c>
      <c r="B291" s="71">
        <v>44939.000003240741</v>
      </c>
      <c r="C291" s="14" t="s">
        <v>39</v>
      </c>
      <c r="D291" s="23" t="s">
        <v>120</v>
      </c>
      <c r="E291" s="23" t="s">
        <v>147</v>
      </c>
      <c r="F291" s="101">
        <v>40.704174029999997</v>
      </c>
      <c r="G291" s="153">
        <v>6.5557813758032801E-3</v>
      </c>
      <c r="H291" s="157">
        <v>1.6105919188954699E-4</v>
      </c>
      <c r="I291" s="23">
        <v>0</v>
      </c>
      <c r="J291" s="23" t="s">
        <v>85</v>
      </c>
      <c r="K291" s="24">
        <v>44939.000003240741</v>
      </c>
      <c r="L291" s="23">
        <v>1</v>
      </c>
      <c r="M291" s="23" t="s">
        <v>147</v>
      </c>
      <c r="N291" s="45">
        <f t="shared" si="58"/>
        <v>1</v>
      </c>
      <c r="O291" s="159">
        <f t="shared" si="59"/>
        <v>40.704174029999997</v>
      </c>
      <c r="P291" s="47">
        <f t="shared" si="60"/>
        <v>6.5557813758032853E-3</v>
      </c>
      <c r="Q291" s="25">
        <f t="shared" si="61"/>
        <v>0</v>
      </c>
      <c r="R291" s="26" t="str">
        <f t="shared" si="62"/>
        <v>COIN</v>
      </c>
      <c r="S291" s="26" t="str">
        <f t="shared" si="57"/>
        <v>LONG</v>
      </c>
      <c r="T291" s="26" t="str">
        <f t="shared" si="63"/>
        <v>COIN LONG</v>
      </c>
      <c r="U291" s="17">
        <f t="shared" si="64"/>
        <v>6.5557813758032801E-3</v>
      </c>
      <c r="V291" s="17">
        <f t="shared" si="65"/>
        <v>1.6105919188954699E-4</v>
      </c>
      <c r="W291" s="39">
        <f>IF($C291="","",IF(DefaultScenario,IF(OR(AND(Default_Exchange="ALL",NOT(ISERROR(MATCH($C291,$AF$6:$AF$37,0)))),$C291=Default_Exchange),IF($G291&gt;0,-LGD,0),0),IF(OR($J291="SWAP",$J291="FUTURE",$J291="CME FUTURE"),IF('Futures &amp; Perps Shifted'!$AE$31,VLOOKUP($M291,'Futures &amp; Perps Shifted'!$AE$32:$AO$76,MATCH($R291,'Futures &amp; Perps Shifted'!$AE$30:$AO$30,0),FALSE),0),0)))</f>
        <v>0</v>
      </c>
      <c r="X291" s="17">
        <f t="shared" si="66"/>
        <v>0</v>
      </c>
      <c r="Y291" s="14" t="str">
        <f t="shared" si="56"/>
        <v>HUBI</v>
      </c>
      <c r="Z291" t="str">
        <f t="shared" si="67"/>
        <v>NEW COIN LONG</v>
      </c>
      <c r="AA291" t="b">
        <f>IF($C291="","",IF(ISERROR(VLOOKUP($Y291,Mappings!$A:$C,3,FALSE)),FALSE,VLOOKUP($Y291,Mappings!$A:$C,3,FALSE)))</f>
        <v>1</v>
      </c>
    </row>
    <row r="292" spans="1:27" customFormat="1" x14ac:dyDescent="0.25">
      <c r="A292" s="14">
        <v>290</v>
      </c>
      <c r="B292" s="71">
        <v>44939.000003240741</v>
      </c>
      <c r="C292" s="14" t="s">
        <v>39</v>
      </c>
      <c r="D292" s="23" t="s">
        <v>120</v>
      </c>
      <c r="E292" s="23" t="s">
        <v>148</v>
      </c>
      <c r="F292" s="101">
        <v>3049025070.2014399</v>
      </c>
      <c r="G292" s="153">
        <v>1303.0554985349399</v>
      </c>
      <c r="H292" s="157">
        <v>4.2736791877177001E-7</v>
      </c>
      <c r="I292" s="23">
        <v>0</v>
      </c>
      <c r="J292" s="23" t="s">
        <v>85</v>
      </c>
      <c r="K292" s="24">
        <v>44939.000003240741</v>
      </c>
      <c r="L292" s="23">
        <v>1</v>
      </c>
      <c r="M292" s="23" t="s">
        <v>148</v>
      </c>
      <c r="N292" s="45">
        <f t="shared" si="58"/>
        <v>1</v>
      </c>
      <c r="O292" s="159">
        <f t="shared" si="59"/>
        <v>3049025070.2014399</v>
      </c>
      <c r="P292" s="47">
        <f t="shared" si="60"/>
        <v>1303.0554985349393</v>
      </c>
      <c r="Q292" s="25">
        <f t="shared" si="61"/>
        <v>0</v>
      </c>
      <c r="R292" s="26" t="str">
        <f t="shared" si="62"/>
        <v>COIN</v>
      </c>
      <c r="S292" s="26" t="str">
        <f t="shared" si="57"/>
        <v>LONG</v>
      </c>
      <c r="T292" s="26" t="str">
        <f t="shared" si="63"/>
        <v>COIN LONG</v>
      </c>
      <c r="U292" s="17">
        <f t="shared" si="64"/>
        <v>1303.0554985349399</v>
      </c>
      <c r="V292" s="17">
        <f t="shared" si="65"/>
        <v>4.2736791877177001E-7</v>
      </c>
      <c r="W292" s="39">
        <f>IF($C292="","",IF(DefaultScenario,IF(OR(AND(Default_Exchange="ALL",NOT(ISERROR(MATCH($C292,$AF$6:$AF$37,0)))),$C292=Default_Exchange),IF($G292&gt;0,-LGD,0),0),IF(OR($J292="SWAP",$J292="FUTURE",$J292="CME FUTURE"),IF('Futures &amp; Perps Shifted'!$AE$31,VLOOKUP($M292,'Futures &amp; Perps Shifted'!$AE$32:$AO$76,MATCH($R292,'Futures &amp; Perps Shifted'!$AE$30:$AO$30,0),FALSE),0),0)))</f>
        <v>0</v>
      </c>
      <c r="X292" s="17">
        <f t="shared" si="66"/>
        <v>0</v>
      </c>
      <c r="Y292" s="14" t="str">
        <f t="shared" si="56"/>
        <v>HUBI</v>
      </c>
      <c r="Z292" t="str">
        <f t="shared" si="67"/>
        <v>NFT COIN LONG</v>
      </c>
      <c r="AA292" t="b">
        <f>IF($C292="","",IF(ISERROR(VLOOKUP($Y292,Mappings!$A:$C,3,FALSE)),FALSE,VLOOKUP($Y292,Mappings!$A:$C,3,FALSE)))</f>
        <v>1</v>
      </c>
    </row>
    <row r="293" spans="1:27" customFormat="1" x14ac:dyDescent="0.25">
      <c r="A293" s="14">
        <v>291</v>
      </c>
      <c r="B293" s="71">
        <v>44939.000003240741</v>
      </c>
      <c r="C293" s="14" t="s">
        <v>39</v>
      </c>
      <c r="D293" s="23" t="s">
        <v>120</v>
      </c>
      <c r="E293" s="23" t="s">
        <v>149</v>
      </c>
      <c r="F293" s="101">
        <v>4.3068300000000002E-3</v>
      </c>
      <c r="G293" s="153">
        <v>8.8743929915522204E-4</v>
      </c>
      <c r="H293" s="157">
        <v>0.20605394203050101</v>
      </c>
      <c r="I293" s="23">
        <v>0</v>
      </c>
      <c r="J293" s="23" t="s">
        <v>85</v>
      </c>
      <c r="K293" s="24">
        <v>44939.000003240741</v>
      </c>
      <c r="L293" s="23">
        <v>1</v>
      </c>
      <c r="M293" s="23" t="s">
        <v>149</v>
      </c>
      <c r="N293" s="45">
        <f t="shared" si="58"/>
        <v>1</v>
      </c>
      <c r="O293" s="159">
        <f t="shared" si="59"/>
        <v>4.3068300000000002E-3</v>
      </c>
      <c r="P293" s="47">
        <f t="shared" si="60"/>
        <v>8.8743929915522269E-4</v>
      </c>
      <c r="Q293" s="25">
        <f t="shared" si="61"/>
        <v>0</v>
      </c>
      <c r="R293" s="26" t="str">
        <f t="shared" si="62"/>
        <v>COIN</v>
      </c>
      <c r="S293" s="26" t="str">
        <f t="shared" si="57"/>
        <v>LONG</v>
      </c>
      <c r="T293" s="26" t="str">
        <f t="shared" si="63"/>
        <v>COIN LONG</v>
      </c>
      <c r="U293" s="17">
        <f t="shared" si="64"/>
        <v>8.8743929915522204E-4</v>
      </c>
      <c r="V293" s="17">
        <f t="shared" si="65"/>
        <v>0.20605394203050101</v>
      </c>
      <c r="W293" s="39">
        <f>IF($C293="","",IF(DefaultScenario,IF(OR(AND(Default_Exchange="ALL",NOT(ISERROR(MATCH($C293,$AF$6:$AF$37,0)))),$C293=Default_Exchange),IF($G293&gt;0,-LGD,0),0),IF(OR($J293="SWAP",$J293="FUTURE",$J293="CME FUTURE"),IF('Futures &amp; Perps Shifted'!$AE$31,VLOOKUP($M293,'Futures &amp; Perps Shifted'!$AE$32:$AO$76,MATCH($R293,'Futures &amp; Perps Shifted'!$AE$30:$AO$30,0),FALSE),0),0)))</f>
        <v>0</v>
      </c>
      <c r="X293" s="17">
        <f t="shared" si="66"/>
        <v>0</v>
      </c>
      <c r="Y293" s="14" t="str">
        <f t="shared" si="56"/>
        <v>HUBI</v>
      </c>
      <c r="Z293" t="str">
        <f t="shared" si="67"/>
        <v>NULS COIN LONG</v>
      </c>
      <c r="AA293" t="b">
        <f>IF($C293="","",IF(ISERROR(VLOOKUP($Y293,Mappings!$A:$C,3,FALSE)),FALSE,VLOOKUP($Y293,Mappings!$A:$C,3,FALSE)))</f>
        <v>1</v>
      </c>
    </row>
    <row r="294" spans="1:27" customFormat="1" x14ac:dyDescent="0.25">
      <c r="A294" s="14">
        <v>292</v>
      </c>
      <c r="B294" s="71">
        <v>44939.000003240741</v>
      </c>
      <c r="C294" s="14" t="s">
        <v>39</v>
      </c>
      <c r="D294" s="23" t="s">
        <v>120</v>
      </c>
      <c r="E294" s="23" t="s">
        <v>151</v>
      </c>
      <c r="F294" s="101">
        <v>0.34782034000000001</v>
      </c>
      <c r="G294" s="153">
        <v>8.4954954190642806E-2</v>
      </c>
      <c r="H294" s="157">
        <v>0.24424952891093901</v>
      </c>
      <c r="I294" s="23">
        <v>0</v>
      </c>
      <c r="J294" s="23" t="s">
        <v>85</v>
      </c>
      <c r="K294" s="24">
        <v>44939.000003240741</v>
      </c>
      <c r="L294" s="23">
        <v>1</v>
      </c>
      <c r="M294" s="23" t="s">
        <v>151</v>
      </c>
      <c r="N294" s="45">
        <f t="shared" si="58"/>
        <v>1</v>
      </c>
      <c r="O294" s="159">
        <f t="shared" si="59"/>
        <v>0.34782034000000001</v>
      </c>
      <c r="P294" s="47">
        <f t="shared" si="60"/>
        <v>8.495495419064264E-2</v>
      </c>
      <c r="Q294" s="25">
        <f t="shared" si="61"/>
        <v>0</v>
      </c>
      <c r="R294" s="26" t="str">
        <f t="shared" si="62"/>
        <v>COIN</v>
      </c>
      <c r="S294" s="26" t="str">
        <f t="shared" si="57"/>
        <v>LONG</v>
      </c>
      <c r="T294" s="26" t="str">
        <f t="shared" si="63"/>
        <v>COIN LONG</v>
      </c>
      <c r="U294" s="17">
        <f t="shared" si="64"/>
        <v>8.4954954190642806E-2</v>
      </c>
      <c r="V294" s="17">
        <f t="shared" si="65"/>
        <v>0.24424952891093901</v>
      </c>
      <c r="W294" s="39">
        <f>IF($C294="","",IF(DefaultScenario,IF(OR(AND(Default_Exchange="ALL",NOT(ISERROR(MATCH($C294,$AF$6:$AF$37,0)))),$C294=Default_Exchange),IF($G294&gt;0,-LGD,0),0),IF(OR($J294="SWAP",$J294="FUTURE",$J294="CME FUTURE"),IF('Futures &amp; Perps Shifted'!$AE$31,VLOOKUP($M294,'Futures &amp; Perps Shifted'!$AE$32:$AO$76,MATCH($R294,'Futures &amp; Perps Shifted'!$AE$30:$AO$30,0),FALSE),0),0)))</f>
        <v>0</v>
      </c>
      <c r="X294" s="17">
        <f t="shared" si="66"/>
        <v>0</v>
      </c>
      <c r="Y294" s="14" t="str">
        <f t="shared" si="56"/>
        <v>HUBI</v>
      </c>
      <c r="Z294" t="str">
        <f t="shared" si="67"/>
        <v>ONG COIN LONG</v>
      </c>
      <c r="AA294" t="b">
        <f>IF($C294="","",IF(ISERROR(VLOOKUP($Y294,Mappings!$A:$C,3,FALSE)),FALSE,VLOOKUP($Y294,Mappings!$A:$C,3,FALSE)))</f>
        <v>1</v>
      </c>
    </row>
    <row r="295" spans="1:27" customFormat="1" x14ac:dyDescent="0.25">
      <c r="A295" s="14">
        <v>293</v>
      </c>
      <c r="B295" s="71">
        <v>44939.000003240741</v>
      </c>
      <c r="C295" s="14" t="s">
        <v>39</v>
      </c>
      <c r="D295" s="23" t="s">
        <v>120</v>
      </c>
      <c r="E295" s="23" t="s">
        <v>89</v>
      </c>
      <c r="F295" s="101">
        <v>78631.814589489994</v>
      </c>
      <c r="G295" s="153">
        <v>5765.2321127505302</v>
      </c>
      <c r="H295" s="157">
        <v>7.3319331912265404E-2</v>
      </c>
      <c r="I295" s="23">
        <v>0</v>
      </c>
      <c r="J295" s="23" t="s">
        <v>85</v>
      </c>
      <c r="K295" s="24">
        <v>44939.000003240741</v>
      </c>
      <c r="L295" s="23">
        <v>1</v>
      </c>
      <c r="M295" s="23" t="s">
        <v>89</v>
      </c>
      <c r="N295" s="45">
        <f t="shared" si="58"/>
        <v>1</v>
      </c>
      <c r="O295" s="159">
        <f t="shared" si="59"/>
        <v>78631.814589489994</v>
      </c>
      <c r="P295" s="47">
        <f t="shared" si="60"/>
        <v>5765.2321127505302</v>
      </c>
      <c r="Q295" s="25">
        <f t="shared" si="61"/>
        <v>0</v>
      </c>
      <c r="R295" s="26" t="str">
        <f t="shared" si="62"/>
        <v>COIN</v>
      </c>
      <c r="S295" s="26" t="str">
        <f t="shared" si="57"/>
        <v>LONG</v>
      </c>
      <c r="T295" s="26" t="str">
        <f t="shared" si="63"/>
        <v>COIN LONG</v>
      </c>
      <c r="U295" s="17">
        <f t="shared" si="64"/>
        <v>5765.2321127505302</v>
      </c>
      <c r="V295" s="17">
        <f t="shared" si="65"/>
        <v>7.3319331912265404E-2</v>
      </c>
      <c r="W295" s="39">
        <f>IF($C295="","",IF(DefaultScenario,IF(OR(AND(Default_Exchange="ALL",NOT(ISERROR(MATCH($C295,$AF$6:$AF$37,0)))),$C295=Default_Exchange),IF($G295&gt;0,-LGD,0),0),IF(OR($J295="SWAP",$J295="FUTURE",$J295="CME FUTURE"),IF('Futures &amp; Perps Shifted'!$AE$31,VLOOKUP($M295,'Futures &amp; Perps Shifted'!$AE$32:$AO$76,MATCH($R295,'Futures &amp; Perps Shifted'!$AE$30:$AO$30,0),FALSE),0),0)))</f>
        <v>0</v>
      </c>
      <c r="X295" s="17">
        <f t="shared" si="66"/>
        <v>0</v>
      </c>
      <c r="Y295" s="14" t="str">
        <f t="shared" si="56"/>
        <v>HUBI</v>
      </c>
      <c r="Z295" t="str">
        <f t="shared" si="67"/>
        <v>OXT COIN LONG</v>
      </c>
      <c r="AA295" t="b">
        <f>IF($C295="","",IF(ISERROR(VLOOKUP($Y295,Mappings!$A:$C,3,FALSE)),FALSE,VLOOKUP($Y295,Mappings!$A:$C,3,FALSE)))</f>
        <v>1</v>
      </c>
    </row>
    <row r="296" spans="1:27" customFormat="1" x14ac:dyDescent="0.25">
      <c r="A296" s="14">
        <v>294</v>
      </c>
      <c r="B296" s="71">
        <v>44939.000003240741</v>
      </c>
      <c r="C296" s="14" t="s">
        <v>39</v>
      </c>
      <c r="D296" s="23" t="s">
        <v>120</v>
      </c>
      <c r="E296" s="23" t="s">
        <v>152</v>
      </c>
      <c r="F296" s="101">
        <v>3.0962099999999998E-3</v>
      </c>
      <c r="G296" s="153">
        <v>6.8010097540225998E-3</v>
      </c>
      <c r="H296" s="157">
        <v>2.1965595854359301</v>
      </c>
      <c r="I296" s="23">
        <v>0</v>
      </c>
      <c r="J296" s="23" t="s">
        <v>85</v>
      </c>
      <c r="K296" s="24">
        <v>44939.000003240741</v>
      </c>
      <c r="L296" s="23">
        <v>1</v>
      </c>
      <c r="M296" s="23" t="s">
        <v>152</v>
      </c>
      <c r="N296" s="45">
        <f t="shared" si="58"/>
        <v>1</v>
      </c>
      <c r="O296" s="159">
        <f t="shared" si="59"/>
        <v>3.0962099999999998E-3</v>
      </c>
      <c r="P296" s="47">
        <f t="shared" si="60"/>
        <v>6.8010097540225807E-3</v>
      </c>
      <c r="Q296" s="25">
        <f t="shared" si="61"/>
        <v>0</v>
      </c>
      <c r="R296" s="26" t="str">
        <f t="shared" si="62"/>
        <v>COIN</v>
      </c>
      <c r="S296" s="26" t="str">
        <f t="shared" si="57"/>
        <v>LONG</v>
      </c>
      <c r="T296" s="26" t="str">
        <f t="shared" si="63"/>
        <v>COIN LONG</v>
      </c>
      <c r="U296" s="17">
        <f t="shared" si="64"/>
        <v>6.8010097540225998E-3</v>
      </c>
      <c r="V296" s="17">
        <f t="shared" si="65"/>
        <v>2.1965595854359301</v>
      </c>
      <c r="W296" s="39">
        <f>IF($C296="","",IF(DefaultScenario,IF(OR(AND(Default_Exchange="ALL",NOT(ISERROR(MATCH($C296,$AF$6:$AF$37,0)))),$C296=Default_Exchange),IF($G296&gt;0,-LGD,0),0),IF(OR($J296="SWAP",$J296="FUTURE",$J296="CME FUTURE"),IF('Futures &amp; Perps Shifted'!$AE$31,VLOOKUP($M296,'Futures &amp; Perps Shifted'!$AE$32:$AO$76,MATCH($R296,'Futures &amp; Perps Shifted'!$AE$30:$AO$30,0),FALSE),0),0)))</f>
        <v>0</v>
      </c>
      <c r="X296" s="17">
        <f t="shared" si="66"/>
        <v>0</v>
      </c>
      <c r="Y296" s="14" t="str">
        <f t="shared" si="56"/>
        <v>HUBI</v>
      </c>
      <c r="Z296" t="str">
        <f t="shared" si="67"/>
        <v>QTUM COIN LONG</v>
      </c>
      <c r="AA296" t="b">
        <f>IF($C296="","",IF(ISERROR(VLOOKUP($Y296,Mappings!$A:$C,3,FALSE)),FALSE,VLOOKUP($Y296,Mappings!$A:$C,3,FALSE)))</f>
        <v>1</v>
      </c>
    </row>
    <row r="297" spans="1:27" customFormat="1" x14ac:dyDescent="0.25">
      <c r="A297" s="14">
        <v>295</v>
      </c>
      <c r="B297" s="71">
        <v>44939.000003240741</v>
      </c>
      <c r="C297" s="14" t="s">
        <v>39</v>
      </c>
      <c r="D297" s="23" t="s">
        <v>120</v>
      </c>
      <c r="E297" s="23" t="s">
        <v>153</v>
      </c>
      <c r="F297" s="101">
        <v>2.6598900000000002E-2</v>
      </c>
      <c r="G297" s="153">
        <v>6.4412294033312095E-4</v>
      </c>
      <c r="H297" s="157">
        <v>2.42161495525424E-2</v>
      </c>
      <c r="I297" s="23">
        <v>0</v>
      </c>
      <c r="J297" s="23" t="s">
        <v>85</v>
      </c>
      <c r="K297" s="24">
        <v>44939.000003240741</v>
      </c>
      <c r="L297" s="23">
        <v>1</v>
      </c>
      <c r="M297" s="23" t="s">
        <v>153</v>
      </c>
      <c r="N297" s="45">
        <f t="shared" si="58"/>
        <v>1</v>
      </c>
      <c r="O297" s="159">
        <f t="shared" si="59"/>
        <v>2.6598900000000002E-2</v>
      </c>
      <c r="P297" s="47">
        <f t="shared" si="60"/>
        <v>6.4412294033312008E-4</v>
      </c>
      <c r="Q297" s="25">
        <f t="shared" si="61"/>
        <v>0</v>
      </c>
      <c r="R297" s="26" t="str">
        <f t="shared" si="62"/>
        <v>COIN</v>
      </c>
      <c r="S297" s="26" t="str">
        <f t="shared" si="57"/>
        <v>LONG</v>
      </c>
      <c r="T297" s="26" t="str">
        <f t="shared" si="63"/>
        <v>COIN LONG</v>
      </c>
      <c r="U297" s="17">
        <f t="shared" si="64"/>
        <v>6.4412294033312095E-4</v>
      </c>
      <c r="V297" s="17">
        <f t="shared" si="65"/>
        <v>2.42161495525424E-2</v>
      </c>
      <c r="W297" s="39">
        <f>IF($C297="","",IF(DefaultScenario,IF(OR(AND(Default_Exchange="ALL",NOT(ISERROR(MATCH($C297,$AF$6:$AF$37,0)))),$C297=Default_Exchange),IF($G297&gt;0,-LGD,0),0),IF(OR($J297="SWAP",$J297="FUTURE",$J297="CME FUTURE"),IF('Futures &amp; Perps Shifted'!$AE$31,VLOOKUP($M297,'Futures &amp; Perps Shifted'!$AE$32:$AO$76,MATCH($R297,'Futures &amp; Perps Shifted'!$AE$30:$AO$30,0),FALSE),0),0)))</f>
        <v>0</v>
      </c>
      <c r="X297" s="17">
        <f t="shared" si="66"/>
        <v>0</v>
      </c>
      <c r="Y297" s="14" t="str">
        <f t="shared" si="56"/>
        <v>HUBI</v>
      </c>
      <c r="Z297" t="str">
        <f t="shared" si="67"/>
        <v>REI COIN LONG</v>
      </c>
      <c r="AA297" t="b">
        <f>IF($C297="","",IF(ISERROR(VLOOKUP($Y297,Mappings!$A:$C,3,FALSE)),FALSE,VLOOKUP($Y297,Mappings!$A:$C,3,FALSE)))</f>
        <v>1</v>
      </c>
    </row>
    <row r="298" spans="1:27" customFormat="1" x14ac:dyDescent="0.25">
      <c r="A298" s="14">
        <v>296</v>
      </c>
      <c r="B298" s="71">
        <v>44939.000003240741</v>
      </c>
      <c r="C298" s="14" t="s">
        <v>39</v>
      </c>
      <c r="D298" s="23" t="s">
        <v>120</v>
      </c>
      <c r="E298" s="23" t="s">
        <v>98</v>
      </c>
      <c r="F298" s="101">
        <v>1214222.2371159999</v>
      </c>
      <c r="G298" s="153">
        <v>14215.176878673101</v>
      </c>
      <c r="H298" s="157">
        <v>1.1707228252084E-2</v>
      </c>
      <c r="I298" s="23">
        <v>0</v>
      </c>
      <c r="J298" s="23" t="s">
        <v>85</v>
      </c>
      <c r="K298" s="24">
        <v>44939.000003240741</v>
      </c>
      <c r="L298" s="23">
        <v>1</v>
      </c>
      <c r="M298" s="23" t="s">
        <v>98</v>
      </c>
      <c r="N298" s="45">
        <f t="shared" si="58"/>
        <v>1</v>
      </c>
      <c r="O298" s="159">
        <f t="shared" si="59"/>
        <v>1214222.2371159999</v>
      </c>
      <c r="P298" s="47">
        <f t="shared" si="60"/>
        <v>14215.176878673194</v>
      </c>
      <c r="Q298" s="25">
        <f t="shared" si="61"/>
        <v>0</v>
      </c>
      <c r="R298" s="26" t="str">
        <f t="shared" si="62"/>
        <v>COIN</v>
      </c>
      <c r="S298" s="26" t="str">
        <f t="shared" si="57"/>
        <v>LONG</v>
      </c>
      <c r="T298" s="26" t="str">
        <f t="shared" si="63"/>
        <v>COIN LONG</v>
      </c>
      <c r="U298" s="17">
        <f t="shared" si="64"/>
        <v>14215.176878673101</v>
      </c>
      <c r="V298" s="17">
        <f t="shared" si="65"/>
        <v>1.1707228252084E-2</v>
      </c>
      <c r="W298" s="39">
        <f>IF($C298="","",IF(DefaultScenario,IF(OR(AND(Default_Exchange="ALL",NOT(ISERROR(MATCH($C298,$AF$6:$AF$37,0)))),$C298=Default_Exchange),IF($G298&gt;0,-LGD,0),0),IF(OR($J298="SWAP",$J298="FUTURE",$J298="CME FUTURE"),IF('Futures &amp; Perps Shifted'!$AE$31,VLOOKUP($M298,'Futures &amp; Perps Shifted'!$AE$32:$AO$76,MATCH($R298,'Futures &amp; Perps Shifted'!$AE$30:$AO$30,0),FALSE),0),0)))</f>
        <v>0</v>
      </c>
      <c r="X298" s="17">
        <f t="shared" si="66"/>
        <v>0</v>
      </c>
      <c r="Y298" s="14" t="str">
        <f t="shared" si="56"/>
        <v>HUBI</v>
      </c>
      <c r="Z298" t="str">
        <f t="shared" si="67"/>
        <v>SGB COIN LONG</v>
      </c>
      <c r="AA298" t="b">
        <f>IF($C298="","",IF(ISERROR(VLOOKUP($Y298,Mappings!$A:$C,3,FALSE)),FALSE,VLOOKUP($Y298,Mappings!$A:$C,3,FALSE)))</f>
        <v>1</v>
      </c>
    </row>
    <row r="299" spans="1:27" customFormat="1" x14ac:dyDescent="0.25">
      <c r="A299" s="14">
        <v>297</v>
      </c>
      <c r="B299" s="71">
        <v>44939.000003240741</v>
      </c>
      <c r="C299" s="14" t="s">
        <v>39</v>
      </c>
      <c r="D299" s="23" t="s">
        <v>120</v>
      </c>
      <c r="E299" s="23" t="s">
        <v>37</v>
      </c>
      <c r="F299" s="101">
        <v>1884988.30453923</v>
      </c>
      <c r="G299" s="153">
        <v>17.853446824831199</v>
      </c>
      <c r="H299" s="157">
        <v>9.4713833405960602E-6</v>
      </c>
      <c r="I299" s="23">
        <v>0</v>
      </c>
      <c r="J299" s="23" t="s">
        <v>85</v>
      </c>
      <c r="K299" s="24">
        <v>44939.000003240741</v>
      </c>
      <c r="L299" s="23">
        <v>1</v>
      </c>
      <c r="M299" s="23" t="s">
        <v>37</v>
      </c>
      <c r="N299" s="45">
        <f t="shared" si="58"/>
        <v>1</v>
      </c>
      <c r="O299" s="159">
        <f t="shared" si="59"/>
        <v>1884988.30453923</v>
      </c>
      <c r="P299" s="47">
        <f t="shared" si="60"/>
        <v>17.853446824831277</v>
      </c>
      <c r="Q299" s="25">
        <f t="shared" si="61"/>
        <v>0</v>
      </c>
      <c r="R299" s="26" t="str">
        <f t="shared" si="62"/>
        <v>COIN</v>
      </c>
      <c r="S299" s="26" t="str">
        <f t="shared" si="57"/>
        <v>LONG</v>
      </c>
      <c r="T299" s="26" t="str">
        <f t="shared" si="63"/>
        <v>COIN LONG</v>
      </c>
      <c r="U299" s="17">
        <f t="shared" si="64"/>
        <v>17.853446824831199</v>
      </c>
      <c r="V299" s="17">
        <f t="shared" si="65"/>
        <v>9.4713833405960602E-6</v>
      </c>
      <c r="W299" s="39">
        <f>IF($C299="","",IF(DefaultScenario,IF(OR(AND(Default_Exchange="ALL",NOT(ISERROR(MATCH($C299,$AF$6:$AF$37,0)))),$C299=Default_Exchange),IF($G299&gt;0,-LGD,0),0),IF(OR($J299="SWAP",$J299="FUTURE",$J299="CME FUTURE"),IF('Futures &amp; Perps Shifted'!$AE$31,VLOOKUP($M299,'Futures &amp; Perps Shifted'!$AE$32:$AO$76,MATCH($R299,'Futures &amp; Perps Shifted'!$AE$30:$AO$30,0),FALSE),0),0)))</f>
        <v>0</v>
      </c>
      <c r="X299" s="17">
        <f t="shared" si="66"/>
        <v>0</v>
      </c>
      <c r="Y299" s="14" t="str">
        <f t="shared" si="56"/>
        <v>HUBI</v>
      </c>
      <c r="Z299" t="str">
        <f t="shared" si="67"/>
        <v>SHIB COIN LONG</v>
      </c>
      <c r="AA299" t="b">
        <f>IF($C299="","",IF(ISERROR(VLOOKUP($Y299,Mappings!$A:$C,3,FALSE)),FALSE,VLOOKUP($Y299,Mappings!$A:$C,3,FALSE)))</f>
        <v>1</v>
      </c>
    </row>
    <row r="300" spans="1:27" customFormat="1" x14ac:dyDescent="0.25">
      <c r="A300" s="14">
        <v>298</v>
      </c>
      <c r="B300" s="71">
        <v>44939.000003240741</v>
      </c>
      <c r="C300" s="14" t="s">
        <v>39</v>
      </c>
      <c r="D300" s="23" t="s">
        <v>120</v>
      </c>
      <c r="E300" s="23" t="s">
        <v>154</v>
      </c>
      <c r="F300" s="101">
        <v>0.14106867000000001</v>
      </c>
      <c r="G300" s="153">
        <v>2.3444264614525099</v>
      </c>
      <c r="H300" s="157">
        <v>16.6190441963655</v>
      </c>
      <c r="I300" s="23">
        <v>0</v>
      </c>
      <c r="J300" s="23" t="s">
        <v>85</v>
      </c>
      <c r="K300" s="24">
        <v>44939.000003240741</v>
      </c>
      <c r="L300" s="23">
        <v>1</v>
      </c>
      <c r="M300" s="23" t="s">
        <v>154</v>
      </c>
      <c r="N300" s="45">
        <f t="shared" si="58"/>
        <v>1</v>
      </c>
      <c r="O300" s="159">
        <f t="shared" si="59"/>
        <v>0.14106867000000001</v>
      </c>
      <c r="P300" s="47">
        <f t="shared" si="60"/>
        <v>2.3444264614525001</v>
      </c>
      <c r="Q300" s="25">
        <f t="shared" si="61"/>
        <v>0</v>
      </c>
      <c r="R300" s="26" t="str">
        <f t="shared" si="62"/>
        <v>COIN</v>
      </c>
      <c r="S300" s="26" t="str">
        <f t="shared" si="57"/>
        <v>LONG</v>
      </c>
      <c r="T300" s="26" t="str">
        <f t="shared" si="63"/>
        <v>COIN LONG</v>
      </c>
      <c r="U300" s="17">
        <f t="shared" si="64"/>
        <v>2.3444264614525099</v>
      </c>
      <c r="V300" s="17">
        <f t="shared" si="65"/>
        <v>16.6190441963655</v>
      </c>
      <c r="W300" s="39">
        <f>IF($C300="","",IF(DefaultScenario,IF(OR(AND(Default_Exchange="ALL",NOT(ISERROR(MATCH($C300,$AF$6:$AF$37,0)))),$C300=Default_Exchange),IF($G300&gt;0,-LGD,0),0),IF(OR($J300="SWAP",$J300="FUTURE",$J300="CME FUTURE"),IF('Futures &amp; Perps Shifted'!$AE$31,VLOOKUP($M300,'Futures &amp; Perps Shifted'!$AE$32:$AO$76,MATCH($R300,'Futures &amp; Perps Shifted'!$AE$30:$AO$30,0),FALSE),0),0)))</f>
        <v>0</v>
      </c>
      <c r="X300" s="17">
        <f t="shared" si="66"/>
        <v>0</v>
      </c>
      <c r="Y300" s="14" t="str">
        <f t="shared" si="56"/>
        <v>HUBI</v>
      </c>
      <c r="Z300" t="str">
        <f t="shared" si="67"/>
        <v>SOL COIN LONG</v>
      </c>
      <c r="AA300" t="b">
        <f>IF($C300="","",IF(ISERROR(VLOOKUP($Y300,Mappings!$A:$C,3,FALSE)),FALSE,VLOOKUP($Y300,Mappings!$A:$C,3,FALSE)))</f>
        <v>1</v>
      </c>
    </row>
    <row r="301" spans="1:27" customFormat="1" x14ac:dyDescent="0.25">
      <c r="A301" s="14">
        <v>299</v>
      </c>
      <c r="B301" s="71">
        <v>44939.000003240741</v>
      </c>
      <c r="C301" s="14" t="s">
        <v>39</v>
      </c>
      <c r="D301" s="23" t="s">
        <v>120</v>
      </c>
      <c r="E301" s="23" t="s">
        <v>155</v>
      </c>
      <c r="F301" s="101">
        <v>38753.774400000002</v>
      </c>
      <c r="G301" s="153">
        <v>6256.6543580955404</v>
      </c>
      <c r="H301" s="157">
        <v>0.16144632245409199</v>
      </c>
      <c r="I301" s="23">
        <v>0</v>
      </c>
      <c r="J301" s="23" t="s">
        <v>85</v>
      </c>
      <c r="K301" s="24">
        <v>44939.000003240741</v>
      </c>
      <c r="L301" s="23">
        <v>1</v>
      </c>
      <c r="M301" s="23" t="s">
        <v>155</v>
      </c>
      <c r="N301" s="45">
        <f t="shared" si="58"/>
        <v>1</v>
      </c>
      <c r="O301" s="159">
        <f t="shared" si="59"/>
        <v>38753.774400000002</v>
      </c>
      <c r="P301" s="47">
        <f t="shared" si="60"/>
        <v>6256.6543580955358</v>
      </c>
      <c r="Q301" s="25">
        <f t="shared" si="61"/>
        <v>0</v>
      </c>
      <c r="R301" s="26" t="str">
        <f t="shared" si="62"/>
        <v>COIN</v>
      </c>
      <c r="S301" s="26" t="str">
        <f t="shared" si="57"/>
        <v>LONG</v>
      </c>
      <c r="T301" s="26" t="str">
        <f t="shared" si="63"/>
        <v>COIN LONG</v>
      </c>
      <c r="U301" s="17">
        <f t="shared" si="64"/>
        <v>6256.6543580955404</v>
      </c>
      <c r="V301" s="17">
        <f t="shared" si="65"/>
        <v>0.16144632245409199</v>
      </c>
      <c r="W301" s="39">
        <f>IF($C301="","",IF(DefaultScenario,IF(OR(AND(Default_Exchange="ALL",NOT(ISERROR(MATCH($C301,$AF$6:$AF$37,0)))),$C301=Default_Exchange),IF($G301&gt;0,-LGD,0),0),IF(OR($J301="SWAP",$J301="FUTURE",$J301="CME FUTURE"),IF('Futures &amp; Perps Shifted'!$AE$31,VLOOKUP($M301,'Futures &amp; Perps Shifted'!$AE$32:$AO$76,MATCH($R301,'Futures &amp; Perps Shifted'!$AE$30:$AO$30,0),FALSE),0),0)))</f>
        <v>0</v>
      </c>
      <c r="X301" s="17">
        <f t="shared" si="66"/>
        <v>0</v>
      </c>
      <c r="Y301" s="14" t="str">
        <f t="shared" si="56"/>
        <v>HUBI</v>
      </c>
      <c r="Z301" t="str">
        <f t="shared" si="67"/>
        <v>SOLO COIN LONG</v>
      </c>
      <c r="AA301" t="b">
        <f>IF($C301="","",IF(ISERROR(VLOOKUP($Y301,Mappings!$A:$C,3,FALSE)),FALSE,VLOOKUP($Y301,Mappings!$A:$C,3,FALSE)))</f>
        <v>1</v>
      </c>
    </row>
    <row r="302" spans="1:27" customFormat="1" x14ac:dyDescent="0.25">
      <c r="A302" s="14">
        <v>300</v>
      </c>
      <c r="B302" s="71">
        <v>44939.000003240741</v>
      </c>
      <c r="C302" s="14" t="s">
        <v>39</v>
      </c>
      <c r="D302" s="23" t="s">
        <v>120</v>
      </c>
      <c r="E302" s="23" t="s">
        <v>156</v>
      </c>
      <c r="F302" s="101">
        <v>29.76350429</v>
      </c>
      <c r="G302" s="153">
        <v>8.8686409626250899</v>
      </c>
      <c r="H302" s="157">
        <v>0.29797032218429897</v>
      </c>
      <c r="I302" s="23">
        <v>0</v>
      </c>
      <c r="J302" s="23" t="s">
        <v>85</v>
      </c>
      <c r="K302" s="24">
        <v>44939.000003240741</v>
      </c>
      <c r="L302" s="23">
        <v>1</v>
      </c>
      <c r="M302" s="23" t="s">
        <v>156</v>
      </c>
      <c r="N302" s="45">
        <f t="shared" si="58"/>
        <v>1</v>
      </c>
      <c r="O302" s="159">
        <f t="shared" si="59"/>
        <v>29.76350429</v>
      </c>
      <c r="P302" s="47">
        <f t="shared" si="60"/>
        <v>8.8686409626250651</v>
      </c>
      <c r="Q302" s="25">
        <f t="shared" si="61"/>
        <v>0</v>
      </c>
      <c r="R302" s="26" t="str">
        <f t="shared" si="62"/>
        <v>COIN</v>
      </c>
      <c r="S302" s="26" t="str">
        <f t="shared" si="57"/>
        <v>LONG</v>
      </c>
      <c r="T302" s="26" t="str">
        <f t="shared" si="63"/>
        <v>COIN LONG</v>
      </c>
      <c r="U302" s="17">
        <f t="shared" si="64"/>
        <v>8.8686409626250899</v>
      </c>
      <c r="V302" s="17">
        <f t="shared" si="65"/>
        <v>0.29797032218429897</v>
      </c>
      <c r="W302" s="39">
        <f>IF($C302="","",IF(DefaultScenario,IF(OR(AND(Default_Exchange="ALL",NOT(ISERROR(MATCH($C302,$AF$6:$AF$37,0)))),$C302=Default_Exchange),IF($G302&gt;0,-LGD,0),0),IF(OR($J302="SWAP",$J302="FUTURE",$J302="CME FUTURE"),IF('Futures &amp; Perps Shifted'!$AE$31,VLOOKUP($M302,'Futures &amp; Perps Shifted'!$AE$32:$AO$76,MATCH($R302,'Futures &amp; Perps Shifted'!$AE$30:$AO$30,0),FALSE),0),0)))</f>
        <v>0</v>
      </c>
      <c r="X302" s="17">
        <f t="shared" si="66"/>
        <v>0</v>
      </c>
      <c r="Y302" s="14" t="str">
        <f t="shared" si="56"/>
        <v>HUBI</v>
      </c>
      <c r="Z302" t="str">
        <f t="shared" si="67"/>
        <v>STORJ COIN LONG</v>
      </c>
      <c r="AA302" t="b">
        <f>IF($C302="","",IF(ISERROR(VLOOKUP($Y302,Mappings!$A:$C,3,FALSE)),FALSE,VLOOKUP($Y302,Mappings!$A:$C,3,FALSE)))</f>
        <v>1</v>
      </c>
    </row>
    <row r="303" spans="1:27" customFormat="1" x14ac:dyDescent="0.25">
      <c r="A303" s="14">
        <v>301</v>
      </c>
      <c r="B303" s="71">
        <v>44939.000003240741</v>
      </c>
      <c r="C303" s="14" t="s">
        <v>39</v>
      </c>
      <c r="D303" s="23" t="s">
        <v>120</v>
      </c>
      <c r="E303" s="23" t="s">
        <v>25</v>
      </c>
      <c r="F303" s="101">
        <v>44.266270740000003</v>
      </c>
      <c r="G303" s="153">
        <v>2.5280998251357198</v>
      </c>
      <c r="H303" s="157">
        <v>5.7111199630631597E-2</v>
      </c>
      <c r="I303" s="23">
        <v>0</v>
      </c>
      <c r="J303" s="23" t="s">
        <v>85</v>
      </c>
      <c r="K303" s="24">
        <v>44939.000003240741</v>
      </c>
      <c r="L303" s="23">
        <v>1</v>
      </c>
      <c r="M303" s="23" t="s">
        <v>25</v>
      </c>
      <c r="N303" s="45">
        <f t="shared" si="58"/>
        <v>1</v>
      </c>
      <c r="O303" s="159">
        <f t="shared" si="59"/>
        <v>44.266270740000003</v>
      </c>
      <c r="P303" s="47">
        <f t="shared" si="60"/>
        <v>2.5280998251357265</v>
      </c>
      <c r="Q303" s="25">
        <f t="shared" si="61"/>
        <v>0</v>
      </c>
      <c r="R303" s="26" t="str">
        <f t="shared" si="62"/>
        <v>COIN</v>
      </c>
      <c r="S303" s="26" t="str">
        <f t="shared" si="57"/>
        <v>LONG</v>
      </c>
      <c r="T303" s="26" t="str">
        <f t="shared" si="63"/>
        <v>COIN LONG</v>
      </c>
      <c r="U303" s="17">
        <f t="shared" si="64"/>
        <v>2.5280998251357198</v>
      </c>
      <c r="V303" s="17">
        <f t="shared" si="65"/>
        <v>5.7111199630631597E-2</v>
      </c>
      <c r="W303" s="39">
        <f>IF($C303="","",IF(DefaultScenario,IF(OR(AND(Default_Exchange="ALL",NOT(ISERROR(MATCH($C303,$AF$6:$AF$37,0)))),$C303=Default_Exchange),IF($G303&gt;0,-LGD,0),0),IF(OR($J303="SWAP",$J303="FUTURE",$J303="CME FUTURE"),IF('Futures &amp; Perps Shifted'!$AE$31,VLOOKUP($M303,'Futures &amp; Perps Shifted'!$AE$32:$AO$76,MATCH($R303,'Futures &amp; Perps Shifted'!$AE$30:$AO$30,0),FALSE),0),0)))</f>
        <v>0</v>
      </c>
      <c r="X303" s="17">
        <f t="shared" si="66"/>
        <v>0</v>
      </c>
      <c r="Y303" s="14" t="str">
        <f t="shared" si="56"/>
        <v>HUBI</v>
      </c>
      <c r="Z303" t="str">
        <f t="shared" si="67"/>
        <v>TRX COIN LONG</v>
      </c>
      <c r="AA303" t="b">
        <f>IF($C303="","",IF(ISERROR(VLOOKUP($Y303,Mappings!$A:$C,3,FALSE)),FALSE,VLOOKUP($Y303,Mappings!$A:$C,3,FALSE)))</f>
        <v>1</v>
      </c>
    </row>
    <row r="304" spans="1:27" customFormat="1" x14ac:dyDescent="0.25">
      <c r="A304" s="14">
        <v>302</v>
      </c>
      <c r="B304" s="71">
        <v>44939.000003240741</v>
      </c>
      <c r="C304" s="14" t="s">
        <v>39</v>
      </c>
      <c r="D304" s="23" t="s">
        <v>120</v>
      </c>
      <c r="E304" s="23" t="s">
        <v>157</v>
      </c>
      <c r="F304" s="101">
        <v>6.3152970000000003E-2</v>
      </c>
      <c r="G304" s="153">
        <v>2.2172842281770701E-4</v>
      </c>
      <c r="H304" s="157">
        <v>3.5109737961287902E-3</v>
      </c>
      <c r="I304" s="23">
        <v>0</v>
      </c>
      <c r="J304" s="23" t="s">
        <v>85</v>
      </c>
      <c r="K304" s="24">
        <v>44939.000003240741</v>
      </c>
      <c r="L304" s="23">
        <v>1</v>
      </c>
      <c r="M304" s="23" t="s">
        <v>157</v>
      </c>
      <c r="N304" s="45">
        <f t="shared" si="58"/>
        <v>1</v>
      </c>
      <c r="O304" s="159">
        <f t="shared" si="59"/>
        <v>6.3152970000000003E-2</v>
      </c>
      <c r="P304" s="47">
        <f t="shared" si="60"/>
        <v>2.2172842281770761E-4</v>
      </c>
      <c r="Q304" s="25">
        <f t="shared" si="61"/>
        <v>0</v>
      </c>
      <c r="R304" s="26" t="str">
        <f t="shared" si="62"/>
        <v>COIN</v>
      </c>
      <c r="S304" s="26" t="str">
        <f t="shared" si="57"/>
        <v>LONG</v>
      </c>
      <c r="T304" s="26" t="str">
        <f t="shared" si="63"/>
        <v>COIN LONG</v>
      </c>
      <c r="U304" s="17">
        <f t="shared" si="64"/>
        <v>2.2172842281770701E-4</v>
      </c>
      <c r="V304" s="17">
        <f t="shared" si="65"/>
        <v>3.5109737961287902E-3</v>
      </c>
      <c r="W304" s="39">
        <f>IF($C304="","",IF(DefaultScenario,IF(OR(AND(Default_Exchange="ALL",NOT(ISERROR(MATCH($C304,$AF$6:$AF$37,0)))),$C304=Default_Exchange),IF($G304&gt;0,-LGD,0),0),IF(OR($J304="SWAP",$J304="FUTURE",$J304="CME FUTURE"),IF('Futures &amp; Perps Shifted'!$AE$31,VLOOKUP($M304,'Futures &amp; Perps Shifted'!$AE$32:$AO$76,MATCH($R304,'Futures &amp; Perps Shifted'!$AE$30:$AO$30,0),FALSE),0),0)))</f>
        <v>0</v>
      </c>
      <c r="X304" s="17">
        <f t="shared" si="66"/>
        <v>0</v>
      </c>
      <c r="Y304" s="14" t="str">
        <f t="shared" si="56"/>
        <v>HUBI</v>
      </c>
      <c r="Z304" t="str">
        <f t="shared" si="67"/>
        <v>TT COIN LONG</v>
      </c>
      <c r="AA304" t="b">
        <f>IF($C304="","",IF(ISERROR(VLOOKUP($Y304,Mappings!$A:$C,3,FALSE)),FALSE,VLOOKUP($Y304,Mappings!$A:$C,3,FALSE)))</f>
        <v>1</v>
      </c>
    </row>
    <row r="305" spans="1:27" customFormat="1" x14ac:dyDescent="0.25">
      <c r="A305" s="14">
        <v>303</v>
      </c>
      <c r="B305" s="71">
        <v>44939.000003240741</v>
      </c>
      <c r="C305" s="14" t="s">
        <v>39</v>
      </c>
      <c r="D305" s="23" t="s">
        <v>120</v>
      </c>
      <c r="E305" s="23" t="s">
        <v>158</v>
      </c>
      <c r="F305" s="101">
        <v>20</v>
      </c>
      <c r="G305" s="153">
        <v>19.997862390323</v>
      </c>
      <c r="H305" s="157">
        <v>0.99989311951615301</v>
      </c>
      <c r="I305" s="23">
        <v>0</v>
      </c>
      <c r="J305" s="23" t="s">
        <v>85</v>
      </c>
      <c r="K305" s="24">
        <v>44939.000003240741</v>
      </c>
      <c r="L305" s="23">
        <v>1</v>
      </c>
      <c r="M305" s="23" t="s">
        <v>158</v>
      </c>
      <c r="N305" s="45">
        <f t="shared" si="58"/>
        <v>1</v>
      </c>
      <c r="O305" s="159">
        <f t="shared" si="59"/>
        <v>20</v>
      </c>
      <c r="P305" s="47">
        <f t="shared" si="60"/>
        <v>19.997862390323061</v>
      </c>
      <c r="Q305" s="25">
        <f t="shared" si="61"/>
        <v>0</v>
      </c>
      <c r="R305" s="26" t="str">
        <f t="shared" si="62"/>
        <v>COIN</v>
      </c>
      <c r="S305" s="26" t="str">
        <f t="shared" si="57"/>
        <v>LONG</v>
      </c>
      <c r="T305" s="26" t="str">
        <f t="shared" si="63"/>
        <v>COIN LONG</v>
      </c>
      <c r="U305" s="17">
        <f t="shared" si="64"/>
        <v>19.997862390323</v>
      </c>
      <c r="V305" s="17">
        <f t="shared" si="65"/>
        <v>0.99989311951615301</v>
      </c>
      <c r="W305" s="39">
        <f>IF($C305="","",IF(DefaultScenario,IF(OR(AND(Default_Exchange="ALL",NOT(ISERROR(MATCH($C305,$AF$6:$AF$37,0)))),$C305=Default_Exchange),IF($G305&gt;0,-LGD,0),0),IF(OR($J305="SWAP",$J305="FUTURE",$J305="CME FUTURE"),IF('Futures &amp; Perps Shifted'!$AE$31,VLOOKUP($M305,'Futures &amp; Perps Shifted'!$AE$32:$AO$76,MATCH($R305,'Futures &amp; Perps Shifted'!$AE$30:$AO$30,0),FALSE),0),0)))</f>
        <v>0</v>
      </c>
      <c r="X305" s="17">
        <f t="shared" si="66"/>
        <v>0</v>
      </c>
      <c r="Y305" s="14" t="str">
        <f t="shared" ref="Y305:Y368" si="68">IF($C305="","",IF(ISERROR(SEARCH("-",$D305)),$C305,LEFT($D305,SEARCH("-",$D305)-1)))</f>
        <v>HUBI</v>
      </c>
      <c r="Z305" t="str">
        <f t="shared" si="67"/>
        <v>TUSD COIN LONG</v>
      </c>
      <c r="AA305" t="b">
        <f>IF($C305="","",IF(ISERROR(VLOOKUP($Y305,Mappings!$A:$C,3,FALSE)),FALSE,VLOOKUP($Y305,Mappings!$A:$C,3,FALSE)))</f>
        <v>1</v>
      </c>
    </row>
    <row r="306" spans="1:27" customFormat="1" x14ac:dyDescent="0.25">
      <c r="A306" s="14">
        <v>304</v>
      </c>
      <c r="B306" s="71">
        <v>44939.000003240741</v>
      </c>
      <c r="C306" s="14" t="s">
        <v>39</v>
      </c>
      <c r="D306" s="23" t="s">
        <v>120</v>
      </c>
      <c r="E306" s="23" t="s">
        <v>159</v>
      </c>
      <c r="F306" s="101">
        <v>1E-8</v>
      </c>
      <c r="G306" s="153">
        <v>6.1733812820777396E-8</v>
      </c>
      <c r="H306" s="157">
        <v>6.1733812820777398</v>
      </c>
      <c r="I306" s="23">
        <v>0</v>
      </c>
      <c r="J306" s="23" t="s">
        <v>85</v>
      </c>
      <c r="K306" s="24">
        <v>44939.000003240741</v>
      </c>
      <c r="L306" s="23">
        <v>1</v>
      </c>
      <c r="M306" s="23" t="s">
        <v>159</v>
      </c>
      <c r="N306" s="45">
        <f t="shared" si="58"/>
        <v>1</v>
      </c>
      <c r="O306" s="159">
        <f t="shared" si="59"/>
        <v>1E-8</v>
      </c>
      <c r="P306" s="47">
        <f t="shared" si="60"/>
        <v>6.1733812820777396E-8</v>
      </c>
      <c r="Q306" s="25">
        <f t="shared" si="61"/>
        <v>0</v>
      </c>
      <c r="R306" s="26" t="str">
        <f t="shared" si="62"/>
        <v>COIN</v>
      </c>
      <c r="S306" s="26" t="str">
        <f t="shared" si="57"/>
        <v>LONG</v>
      </c>
      <c r="T306" s="26" t="str">
        <f t="shared" si="63"/>
        <v>COIN LONG</v>
      </c>
      <c r="U306" s="17">
        <f t="shared" si="64"/>
        <v>6.1733812820777396E-8</v>
      </c>
      <c r="V306" s="17">
        <f t="shared" si="65"/>
        <v>6.1733812820777398</v>
      </c>
      <c r="W306" s="39">
        <f>IF($C306="","",IF(DefaultScenario,IF(OR(AND(Default_Exchange="ALL",NOT(ISERROR(MATCH($C306,$AF$6:$AF$37,0)))),$C306=Default_Exchange),IF($G306&gt;0,-LGD,0),0),IF(OR($J306="SWAP",$J306="FUTURE",$J306="CME FUTURE"),IF('Futures &amp; Perps Shifted'!$AE$31,VLOOKUP($M306,'Futures &amp; Perps Shifted'!$AE$32:$AO$76,MATCH($R306,'Futures &amp; Perps Shifted'!$AE$30:$AO$30,0),FALSE),0),0)))</f>
        <v>0</v>
      </c>
      <c r="X306" s="17">
        <f t="shared" si="66"/>
        <v>0</v>
      </c>
      <c r="Y306" s="14" t="str">
        <f t="shared" si="68"/>
        <v>HUBI</v>
      </c>
      <c r="Z306" t="str">
        <f t="shared" si="67"/>
        <v>UNI COIN LONG</v>
      </c>
      <c r="AA306" t="b">
        <f>IF($C306="","",IF(ISERROR(VLOOKUP($Y306,Mappings!$A:$C,3,FALSE)),FALSE,VLOOKUP($Y306,Mappings!$A:$C,3,FALSE)))</f>
        <v>1</v>
      </c>
    </row>
    <row r="307" spans="1:27" customFormat="1" x14ac:dyDescent="0.25">
      <c r="A307" s="14">
        <v>305</v>
      </c>
      <c r="B307" s="71">
        <v>44939.000003240741</v>
      </c>
      <c r="C307" s="14" t="s">
        <v>39</v>
      </c>
      <c r="D307" s="23" t="s">
        <v>120</v>
      </c>
      <c r="E307" s="23" t="s">
        <v>92</v>
      </c>
      <c r="F307" s="101">
        <v>5.6000000000000004E-7</v>
      </c>
      <c r="G307" s="153">
        <v>5.6004040379134398E-7</v>
      </c>
      <c r="H307" s="157">
        <v>1.0000721496274001</v>
      </c>
      <c r="I307" s="23">
        <v>0</v>
      </c>
      <c r="J307" s="23" t="s">
        <v>85</v>
      </c>
      <c r="K307" s="24">
        <v>44939.000003240741</v>
      </c>
      <c r="L307" s="23">
        <v>1</v>
      </c>
      <c r="M307" s="23" t="s">
        <v>92</v>
      </c>
      <c r="N307" s="45">
        <f t="shared" si="58"/>
        <v>1</v>
      </c>
      <c r="O307" s="159">
        <f t="shared" si="59"/>
        <v>5.6000000000000004E-7</v>
      </c>
      <c r="P307" s="47">
        <f t="shared" si="60"/>
        <v>5.6004040379134409E-7</v>
      </c>
      <c r="Q307" s="25">
        <f t="shared" si="61"/>
        <v>0</v>
      </c>
      <c r="R307" s="26" t="str">
        <f t="shared" si="62"/>
        <v>COIN</v>
      </c>
      <c r="S307" s="26" t="str">
        <f t="shared" si="57"/>
        <v>LONG</v>
      </c>
      <c r="T307" s="26" t="str">
        <f t="shared" si="63"/>
        <v>COIN LONG</v>
      </c>
      <c r="U307" s="17">
        <f t="shared" si="64"/>
        <v>5.6004040379134398E-7</v>
      </c>
      <c r="V307" s="17">
        <f t="shared" si="65"/>
        <v>1.0000721496274001</v>
      </c>
      <c r="W307" s="39">
        <f>IF($C307="","",IF(DefaultScenario,IF(OR(AND(Default_Exchange="ALL",NOT(ISERROR(MATCH($C307,$AF$6:$AF$37,0)))),$C307=Default_Exchange),IF($G307&gt;0,-LGD,0),0),IF(OR($J307="SWAP",$J307="FUTURE",$J307="CME FUTURE"),IF('Futures &amp; Perps Shifted'!$AE$31,VLOOKUP($M307,'Futures &amp; Perps Shifted'!$AE$32:$AO$76,MATCH($R307,'Futures &amp; Perps Shifted'!$AE$30:$AO$30,0),FALSE),0),0)))</f>
        <v>0</v>
      </c>
      <c r="X307" s="17">
        <f t="shared" si="66"/>
        <v>0</v>
      </c>
      <c r="Y307" s="14" t="str">
        <f t="shared" si="68"/>
        <v>HUBI</v>
      </c>
      <c r="Z307" t="str">
        <f t="shared" si="67"/>
        <v>USDC COIN LONG</v>
      </c>
      <c r="AA307" t="b">
        <f>IF($C307="","",IF(ISERROR(VLOOKUP($Y307,Mappings!$A:$C,3,FALSE)),FALSE,VLOOKUP($Y307,Mappings!$A:$C,3,FALSE)))</f>
        <v>1</v>
      </c>
    </row>
    <row r="308" spans="1:27" customFormat="1" x14ac:dyDescent="0.25">
      <c r="A308" s="14">
        <v>306</v>
      </c>
      <c r="B308" s="71">
        <v>44939.000003240741</v>
      </c>
      <c r="C308" s="14" t="s">
        <v>39</v>
      </c>
      <c r="D308" s="23" t="s">
        <v>120</v>
      </c>
      <c r="E308" s="23" t="s">
        <v>160</v>
      </c>
      <c r="F308" s="101">
        <v>0.34680431</v>
      </c>
      <c r="G308" s="153">
        <v>0.34621618871566701</v>
      </c>
      <c r="H308" s="157">
        <v>0.99830416962138402</v>
      </c>
      <c r="I308" s="23">
        <v>0</v>
      </c>
      <c r="J308" s="23" t="s">
        <v>85</v>
      </c>
      <c r="K308" s="24">
        <v>44939.000003240741</v>
      </c>
      <c r="L308" s="23">
        <v>1</v>
      </c>
      <c r="M308" s="23" t="s">
        <v>160</v>
      </c>
      <c r="N308" s="45">
        <f t="shared" si="58"/>
        <v>1</v>
      </c>
      <c r="O308" s="159">
        <f t="shared" si="59"/>
        <v>0.34680431</v>
      </c>
      <c r="P308" s="47">
        <f t="shared" si="60"/>
        <v>0.34621618871566706</v>
      </c>
      <c r="Q308" s="25">
        <f t="shared" si="61"/>
        <v>0</v>
      </c>
      <c r="R308" s="26" t="str">
        <f t="shared" si="62"/>
        <v>COIN</v>
      </c>
      <c r="S308" s="26" t="str">
        <f t="shared" si="57"/>
        <v>LONG</v>
      </c>
      <c r="T308" s="26" t="str">
        <f t="shared" si="63"/>
        <v>COIN LONG</v>
      </c>
      <c r="U308" s="17">
        <f t="shared" si="64"/>
        <v>0.34621618871566701</v>
      </c>
      <c r="V308" s="17">
        <f t="shared" si="65"/>
        <v>0.99830416962138402</v>
      </c>
      <c r="W308" s="39">
        <f>IF($C308="","",IF(DefaultScenario,IF(OR(AND(Default_Exchange="ALL",NOT(ISERROR(MATCH($C308,$AF$6:$AF$37,0)))),$C308=Default_Exchange),IF($G308&gt;0,-LGD,0),0),IF(OR($J308="SWAP",$J308="FUTURE",$J308="CME FUTURE"),IF('Futures &amp; Perps Shifted'!$AE$31,VLOOKUP($M308,'Futures &amp; Perps Shifted'!$AE$32:$AO$76,MATCH($R308,'Futures &amp; Perps Shifted'!$AE$30:$AO$30,0),FALSE),0),0)))</f>
        <v>0</v>
      </c>
      <c r="X308" s="17">
        <f t="shared" si="66"/>
        <v>0</v>
      </c>
      <c r="Y308" s="14" t="str">
        <f t="shared" si="68"/>
        <v>HUBI</v>
      </c>
      <c r="Z308" t="str">
        <f t="shared" si="67"/>
        <v>USDP COIN LONG</v>
      </c>
      <c r="AA308" t="b">
        <f>IF($C308="","",IF(ISERROR(VLOOKUP($Y308,Mappings!$A:$C,3,FALSE)),FALSE,VLOOKUP($Y308,Mappings!$A:$C,3,FALSE)))</f>
        <v>1</v>
      </c>
    </row>
    <row r="309" spans="1:27" customFormat="1" x14ac:dyDescent="0.25">
      <c r="A309" s="14">
        <v>307</v>
      </c>
      <c r="B309" s="71">
        <v>44939.000003240741</v>
      </c>
      <c r="C309" s="14" t="s">
        <v>39</v>
      </c>
      <c r="D309" s="23" t="s">
        <v>120</v>
      </c>
      <c r="E309" s="23" t="s">
        <v>38</v>
      </c>
      <c r="F309" s="101">
        <v>2871094.4364123498</v>
      </c>
      <c r="G309" s="153">
        <v>2871358.7183138798</v>
      </c>
      <c r="H309" s="157">
        <v>1.00009204918451</v>
      </c>
      <c r="I309" s="23">
        <v>0</v>
      </c>
      <c r="J309" s="23" t="s">
        <v>85</v>
      </c>
      <c r="K309" s="24">
        <v>44939.000003240741</v>
      </c>
      <c r="L309" s="23">
        <v>1</v>
      </c>
      <c r="M309" s="23" t="s">
        <v>38</v>
      </c>
      <c r="N309" s="45">
        <f t="shared" si="58"/>
        <v>1</v>
      </c>
      <c r="O309" s="159">
        <f t="shared" si="59"/>
        <v>2871094.4364123498</v>
      </c>
      <c r="P309" s="47">
        <f t="shared" si="60"/>
        <v>2871358.7183138728</v>
      </c>
      <c r="Q309" s="25">
        <f t="shared" si="61"/>
        <v>0</v>
      </c>
      <c r="R309" s="26" t="str">
        <f t="shared" si="62"/>
        <v>COIN</v>
      </c>
      <c r="S309" s="26" t="str">
        <f t="shared" si="57"/>
        <v>LONG</v>
      </c>
      <c r="T309" s="26" t="str">
        <f t="shared" si="63"/>
        <v>COIN LONG</v>
      </c>
      <c r="U309" s="17">
        <f t="shared" si="64"/>
        <v>2871358.7183138798</v>
      </c>
      <c r="V309" s="17">
        <f t="shared" si="65"/>
        <v>1.00009204918451</v>
      </c>
      <c r="W309" s="39">
        <f>IF($C309="","",IF(DefaultScenario,IF(OR(AND(Default_Exchange="ALL",NOT(ISERROR(MATCH($C309,$AF$6:$AF$37,0)))),$C309=Default_Exchange),IF($G309&gt;0,-LGD,0),0),IF(OR($J309="SWAP",$J309="FUTURE",$J309="CME FUTURE"),IF('Futures &amp; Perps Shifted'!$AE$31,VLOOKUP($M309,'Futures &amp; Perps Shifted'!$AE$32:$AO$76,MATCH($R309,'Futures &amp; Perps Shifted'!$AE$30:$AO$30,0),FALSE),0),0)))</f>
        <v>0</v>
      </c>
      <c r="X309" s="17">
        <f t="shared" si="66"/>
        <v>0</v>
      </c>
      <c r="Y309" s="14" t="str">
        <f t="shared" si="68"/>
        <v>HUBI</v>
      </c>
      <c r="Z309" t="str">
        <f t="shared" si="67"/>
        <v>USDT COIN LONG</v>
      </c>
      <c r="AA309" t="b">
        <f>IF($C309="","",IF(ISERROR(VLOOKUP($Y309,Mappings!$A:$C,3,FALSE)),FALSE,VLOOKUP($Y309,Mappings!$A:$C,3,FALSE)))</f>
        <v>1</v>
      </c>
    </row>
    <row r="310" spans="1:27" customFormat="1" x14ac:dyDescent="0.25">
      <c r="A310" s="14">
        <v>308</v>
      </c>
      <c r="B310" s="71">
        <v>44939.000003240741</v>
      </c>
      <c r="C310" s="14" t="s">
        <v>39</v>
      </c>
      <c r="D310" s="23" t="s">
        <v>120</v>
      </c>
      <c r="E310" s="23" t="s">
        <v>196</v>
      </c>
      <c r="F310" s="101">
        <v>25.959481520000001</v>
      </c>
      <c r="G310" s="153">
        <v>0.48913662714363099</v>
      </c>
      <c r="H310" s="157">
        <v>1.8842311113447498E-2</v>
      </c>
      <c r="I310" s="23">
        <v>0</v>
      </c>
      <c r="J310" s="23" t="s">
        <v>85</v>
      </c>
      <c r="K310" s="24">
        <v>44939.000003240741</v>
      </c>
      <c r="L310" s="23">
        <v>1</v>
      </c>
      <c r="M310" s="23" t="s">
        <v>196</v>
      </c>
      <c r="N310" s="45">
        <f t="shared" si="58"/>
        <v>1</v>
      </c>
      <c r="O310" s="159">
        <f t="shared" si="59"/>
        <v>25.959481520000001</v>
      </c>
      <c r="P310" s="47">
        <f t="shared" si="60"/>
        <v>0.48913662714363099</v>
      </c>
      <c r="Q310" s="25">
        <f t="shared" si="61"/>
        <v>0</v>
      </c>
      <c r="R310" s="26" t="str">
        <f t="shared" si="62"/>
        <v>COIN</v>
      </c>
      <c r="S310" s="26" t="str">
        <f t="shared" si="57"/>
        <v>LONG</v>
      </c>
      <c r="T310" s="26" t="str">
        <f t="shared" si="63"/>
        <v>COIN LONG</v>
      </c>
      <c r="U310" s="17">
        <f t="shared" si="64"/>
        <v>0.48913662714363099</v>
      </c>
      <c r="V310" s="17">
        <f t="shared" si="65"/>
        <v>1.8842311113447498E-2</v>
      </c>
      <c r="W310" s="39">
        <f>IF($C310="","",IF(DefaultScenario,IF(OR(AND(Default_Exchange="ALL",NOT(ISERROR(MATCH($C310,$AF$6:$AF$37,0)))),$C310=Default_Exchange),IF($G310&gt;0,-LGD,0),0),IF(OR($J310="SWAP",$J310="FUTURE",$J310="CME FUTURE"),IF('Futures &amp; Perps Shifted'!$AE$31,VLOOKUP($M310,'Futures &amp; Perps Shifted'!$AE$32:$AO$76,MATCH($R310,'Futures &amp; Perps Shifted'!$AE$30:$AO$30,0),FALSE),0),0)))</f>
        <v>0</v>
      </c>
      <c r="X310" s="17">
        <f t="shared" si="66"/>
        <v>0</v>
      </c>
      <c r="Y310" s="14" t="str">
        <f t="shared" si="68"/>
        <v>HUBI</v>
      </c>
      <c r="Z310" t="str">
        <f t="shared" si="67"/>
        <v>VET COIN LONG</v>
      </c>
      <c r="AA310" t="b">
        <f>IF($C310="","",IF(ISERROR(VLOOKUP($Y310,Mappings!$A:$C,3,FALSE)),FALSE,VLOOKUP($Y310,Mappings!$A:$C,3,FALSE)))</f>
        <v>1</v>
      </c>
    </row>
    <row r="311" spans="1:27" customFormat="1" x14ac:dyDescent="0.25">
      <c r="A311" s="14">
        <v>309</v>
      </c>
      <c r="B311" s="71">
        <v>44939.000003240741</v>
      </c>
      <c r="C311" s="14" t="s">
        <v>39</v>
      </c>
      <c r="D311" s="23" t="s">
        <v>120</v>
      </c>
      <c r="E311" s="23" t="s">
        <v>161</v>
      </c>
      <c r="F311" s="101">
        <v>0.20872535</v>
      </c>
      <c r="G311" s="153">
        <v>2.25420236368514E-4</v>
      </c>
      <c r="H311" s="157">
        <v>1.0799849484909899E-3</v>
      </c>
      <c r="I311" s="23">
        <v>0</v>
      </c>
      <c r="J311" s="23" t="s">
        <v>85</v>
      </c>
      <c r="K311" s="24">
        <v>44939.000003240741</v>
      </c>
      <c r="L311" s="23">
        <v>1</v>
      </c>
      <c r="M311" s="23" t="s">
        <v>161</v>
      </c>
      <c r="N311" s="45">
        <f t="shared" si="58"/>
        <v>1</v>
      </c>
      <c r="O311" s="159">
        <f t="shared" si="59"/>
        <v>0.20872535</v>
      </c>
      <c r="P311" s="47">
        <f t="shared" si="60"/>
        <v>2.2542023636851384E-4</v>
      </c>
      <c r="Q311" s="25">
        <f t="shared" si="61"/>
        <v>0</v>
      </c>
      <c r="R311" s="26" t="str">
        <f t="shared" si="62"/>
        <v>COIN</v>
      </c>
      <c r="S311" s="26" t="str">
        <f t="shared" si="57"/>
        <v>LONG</v>
      </c>
      <c r="T311" s="26" t="str">
        <f t="shared" si="63"/>
        <v>COIN LONG</v>
      </c>
      <c r="U311" s="17">
        <f t="shared" si="64"/>
        <v>2.25420236368514E-4</v>
      </c>
      <c r="V311" s="17">
        <f t="shared" si="65"/>
        <v>1.0799849484909899E-3</v>
      </c>
      <c r="W311" s="39">
        <f>IF($C311="","",IF(DefaultScenario,IF(OR(AND(Default_Exchange="ALL",NOT(ISERROR(MATCH($C311,$AF$6:$AF$37,0)))),$C311=Default_Exchange),IF($G311&gt;0,-LGD,0),0),IF(OR($J311="SWAP",$J311="FUTURE",$J311="CME FUTURE"),IF('Futures &amp; Perps Shifted'!$AE$31,VLOOKUP($M311,'Futures &amp; Perps Shifted'!$AE$32:$AO$76,MATCH($R311,'Futures &amp; Perps Shifted'!$AE$30:$AO$30,0),FALSE),0),0)))</f>
        <v>0</v>
      </c>
      <c r="X311" s="17">
        <f t="shared" si="66"/>
        <v>0</v>
      </c>
      <c r="Y311" s="14" t="str">
        <f t="shared" si="68"/>
        <v>HUBI</v>
      </c>
      <c r="Z311" t="str">
        <f t="shared" si="67"/>
        <v>VSYS COIN LONG</v>
      </c>
      <c r="AA311" t="b">
        <f>IF($C311="","",IF(ISERROR(VLOOKUP($Y311,Mappings!$A:$C,3,FALSE)),FALSE,VLOOKUP($Y311,Mappings!$A:$C,3,FALSE)))</f>
        <v>1</v>
      </c>
    </row>
    <row r="312" spans="1:27" customFormat="1" x14ac:dyDescent="0.25">
      <c r="A312" s="14">
        <v>310</v>
      </c>
      <c r="B312" s="71">
        <v>44939.000003240741</v>
      </c>
      <c r="C312" s="14" t="s">
        <v>39</v>
      </c>
      <c r="D312" s="23" t="s">
        <v>120</v>
      </c>
      <c r="E312" s="23" t="s">
        <v>162</v>
      </c>
      <c r="F312" s="101">
        <v>97856389.900000006</v>
      </c>
      <c r="G312" s="153">
        <v>2672.58922903138</v>
      </c>
      <c r="H312" s="157">
        <v>2.7311340953437101E-5</v>
      </c>
      <c r="I312" s="23">
        <v>0</v>
      </c>
      <c r="J312" s="23" t="s">
        <v>85</v>
      </c>
      <c r="K312" s="24">
        <v>44939.000003240741</v>
      </c>
      <c r="L312" s="23">
        <v>1</v>
      </c>
      <c r="M312" s="23" t="s">
        <v>162</v>
      </c>
      <c r="N312" s="45">
        <f t="shared" si="58"/>
        <v>1</v>
      </c>
      <c r="O312" s="159">
        <f t="shared" si="59"/>
        <v>97856389.900000006</v>
      </c>
      <c r="P312" s="47">
        <f t="shared" si="60"/>
        <v>2672.5892290313786</v>
      </c>
      <c r="Q312" s="25">
        <f t="shared" si="61"/>
        <v>0</v>
      </c>
      <c r="R312" s="26" t="str">
        <f t="shared" si="62"/>
        <v>COIN</v>
      </c>
      <c r="S312" s="26" t="str">
        <f t="shared" si="57"/>
        <v>LONG</v>
      </c>
      <c r="T312" s="26" t="str">
        <f t="shared" si="63"/>
        <v>COIN LONG</v>
      </c>
      <c r="U312" s="17">
        <f t="shared" si="64"/>
        <v>2672.58922903138</v>
      </c>
      <c r="V312" s="17">
        <f t="shared" si="65"/>
        <v>2.7311340953437101E-5</v>
      </c>
      <c r="W312" s="39">
        <f>IF($C312="","",IF(DefaultScenario,IF(OR(AND(Default_Exchange="ALL",NOT(ISERROR(MATCH($C312,$AF$6:$AF$37,0)))),$C312=Default_Exchange),IF($G312&gt;0,-LGD,0),0),IF(OR($J312="SWAP",$J312="FUTURE",$J312="CME FUTURE"),IF('Futures &amp; Perps Shifted'!$AE$31,VLOOKUP($M312,'Futures &amp; Perps Shifted'!$AE$32:$AO$76,MATCH($R312,'Futures &amp; Perps Shifted'!$AE$30:$AO$30,0),FALSE),0),0)))</f>
        <v>0</v>
      </c>
      <c r="X312" s="17">
        <f t="shared" si="66"/>
        <v>0</v>
      </c>
      <c r="Y312" s="14" t="str">
        <f t="shared" si="68"/>
        <v>HUBI</v>
      </c>
      <c r="Z312" t="str">
        <f t="shared" si="67"/>
        <v>XEC COIN LONG</v>
      </c>
      <c r="AA312" t="b">
        <f>IF($C312="","",IF(ISERROR(VLOOKUP($Y312,Mappings!$A:$C,3,FALSE)),FALSE,VLOOKUP($Y312,Mappings!$A:$C,3,FALSE)))</f>
        <v>1</v>
      </c>
    </row>
    <row r="313" spans="1:27" customFormat="1" x14ac:dyDescent="0.25">
      <c r="A313" s="14">
        <v>311</v>
      </c>
      <c r="B313" s="71">
        <v>44939.000003240741</v>
      </c>
      <c r="C313" s="14" t="s">
        <v>39</v>
      </c>
      <c r="D313" s="23" t="s">
        <v>120</v>
      </c>
      <c r="E313" s="23" t="s">
        <v>163</v>
      </c>
      <c r="F313" s="101">
        <v>0.55556267999999998</v>
      </c>
      <c r="G313" s="153">
        <v>4.5358239391654502E-2</v>
      </c>
      <c r="H313" s="157">
        <v>8.1643783905093401E-2</v>
      </c>
      <c r="I313" s="23">
        <v>0</v>
      </c>
      <c r="J313" s="23" t="s">
        <v>85</v>
      </c>
      <c r="K313" s="24">
        <v>44939.000003240741</v>
      </c>
      <c r="L313" s="23">
        <v>1</v>
      </c>
      <c r="M313" s="23" t="s">
        <v>163</v>
      </c>
      <c r="N313" s="45">
        <f t="shared" si="58"/>
        <v>1</v>
      </c>
      <c r="O313" s="159">
        <f t="shared" si="59"/>
        <v>0.55556267999999998</v>
      </c>
      <c r="P313" s="47">
        <f t="shared" si="60"/>
        <v>4.5358239391654551E-2</v>
      </c>
      <c r="Q313" s="25">
        <f t="shared" si="61"/>
        <v>0</v>
      </c>
      <c r="R313" s="26" t="str">
        <f t="shared" si="62"/>
        <v>COIN</v>
      </c>
      <c r="S313" s="26" t="str">
        <f t="shared" ref="S313:S376" si="69">IF($C313="","",IF($J313="CME FUTURE",IF($G313&gt;0,"LONG","SHORT"),IF($G313&gt;0,"LONG","SHORT")))</f>
        <v>LONG</v>
      </c>
      <c r="T313" s="26" t="str">
        <f t="shared" si="63"/>
        <v>COIN LONG</v>
      </c>
      <c r="U313" s="17">
        <f t="shared" si="64"/>
        <v>4.5358239391654502E-2</v>
      </c>
      <c r="V313" s="17">
        <f t="shared" si="65"/>
        <v>8.1643783905093401E-2</v>
      </c>
      <c r="W313" s="39">
        <f>IF($C313="","",IF(DefaultScenario,IF(OR(AND(Default_Exchange="ALL",NOT(ISERROR(MATCH($C313,$AF$6:$AF$37,0)))),$C313=Default_Exchange),IF($G313&gt;0,-LGD,0),0),IF(OR($J313="SWAP",$J313="FUTURE",$J313="CME FUTURE"),IF('Futures &amp; Perps Shifted'!$AE$31,VLOOKUP($M313,'Futures &amp; Perps Shifted'!$AE$32:$AO$76,MATCH($R313,'Futures &amp; Perps Shifted'!$AE$30:$AO$30,0),FALSE),0),0)))</f>
        <v>0</v>
      </c>
      <c r="X313" s="17">
        <f t="shared" si="66"/>
        <v>0</v>
      </c>
      <c r="Y313" s="14" t="str">
        <f t="shared" si="68"/>
        <v>HUBI</v>
      </c>
      <c r="Z313" t="str">
        <f t="shared" si="67"/>
        <v>XLM COIN LONG</v>
      </c>
      <c r="AA313" t="b">
        <f>IF($C313="","",IF(ISERROR(VLOOKUP($Y313,Mappings!$A:$C,3,FALSE)),FALSE,VLOOKUP($Y313,Mappings!$A:$C,3,FALSE)))</f>
        <v>1</v>
      </c>
    </row>
    <row r="314" spans="1:27" customFormat="1" x14ac:dyDescent="0.25">
      <c r="A314" s="14">
        <v>312</v>
      </c>
      <c r="B314" s="71">
        <v>44939.000003240741</v>
      </c>
      <c r="C314" s="14" t="s">
        <v>39</v>
      </c>
      <c r="D314" s="23" t="s">
        <v>120</v>
      </c>
      <c r="E314" s="23" t="s">
        <v>99</v>
      </c>
      <c r="F314" s="101">
        <v>351.63120758000002</v>
      </c>
      <c r="G314" s="153">
        <v>131.93102420708399</v>
      </c>
      <c r="H314" s="157">
        <v>0.37519714224190098</v>
      </c>
      <c r="I314" s="23">
        <v>0</v>
      </c>
      <c r="J314" s="23" t="s">
        <v>85</v>
      </c>
      <c r="K314" s="24">
        <v>44939.000003240741</v>
      </c>
      <c r="L314" s="23">
        <v>1</v>
      </c>
      <c r="M314" s="23" t="s">
        <v>99</v>
      </c>
      <c r="N314" s="45">
        <f t="shared" si="58"/>
        <v>1</v>
      </c>
      <c r="O314" s="159">
        <f t="shared" si="59"/>
        <v>351.63120758000002</v>
      </c>
      <c r="P314" s="47">
        <f t="shared" si="60"/>
        <v>131.93102420708468</v>
      </c>
      <c r="Q314" s="25">
        <f t="shared" si="61"/>
        <v>0</v>
      </c>
      <c r="R314" s="26" t="str">
        <f t="shared" si="62"/>
        <v>COIN</v>
      </c>
      <c r="S314" s="26" t="str">
        <f t="shared" si="69"/>
        <v>LONG</v>
      </c>
      <c r="T314" s="26" t="str">
        <f t="shared" si="63"/>
        <v>COIN LONG</v>
      </c>
      <c r="U314" s="17">
        <f t="shared" si="64"/>
        <v>131.93102420708399</v>
      </c>
      <c r="V314" s="17">
        <f t="shared" si="65"/>
        <v>0.37519714224190098</v>
      </c>
      <c r="W314" s="39">
        <f>IF($C314="","",IF(DefaultScenario,IF(OR(AND(Default_Exchange="ALL",NOT(ISERROR(MATCH($C314,$AF$6:$AF$37,0)))),$C314=Default_Exchange),IF($G314&gt;0,-LGD,0),0),IF(OR($J314="SWAP",$J314="FUTURE",$J314="CME FUTURE"),IF('Futures &amp; Perps Shifted'!$AE$31,VLOOKUP($M314,'Futures &amp; Perps Shifted'!$AE$32:$AO$76,MATCH($R314,'Futures &amp; Perps Shifted'!$AE$30:$AO$30,0),FALSE),0),0)))</f>
        <v>0</v>
      </c>
      <c r="X314" s="17">
        <f t="shared" si="66"/>
        <v>0</v>
      </c>
      <c r="Y314" s="14" t="str">
        <f t="shared" si="68"/>
        <v>HUBI</v>
      </c>
      <c r="Z314" t="str">
        <f t="shared" si="67"/>
        <v>XRP COIN LONG</v>
      </c>
      <c r="AA314" t="b">
        <f>IF($C314="","",IF(ISERROR(VLOOKUP($Y314,Mappings!$A:$C,3,FALSE)),FALSE,VLOOKUP($Y314,Mappings!$A:$C,3,FALSE)))</f>
        <v>1</v>
      </c>
    </row>
    <row r="315" spans="1:27" customFormat="1" x14ac:dyDescent="0.25">
      <c r="A315" s="14">
        <v>313</v>
      </c>
      <c r="B315" s="71">
        <v>44939.000003240741</v>
      </c>
      <c r="C315" s="14" t="s">
        <v>39</v>
      </c>
      <c r="D315" s="23" t="s">
        <v>120</v>
      </c>
      <c r="E315" s="23" t="s">
        <v>164</v>
      </c>
      <c r="F315" s="101">
        <v>3.9304560899999998</v>
      </c>
      <c r="G315" s="153">
        <v>3.4950788489567901</v>
      </c>
      <c r="H315" s="157">
        <v>0.88922984226921997</v>
      </c>
      <c r="I315" s="23">
        <v>0</v>
      </c>
      <c r="J315" s="23" t="s">
        <v>85</v>
      </c>
      <c r="K315" s="24">
        <v>44939.000003240741</v>
      </c>
      <c r="L315" s="23">
        <v>1</v>
      </c>
      <c r="M315" s="23" t="s">
        <v>164</v>
      </c>
      <c r="N315" s="45">
        <f t="shared" ref="N315:N378" si="70">IF($C315="","",IF(OR($J315="SWAP",$J315="FUTURE",$J315="CME FUTURE"),IF($L315=1,ROUND($G315/$H315/$F315,3),POWER(10,ROUND(LOG($G315/$F315),1))),1))</f>
        <v>1</v>
      </c>
      <c r="O315" s="159">
        <f>IF($C315="","",IF(OR($J315="SWAP",$J315="FUTURE",$J315="CME FUTURE"),IF($L315=1,$F315*$N315,$AB$2*$F315*$N315/$H315),F315))</f>
        <v>3.9304560899999998</v>
      </c>
      <c r="P315" s="47">
        <f t="shared" si="60"/>
        <v>3.495078848956795</v>
      </c>
      <c r="Q315" s="25">
        <f t="shared" si="61"/>
        <v>0</v>
      </c>
      <c r="R315" s="26" t="str">
        <f t="shared" si="62"/>
        <v>COIN</v>
      </c>
      <c r="S315" s="26" t="str">
        <f t="shared" si="69"/>
        <v>LONG</v>
      </c>
      <c r="T315" s="26" t="str">
        <f t="shared" si="63"/>
        <v>COIN LONG</v>
      </c>
      <c r="U315" s="17">
        <f t="shared" si="64"/>
        <v>3.4950788489567901</v>
      </c>
      <c r="V315" s="17">
        <f t="shared" si="65"/>
        <v>0.88922984226921997</v>
      </c>
      <c r="W315" s="39">
        <f>IF($C315="","",IF(DefaultScenario,IF(OR(AND(Default_Exchange="ALL",NOT(ISERROR(MATCH($C315,$AF$6:$AF$37,0)))),$C315=Default_Exchange),IF($G315&gt;0,-LGD,0),0),IF(OR($J315="SWAP",$J315="FUTURE",$J315="CME FUTURE"),IF('Futures &amp; Perps Shifted'!$AE$31,VLOOKUP($M315,'Futures &amp; Perps Shifted'!$AE$32:$AO$76,MATCH($R315,'Futures &amp; Perps Shifted'!$AE$30:$AO$30,0),FALSE),0),0)))</f>
        <v>0</v>
      </c>
      <c r="X315" s="17">
        <f t="shared" si="66"/>
        <v>0</v>
      </c>
      <c r="Y315" s="14" t="str">
        <f t="shared" si="68"/>
        <v>HUBI</v>
      </c>
      <c r="Z315" t="str">
        <f t="shared" si="67"/>
        <v>XTZ COIN LONG</v>
      </c>
      <c r="AA315" t="b">
        <f>IF($C315="","",IF(ISERROR(VLOOKUP($Y315,Mappings!$A:$C,3,FALSE)),FALSE,VLOOKUP($Y315,Mappings!$A:$C,3,FALSE)))</f>
        <v>1</v>
      </c>
    </row>
    <row r="316" spans="1:27" customFormat="1" x14ac:dyDescent="0.25">
      <c r="A316" s="14">
        <v>314</v>
      </c>
      <c r="B316" s="71">
        <v>44939.000003240741</v>
      </c>
      <c r="C316" s="14" t="s">
        <v>39</v>
      </c>
      <c r="D316" s="23" t="s">
        <v>120</v>
      </c>
      <c r="E316" s="23" t="s">
        <v>117</v>
      </c>
      <c r="F316" s="101">
        <v>1.329583E-2</v>
      </c>
      <c r="G316" s="153">
        <v>16.3346720498742</v>
      </c>
      <c r="H316" s="157">
        <v>1228.5560246990401</v>
      </c>
      <c r="I316" s="23">
        <v>0</v>
      </c>
      <c r="J316" s="23" t="s">
        <v>85</v>
      </c>
      <c r="K316" s="24">
        <v>44939.000003240741</v>
      </c>
      <c r="L316" s="23">
        <v>1</v>
      </c>
      <c r="M316" s="23" t="s">
        <v>117</v>
      </c>
      <c r="N316" s="45">
        <f t="shared" si="70"/>
        <v>1</v>
      </c>
      <c r="O316" s="159">
        <f t="shared" ref="O316:O379" si="71">IF($C316="","",IF(OR($J316="SWAP",$J316="FUTURE",$J316="CME FUTURE"),IF($L316=1,$F316*$N316,$AB$2*$F316*$N316/$H316),F316))</f>
        <v>1.329583E-2</v>
      </c>
      <c r="P316" s="47">
        <f t="shared" si="60"/>
        <v>16.334672049874239</v>
      </c>
      <c r="Q316" s="25">
        <f t="shared" si="61"/>
        <v>0</v>
      </c>
      <c r="R316" s="26" t="str">
        <f t="shared" si="62"/>
        <v>COIN</v>
      </c>
      <c r="S316" s="26" t="str">
        <f t="shared" si="69"/>
        <v>LONG</v>
      </c>
      <c r="T316" s="26" t="str">
        <f t="shared" si="63"/>
        <v>COIN LONG</v>
      </c>
      <c r="U316" s="17">
        <f t="shared" si="64"/>
        <v>16.3346720498742</v>
      </c>
      <c r="V316" s="17">
        <f t="shared" si="65"/>
        <v>1228.5560246990401</v>
      </c>
      <c r="W316" s="39">
        <f>IF($C316="","",IF(DefaultScenario,IF(OR(AND(Default_Exchange="ALL",NOT(ISERROR(MATCH($C316,$AF$6:$AF$37,0)))),$C316=Default_Exchange),IF($G316&gt;0,-LGD,0),0),IF(OR($J316="SWAP",$J316="FUTURE",$J316="CME FUTURE"),IF('Futures &amp; Perps Shifted'!$AE$31,VLOOKUP($M316,'Futures &amp; Perps Shifted'!$AE$32:$AO$76,MATCH($R316,'Futures &amp; Perps Shifted'!$AE$30:$AO$30,0),FALSE),0),0)))</f>
        <v>0</v>
      </c>
      <c r="X316" s="17">
        <f t="shared" si="66"/>
        <v>0</v>
      </c>
      <c r="Y316" s="14" t="str">
        <f t="shared" si="68"/>
        <v>HUBI</v>
      </c>
      <c r="Z316" t="str">
        <f t="shared" si="67"/>
        <v>YFII COIN LONG</v>
      </c>
      <c r="AA316" t="b">
        <f>IF($C316="","",IF(ISERROR(VLOOKUP($Y316,Mappings!$A:$C,3,FALSE)),FALSE,VLOOKUP($Y316,Mappings!$A:$C,3,FALSE)))</f>
        <v>1</v>
      </c>
    </row>
    <row r="317" spans="1:27" customFormat="1" x14ac:dyDescent="0.25">
      <c r="A317" s="14">
        <v>315</v>
      </c>
      <c r="B317" s="71">
        <v>44939.000003240741</v>
      </c>
      <c r="C317" s="14" t="s">
        <v>39</v>
      </c>
      <c r="D317" s="23" t="s">
        <v>120</v>
      </c>
      <c r="E317" s="23" t="s">
        <v>165</v>
      </c>
      <c r="F317" s="101">
        <v>2.173E-4</v>
      </c>
      <c r="G317" s="153">
        <v>9.8461120696399299E-3</v>
      </c>
      <c r="H317" s="157">
        <v>45.3111462017484</v>
      </c>
      <c r="I317" s="23">
        <v>0</v>
      </c>
      <c r="J317" s="23" t="s">
        <v>85</v>
      </c>
      <c r="K317" s="24">
        <v>44939.000003240741</v>
      </c>
      <c r="L317" s="23">
        <v>1</v>
      </c>
      <c r="M317" s="23" t="s">
        <v>165</v>
      </c>
      <c r="N317" s="45">
        <f t="shared" si="70"/>
        <v>1</v>
      </c>
      <c r="O317" s="159">
        <f t="shared" si="71"/>
        <v>2.173E-4</v>
      </c>
      <c r="P317" s="47">
        <f t="shared" si="60"/>
        <v>9.8461120696399264E-3</v>
      </c>
      <c r="Q317" s="25">
        <f t="shared" si="61"/>
        <v>0</v>
      </c>
      <c r="R317" s="26" t="str">
        <f t="shared" si="62"/>
        <v>COIN</v>
      </c>
      <c r="S317" s="26" t="str">
        <f t="shared" si="69"/>
        <v>LONG</v>
      </c>
      <c r="T317" s="26" t="str">
        <f t="shared" si="63"/>
        <v>COIN LONG</v>
      </c>
      <c r="U317" s="17">
        <f t="shared" si="64"/>
        <v>9.8461120696399299E-3</v>
      </c>
      <c r="V317" s="17">
        <f t="shared" si="65"/>
        <v>45.3111462017484</v>
      </c>
      <c r="W317" s="39">
        <f>IF($C317="","",IF(DefaultScenario,IF(OR(AND(Default_Exchange="ALL",NOT(ISERROR(MATCH($C317,$AF$6:$AF$37,0)))),$C317=Default_Exchange),IF($G317&gt;0,-LGD,0),0),IF(OR($J317="SWAP",$J317="FUTURE",$J317="CME FUTURE"),IF('Futures &amp; Perps Shifted'!$AE$31,VLOOKUP($M317,'Futures &amp; Perps Shifted'!$AE$32:$AO$76,MATCH($R317,'Futures &amp; Perps Shifted'!$AE$30:$AO$30,0),FALSE),0),0)))</f>
        <v>0</v>
      </c>
      <c r="X317" s="17">
        <f t="shared" si="66"/>
        <v>0</v>
      </c>
      <c r="Y317" s="14" t="str">
        <f t="shared" si="68"/>
        <v>HUBI</v>
      </c>
      <c r="Z317" t="str">
        <f t="shared" si="67"/>
        <v>ZEC COIN LONG</v>
      </c>
      <c r="AA317" t="b">
        <f>IF($C317="","",IF(ISERROR(VLOOKUP($Y317,Mappings!$A:$C,3,FALSE)),FALSE,VLOOKUP($Y317,Mappings!$A:$C,3,FALSE)))</f>
        <v>1</v>
      </c>
    </row>
    <row r="318" spans="1:27" customFormat="1" x14ac:dyDescent="0.25">
      <c r="A318" s="14">
        <v>316</v>
      </c>
      <c r="B318" s="71">
        <v>44939.000003240741</v>
      </c>
      <c r="C318" s="14" t="s">
        <v>39</v>
      </c>
      <c r="D318" s="23" t="s">
        <v>120</v>
      </c>
      <c r="E318" s="23" t="s">
        <v>26</v>
      </c>
      <c r="F318" s="101">
        <v>1471148.6227112999</v>
      </c>
      <c r="G318" s="153">
        <v>35270.023095900899</v>
      </c>
      <c r="H318" s="157">
        <v>2.39744799073386E-2</v>
      </c>
      <c r="I318" s="23">
        <v>0</v>
      </c>
      <c r="J318" s="23" t="s">
        <v>85</v>
      </c>
      <c r="K318" s="24">
        <v>44939.000003240741</v>
      </c>
      <c r="L318" s="23">
        <v>1</v>
      </c>
      <c r="M318" s="23" t="s">
        <v>26</v>
      </c>
      <c r="N318" s="45">
        <f t="shared" si="70"/>
        <v>1</v>
      </c>
      <c r="O318" s="159">
        <f t="shared" si="71"/>
        <v>1471148.6227112999</v>
      </c>
      <c r="P318" s="47">
        <f t="shared" si="60"/>
        <v>35270.023095900913</v>
      </c>
      <c r="Q318" s="25">
        <f t="shared" si="61"/>
        <v>0</v>
      </c>
      <c r="R318" s="26" t="str">
        <f t="shared" si="62"/>
        <v>COIN</v>
      </c>
      <c r="S318" s="26" t="str">
        <f t="shared" si="69"/>
        <v>LONG</v>
      </c>
      <c r="T318" s="26" t="str">
        <f t="shared" si="63"/>
        <v>COIN LONG</v>
      </c>
      <c r="U318" s="17">
        <f t="shared" si="64"/>
        <v>35270.023095900899</v>
      </c>
      <c r="V318" s="17">
        <f t="shared" si="65"/>
        <v>2.39744799073386E-2</v>
      </c>
      <c r="W318" s="39">
        <f>IF($C318="","",IF(DefaultScenario,IF(OR(AND(Default_Exchange="ALL",NOT(ISERROR(MATCH($C318,$AF$6:$AF$37,0)))),$C318=Default_Exchange),IF($G318&gt;0,-LGD,0),0),IF(OR($J318="SWAP",$J318="FUTURE",$J318="CME FUTURE"),IF('Futures &amp; Perps Shifted'!$AE$31,VLOOKUP($M318,'Futures &amp; Perps Shifted'!$AE$32:$AO$76,MATCH($R318,'Futures &amp; Perps Shifted'!$AE$30:$AO$30,0),FALSE),0),0)))</f>
        <v>0</v>
      </c>
      <c r="X318" s="17">
        <f t="shared" si="66"/>
        <v>0</v>
      </c>
      <c r="Y318" s="14" t="str">
        <f t="shared" si="68"/>
        <v>HUBI</v>
      </c>
      <c r="Z318" t="str">
        <f t="shared" si="67"/>
        <v>ZIL COIN LONG</v>
      </c>
      <c r="AA318" t="b">
        <f>IF($C318="","",IF(ISERROR(VLOOKUP($Y318,Mappings!$A:$C,3,FALSE)),FALSE,VLOOKUP($Y318,Mappings!$A:$C,3,FALSE)))</f>
        <v>1</v>
      </c>
    </row>
    <row r="319" spans="1:27" customFormat="1" x14ac:dyDescent="0.25">
      <c r="A319" s="14">
        <v>317</v>
      </c>
      <c r="B319" s="71">
        <v>44939.000003240741</v>
      </c>
      <c r="C319" s="14" t="s">
        <v>39</v>
      </c>
      <c r="D319" s="23" t="s">
        <v>166</v>
      </c>
      <c r="E319" s="23" t="s">
        <v>20</v>
      </c>
      <c r="F319" s="101">
        <v>1E-8</v>
      </c>
      <c r="G319" s="153">
        <v>1.1971046613741201E-6</v>
      </c>
      <c r="H319" s="157">
        <v>119.710466137412</v>
      </c>
      <c r="I319" s="23">
        <v>0</v>
      </c>
      <c r="J319" s="23" t="s">
        <v>85</v>
      </c>
      <c r="K319" s="24">
        <v>44939.000003240741</v>
      </c>
      <c r="L319" s="23">
        <v>1</v>
      </c>
      <c r="M319" s="23" t="s">
        <v>20</v>
      </c>
      <c r="N319" s="45">
        <f t="shared" si="70"/>
        <v>1</v>
      </c>
      <c r="O319" s="159">
        <f t="shared" si="71"/>
        <v>1E-8</v>
      </c>
      <c r="P319" s="47">
        <f t="shared" si="60"/>
        <v>1.1971046613741201E-6</v>
      </c>
      <c r="Q319" s="25">
        <f t="shared" si="61"/>
        <v>0</v>
      </c>
      <c r="R319" s="26" t="str">
        <f t="shared" si="62"/>
        <v>COIN</v>
      </c>
      <c r="S319" s="26" t="str">
        <f t="shared" si="69"/>
        <v>LONG</v>
      </c>
      <c r="T319" s="26" t="str">
        <f t="shared" si="63"/>
        <v>COIN LONG</v>
      </c>
      <c r="U319" s="17">
        <f t="shared" si="64"/>
        <v>1.1971046613741201E-6</v>
      </c>
      <c r="V319" s="17">
        <f t="shared" si="65"/>
        <v>119.710466137412</v>
      </c>
      <c r="W319" s="39">
        <f>IF($C319="","",IF(DefaultScenario,IF(OR(AND(Default_Exchange="ALL",NOT(ISERROR(MATCH($C319,$AF$6:$AF$37,0)))),$C319=Default_Exchange),IF($G319&gt;0,-LGD,0),0),IF(OR($J319="SWAP",$J319="FUTURE",$J319="CME FUTURE"),IF('Futures &amp; Perps Shifted'!$AE$31,VLOOKUP($M319,'Futures &amp; Perps Shifted'!$AE$32:$AO$76,MATCH($R319,'Futures &amp; Perps Shifted'!$AE$30:$AO$30,0),FALSE),0),0)))</f>
        <v>0</v>
      </c>
      <c r="X319" s="17">
        <f t="shared" si="66"/>
        <v>0</v>
      </c>
      <c r="Y319" s="14" t="str">
        <f t="shared" si="68"/>
        <v>HUBI</v>
      </c>
      <c r="Z319" t="str">
        <f t="shared" si="67"/>
        <v>BCH COIN LONG</v>
      </c>
      <c r="AA319" t="b">
        <f>IF($C319="","",IF(ISERROR(VLOOKUP($Y319,Mappings!$A:$C,3,FALSE)),FALSE,VLOOKUP($Y319,Mappings!$A:$C,3,FALSE)))</f>
        <v>1</v>
      </c>
    </row>
    <row r="320" spans="1:27" customFormat="1" x14ac:dyDescent="0.25">
      <c r="A320" s="14">
        <v>318</v>
      </c>
      <c r="B320" s="71">
        <v>44939.000003240741</v>
      </c>
      <c r="C320" s="14" t="s">
        <v>39</v>
      </c>
      <c r="D320" s="23" t="s">
        <v>166</v>
      </c>
      <c r="E320" s="23" t="s">
        <v>29</v>
      </c>
      <c r="F320" s="101">
        <v>1E-8</v>
      </c>
      <c r="G320" s="153">
        <v>2.0917758217744E-7</v>
      </c>
      <c r="H320" s="157">
        <v>20.917758217744002</v>
      </c>
      <c r="I320" s="23">
        <v>0</v>
      </c>
      <c r="J320" s="23" t="s">
        <v>85</v>
      </c>
      <c r="K320" s="24">
        <v>44939.000003240741</v>
      </c>
      <c r="L320" s="23">
        <v>1</v>
      </c>
      <c r="M320" s="23" t="s">
        <v>29</v>
      </c>
      <c r="N320" s="45">
        <f t="shared" si="70"/>
        <v>1</v>
      </c>
      <c r="O320" s="159">
        <f t="shared" si="71"/>
        <v>1E-8</v>
      </c>
      <c r="P320" s="47">
        <f t="shared" si="60"/>
        <v>2.0917758217744002E-7</v>
      </c>
      <c r="Q320" s="25">
        <f t="shared" si="61"/>
        <v>0</v>
      </c>
      <c r="R320" s="26" t="str">
        <f t="shared" si="62"/>
        <v>COIN</v>
      </c>
      <c r="S320" s="26" t="str">
        <f t="shared" si="69"/>
        <v>LONG</v>
      </c>
      <c r="T320" s="26" t="str">
        <f t="shared" si="63"/>
        <v>COIN LONG</v>
      </c>
      <c r="U320" s="17">
        <f t="shared" si="64"/>
        <v>2.0917758217744E-7</v>
      </c>
      <c r="V320" s="17">
        <f t="shared" si="65"/>
        <v>20.917758217744002</v>
      </c>
      <c r="W320" s="39">
        <f>IF($C320="","",IF(DefaultScenario,IF(OR(AND(Default_Exchange="ALL",NOT(ISERROR(MATCH($C320,$AF$6:$AF$37,0)))),$C320=Default_Exchange),IF($G320&gt;0,-LGD,0),0),IF(OR($J320="SWAP",$J320="FUTURE",$J320="CME FUTURE"),IF('Futures &amp; Perps Shifted'!$AE$31,VLOOKUP($M320,'Futures &amp; Perps Shifted'!$AE$32:$AO$76,MATCH($R320,'Futures &amp; Perps Shifted'!$AE$30:$AO$30,0),FALSE),0),0)))</f>
        <v>0</v>
      </c>
      <c r="X320" s="17">
        <f t="shared" si="66"/>
        <v>0</v>
      </c>
      <c r="Y320" s="14" t="str">
        <f t="shared" si="68"/>
        <v>HUBI</v>
      </c>
      <c r="Z320" t="str">
        <f t="shared" si="67"/>
        <v>ETC COIN LONG</v>
      </c>
      <c r="AA320" t="b">
        <f>IF($C320="","",IF(ISERROR(VLOOKUP($Y320,Mappings!$A:$C,3,FALSE)),FALSE,VLOOKUP($Y320,Mappings!$A:$C,3,FALSE)))</f>
        <v>1</v>
      </c>
    </row>
    <row r="321" spans="1:27" customFormat="1" x14ac:dyDescent="0.25">
      <c r="A321" s="14">
        <v>319</v>
      </c>
      <c r="B321" s="71">
        <v>44939.000003240741</v>
      </c>
      <c r="C321" s="14" t="s">
        <v>39</v>
      </c>
      <c r="D321" s="23" t="s">
        <v>166</v>
      </c>
      <c r="E321" s="23" t="s">
        <v>24</v>
      </c>
      <c r="F321" s="101">
        <v>1E-8</v>
      </c>
      <c r="G321" s="153">
        <v>8.5964229450756099E-7</v>
      </c>
      <c r="H321" s="157">
        <v>85.964229450756093</v>
      </c>
      <c r="I321" s="23">
        <v>0</v>
      </c>
      <c r="J321" s="23" t="s">
        <v>85</v>
      </c>
      <c r="K321" s="24">
        <v>44939.000003240741</v>
      </c>
      <c r="L321" s="23">
        <v>1</v>
      </c>
      <c r="M321" s="23" t="s">
        <v>24</v>
      </c>
      <c r="N321" s="45">
        <f t="shared" si="70"/>
        <v>1</v>
      </c>
      <c r="O321" s="159">
        <f t="shared" si="71"/>
        <v>1E-8</v>
      </c>
      <c r="P321" s="47">
        <f t="shared" si="60"/>
        <v>8.5964229450756099E-7</v>
      </c>
      <c r="Q321" s="25">
        <f t="shared" si="61"/>
        <v>0</v>
      </c>
      <c r="R321" s="26" t="str">
        <f t="shared" si="62"/>
        <v>COIN</v>
      </c>
      <c r="S321" s="26" t="str">
        <f t="shared" si="69"/>
        <v>LONG</v>
      </c>
      <c r="T321" s="26" t="str">
        <f t="shared" si="63"/>
        <v>COIN LONG</v>
      </c>
      <c r="U321" s="17">
        <f t="shared" si="64"/>
        <v>8.5964229450756099E-7</v>
      </c>
      <c r="V321" s="17">
        <f t="shared" si="65"/>
        <v>85.964229450756093</v>
      </c>
      <c r="W321" s="39">
        <f>IF($C321="","",IF(DefaultScenario,IF(OR(AND(Default_Exchange="ALL",NOT(ISERROR(MATCH($C321,$AF$6:$AF$37,0)))),$C321=Default_Exchange),IF($G321&gt;0,-LGD,0),0),IF(OR($J321="SWAP",$J321="FUTURE",$J321="CME FUTURE"),IF('Futures &amp; Perps Shifted'!$AE$31,VLOOKUP($M321,'Futures &amp; Perps Shifted'!$AE$32:$AO$76,MATCH($R321,'Futures &amp; Perps Shifted'!$AE$30:$AO$30,0),FALSE),0),0)))</f>
        <v>0</v>
      </c>
      <c r="X321" s="17">
        <f t="shared" si="66"/>
        <v>0</v>
      </c>
      <c r="Y321" s="14" t="str">
        <f t="shared" si="68"/>
        <v>HUBI</v>
      </c>
      <c r="Z321" t="str">
        <f t="shared" si="67"/>
        <v>LTC COIN LONG</v>
      </c>
      <c r="AA321" t="b">
        <f>IF($C321="","",IF(ISERROR(VLOOKUP($Y321,Mappings!$A:$C,3,FALSE)),FALSE,VLOOKUP($Y321,Mappings!$A:$C,3,FALSE)))</f>
        <v>1</v>
      </c>
    </row>
    <row r="322" spans="1:27" customFormat="1" x14ac:dyDescent="0.25">
      <c r="A322" s="14">
        <v>320</v>
      </c>
      <c r="B322" s="71">
        <v>44939.000003240741</v>
      </c>
      <c r="C322" s="14" t="s">
        <v>39</v>
      </c>
      <c r="D322" s="23" t="s">
        <v>166</v>
      </c>
      <c r="E322" s="23" t="s">
        <v>25</v>
      </c>
      <c r="F322" s="101">
        <v>1E-8</v>
      </c>
      <c r="G322" s="153">
        <v>5.7111199630631599E-10</v>
      </c>
      <c r="H322" s="157">
        <v>5.7111199630631597E-2</v>
      </c>
      <c r="I322" s="23">
        <v>0</v>
      </c>
      <c r="J322" s="23" t="s">
        <v>85</v>
      </c>
      <c r="K322" s="24">
        <v>44939.000003240741</v>
      </c>
      <c r="L322" s="23">
        <v>1</v>
      </c>
      <c r="M322" s="23" t="s">
        <v>25</v>
      </c>
      <c r="N322" s="45">
        <f t="shared" si="70"/>
        <v>1</v>
      </c>
      <c r="O322" s="159">
        <f t="shared" si="71"/>
        <v>1E-8</v>
      </c>
      <c r="P322" s="47">
        <f t="shared" ref="P322:P385" si="72">IF($C322="","",IF(OR($J322="SWAP",$J322="FUTURE",$J322="CME FUTURE"),IF(NOT(ISERROR(VLOOKUP($M322,SpotUSDRateTable,2,FALSE))),VLOOKUP($M322,SpotUSDRateTable,2,FALSE),$H322)*O322,VLOOKUP($M322,SpotUSDRateTable,2,FALSE)*O322))</f>
        <v>5.7111199630631599E-10</v>
      </c>
      <c r="Q322" s="25">
        <f t="shared" si="61"/>
        <v>0</v>
      </c>
      <c r="R322" s="26" t="str">
        <f t="shared" si="62"/>
        <v>COIN</v>
      </c>
      <c r="S322" s="26" t="str">
        <f t="shared" si="69"/>
        <v>LONG</v>
      </c>
      <c r="T322" s="26" t="str">
        <f t="shared" si="63"/>
        <v>COIN LONG</v>
      </c>
      <c r="U322" s="17">
        <f t="shared" si="64"/>
        <v>5.7111199630631599E-10</v>
      </c>
      <c r="V322" s="17">
        <f t="shared" si="65"/>
        <v>5.7111199630631597E-2</v>
      </c>
      <c r="W322" s="39">
        <f>IF($C322="","",IF(DefaultScenario,IF(OR(AND(Default_Exchange="ALL",NOT(ISERROR(MATCH($C322,$AF$6:$AF$37,0)))),$C322=Default_Exchange),IF($G322&gt;0,-LGD,0),0),IF(OR($J322="SWAP",$J322="FUTURE",$J322="CME FUTURE"),IF('Futures &amp; Perps Shifted'!$AE$31,VLOOKUP($M322,'Futures &amp; Perps Shifted'!$AE$32:$AO$76,MATCH($R322,'Futures &amp; Perps Shifted'!$AE$30:$AO$30,0),FALSE),0),0)))</f>
        <v>0</v>
      </c>
      <c r="X322" s="17">
        <f t="shared" si="66"/>
        <v>0</v>
      </c>
      <c r="Y322" s="14" t="str">
        <f t="shared" si="68"/>
        <v>HUBI</v>
      </c>
      <c r="Z322" t="str">
        <f t="shared" si="67"/>
        <v>TRX COIN LONG</v>
      </c>
      <c r="AA322" t="b">
        <f>IF($C322="","",IF(ISERROR(VLOOKUP($Y322,Mappings!$A:$C,3,FALSE)),FALSE,VLOOKUP($Y322,Mappings!$A:$C,3,FALSE)))</f>
        <v>1</v>
      </c>
    </row>
    <row r="323" spans="1:27" customFormat="1" x14ac:dyDescent="0.25">
      <c r="A323" s="14">
        <v>321</v>
      </c>
      <c r="B323" s="71">
        <v>44939.000003240741</v>
      </c>
      <c r="C323" s="14" t="s">
        <v>39</v>
      </c>
      <c r="D323" s="23" t="s">
        <v>166</v>
      </c>
      <c r="E323" s="23" t="s">
        <v>38</v>
      </c>
      <c r="F323" s="101">
        <v>0.90999770000000002</v>
      </c>
      <c r="G323" s="153">
        <v>0.91008146454619399</v>
      </c>
      <c r="H323" s="157">
        <v>1.00009204918451</v>
      </c>
      <c r="I323" s="23">
        <v>0</v>
      </c>
      <c r="J323" s="23" t="s">
        <v>85</v>
      </c>
      <c r="K323" s="24">
        <v>44939.000003240741</v>
      </c>
      <c r="L323" s="23">
        <v>1</v>
      </c>
      <c r="M323" s="23" t="s">
        <v>38</v>
      </c>
      <c r="N323" s="45">
        <f t="shared" si="70"/>
        <v>1</v>
      </c>
      <c r="O323" s="159">
        <f t="shared" si="71"/>
        <v>0.90999770000000002</v>
      </c>
      <c r="P323" s="47">
        <f t="shared" si="72"/>
        <v>0.91008146454619099</v>
      </c>
      <c r="Q323" s="25">
        <f t="shared" ref="Q323:Q386" si="73">IF($C323="","",IF(OR($J323="SWAP",$J323="FUTURE",$J323="CME FUTURE"),INT($K323-$B323),0))</f>
        <v>0</v>
      </c>
      <c r="R323" s="26" t="str">
        <f t="shared" ref="R323:R386" si="74">IF($C323="","",IF(OR($E323="USD",$E323="EUR"),"CASH",IF($Q323=0,"COIN",IF($Q323&gt;720,"PERP",IF($J323="FUTURE",TEXT($K323-1,"mmm yy"),"CME "&amp;TEXT($K323-1,"mmm yy"))))))</f>
        <v>COIN</v>
      </c>
      <c r="S323" s="26" t="str">
        <f t="shared" si="69"/>
        <v>LONG</v>
      </c>
      <c r="T323" s="26" t="str">
        <f t="shared" ref="T323:T386" si="75">IF($C323="","",$R323&amp;" "&amp;$S323)</f>
        <v>COIN LONG</v>
      </c>
      <c r="U323" s="17">
        <f t="shared" ref="U323:U386" si="76">IF($C323="","",$G323*(1+$W323))</f>
        <v>0.91008146454619399</v>
      </c>
      <c r="V323" s="17">
        <f t="shared" ref="V323:V386" si="77">IF($C323="","",$H323*(1+$W323))</f>
        <v>1.00009204918451</v>
      </c>
      <c r="W323" s="39">
        <f>IF($C323="","",IF(DefaultScenario,IF(OR(AND(Default_Exchange="ALL",NOT(ISERROR(MATCH($C323,$AF$6:$AF$37,0)))),$C323=Default_Exchange),IF($G323&gt;0,-LGD,0),0),IF(OR($J323="SWAP",$J323="FUTURE",$J323="CME FUTURE"),IF('Futures &amp; Perps Shifted'!$AE$31,VLOOKUP($M323,'Futures &amp; Perps Shifted'!$AE$32:$AO$76,MATCH($R323,'Futures &amp; Perps Shifted'!$AE$30:$AO$30,0),FALSE),0),0)))</f>
        <v>0</v>
      </c>
      <c r="X323" s="17">
        <f t="shared" ref="X323:X386" si="78">IF($C323="","",$U323-$G323)</f>
        <v>0</v>
      </c>
      <c r="Y323" s="14" t="str">
        <f t="shared" si="68"/>
        <v>HUBI</v>
      </c>
      <c r="Z323" t="str">
        <f t="shared" ref="Z323:Z386" si="79">IF($C323="","",$M323&amp;" "&amp;$T323)</f>
        <v>USDT COIN LONG</v>
      </c>
      <c r="AA323" t="b">
        <f>IF($C323="","",IF(ISERROR(VLOOKUP($Y323,Mappings!$A:$C,3,FALSE)),FALSE,VLOOKUP($Y323,Mappings!$A:$C,3,FALSE)))</f>
        <v>1</v>
      </c>
    </row>
    <row r="324" spans="1:27" customFormat="1" x14ac:dyDescent="0.25">
      <c r="A324" s="14">
        <v>322</v>
      </c>
      <c r="B324" s="71">
        <v>44939.000003240741</v>
      </c>
      <c r="C324" s="14" t="s">
        <v>39</v>
      </c>
      <c r="D324" s="23" t="s">
        <v>166</v>
      </c>
      <c r="E324" s="23" t="s">
        <v>99</v>
      </c>
      <c r="F324" s="101">
        <v>7.6039999999999997E-5</v>
      </c>
      <c r="G324" s="153">
        <v>2.8529990696074101E-5</v>
      </c>
      <c r="H324" s="157">
        <v>0.37519714224190098</v>
      </c>
      <c r="I324" s="23">
        <v>0</v>
      </c>
      <c r="J324" s="23" t="s">
        <v>85</v>
      </c>
      <c r="K324" s="24">
        <v>44939.000003240741</v>
      </c>
      <c r="L324" s="23">
        <v>1</v>
      </c>
      <c r="M324" s="23" t="s">
        <v>99</v>
      </c>
      <c r="N324" s="45">
        <f t="shared" si="70"/>
        <v>1</v>
      </c>
      <c r="O324" s="159">
        <f t="shared" si="71"/>
        <v>7.6039999999999997E-5</v>
      </c>
      <c r="P324" s="47">
        <f t="shared" si="72"/>
        <v>2.8529990696074148E-5</v>
      </c>
      <c r="Q324" s="25">
        <f t="shared" si="73"/>
        <v>0</v>
      </c>
      <c r="R324" s="26" t="str">
        <f t="shared" si="74"/>
        <v>COIN</v>
      </c>
      <c r="S324" s="26" t="str">
        <f t="shared" si="69"/>
        <v>LONG</v>
      </c>
      <c r="T324" s="26" t="str">
        <f t="shared" si="75"/>
        <v>COIN LONG</v>
      </c>
      <c r="U324" s="17">
        <f t="shared" si="76"/>
        <v>2.8529990696074101E-5</v>
      </c>
      <c r="V324" s="17">
        <f t="shared" si="77"/>
        <v>0.37519714224190098</v>
      </c>
      <c r="W324" s="39">
        <f>IF($C324="","",IF(DefaultScenario,IF(OR(AND(Default_Exchange="ALL",NOT(ISERROR(MATCH($C324,$AF$6:$AF$37,0)))),$C324=Default_Exchange),IF($G324&gt;0,-LGD,0),0),IF(OR($J324="SWAP",$J324="FUTURE",$J324="CME FUTURE"),IF('Futures &amp; Perps Shifted'!$AE$31,VLOOKUP($M324,'Futures &amp; Perps Shifted'!$AE$32:$AO$76,MATCH($R324,'Futures &amp; Perps Shifted'!$AE$30:$AO$30,0),FALSE),0),0)))</f>
        <v>0</v>
      </c>
      <c r="X324" s="17">
        <f t="shared" si="78"/>
        <v>0</v>
      </c>
      <c r="Y324" s="14" t="str">
        <f t="shared" si="68"/>
        <v>HUBI</v>
      </c>
      <c r="Z324" t="str">
        <f t="shared" si="79"/>
        <v>XRP COIN LONG</v>
      </c>
      <c r="AA324" t="b">
        <f>IF($C324="","",IF(ISERROR(VLOOKUP($Y324,Mappings!$A:$C,3,FALSE)),FALSE,VLOOKUP($Y324,Mappings!$A:$C,3,FALSE)))</f>
        <v>1</v>
      </c>
    </row>
    <row r="325" spans="1:27" customFormat="1" x14ac:dyDescent="0.25">
      <c r="A325" s="14">
        <v>323</v>
      </c>
      <c r="B325" s="71">
        <v>44938.917056053244</v>
      </c>
      <c r="C325" s="14" t="s">
        <v>167</v>
      </c>
      <c r="D325" s="23" t="s">
        <v>167</v>
      </c>
      <c r="E325" s="23" t="s">
        <v>35</v>
      </c>
      <c r="F325" s="101">
        <v>0.331542</v>
      </c>
      <c r="G325" s="153">
        <v>4.0695758794946002</v>
      </c>
      <c r="H325" s="157">
        <v>12.274691832390999</v>
      </c>
      <c r="I325" s="23">
        <v>0</v>
      </c>
      <c r="J325" s="23" t="s">
        <v>85</v>
      </c>
      <c r="K325" s="24">
        <v>44938.917056053244</v>
      </c>
      <c r="L325" s="23">
        <v>1</v>
      </c>
      <c r="M325" s="23" t="s">
        <v>35</v>
      </c>
      <c r="N325" s="45">
        <f t="shared" si="70"/>
        <v>1</v>
      </c>
      <c r="O325" s="159">
        <f t="shared" si="71"/>
        <v>0.331542</v>
      </c>
      <c r="P325" s="47">
        <f t="shared" si="72"/>
        <v>4.0695758794945771</v>
      </c>
      <c r="Q325" s="25">
        <f t="shared" si="73"/>
        <v>0</v>
      </c>
      <c r="R325" s="26" t="str">
        <f t="shared" si="74"/>
        <v>COIN</v>
      </c>
      <c r="S325" s="26" t="str">
        <f t="shared" si="69"/>
        <v>LONG</v>
      </c>
      <c r="T325" s="26" t="str">
        <f t="shared" si="75"/>
        <v>COIN LONG</v>
      </c>
      <c r="U325" s="17">
        <f t="shared" si="76"/>
        <v>4.0695758794946002</v>
      </c>
      <c r="V325" s="17">
        <f t="shared" si="77"/>
        <v>12.274691832390999</v>
      </c>
      <c r="W325" s="39">
        <f>IF($C325="","",IF(DefaultScenario,IF(OR(AND(Default_Exchange="ALL",NOT(ISERROR(MATCH($C325,$AF$6:$AF$37,0)))),$C325=Default_Exchange),IF($G325&gt;0,-LGD,0),0),IF(OR($J325="SWAP",$J325="FUTURE",$J325="CME FUTURE"),IF('Futures &amp; Perps Shifted'!$AE$31,VLOOKUP($M325,'Futures &amp; Perps Shifted'!$AE$32:$AO$76,MATCH($R325,'Futures &amp; Perps Shifted'!$AE$30:$AO$30,0),FALSE),0),0)))</f>
        <v>0</v>
      </c>
      <c r="X325" s="17">
        <f t="shared" si="78"/>
        <v>0</v>
      </c>
      <c r="Y325" s="14" t="str">
        <f t="shared" si="68"/>
        <v>KRKE</v>
      </c>
      <c r="Z325" t="str">
        <f t="shared" si="79"/>
        <v>ATOM COIN LONG</v>
      </c>
      <c r="AA325" t="b">
        <f>IF($C325="","",IF(ISERROR(VLOOKUP($Y325,Mappings!$A:$C,3,FALSE)),FALSE,VLOOKUP($Y325,Mappings!$A:$C,3,FALSE)))</f>
        <v>1</v>
      </c>
    </row>
    <row r="326" spans="1:27" customFormat="1" x14ac:dyDescent="0.25">
      <c r="A326" s="14">
        <v>324</v>
      </c>
      <c r="B326" s="71">
        <v>44938.917053553239</v>
      </c>
      <c r="C326" s="14" t="s">
        <v>167</v>
      </c>
      <c r="D326" s="23" t="s">
        <v>167</v>
      </c>
      <c r="E326" s="23" t="s">
        <v>20</v>
      </c>
      <c r="F326" s="101">
        <v>1.7695412699999999</v>
      </c>
      <c r="G326" s="153">
        <v>211.83261028108799</v>
      </c>
      <c r="H326" s="157">
        <v>119.710466137412</v>
      </c>
      <c r="I326" s="23">
        <v>0</v>
      </c>
      <c r="J326" s="23" t="s">
        <v>85</v>
      </c>
      <c r="K326" s="24">
        <v>44938.917053553239</v>
      </c>
      <c r="L326" s="23">
        <v>1</v>
      </c>
      <c r="M326" s="23" t="s">
        <v>20</v>
      </c>
      <c r="N326" s="45">
        <f t="shared" si="70"/>
        <v>1</v>
      </c>
      <c r="O326" s="159">
        <f t="shared" si="71"/>
        <v>1.7695412699999999</v>
      </c>
      <c r="P326" s="47">
        <f t="shared" si="72"/>
        <v>211.83261028108802</v>
      </c>
      <c r="Q326" s="25">
        <f t="shared" si="73"/>
        <v>0</v>
      </c>
      <c r="R326" s="26" t="str">
        <f t="shared" si="74"/>
        <v>COIN</v>
      </c>
      <c r="S326" s="26" t="str">
        <f t="shared" si="69"/>
        <v>LONG</v>
      </c>
      <c r="T326" s="26" t="str">
        <f t="shared" si="75"/>
        <v>COIN LONG</v>
      </c>
      <c r="U326" s="17">
        <f t="shared" si="76"/>
        <v>211.83261028108799</v>
      </c>
      <c r="V326" s="17">
        <f t="shared" si="77"/>
        <v>119.710466137412</v>
      </c>
      <c r="W326" s="39">
        <f>IF($C326="","",IF(DefaultScenario,IF(OR(AND(Default_Exchange="ALL",NOT(ISERROR(MATCH($C326,$AF$6:$AF$37,0)))),$C326=Default_Exchange),IF($G326&gt;0,-LGD,0),0),IF(OR($J326="SWAP",$J326="FUTURE",$J326="CME FUTURE"),IF('Futures &amp; Perps Shifted'!$AE$31,VLOOKUP($M326,'Futures &amp; Perps Shifted'!$AE$32:$AO$76,MATCH($R326,'Futures &amp; Perps Shifted'!$AE$30:$AO$30,0),FALSE),0),0)))</f>
        <v>0</v>
      </c>
      <c r="X326" s="17">
        <f t="shared" si="78"/>
        <v>0</v>
      </c>
      <c r="Y326" s="14" t="str">
        <f t="shared" si="68"/>
        <v>KRKE</v>
      </c>
      <c r="Z326" t="str">
        <f t="shared" si="79"/>
        <v>BCH COIN LONG</v>
      </c>
      <c r="AA326" t="b">
        <f>IF($C326="","",IF(ISERROR(VLOOKUP($Y326,Mappings!$A:$C,3,FALSE)),FALSE,VLOOKUP($Y326,Mappings!$A:$C,3,FALSE)))</f>
        <v>1</v>
      </c>
    </row>
    <row r="327" spans="1:27" customFormat="1" x14ac:dyDescent="0.25">
      <c r="A327" s="14">
        <v>325</v>
      </c>
      <c r="B327" s="71">
        <v>44938.917053703706</v>
      </c>
      <c r="C327" s="14" t="s">
        <v>167</v>
      </c>
      <c r="D327" s="23" t="s">
        <v>167</v>
      </c>
      <c r="E327" s="23" t="s">
        <v>14</v>
      </c>
      <c r="F327" s="101">
        <v>1.8847760000000002E-2</v>
      </c>
      <c r="G327" s="153">
        <v>355.64946696451199</v>
      </c>
      <c r="H327" s="157">
        <v>18869.5880552655</v>
      </c>
      <c r="I327" s="23">
        <v>0</v>
      </c>
      <c r="J327" s="23" t="s">
        <v>85</v>
      </c>
      <c r="K327" s="24">
        <v>44938.917053703706</v>
      </c>
      <c r="L327" s="23">
        <v>1</v>
      </c>
      <c r="M327" s="23" t="s">
        <v>14</v>
      </c>
      <c r="N327" s="45">
        <f t="shared" si="70"/>
        <v>1</v>
      </c>
      <c r="O327" s="159">
        <f t="shared" si="71"/>
        <v>1.8847760000000002E-2</v>
      </c>
      <c r="P327" s="47">
        <f t="shared" si="72"/>
        <v>355.64946696451091</v>
      </c>
      <c r="Q327" s="25">
        <f t="shared" si="73"/>
        <v>0</v>
      </c>
      <c r="R327" s="26" t="str">
        <f t="shared" si="74"/>
        <v>COIN</v>
      </c>
      <c r="S327" s="26" t="str">
        <f t="shared" si="69"/>
        <v>LONG</v>
      </c>
      <c r="T327" s="26" t="str">
        <f t="shared" si="75"/>
        <v>COIN LONG</v>
      </c>
      <c r="U327" s="17">
        <f t="shared" si="76"/>
        <v>355.64946696451199</v>
      </c>
      <c r="V327" s="17">
        <f t="shared" si="77"/>
        <v>18869.5880552655</v>
      </c>
      <c r="W327" s="39">
        <f>IF($C327="","",IF(DefaultScenario,IF(OR(AND(Default_Exchange="ALL",NOT(ISERROR(MATCH($C327,$AF$6:$AF$37,0)))),$C327=Default_Exchange),IF($G327&gt;0,-LGD,0),0),IF(OR($J327="SWAP",$J327="FUTURE",$J327="CME FUTURE"),IF('Futures &amp; Perps Shifted'!$AE$31,VLOOKUP($M327,'Futures &amp; Perps Shifted'!$AE$32:$AO$76,MATCH($R327,'Futures &amp; Perps Shifted'!$AE$30:$AO$30,0),FALSE),0),0)))</f>
        <v>0</v>
      </c>
      <c r="X327" s="17">
        <f t="shared" si="78"/>
        <v>0</v>
      </c>
      <c r="Y327" s="14" t="str">
        <f t="shared" si="68"/>
        <v>KRKE</v>
      </c>
      <c r="Z327" t="str">
        <f t="shared" si="79"/>
        <v>BTC COIN LONG</v>
      </c>
      <c r="AA327" t="b">
        <f>IF($C327="","",IF(ISERROR(VLOOKUP($Y327,Mappings!$A:$C,3,FALSE)),FALSE,VLOOKUP($Y327,Mappings!$A:$C,3,FALSE)))</f>
        <v>1</v>
      </c>
    </row>
    <row r="328" spans="1:27" customFormat="1" x14ac:dyDescent="0.25">
      <c r="A328" s="14">
        <v>326</v>
      </c>
      <c r="B328" s="71">
        <v>44938.91705517361</v>
      </c>
      <c r="C328" s="14" t="s">
        <v>167</v>
      </c>
      <c r="D328" s="23" t="s">
        <v>167</v>
      </c>
      <c r="E328" s="23" t="s">
        <v>23</v>
      </c>
      <c r="F328" s="101">
        <v>9.9499194400000004</v>
      </c>
      <c r="G328" s="153">
        <v>9.8528328702951509</v>
      </c>
      <c r="H328" s="157">
        <v>0.990242476806942</v>
      </c>
      <c r="I328" s="23">
        <v>0</v>
      </c>
      <c r="J328" s="23" t="s">
        <v>85</v>
      </c>
      <c r="K328" s="24">
        <v>44938.91705517361</v>
      </c>
      <c r="L328" s="23">
        <v>1</v>
      </c>
      <c r="M328" s="23" t="s">
        <v>23</v>
      </c>
      <c r="N328" s="45">
        <f t="shared" si="70"/>
        <v>1</v>
      </c>
      <c r="O328" s="159">
        <f t="shared" si="71"/>
        <v>9.9499194400000004</v>
      </c>
      <c r="P328" s="47">
        <f t="shared" si="72"/>
        <v>9.852832870295142</v>
      </c>
      <c r="Q328" s="25">
        <f t="shared" si="73"/>
        <v>0</v>
      </c>
      <c r="R328" s="26" t="str">
        <f t="shared" si="74"/>
        <v>COIN</v>
      </c>
      <c r="S328" s="26" t="str">
        <f t="shared" si="69"/>
        <v>LONG</v>
      </c>
      <c r="T328" s="26" t="str">
        <f t="shared" si="75"/>
        <v>COIN LONG</v>
      </c>
      <c r="U328" s="17">
        <f t="shared" si="76"/>
        <v>9.8528328702951509</v>
      </c>
      <c r="V328" s="17">
        <f t="shared" si="77"/>
        <v>0.990242476806942</v>
      </c>
      <c r="W328" s="39">
        <f>IF($C328="","",IF(DefaultScenario,IF(OR(AND(Default_Exchange="ALL",NOT(ISERROR(MATCH($C328,$AF$6:$AF$37,0)))),$C328=Default_Exchange),IF($G328&gt;0,-LGD,0),0),IF(OR($J328="SWAP",$J328="FUTURE",$J328="CME FUTURE"),IF('Futures &amp; Perps Shifted'!$AE$31,VLOOKUP($M328,'Futures &amp; Perps Shifted'!$AE$32:$AO$76,MATCH($R328,'Futures &amp; Perps Shifted'!$AE$30:$AO$30,0),FALSE),0),0)))</f>
        <v>0</v>
      </c>
      <c r="X328" s="17">
        <f t="shared" si="78"/>
        <v>0</v>
      </c>
      <c r="Y328" s="14" t="str">
        <f t="shared" si="68"/>
        <v>KRKE</v>
      </c>
      <c r="Z328" t="str">
        <f t="shared" si="79"/>
        <v>EOS COIN LONG</v>
      </c>
      <c r="AA328" t="b">
        <f>IF($C328="","",IF(ISERROR(VLOOKUP($Y328,Mappings!$A:$C,3,FALSE)),FALSE,VLOOKUP($Y328,Mappings!$A:$C,3,FALSE)))</f>
        <v>1</v>
      </c>
    </row>
    <row r="329" spans="1:27" customFormat="1" x14ac:dyDescent="0.25">
      <c r="A329" s="14">
        <v>327</v>
      </c>
      <c r="B329" s="71">
        <v>44938.917055324077</v>
      </c>
      <c r="C329" s="14" t="s">
        <v>167</v>
      </c>
      <c r="D329" s="23" t="s">
        <v>167</v>
      </c>
      <c r="E329" s="23" t="s">
        <v>272</v>
      </c>
      <c r="F329" s="101">
        <v>3.4037359</v>
      </c>
      <c r="G329" s="153">
        <v>11.6887470292637</v>
      </c>
      <c r="H329" s="157">
        <v>3.43409341167265</v>
      </c>
      <c r="I329" s="23">
        <v>0</v>
      </c>
      <c r="J329" s="23" t="s">
        <v>85</v>
      </c>
      <c r="K329" s="24">
        <v>44938.917055324077</v>
      </c>
      <c r="L329" s="23">
        <v>1</v>
      </c>
      <c r="M329" s="23" t="s">
        <v>272</v>
      </c>
      <c r="N329" s="45">
        <f t="shared" si="70"/>
        <v>1</v>
      </c>
      <c r="O329" s="159">
        <f t="shared" si="71"/>
        <v>3.4037359</v>
      </c>
      <c r="P329" s="47">
        <f t="shared" si="72"/>
        <v>11.688747029263679</v>
      </c>
      <c r="Q329" s="25">
        <f t="shared" si="73"/>
        <v>0</v>
      </c>
      <c r="R329" s="26" t="str">
        <f t="shared" si="74"/>
        <v>COIN</v>
      </c>
      <c r="S329" s="26" t="str">
        <f t="shared" si="69"/>
        <v>LONG</v>
      </c>
      <c r="T329" s="26" t="str">
        <f t="shared" si="75"/>
        <v>COIN LONG</v>
      </c>
      <c r="U329" s="17">
        <f t="shared" si="76"/>
        <v>11.6887470292637</v>
      </c>
      <c r="V329" s="17">
        <f t="shared" si="77"/>
        <v>3.43409341167265</v>
      </c>
      <c r="W329" s="39">
        <f>IF($C329="","",IF(DefaultScenario,IF(OR(AND(Default_Exchange="ALL",NOT(ISERROR(MATCH($C329,$AF$6:$AF$37,0)))),$C329=Default_Exchange),IF($G329&gt;0,-LGD,0),0),IF(OR($J329="SWAP",$J329="FUTURE",$J329="CME FUTURE"),IF('Futures &amp; Perps Shifted'!$AE$31,VLOOKUP($M329,'Futures &amp; Perps Shifted'!$AE$32:$AO$76,MATCH($R329,'Futures &amp; Perps Shifted'!$AE$30:$AO$30,0),FALSE),0),0)))</f>
        <v>0</v>
      </c>
      <c r="X329" s="17">
        <f t="shared" si="78"/>
        <v>0</v>
      </c>
      <c r="Y329" s="14" t="str">
        <f t="shared" si="68"/>
        <v>KRKE</v>
      </c>
      <c r="Z329" t="str">
        <f t="shared" si="79"/>
        <v>ETHW COIN LONG</v>
      </c>
      <c r="AA329" t="b">
        <f>IF($C329="","",IF(ISERROR(VLOOKUP($Y329,Mappings!$A:$C,3,FALSE)),FALSE,VLOOKUP($Y329,Mappings!$A:$C,3,FALSE)))</f>
        <v>1</v>
      </c>
    </row>
    <row r="330" spans="1:27" customFormat="1" x14ac:dyDescent="0.25">
      <c r="A330" s="14">
        <v>328</v>
      </c>
      <c r="B330" s="71">
        <v>44938.917054976853</v>
      </c>
      <c r="C330" s="14" t="s">
        <v>167</v>
      </c>
      <c r="D330" s="23" t="s">
        <v>167</v>
      </c>
      <c r="E330" s="23" t="s">
        <v>24</v>
      </c>
      <c r="F330" s="101">
        <v>9.1421368100000002</v>
      </c>
      <c r="G330" s="153">
        <v>785.89674640504302</v>
      </c>
      <c r="H330" s="157">
        <v>85.964229450756093</v>
      </c>
      <c r="I330" s="23">
        <v>0</v>
      </c>
      <c r="J330" s="23" t="s">
        <v>85</v>
      </c>
      <c r="K330" s="24">
        <v>44938.917054976853</v>
      </c>
      <c r="L330" s="23">
        <v>1</v>
      </c>
      <c r="M330" s="23" t="s">
        <v>24</v>
      </c>
      <c r="N330" s="45">
        <f t="shared" si="70"/>
        <v>1</v>
      </c>
      <c r="O330" s="159">
        <f t="shared" si="71"/>
        <v>9.1421368100000002</v>
      </c>
      <c r="P330" s="47">
        <f t="shared" si="72"/>
        <v>785.89674640504336</v>
      </c>
      <c r="Q330" s="25">
        <f t="shared" si="73"/>
        <v>0</v>
      </c>
      <c r="R330" s="26" t="str">
        <f t="shared" si="74"/>
        <v>COIN</v>
      </c>
      <c r="S330" s="26" t="str">
        <f t="shared" si="69"/>
        <v>LONG</v>
      </c>
      <c r="T330" s="26" t="str">
        <f t="shared" si="75"/>
        <v>COIN LONG</v>
      </c>
      <c r="U330" s="17">
        <f t="shared" si="76"/>
        <v>785.89674640504302</v>
      </c>
      <c r="V330" s="17">
        <f t="shared" si="77"/>
        <v>85.964229450756093</v>
      </c>
      <c r="W330" s="39">
        <f>IF($C330="","",IF(DefaultScenario,IF(OR(AND(Default_Exchange="ALL",NOT(ISERROR(MATCH($C330,$AF$6:$AF$37,0)))),$C330=Default_Exchange),IF($G330&gt;0,-LGD,0),0),IF(OR($J330="SWAP",$J330="FUTURE",$J330="CME FUTURE"),IF('Futures &amp; Perps Shifted'!$AE$31,VLOOKUP($M330,'Futures &amp; Perps Shifted'!$AE$32:$AO$76,MATCH($R330,'Futures &amp; Perps Shifted'!$AE$30:$AO$30,0),FALSE),0),0)))</f>
        <v>0</v>
      </c>
      <c r="X330" s="17">
        <f t="shared" si="78"/>
        <v>0</v>
      </c>
      <c r="Y330" s="14" t="str">
        <f t="shared" si="68"/>
        <v>KRKE</v>
      </c>
      <c r="Z330" t="str">
        <f t="shared" si="79"/>
        <v>LTC COIN LONG</v>
      </c>
      <c r="AA330" t="b">
        <f>IF($C330="","",IF(ISERROR(VLOOKUP($Y330,Mappings!$A:$C,3,FALSE)),FALSE,VLOOKUP($Y330,Mappings!$A:$C,3,FALSE)))</f>
        <v>1</v>
      </c>
    </row>
    <row r="331" spans="1:27" customFormat="1" x14ac:dyDescent="0.25">
      <c r="A331" s="14">
        <v>329</v>
      </c>
      <c r="B331" s="71">
        <v>44938.917054247686</v>
      </c>
      <c r="C331" s="14" t="s">
        <v>167</v>
      </c>
      <c r="D331" s="23" t="s">
        <v>167</v>
      </c>
      <c r="E331" s="23" t="s">
        <v>89</v>
      </c>
      <c r="F331" s="101">
        <v>700512.94058015</v>
      </c>
      <c r="G331" s="153">
        <v>51361.140799233101</v>
      </c>
      <c r="H331" s="157">
        <v>7.3319331912265404E-2</v>
      </c>
      <c r="I331" s="23">
        <v>0</v>
      </c>
      <c r="J331" s="23" t="s">
        <v>85</v>
      </c>
      <c r="K331" s="24">
        <v>44938.917054247686</v>
      </c>
      <c r="L331" s="23">
        <v>1</v>
      </c>
      <c r="M331" s="23" t="s">
        <v>89</v>
      </c>
      <c r="N331" s="45">
        <f t="shared" si="70"/>
        <v>1</v>
      </c>
      <c r="O331" s="159">
        <f t="shared" si="71"/>
        <v>700512.94058015</v>
      </c>
      <c r="P331" s="47">
        <f t="shared" si="72"/>
        <v>51361.140799233071</v>
      </c>
      <c r="Q331" s="25">
        <f t="shared" si="73"/>
        <v>0</v>
      </c>
      <c r="R331" s="26" t="str">
        <f t="shared" si="74"/>
        <v>COIN</v>
      </c>
      <c r="S331" s="26" t="str">
        <f t="shared" si="69"/>
        <v>LONG</v>
      </c>
      <c r="T331" s="26" t="str">
        <f t="shared" si="75"/>
        <v>COIN LONG</v>
      </c>
      <c r="U331" s="17">
        <f t="shared" si="76"/>
        <v>51361.140799233101</v>
      </c>
      <c r="V331" s="17">
        <f t="shared" si="77"/>
        <v>7.3319331912265404E-2</v>
      </c>
      <c r="W331" s="39">
        <f>IF($C331="","",IF(DefaultScenario,IF(OR(AND(Default_Exchange="ALL",NOT(ISERROR(MATCH($C331,$AF$6:$AF$37,0)))),$C331=Default_Exchange),IF($G331&gt;0,-LGD,0),0),IF(OR($J331="SWAP",$J331="FUTURE",$J331="CME FUTURE"),IF('Futures &amp; Perps Shifted'!$AE$31,VLOOKUP($M331,'Futures &amp; Perps Shifted'!$AE$32:$AO$76,MATCH($R331,'Futures &amp; Perps Shifted'!$AE$30:$AO$30,0),FALSE),0),0)))</f>
        <v>0</v>
      </c>
      <c r="X331" s="17">
        <f t="shared" si="78"/>
        <v>0</v>
      </c>
      <c r="Y331" s="14" t="str">
        <f t="shared" si="68"/>
        <v>KRKE</v>
      </c>
      <c r="Z331" t="str">
        <f t="shared" si="79"/>
        <v>OXT COIN LONG</v>
      </c>
      <c r="AA331" t="b">
        <f>IF($C331="","",IF(ISERROR(VLOOKUP($Y331,Mappings!$A:$C,3,FALSE)),FALSE,VLOOKUP($Y331,Mappings!$A:$C,3,FALSE)))</f>
        <v>1</v>
      </c>
    </row>
    <row r="332" spans="1:27" customFormat="1" x14ac:dyDescent="0.25">
      <c r="A332" s="14">
        <v>330</v>
      </c>
      <c r="B332" s="71">
        <v>44938.917056597224</v>
      </c>
      <c r="C332" s="14" t="s">
        <v>167</v>
      </c>
      <c r="D332" s="23" t="s">
        <v>167</v>
      </c>
      <c r="E332" s="23" t="s">
        <v>98</v>
      </c>
      <c r="F332" s="101">
        <v>0.10834547999999999</v>
      </c>
      <c r="G332" s="153">
        <v>1.26842526444161E-3</v>
      </c>
      <c r="H332" s="157">
        <v>1.1707228252084E-2</v>
      </c>
      <c r="I332" s="23">
        <v>0</v>
      </c>
      <c r="J332" s="23" t="s">
        <v>85</v>
      </c>
      <c r="K332" s="24">
        <v>44938.917056597224</v>
      </c>
      <c r="L332" s="23">
        <v>1</v>
      </c>
      <c r="M332" s="23" t="s">
        <v>98</v>
      </c>
      <c r="N332" s="45">
        <f t="shared" si="70"/>
        <v>1</v>
      </c>
      <c r="O332" s="159">
        <f t="shared" si="71"/>
        <v>0.10834547999999999</v>
      </c>
      <c r="P332" s="47">
        <f t="shared" si="72"/>
        <v>1.2684252644416128E-3</v>
      </c>
      <c r="Q332" s="25">
        <f t="shared" si="73"/>
        <v>0</v>
      </c>
      <c r="R332" s="26" t="str">
        <f t="shared" si="74"/>
        <v>COIN</v>
      </c>
      <c r="S332" s="26" t="str">
        <f t="shared" si="69"/>
        <v>LONG</v>
      </c>
      <c r="T332" s="26" t="str">
        <f t="shared" si="75"/>
        <v>COIN LONG</v>
      </c>
      <c r="U332" s="17">
        <f t="shared" si="76"/>
        <v>1.26842526444161E-3</v>
      </c>
      <c r="V332" s="17">
        <f t="shared" si="77"/>
        <v>1.1707228252084E-2</v>
      </c>
      <c r="W332" s="39">
        <f>IF($C332="","",IF(DefaultScenario,IF(OR(AND(Default_Exchange="ALL",NOT(ISERROR(MATCH($C332,$AF$6:$AF$37,0)))),$C332=Default_Exchange),IF($G332&gt;0,-LGD,0),0),IF(OR($J332="SWAP",$J332="FUTURE",$J332="CME FUTURE"),IF('Futures &amp; Perps Shifted'!$AE$31,VLOOKUP($M332,'Futures &amp; Perps Shifted'!$AE$32:$AO$76,MATCH($R332,'Futures &amp; Perps Shifted'!$AE$30:$AO$30,0),FALSE),0),0)))</f>
        <v>0</v>
      </c>
      <c r="X332" s="17">
        <f t="shared" si="78"/>
        <v>0</v>
      </c>
      <c r="Y332" s="14" t="str">
        <f t="shared" si="68"/>
        <v>KRKE</v>
      </c>
      <c r="Z332" t="str">
        <f t="shared" si="79"/>
        <v>SGB COIN LONG</v>
      </c>
      <c r="AA332" t="b">
        <f>IF($C332="","",IF(ISERROR(VLOOKUP($Y332,Mappings!$A:$C,3,FALSE)),FALSE,VLOOKUP($Y332,Mappings!$A:$C,3,FALSE)))</f>
        <v>1</v>
      </c>
    </row>
    <row r="333" spans="1:27" customFormat="1" x14ac:dyDescent="0.25">
      <c r="A333" s="14">
        <v>331</v>
      </c>
      <c r="B333" s="71">
        <v>44938.917053900463</v>
      </c>
      <c r="C333" s="14" t="s">
        <v>167</v>
      </c>
      <c r="D333" s="23" t="s">
        <v>167</v>
      </c>
      <c r="E333" s="23" t="s">
        <v>95</v>
      </c>
      <c r="F333" s="101">
        <v>128214.5635</v>
      </c>
      <c r="G333" s="153">
        <v>128214.5635</v>
      </c>
      <c r="H333" s="157">
        <v>1</v>
      </c>
      <c r="I333" s="23">
        <v>0</v>
      </c>
      <c r="J333" s="23" t="s">
        <v>85</v>
      </c>
      <c r="K333" s="24">
        <v>44938.917053900463</v>
      </c>
      <c r="L333" s="23">
        <v>1</v>
      </c>
      <c r="M333" s="23" t="s">
        <v>95</v>
      </c>
      <c r="N333" s="45">
        <f t="shared" si="70"/>
        <v>1</v>
      </c>
      <c r="O333" s="159">
        <f t="shared" si="71"/>
        <v>128214.5635</v>
      </c>
      <c r="P333" s="47">
        <f t="shared" si="72"/>
        <v>128214.5635</v>
      </c>
      <c r="Q333" s="25">
        <f t="shared" si="73"/>
        <v>0</v>
      </c>
      <c r="R333" s="26" t="str">
        <f t="shared" si="74"/>
        <v>CASH</v>
      </c>
      <c r="S333" s="26" t="str">
        <f t="shared" si="69"/>
        <v>LONG</v>
      </c>
      <c r="T333" s="26" t="str">
        <f t="shared" si="75"/>
        <v>CASH LONG</v>
      </c>
      <c r="U333" s="17">
        <f t="shared" si="76"/>
        <v>128214.5635</v>
      </c>
      <c r="V333" s="17">
        <f t="shared" si="77"/>
        <v>1</v>
      </c>
      <c r="W333" s="39">
        <f>IF($C333="","",IF(DefaultScenario,IF(OR(AND(Default_Exchange="ALL",NOT(ISERROR(MATCH($C333,$AF$6:$AF$37,0)))),$C333=Default_Exchange),IF($G333&gt;0,-LGD,0),0),IF(OR($J333="SWAP",$J333="FUTURE",$J333="CME FUTURE"),IF('Futures &amp; Perps Shifted'!$AE$31,VLOOKUP($M333,'Futures &amp; Perps Shifted'!$AE$32:$AO$76,MATCH($R333,'Futures &amp; Perps Shifted'!$AE$30:$AO$30,0),FALSE),0),0)))</f>
        <v>0</v>
      </c>
      <c r="X333" s="17">
        <f t="shared" si="78"/>
        <v>0</v>
      </c>
      <c r="Y333" s="14" t="str">
        <f t="shared" si="68"/>
        <v>KRKE</v>
      </c>
      <c r="Z333" t="str">
        <f t="shared" si="79"/>
        <v>USD CASH LONG</v>
      </c>
      <c r="AA333" t="b">
        <f>IF($C333="","",IF(ISERROR(VLOOKUP($Y333,Mappings!$A:$C,3,FALSE)),FALSE,VLOOKUP($Y333,Mappings!$A:$C,3,FALSE)))</f>
        <v>1</v>
      </c>
    </row>
    <row r="334" spans="1:27" customFormat="1" x14ac:dyDescent="0.25">
      <c r="A334" s="14">
        <v>332</v>
      </c>
      <c r="B334" s="71">
        <v>44938.91705679398</v>
      </c>
      <c r="C334" s="14" t="s">
        <v>167</v>
      </c>
      <c r="D334" s="23" t="s">
        <v>167</v>
      </c>
      <c r="E334" s="23" t="s">
        <v>38</v>
      </c>
      <c r="F334" s="101">
        <v>1.182861E-2</v>
      </c>
      <c r="G334" s="153">
        <v>1.18296988139044E-2</v>
      </c>
      <c r="H334" s="157">
        <v>1.00009204918451</v>
      </c>
      <c r="I334" s="23">
        <v>0</v>
      </c>
      <c r="J334" s="23" t="s">
        <v>85</v>
      </c>
      <c r="K334" s="24">
        <v>44938.91705679398</v>
      </c>
      <c r="L334" s="23">
        <v>1</v>
      </c>
      <c r="M334" s="23" t="s">
        <v>38</v>
      </c>
      <c r="N334" s="45">
        <f t="shared" si="70"/>
        <v>1</v>
      </c>
      <c r="O334" s="159">
        <f t="shared" si="71"/>
        <v>1.182861E-2</v>
      </c>
      <c r="P334" s="47">
        <f t="shared" si="72"/>
        <v>1.1829698813904386E-2</v>
      </c>
      <c r="Q334" s="25">
        <f t="shared" si="73"/>
        <v>0</v>
      </c>
      <c r="R334" s="26" t="str">
        <f t="shared" si="74"/>
        <v>COIN</v>
      </c>
      <c r="S334" s="26" t="str">
        <f t="shared" si="69"/>
        <v>LONG</v>
      </c>
      <c r="T334" s="26" t="str">
        <f t="shared" si="75"/>
        <v>COIN LONG</v>
      </c>
      <c r="U334" s="17">
        <f t="shared" si="76"/>
        <v>1.18296988139044E-2</v>
      </c>
      <c r="V334" s="17">
        <f t="shared" si="77"/>
        <v>1.00009204918451</v>
      </c>
      <c r="W334" s="39">
        <f>IF($C334="","",IF(DefaultScenario,IF(OR(AND(Default_Exchange="ALL",NOT(ISERROR(MATCH($C334,$AF$6:$AF$37,0)))),$C334=Default_Exchange),IF($G334&gt;0,-LGD,0),0),IF(OR($J334="SWAP",$J334="FUTURE",$J334="CME FUTURE"),IF('Futures &amp; Perps Shifted'!$AE$31,VLOOKUP($M334,'Futures &amp; Perps Shifted'!$AE$32:$AO$76,MATCH($R334,'Futures &amp; Perps Shifted'!$AE$30:$AO$30,0),FALSE),0),0)))</f>
        <v>0</v>
      </c>
      <c r="X334" s="17">
        <f t="shared" si="78"/>
        <v>0</v>
      </c>
      <c r="Y334" s="14" t="str">
        <f t="shared" si="68"/>
        <v>KRKE</v>
      </c>
      <c r="Z334" t="str">
        <f t="shared" si="79"/>
        <v>USDT COIN LONG</v>
      </c>
      <c r="AA334" t="b">
        <f>IF($C334="","",IF(ISERROR(VLOOKUP($Y334,Mappings!$A:$C,3,FALSE)),FALSE,VLOOKUP($Y334,Mappings!$A:$C,3,FALSE)))</f>
        <v>1</v>
      </c>
    </row>
    <row r="335" spans="1:27" customFormat="1" x14ac:dyDescent="0.25">
      <c r="A335" s="14">
        <v>333</v>
      </c>
      <c r="B335" s="71">
        <v>44938.917056979168</v>
      </c>
      <c r="C335" s="14" t="s">
        <v>167</v>
      </c>
      <c r="D335" s="23" t="s">
        <v>167</v>
      </c>
      <c r="E335" s="23" t="s">
        <v>163</v>
      </c>
      <c r="F335" s="101">
        <v>8.93329E-3</v>
      </c>
      <c r="G335" s="153">
        <v>7.2934759832153195E-4</v>
      </c>
      <c r="H335" s="157">
        <v>8.1643783905093401E-2</v>
      </c>
      <c r="I335" s="23">
        <v>0</v>
      </c>
      <c r="J335" s="23" t="s">
        <v>85</v>
      </c>
      <c r="K335" s="24">
        <v>44938.917056979168</v>
      </c>
      <c r="L335" s="23">
        <v>1</v>
      </c>
      <c r="M335" s="23" t="s">
        <v>163</v>
      </c>
      <c r="N335" s="45">
        <f t="shared" si="70"/>
        <v>1</v>
      </c>
      <c r="O335" s="159">
        <f t="shared" si="71"/>
        <v>8.93329E-3</v>
      </c>
      <c r="P335" s="47">
        <f t="shared" si="72"/>
        <v>7.2934759832153184E-4</v>
      </c>
      <c r="Q335" s="25">
        <f t="shared" si="73"/>
        <v>0</v>
      </c>
      <c r="R335" s="26" t="str">
        <f t="shared" si="74"/>
        <v>COIN</v>
      </c>
      <c r="S335" s="26" t="str">
        <f t="shared" si="69"/>
        <v>LONG</v>
      </c>
      <c r="T335" s="26" t="str">
        <f t="shared" si="75"/>
        <v>COIN LONG</v>
      </c>
      <c r="U335" s="17">
        <f t="shared" si="76"/>
        <v>7.2934759832153195E-4</v>
      </c>
      <c r="V335" s="17">
        <f t="shared" si="77"/>
        <v>8.1643783905093401E-2</v>
      </c>
      <c r="W335" s="39">
        <f>IF($C335="","",IF(DefaultScenario,IF(OR(AND(Default_Exchange="ALL",NOT(ISERROR(MATCH($C335,$AF$6:$AF$37,0)))),$C335=Default_Exchange),IF($G335&gt;0,-LGD,0),0),IF(OR($J335="SWAP",$J335="FUTURE",$J335="CME FUTURE"),IF('Futures &amp; Perps Shifted'!$AE$31,VLOOKUP($M335,'Futures &amp; Perps Shifted'!$AE$32:$AO$76,MATCH($R335,'Futures &amp; Perps Shifted'!$AE$30:$AO$30,0),FALSE),0),0)))</f>
        <v>0</v>
      </c>
      <c r="X335" s="17">
        <f t="shared" si="78"/>
        <v>0</v>
      </c>
      <c r="Y335" s="14" t="str">
        <f t="shared" si="68"/>
        <v>KRKE</v>
      </c>
      <c r="Z335" t="str">
        <f t="shared" si="79"/>
        <v>XLM COIN LONG</v>
      </c>
      <c r="AA335" t="b">
        <f>IF($C335="","",IF(ISERROR(VLOOKUP($Y335,Mappings!$A:$C,3,FALSE)),FALSE,VLOOKUP($Y335,Mappings!$A:$C,3,FALSE)))</f>
        <v>1</v>
      </c>
    </row>
    <row r="336" spans="1:27" customFormat="1" x14ac:dyDescent="0.25">
      <c r="A336" s="14">
        <v>334</v>
      </c>
      <c r="B336" s="71">
        <v>44938.917055520833</v>
      </c>
      <c r="C336" s="14" t="s">
        <v>167</v>
      </c>
      <c r="D336" s="23" t="s">
        <v>167</v>
      </c>
      <c r="E336" s="23" t="s">
        <v>99</v>
      </c>
      <c r="F336" s="101">
        <v>0.71704489000000005</v>
      </c>
      <c r="G336" s="153">
        <v>0.26903319358715799</v>
      </c>
      <c r="H336" s="157">
        <v>0.37519714224190098</v>
      </c>
      <c r="I336" s="23">
        <v>0</v>
      </c>
      <c r="J336" s="23" t="s">
        <v>85</v>
      </c>
      <c r="K336" s="24">
        <v>44938.917055520833</v>
      </c>
      <c r="L336" s="23">
        <v>1</v>
      </c>
      <c r="M336" s="23" t="s">
        <v>99</v>
      </c>
      <c r="N336" s="45">
        <f t="shared" si="70"/>
        <v>1</v>
      </c>
      <c r="O336" s="159">
        <f t="shared" si="71"/>
        <v>0.71704489000000005</v>
      </c>
      <c r="P336" s="47">
        <f t="shared" si="72"/>
        <v>0.26903319358715827</v>
      </c>
      <c r="Q336" s="25">
        <f t="shared" si="73"/>
        <v>0</v>
      </c>
      <c r="R336" s="26" t="str">
        <f t="shared" si="74"/>
        <v>COIN</v>
      </c>
      <c r="S336" s="26" t="str">
        <f t="shared" si="69"/>
        <v>LONG</v>
      </c>
      <c r="T336" s="26" t="str">
        <f t="shared" si="75"/>
        <v>COIN LONG</v>
      </c>
      <c r="U336" s="17">
        <f t="shared" si="76"/>
        <v>0.26903319358715799</v>
      </c>
      <c r="V336" s="17">
        <f t="shared" si="77"/>
        <v>0.37519714224190098</v>
      </c>
      <c r="W336" s="39">
        <f>IF($C336="","",IF(DefaultScenario,IF(OR(AND(Default_Exchange="ALL",NOT(ISERROR(MATCH($C336,$AF$6:$AF$37,0)))),$C336=Default_Exchange),IF($G336&gt;0,-LGD,0),0),IF(OR($J336="SWAP",$J336="FUTURE",$J336="CME FUTURE"),IF('Futures &amp; Perps Shifted'!$AE$31,VLOOKUP($M336,'Futures &amp; Perps Shifted'!$AE$32:$AO$76,MATCH($R336,'Futures &amp; Perps Shifted'!$AE$30:$AO$30,0),FALSE),0),0)))</f>
        <v>0</v>
      </c>
      <c r="X336" s="17">
        <f t="shared" si="78"/>
        <v>0</v>
      </c>
      <c r="Y336" s="14" t="str">
        <f t="shared" si="68"/>
        <v>KRKE</v>
      </c>
      <c r="Z336" t="str">
        <f t="shared" si="79"/>
        <v>XRP COIN LONG</v>
      </c>
      <c r="AA336" t="b">
        <f>IF($C336="","",IF(ISERROR(VLOOKUP($Y336,Mappings!$A:$C,3,FALSE)),FALSE,VLOOKUP($Y336,Mappings!$A:$C,3,FALSE)))</f>
        <v>1</v>
      </c>
    </row>
    <row r="337" spans="1:27" customFormat="1" x14ac:dyDescent="0.25">
      <c r="A337" s="14">
        <v>335</v>
      </c>
      <c r="B337" s="71">
        <v>44938</v>
      </c>
      <c r="C337" s="14" t="s">
        <v>170</v>
      </c>
      <c r="D337" s="23" t="s">
        <v>168</v>
      </c>
      <c r="E337" s="23" t="s">
        <v>116</v>
      </c>
      <c r="F337" s="101">
        <v>300</v>
      </c>
      <c r="G337" s="153">
        <v>20358.340959391298</v>
      </c>
      <c r="H337" s="157">
        <v>67.861136531304297</v>
      </c>
      <c r="I337" s="23">
        <v>0</v>
      </c>
      <c r="J337" s="23" t="s">
        <v>85</v>
      </c>
      <c r="K337" s="24">
        <v>44938</v>
      </c>
      <c r="L337" s="23">
        <v>1</v>
      </c>
      <c r="M337" s="23" t="s">
        <v>116</v>
      </c>
      <c r="N337" s="45">
        <f t="shared" si="70"/>
        <v>1</v>
      </c>
      <c r="O337" s="159">
        <f t="shared" si="71"/>
        <v>300</v>
      </c>
      <c r="P337" s="47">
        <f t="shared" si="72"/>
        <v>20358.340959391287</v>
      </c>
      <c r="Q337" s="25">
        <f t="shared" si="73"/>
        <v>0</v>
      </c>
      <c r="R337" s="26" t="str">
        <f t="shared" si="74"/>
        <v>COIN</v>
      </c>
      <c r="S337" s="26" t="str">
        <f t="shared" si="69"/>
        <v>LONG</v>
      </c>
      <c r="T337" s="26" t="str">
        <f t="shared" si="75"/>
        <v>COIN LONG</v>
      </c>
      <c r="U337" s="17">
        <f t="shared" si="76"/>
        <v>20358.340959391298</v>
      </c>
      <c r="V337" s="17">
        <f t="shared" si="77"/>
        <v>67.861136531304297</v>
      </c>
      <c r="W337" s="39">
        <f>IF($C337="","",IF(DefaultScenario,IF(OR(AND(Default_Exchange="ALL",NOT(ISERROR(MATCH($C337,$AF$6:$AF$37,0)))),$C337=Default_Exchange),IF($G337&gt;0,-LGD,0),0),IF(OR($J337="SWAP",$J337="FUTURE",$J337="CME FUTURE"),IF('Futures &amp; Perps Shifted'!$AE$31,VLOOKUP($M337,'Futures &amp; Perps Shifted'!$AE$32:$AO$76,MATCH($R337,'Futures &amp; Perps Shifted'!$AE$30:$AO$30,0),FALSE),0),0)))</f>
        <v>0</v>
      </c>
      <c r="X337" s="17">
        <f t="shared" si="78"/>
        <v>0</v>
      </c>
      <c r="Y337" s="14" t="str">
        <f t="shared" si="68"/>
        <v>LEND</v>
      </c>
      <c r="Z337" t="str">
        <f t="shared" si="79"/>
        <v>AAVE COIN LONG</v>
      </c>
      <c r="AA337" t="b">
        <f>IF($C337="","",IF(ISERROR(VLOOKUP($Y337,Mappings!$A:$C,3,FALSE)),FALSE,VLOOKUP($Y337,Mappings!$A:$C,3,FALSE)))</f>
        <v>0</v>
      </c>
    </row>
    <row r="338" spans="1:27" customFormat="1" x14ac:dyDescent="0.25">
      <c r="A338" s="14">
        <v>336</v>
      </c>
      <c r="B338" s="71">
        <v>44938</v>
      </c>
      <c r="C338" s="14" t="s">
        <v>170</v>
      </c>
      <c r="D338" s="23" t="s">
        <v>168</v>
      </c>
      <c r="E338" s="23" t="s">
        <v>84</v>
      </c>
      <c r="F338" s="101">
        <v>150000</v>
      </c>
      <c r="G338" s="153">
        <v>49463.771211506297</v>
      </c>
      <c r="H338" s="157">
        <v>0.329758474743375</v>
      </c>
      <c r="I338" s="23">
        <v>0</v>
      </c>
      <c r="J338" s="23" t="s">
        <v>85</v>
      </c>
      <c r="K338" s="24">
        <v>44938</v>
      </c>
      <c r="L338" s="23">
        <v>1</v>
      </c>
      <c r="M338" s="23" t="s">
        <v>84</v>
      </c>
      <c r="N338" s="45">
        <f t="shared" si="70"/>
        <v>1</v>
      </c>
      <c r="O338" s="159">
        <f t="shared" si="71"/>
        <v>150000</v>
      </c>
      <c r="P338" s="47">
        <f t="shared" si="72"/>
        <v>49463.771211506246</v>
      </c>
      <c r="Q338" s="25">
        <f t="shared" si="73"/>
        <v>0</v>
      </c>
      <c r="R338" s="26" t="str">
        <f t="shared" si="74"/>
        <v>COIN</v>
      </c>
      <c r="S338" s="26" t="str">
        <f t="shared" si="69"/>
        <v>LONG</v>
      </c>
      <c r="T338" s="26" t="str">
        <f t="shared" si="75"/>
        <v>COIN LONG</v>
      </c>
      <c r="U338" s="17">
        <f t="shared" si="76"/>
        <v>49463.771211506297</v>
      </c>
      <c r="V338" s="17">
        <f t="shared" si="77"/>
        <v>0.329758474743375</v>
      </c>
      <c r="W338" s="39">
        <f>IF($C338="","",IF(DefaultScenario,IF(OR(AND(Default_Exchange="ALL",NOT(ISERROR(MATCH($C338,$AF$6:$AF$37,0)))),$C338=Default_Exchange),IF($G338&gt;0,-LGD,0),0),IF(OR($J338="SWAP",$J338="FUTURE",$J338="CME FUTURE"),IF('Futures &amp; Perps Shifted'!$AE$31,VLOOKUP($M338,'Futures &amp; Perps Shifted'!$AE$32:$AO$76,MATCH($R338,'Futures &amp; Perps Shifted'!$AE$30:$AO$30,0),FALSE),0),0)))</f>
        <v>0</v>
      </c>
      <c r="X338" s="17">
        <f t="shared" si="78"/>
        <v>0</v>
      </c>
      <c r="Y338" s="14" t="str">
        <f t="shared" si="68"/>
        <v>LEND</v>
      </c>
      <c r="Z338" t="str">
        <f t="shared" si="79"/>
        <v>ADA COIN LONG</v>
      </c>
      <c r="AA338" t="b">
        <f>IF($C338="","",IF(ISERROR(VLOOKUP($Y338,Mappings!$A:$C,3,FALSE)),FALSE,VLOOKUP($Y338,Mappings!$A:$C,3,FALSE)))</f>
        <v>0</v>
      </c>
    </row>
    <row r="339" spans="1:27" customFormat="1" x14ac:dyDescent="0.25">
      <c r="A339" s="14">
        <v>337</v>
      </c>
      <c r="B339" s="71">
        <v>44938</v>
      </c>
      <c r="C339" s="14" t="s">
        <v>170</v>
      </c>
      <c r="D339" s="23" t="s">
        <v>168</v>
      </c>
      <c r="E339" s="23" t="s">
        <v>122</v>
      </c>
      <c r="F339" s="101">
        <v>35000</v>
      </c>
      <c r="G339" s="153">
        <v>7438.4272051851603</v>
      </c>
      <c r="H339" s="157">
        <v>0.21252649157671899</v>
      </c>
      <c r="I339" s="23">
        <v>0</v>
      </c>
      <c r="J339" s="23" t="s">
        <v>85</v>
      </c>
      <c r="K339" s="24">
        <v>44938</v>
      </c>
      <c r="L339" s="23">
        <v>1</v>
      </c>
      <c r="M339" s="23" t="s">
        <v>122</v>
      </c>
      <c r="N339" s="45">
        <f t="shared" si="70"/>
        <v>1</v>
      </c>
      <c r="O339" s="159">
        <f t="shared" si="71"/>
        <v>35000</v>
      </c>
      <c r="P339" s="47">
        <f t="shared" si="72"/>
        <v>7438.4272051851649</v>
      </c>
      <c r="Q339" s="25">
        <f t="shared" si="73"/>
        <v>0</v>
      </c>
      <c r="R339" s="26" t="str">
        <f t="shared" si="74"/>
        <v>COIN</v>
      </c>
      <c r="S339" s="26" t="str">
        <f t="shared" si="69"/>
        <v>LONG</v>
      </c>
      <c r="T339" s="26" t="str">
        <f t="shared" si="75"/>
        <v>COIN LONG</v>
      </c>
      <c r="U339" s="17">
        <f t="shared" si="76"/>
        <v>7438.4272051851603</v>
      </c>
      <c r="V339" s="17">
        <f t="shared" si="77"/>
        <v>0.21252649157671899</v>
      </c>
      <c r="W339" s="39">
        <f>IF($C339="","",IF(DefaultScenario,IF(OR(AND(Default_Exchange="ALL",NOT(ISERROR(MATCH($C339,$AF$6:$AF$37,0)))),$C339=Default_Exchange),IF($G339&gt;0,-LGD,0),0),IF(OR($J339="SWAP",$J339="FUTURE",$J339="CME FUTURE"),IF('Futures &amp; Perps Shifted'!$AE$31,VLOOKUP($M339,'Futures &amp; Perps Shifted'!$AE$32:$AO$76,MATCH($R339,'Futures &amp; Perps Shifted'!$AE$30:$AO$30,0),FALSE),0),0)))</f>
        <v>0</v>
      </c>
      <c r="X339" s="17">
        <f t="shared" si="78"/>
        <v>0</v>
      </c>
      <c r="Y339" s="14" t="str">
        <f t="shared" si="68"/>
        <v>LEND</v>
      </c>
      <c r="Z339" t="str">
        <f t="shared" si="79"/>
        <v>ALGO COIN LONG</v>
      </c>
      <c r="AA339" t="b">
        <f>IF($C339="","",IF(ISERROR(VLOOKUP($Y339,Mappings!$A:$C,3,FALSE)),FALSE,VLOOKUP($Y339,Mappings!$A:$C,3,FALSE)))</f>
        <v>0</v>
      </c>
    </row>
    <row r="340" spans="1:27" customFormat="1" x14ac:dyDescent="0.25">
      <c r="A340" s="14">
        <v>338</v>
      </c>
      <c r="B340" s="71">
        <v>44938</v>
      </c>
      <c r="C340" s="14" t="s">
        <v>170</v>
      </c>
      <c r="D340" s="23" t="s">
        <v>168</v>
      </c>
      <c r="E340" s="23" t="s">
        <v>187</v>
      </c>
      <c r="F340" s="101">
        <v>3000</v>
      </c>
      <c r="G340" s="153">
        <v>46372.050779343299</v>
      </c>
      <c r="H340" s="157">
        <v>15.4573502597811</v>
      </c>
      <c r="I340" s="23">
        <v>0</v>
      </c>
      <c r="J340" s="23" t="s">
        <v>85</v>
      </c>
      <c r="K340" s="24">
        <v>44938</v>
      </c>
      <c r="L340" s="23">
        <v>1</v>
      </c>
      <c r="M340" s="23" t="s">
        <v>187</v>
      </c>
      <c r="N340" s="45">
        <f t="shared" si="70"/>
        <v>1</v>
      </c>
      <c r="O340" s="159">
        <f t="shared" si="71"/>
        <v>3000</v>
      </c>
      <c r="P340" s="47">
        <f t="shared" si="72"/>
        <v>46372.050779343299</v>
      </c>
      <c r="Q340" s="25">
        <f t="shared" si="73"/>
        <v>0</v>
      </c>
      <c r="R340" s="26" t="str">
        <f t="shared" si="74"/>
        <v>COIN</v>
      </c>
      <c r="S340" s="26" t="str">
        <f t="shared" si="69"/>
        <v>LONG</v>
      </c>
      <c r="T340" s="26" t="str">
        <f t="shared" si="75"/>
        <v>COIN LONG</v>
      </c>
      <c r="U340" s="17">
        <f t="shared" si="76"/>
        <v>46372.050779343299</v>
      </c>
      <c r="V340" s="17">
        <f t="shared" si="77"/>
        <v>15.4573502597811</v>
      </c>
      <c r="W340" s="39">
        <f>IF($C340="","",IF(DefaultScenario,IF(OR(AND(Default_Exchange="ALL",NOT(ISERROR(MATCH($C340,$AF$6:$AF$37,0)))),$C340=Default_Exchange),IF($G340&gt;0,-LGD,0),0),IF(OR($J340="SWAP",$J340="FUTURE",$J340="CME FUTURE"),IF('Futures &amp; Perps Shifted'!$AE$31,VLOOKUP($M340,'Futures &amp; Perps Shifted'!$AE$32:$AO$76,MATCH($R340,'Futures &amp; Perps Shifted'!$AE$30:$AO$30,0),FALSE),0),0)))</f>
        <v>0</v>
      </c>
      <c r="X340" s="17">
        <f t="shared" si="78"/>
        <v>0</v>
      </c>
      <c r="Y340" s="14" t="str">
        <f t="shared" si="68"/>
        <v>LEND</v>
      </c>
      <c r="Z340" t="str">
        <f t="shared" si="79"/>
        <v>AVAX COIN LONG</v>
      </c>
      <c r="AA340" t="b">
        <f>IF($C340="","",IF(ISERROR(VLOOKUP($Y340,Mappings!$A:$C,3,FALSE)),FALSE,VLOOKUP($Y340,Mappings!$A:$C,3,FALSE)))</f>
        <v>0</v>
      </c>
    </row>
    <row r="341" spans="1:27" customFormat="1" x14ac:dyDescent="0.25">
      <c r="A341" s="14">
        <v>339</v>
      </c>
      <c r="B341" s="71">
        <v>44938</v>
      </c>
      <c r="C341" s="14" t="s">
        <v>170</v>
      </c>
      <c r="D341" s="23" t="s">
        <v>168</v>
      </c>
      <c r="E341" s="23" t="s">
        <v>124</v>
      </c>
      <c r="F341" s="101">
        <v>100000</v>
      </c>
      <c r="G341" s="153">
        <v>20477.401519184201</v>
      </c>
      <c r="H341" s="157">
        <v>0.20477401519184199</v>
      </c>
      <c r="I341" s="23">
        <v>0</v>
      </c>
      <c r="J341" s="23" t="s">
        <v>85</v>
      </c>
      <c r="K341" s="24">
        <v>44938</v>
      </c>
      <c r="L341" s="23">
        <v>1</v>
      </c>
      <c r="M341" s="23" t="s">
        <v>124</v>
      </c>
      <c r="N341" s="45">
        <f t="shared" si="70"/>
        <v>1</v>
      </c>
      <c r="O341" s="159">
        <f t="shared" si="71"/>
        <v>100000</v>
      </c>
      <c r="P341" s="47">
        <f t="shared" si="72"/>
        <v>20477.401519184197</v>
      </c>
      <c r="Q341" s="25">
        <f t="shared" si="73"/>
        <v>0</v>
      </c>
      <c r="R341" s="26" t="str">
        <f t="shared" si="74"/>
        <v>COIN</v>
      </c>
      <c r="S341" s="26" t="str">
        <f t="shared" si="69"/>
        <v>LONG</v>
      </c>
      <c r="T341" s="26" t="str">
        <f t="shared" si="75"/>
        <v>COIN LONG</v>
      </c>
      <c r="U341" s="17">
        <f t="shared" si="76"/>
        <v>20477.401519184201</v>
      </c>
      <c r="V341" s="17">
        <f t="shared" si="77"/>
        <v>0.20477401519184199</v>
      </c>
      <c r="W341" s="39">
        <f>IF($C341="","",IF(DefaultScenario,IF(OR(AND(Default_Exchange="ALL",NOT(ISERROR(MATCH($C341,$AF$6:$AF$37,0)))),$C341=Default_Exchange),IF($G341&gt;0,-LGD,0),0),IF(OR($J341="SWAP",$J341="FUTURE",$J341="CME FUTURE"),IF('Futures &amp; Perps Shifted'!$AE$31,VLOOKUP($M341,'Futures &amp; Perps Shifted'!$AE$32:$AO$76,MATCH($R341,'Futures &amp; Perps Shifted'!$AE$30:$AO$30,0),FALSE),0),0)))</f>
        <v>0</v>
      </c>
      <c r="X341" s="17">
        <f t="shared" si="78"/>
        <v>0</v>
      </c>
      <c r="Y341" s="14" t="str">
        <f t="shared" si="68"/>
        <v>LEND</v>
      </c>
      <c r="Z341" t="str">
        <f t="shared" si="79"/>
        <v>BAT COIN LONG</v>
      </c>
      <c r="AA341" t="b">
        <f>IF($C341="","",IF(ISERROR(VLOOKUP($Y341,Mappings!$A:$C,3,FALSE)),FALSE,VLOOKUP($Y341,Mappings!$A:$C,3,FALSE)))</f>
        <v>0</v>
      </c>
    </row>
    <row r="342" spans="1:27" customFormat="1" x14ac:dyDescent="0.25">
      <c r="A342" s="14">
        <v>340</v>
      </c>
      <c r="B342" s="71">
        <v>44938</v>
      </c>
      <c r="C342" s="14" t="s">
        <v>170</v>
      </c>
      <c r="D342" s="23" t="s">
        <v>168</v>
      </c>
      <c r="E342" s="23" t="s">
        <v>20</v>
      </c>
      <c r="F342" s="101">
        <v>5627</v>
      </c>
      <c r="G342" s="153">
        <v>673610.792955218</v>
      </c>
      <c r="H342" s="157">
        <v>119.710466137412</v>
      </c>
      <c r="I342" s="23">
        <v>0</v>
      </c>
      <c r="J342" s="23" t="s">
        <v>85</v>
      </c>
      <c r="K342" s="24">
        <v>44938</v>
      </c>
      <c r="L342" s="23">
        <v>1</v>
      </c>
      <c r="M342" s="23" t="s">
        <v>20</v>
      </c>
      <c r="N342" s="45">
        <f t="shared" si="70"/>
        <v>1</v>
      </c>
      <c r="O342" s="159">
        <f t="shared" si="71"/>
        <v>5627</v>
      </c>
      <c r="P342" s="47">
        <f t="shared" si="72"/>
        <v>673610.7929552173</v>
      </c>
      <c r="Q342" s="25">
        <f t="shared" si="73"/>
        <v>0</v>
      </c>
      <c r="R342" s="26" t="str">
        <f t="shared" si="74"/>
        <v>COIN</v>
      </c>
      <c r="S342" s="26" t="str">
        <f t="shared" si="69"/>
        <v>LONG</v>
      </c>
      <c r="T342" s="26" t="str">
        <f t="shared" si="75"/>
        <v>COIN LONG</v>
      </c>
      <c r="U342" s="17">
        <f t="shared" si="76"/>
        <v>673610.792955218</v>
      </c>
      <c r="V342" s="17">
        <f t="shared" si="77"/>
        <v>119.710466137412</v>
      </c>
      <c r="W342" s="39">
        <f>IF($C342="","",IF(DefaultScenario,IF(OR(AND(Default_Exchange="ALL",NOT(ISERROR(MATCH($C342,$AF$6:$AF$37,0)))),$C342=Default_Exchange),IF($G342&gt;0,-LGD,0),0),IF(OR($J342="SWAP",$J342="FUTURE",$J342="CME FUTURE"),IF('Futures &amp; Perps Shifted'!$AE$31,VLOOKUP($M342,'Futures &amp; Perps Shifted'!$AE$32:$AO$76,MATCH($R342,'Futures &amp; Perps Shifted'!$AE$30:$AO$30,0),FALSE),0),0)))</f>
        <v>0</v>
      </c>
      <c r="X342" s="17">
        <f t="shared" si="78"/>
        <v>0</v>
      </c>
      <c r="Y342" s="14" t="str">
        <f t="shared" si="68"/>
        <v>LEND</v>
      </c>
      <c r="Z342" t="str">
        <f t="shared" si="79"/>
        <v>BCH COIN LONG</v>
      </c>
      <c r="AA342" t="b">
        <f>IF($C342="","",IF(ISERROR(VLOOKUP($Y342,Mappings!$A:$C,3,FALSE)),FALSE,VLOOKUP($Y342,Mappings!$A:$C,3,FALSE)))</f>
        <v>0</v>
      </c>
    </row>
    <row r="343" spans="1:27" customFormat="1" x14ac:dyDescent="0.25">
      <c r="A343" s="14">
        <v>341</v>
      </c>
      <c r="B343" s="71">
        <v>44938</v>
      </c>
      <c r="C343" s="14" t="s">
        <v>170</v>
      </c>
      <c r="D343" s="23" t="s">
        <v>168</v>
      </c>
      <c r="E343" s="23" t="s">
        <v>132</v>
      </c>
      <c r="F343" s="101">
        <v>100</v>
      </c>
      <c r="G343" s="153">
        <v>4935.6487119112799</v>
      </c>
      <c r="H343" s="157">
        <v>49.356487119112799</v>
      </c>
      <c r="I343" s="23">
        <v>0</v>
      </c>
      <c r="J343" s="23" t="s">
        <v>85</v>
      </c>
      <c r="K343" s="24">
        <v>44938</v>
      </c>
      <c r="L343" s="23">
        <v>1</v>
      </c>
      <c r="M343" s="23" t="s">
        <v>132</v>
      </c>
      <c r="N343" s="45">
        <f t="shared" si="70"/>
        <v>1</v>
      </c>
      <c r="O343" s="159">
        <f t="shared" si="71"/>
        <v>100</v>
      </c>
      <c r="P343" s="47">
        <f t="shared" si="72"/>
        <v>4935.6487119112799</v>
      </c>
      <c r="Q343" s="25">
        <f t="shared" si="73"/>
        <v>0</v>
      </c>
      <c r="R343" s="26" t="str">
        <f t="shared" si="74"/>
        <v>COIN</v>
      </c>
      <c r="S343" s="26" t="str">
        <f t="shared" si="69"/>
        <v>LONG</v>
      </c>
      <c r="T343" s="26" t="str">
        <f t="shared" si="75"/>
        <v>COIN LONG</v>
      </c>
      <c r="U343" s="17">
        <f t="shared" si="76"/>
        <v>4935.6487119112799</v>
      </c>
      <c r="V343" s="17">
        <f t="shared" si="77"/>
        <v>49.356487119112799</v>
      </c>
      <c r="W343" s="39">
        <f>IF($C343="","",IF(DefaultScenario,IF(OR(AND(Default_Exchange="ALL",NOT(ISERROR(MATCH($C343,$AF$6:$AF$37,0)))),$C343=Default_Exchange),IF($G343&gt;0,-LGD,0),0),IF(OR($J343="SWAP",$J343="FUTURE",$J343="CME FUTURE"),IF('Futures &amp; Perps Shifted'!$AE$31,VLOOKUP($M343,'Futures &amp; Perps Shifted'!$AE$32:$AO$76,MATCH($R343,'Futures &amp; Perps Shifted'!$AE$30:$AO$30,0),FALSE),0),0)))</f>
        <v>0</v>
      </c>
      <c r="X343" s="17">
        <f t="shared" si="78"/>
        <v>0</v>
      </c>
      <c r="Y343" s="14" t="str">
        <f t="shared" si="68"/>
        <v>LEND</v>
      </c>
      <c r="Z343" t="str">
        <f t="shared" si="79"/>
        <v>DASH COIN LONG</v>
      </c>
      <c r="AA343" t="b">
        <f>IF($C343="","",IF(ISERROR(VLOOKUP($Y343,Mappings!$A:$C,3,FALSE)),FALSE,VLOOKUP($Y343,Mappings!$A:$C,3,FALSE)))</f>
        <v>0</v>
      </c>
    </row>
    <row r="344" spans="1:27" customFormat="1" x14ac:dyDescent="0.25">
      <c r="A344" s="14">
        <v>342</v>
      </c>
      <c r="B344" s="71">
        <v>44938</v>
      </c>
      <c r="C344" s="14" t="s">
        <v>170</v>
      </c>
      <c r="D344" s="23" t="s">
        <v>168</v>
      </c>
      <c r="E344" s="23" t="s">
        <v>190</v>
      </c>
      <c r="F344" s="101">
        <v>600000</v>
      </c>
      <c r="G344" s="153">
        <v>48171.441601568797</v>
      </c>
      <c r="H344" s="157">
        <v>8.0285736002614697E-2</v>
      </c>
      <c r="I344" s="23">
        <v>0</v>
      </c>
      <c r="J344" s="23" t="s">
        <v>85</v>
      </c>
      <c r="K344" s="24">
        <v>44938</v>
      </c>
      <c r="L344" s="23">
        <v>1</v>
      </c>
      <c r="M344" s="23" t="s">
        <v>190</v>
      </c>
      <c r="N344" s="45">
        <f t="shared" si="70"/>
        <v>1</v>
      </c>
      <c r="O344" s="159">
        <f t="shared" si="71"/>
        <v>600000</v>
      </c>
      <c r="P344" s="47">
        <f t="shared" si="72"/>
        <v>48171.441601568818</v>
      </c>
      <c r="Q344" s="25">
        <f t="shared" si="73"/>
        <v>0</v>
      </c>
      <c r="R344" s="26" t="str">
        <f t="shared" si="74"/>
        <v>COIN</v>
      </c>
      <c r="S344" s="26" t="str">
        <f t="shared" si="69"/>
        <v>LONG</v>
      </c>
      <c r="T344" s="26" t="str">
        <f t="shared" si="75"/>
        <v>COIN LONG</v>
      </c>
      <c r="U344" s="17">
        <f t="shared" si="76"/>
        <v>48171.441601568797</v>
      </c>
      <c r="V344" s="17">
        <f t="shared" si="77"/>
        <v>8.0285736002614697E-2</v>
      </c>
      <c r="W344" s="39">
        <f>IF($C344="","",IF(DefaultScenario,IF(OR(AND(Default_Exchange="ALL",NOT(ISERROR(MATCH($C344,$AF$6:$AF$37,0)))),$C344=Default_Exchange),IF($G344&gt;0,-LGD,0),0),IF(OR($J344="SWAP",$J344="FUTURE",$J344="CME FUTURE"),IF('Futures &amp; Perps Shifted'!$AE$31,VLOOKUP($M344,'Futures &amp; Perps Shifted'!$AE$32:$AO$76,MATCH($R344,'Futures &amp; Perps Shifted'!$AE$30:$AO$30,0),FALSE),0),0)))</f>
        <v>0</v>
      </c>
      <c r="X344" s="17">
        <f t="shared" si="78"/>
        <v>0</v>
      </c>
      <c r="Y344" s="14" t="str">
        <f t="shared" si="68"/>
        <v>LEND</v>
      </c>
      <c r="Z344" t="str">
        <f t="shared" si="79"/>
        <v>DOGE COIN LONG</v>
      </c>
      <c r="AA344" t="b">
        <f>IF($C344="","",IF(ISERROR(VLOOKUP($Y344,Mappings!$A:$C,3,FALSE)),FALSE,VLOOKUP($Y344,Mappings!$A:$C,3,FALSE)))</f>
        <v>0</v>
      </c>
    </row>
    <row r="345" spans="1:27" customFormat="1" x14ac:dyDescent="0.25">
      <c r="A345" s="14">
        <v>343</v>
      </c>
      <c r="B345" s="71">
        <v>44938</v>
      </c>
      <c r="C345" s="14" t="s">
        <v>170</v>
      </c>
      <c r="D345" s="23" t="s">
        <v>168</v>
      </c>
      <c r="E345" s="23" t="s">
        <v>22</v>
      </c>
      <c r="F345" s="101">
        <v>5000</v>
      </c>
      <c r="G345" s="153">
        <v>26147.389695369999</v>
      </c>
      <c r="H345" s="157">
        <v>5.2294779390740098</v>
      </c>
      <c r="I345" s="23">
        <v>0</v>
      </c>
      <c r="J345" s="23" t="s">
        <v>85</v>
      </c>
      <c r="K345" s="24">
        <v>44938</v>
      </c>
      <c r="L345" s="23">
        <v>1</v>
      </c>
      <c r="M345" s="23" t="s">
        <v>22</v>
      </c>
      <c r="N345" s="45">
        <f t="shared" si="70"/>
        <v>1</v>
      </c>
      <c r="O345" s="159">
        <f t="shared" si="71"/>
        <v>5000</v>
      </c>
      <c r="P345" s="47">
        <f t="shared" si="72"/>
        <v>26147.38969537005</v>
      </c>
      <c r="Q345" s="25">
        <f t="shared" si="73"/>
        <v>0</v>
      </c>
      <c r="R345" s="26" t="str">
        <f t="shared" si="74"/>
        <v>COIN</v>
      </c>
      <c r="S345" s="26" t="str">
        <f t="shared" si="69"/>
        <v>LONG</v>
      </c>
      <c r="T345" s="26" t="str">
        <f t="shared" si="75"/>
        <v>COIN LONG</v>
      </c>
      <c r="U345" s="17">
        <f t="shared" si="76"/>
        <v>26147.389695369999</v>
      </c>
      <c r="V345" s="17">
        <f t="shared" si="77"/>
        <v>5.2294779390740098</v>
      </c>
      <c r="W345" s="39">
        <f>IF($C345="","",IF(DefaultScenario,IF(OR(AND(Default_Exchange="ALL",NOT(ISERROR(MATCH($C345,$AF$6:$AF$37,0)))),$C345=Default_Exchange),IF($G345&gt;0,-LGD,0),0),IF(OR($J345="SWAP",$J345="FUTURE",$J345="CME FUTURE"),IF('Futures &amp; Perps Shifted'!$AE$31,VLOOKUP($M345,'Futures &amp; Perps Shifted'!$AE$32:$AO$76,MATCH($R345,'Futures &amp; Perps Shifted'!$AE$30:$AO$30,0),FALSE),0),0)))</f>
        <v>0</v>
      </c>
      <c r="X345" s="17">
        <f t="shared" si="78"/>
        <v>0</v>
      </c>
      <c r="Y345" s="14" t="str">
        <f t="shared" si="68"/>
        <v>LEND</v>
      </c>
      <c r="Z345" t="str">
        <f t="shared" si="79"/>
        <v>DOT COIN LONG</v>
      </c>
      <c r="AA345" t="b">
        <f>IF($C345="","",IF(ISERROR(VLOOKUP($Y345,Mappings!$A:$C,3,FALSE)),FALSE,VLOOKUP($Y345,Mappings!$A:$C,3,FALSE)))</f>
        <v>0</v>
      </c>
    </row>
    <row r="346" spans="1:27" customFormat="1" x14ac:dyDescent="0.25">
      <c r="A346" s="14">
        <v>344</v>
      </c>
      <c r="B346" s="71">
        <v>44938</v>
      </c>
      <c r="C346" s="14" t="s">
        <v>170</v>
      </c>
      <c r="D346" s="23" t="s">
        <v>168</v>
      </c>
      <c r="E346" s="23" t="s">
        <v>28</v>
      </c>
      <c r="F346" s="101">
        <v>15000</v>
      </c>
      <c r="G346" s="153">
        <v>4561.4429835563797</v>
      </c>
      <c r="H346" s="157">
        <v>0.304096198903759</v>
      </c>
      <c r="I346" s="23">
        <v>0</v>
      </c>
      <c r="J346" s="23" t="s">
        <v>85</v>
      </c>
      <c r="K346" s="24">
        <v>44938</v>
      </c>
      <c r="L346" s="23">
        <v>1</v>
      </c>
      <c r="M346" s="23" t="s">
        <v>28</v>
      </c>
      <c r="N346" s="45">
        <f t="shared" si="70"/>
        <v>1</v>
      </c>
      <c r="O346" s="159">
        <f t="shared" si="71"/>
        <v>15000</v>
      </c>
      <c r="P346" s="47">
        <f t="shared" si="72"/>
        <v>4561.4429835563851</v>
      </c>
      <c r="Q346" s="25">
        <f t="shared" si="73"/>
        <v>0</v>
      </c>
      <c r="R346" s="26" t="str">
        <f t="shared" si="74"/>
        <v>COIN</v>
      </c>
      <c r="S346" s="26" t="str">
        <f t="shared" si="69"/>
        <v>LONG</v>
      </c>
      <c r="T346" s="26" t="str">
        <f t="shared" si="75"/>
        <v>COIN LONG</v>
      </c>
      <c r="U346" s="17">
        <f t="shared" si="76"/>
        <v>4561.4429835563797</v>
      </c>
      <c r="V346" s="17">
        <f t="shared" si="77"/>
        <v>0.304096198903759</v>
      </c>
      <c r="W346" s="39">
        <f>IF($C346="","",IF(DefaultScenario,IF(OR(AND(Default_Exchange="ALL",NOT(ISERROR(MATCH($C346,$AF$6:$AF$37,0)))),$C346=Default_Exchange),IF($G346&gt;0,-LGD,0),0),IF(OR($J346="SWAP",$J346="FUTURE",$J346="CME FUTURE"),IF('Futures &amp; Perps Shifted'!$AE$31,VLOOKUP($M346,'Futures &amp; Perps Shifted'!$AE$32:$AO$76,MATCH($R346,'Futures &amp; Perps Shifted'!$AE$30:$AO$30,0),FALSE),0),0)))</f>
        <v>0</v>
      </c>
      <c r="X346" s="17">
        <f t="shared" si="78"/>
        <v>0</v>
      </c>
      <c r="Y346" s="14" t="str">
        <f t="shared" si="68"/>
        <v>LEND</v>
      </c>
      <c r="Z346" t="str">
        <f t="shared" si="79"/>
        <v>ENJ COIN LONG</v>
      </c>
      <c r="AA346" t="b">
        <f>IF($C346="","",IF(ISERROR(VLOOKUP($Y346,Mappings!$A:$C,3,FALSE)),FALSE,VLOOKUP($Y346,Mappings!$A:$C,3,FALSE)))</f>
        <v>0</v>
      </c>
    </row>
    <row r="347" spans="1:27" customFormat="1" x14ac:dyDescent="0.25">
      <c r="A347" s="14">
        <v>345</v>
      </c>
      <c r="B347" s="71">
        <v>44938</v>
      </c>
      <c r="C347" s="14" t="s">
        <v>170</v>
      </c>
      <c r="D347" s="23" t="s">
        <v>168</v>
      </c>
      <c r="E347" s="23" t="s">
        <v>23</v>
      </c>
      <c r="F347" s="101">
        <v>30000</v>
      </c>
      <c r="G347" s="153">
        <v>29707.2743042082</v>
      </c>
      <c r="H347" s="157">
        <v>0.990242476806942</v>
      </c>
      <c r="I347" s="23">
        <v>0</v>
      </c>
      <c r="J347" s="23" t="s">
        <v>85</v>
      </c>
      <c r="K347" s="24">
        <v>44938</v>
      </c>
      <c r="L347" s="23">
        <v>1</v>
      </c>
      <c r="M347" s="23" t="s">
        <v>23</v>
      </c>
      <c r="N347" s="45">
        <f t="shared" si="70"/>
        <v>1</v>
      </c>
      <c r="O347" s="159">
        <f t="shared" si="71"/>
        <v>30000</v>
      </c>
      <c r="P347" s="47">
        <f t="shared" si="72"/>
        <v>29707.274304208258</v>
      </c>
      <c r="Q347" s="25">
        <f t="shared" si="73"/>
        <v>0</v>
      </c>
      <c r="R347" s="26" t="str">
        <f t="shared" si="74"/>
        <v>COIN</v>
      </c>
      <c r="S347" s="26" t="str">
        <f t="shared" si="69"/>
        <v>LONG</v>
      </c>
      <c r="T347" s="26" t="str">
        <f t="shared" si="75"/>
        <v>COIN LONG</v>
      </c>
      <c r="U347" s="17">
        <f t="shared" si="76"/>
        <v>29707.2743042082</v>
      </c>
      <c r="V347" s="17">
        <f t="shared" si="77"/>
        <v>0.990242476806942</v>
      </c>
      <c r="W347" s="39">
        <f>IF($C347="","",IF(DefaultScenario,IF(OR(AND(Default_Exchange="ALL",NOT(ISERROR(MATCH($C347,$AF$6:$AF$37,0)))),$C347=Default_Exchange),IF($G347&gt;0,-LGD,0),0),IF(OR($J347="SWAP",$J347="FUTURE",$J347="CME FUTURE"),IF('Futures &amp; Perps Shifted'!$AE$31,VLOOKUP($M347,'Futures &amp; Perps Shifted'!$AE$32:$AO$76,MATCH($R347,'Futures &amp; Perps Shifted'!$AE$30:$AO$30,0),FALSE),0),0)))</f>
        <v>0</v>
      </c>
      <c r="X347" s="17">
        <f t="shared" si="78"/>
        <v>0</v>
      </c>
      <c r="Y347" s="14" t="str">
        <f t="shared" si="68"/>
        <v>LEND</v>
      </c>
      <c r="Z347" t="str">
        <f t="shared" si="79"/>
        <v>EOS COIN LONG</v>
      </c>
      <c r="AA347" t="b">
        <f>IF($C347="","",IF(ISERROR(VLOOKUP($Y347,Mappings!$A:$C,3,FALSE)),FALSE,VLOOKUP($Y347,Mappings!$A:$C,3,FALSE)))</f>
        <v>0</v>
      </c>
    </row>
    <row r="348" spans="1:27" customFormat="1" x14ac:dyDescent="0.25">
      <c r="A348" s="14">
        <v>346</v>
      </c>
      <c r="B348" s="71">
        <v>44938</v>
      </c>
      <c r="C348" s="14" t="s">
        <v>170</v>
      </c>
      <c r="D348" s="23" t="s">
        <v>168</v>
      </c>
      <c r="E348" s="23" t="s">
        <v>29</v>
      </c>
      <c r="F348" s="101">
        <v>98000</v>
      </c>
      <c r="G348" s="153">
        <v>2049940.3053389101</v>
      </c>
      <c r="H348" s="157">
        <v>20.917758217744002</v>
      </c>
      <c r="I348" s="23">
        <v>0</v>
      </c>
      <c r="J348" s="23" t="s">
        <v>85</v>
      </c>
      <c r="K348" s="24">
        <v>44938</v>
      </c>
      <c r="L348" s="23">
        <v>1</v>
      </c>
      <c r="M348" s="23" t="s">
        <v>29</v>
      </c>
      <c r="N348" s="45">
        <f t="shared" si="70"/>
        <v>1</v>
      </c>
      <c r="O348" s="159">
        <f t="shared" si="71"/>
        <v>98000</v>
      </c>
      <c r="P348" s="47">
        <f t="shared" si="72"/>
        <v>2049940.3053389122</v>
      </c>
      <c r="Q348" s="25">
        <f t="shared" si="73"/>
        <v>0</v>
      </c>
      <c r="R348" s="26" t="str">
        <f t="shared" si="74"/>
        <v>COIN</v>
      </c>
      <c r="S348" s="26" t="str">
        <f t="shared" si="69"/>
        <v>LONG</v>
      </c>
      <c r="T348" s="26" t="str">
        <f t="shared" si="75"/>
        <v>COIN LONG</v>
      </c>
      <c r="U348" s="17">
        <f t="shared" si="76"/>
        <v>2049940.3053389101</v>
      </c>
      <c r="V348" s="17">
        <f t="shared" si="77"/>
        <v>20.917758217744002</v>
      </c>
      <c r="W348" s="39">
        <f>IF($C348="","",IF(DefaultScenario,IF(OR(AND(Default_Exchange="ALL",NOT(ISERROR(MATCH($C348,$AF$6:$AF$37,0)))),$C348=Default_Exchange),IF($G348&gt;0,-LGD,0),0),IF(OR($J348="SWAP",$J348="FUTURE",$J348="CME FUTURE"),IF('Futures &amp; Perps Shifted'!$AE$31,VLOOKUP($M348,'Futures &amp; Perps Shifted'!$AE$32:$AO$76,MATCH($R348,'Futures &amp; Perps Shifted'!$AE$30:$AO$30,0),FALSE),0),0)))</f>
        <v>0</v>
      </c>
      <c r="X348" s="17">
        <f t="shared" si="78"/>
        <v>0</v>
      </c>
      <c r="Y348" s="14" t="str">
        <f t="shared" si="68"/>
        <v>LEND</v>
      </c>
      <c r="Z348" t="str">
        <f t="shared" si="79"/>
        <v>ETC COIN LONG</v>
      </c>
      <c r="AA348" t="b">
        <f>IF($C348="","",IF(ISERROR(VLOOKUP($Y348,Mappings!$A:$C,3,FALSE)),FALSE,VLOOKUP($Y348,Mappings!$A:$C,3,FALSE)))</f>
        <v>0</v>
      </c>
    </row>
    <row r="349" spans="1:27" customFormat="1" x14ac:dyDescent="0.25">
      <c r="A349" s="14">
        <v>347</v>
      </c>
      <c r="B349" s="71">
        <v>44938</v>
      </c>
      <c r="C349" s="14" t="s">
        <v>170</v>
      </c>
      <c r="D349" s="23" t="s">
        <v>168</v>
      </c>
      <c r="E349" s="23" t="s">
        <v>191</v>
      </c>
      <c r="F349" s="101">
        <v>30000</v>
      </c>
      <c r="G349" s="153">
        <v>8203.4051788677698</v>
      </c>
      <c r="H349" s="157">
        <v>0.27344683929559199</v>
      </c>
      <c r="I349" s="23">
        <v>0</v>
      </c>
      <c r="J349" s="23" t="s">
        <v>85</v>
      </c>
      <c r="K349" s="24">
        <v>44938</v>
      </c>
      <c r="L349" s="23">
        <v>1</v>
      </c>
      <c r="M349" s="23" t="s">
        <v>191</v>
      </c>
      <c r="N349" s="45">
        <f t="shared" si="70"/>
        <v>1</v>
      </c>
      <c r="O349" s="159">
        <f t="shared" si="71"/>
        <v>30000</v>
      </c>
      <c r="P349" s="47">
        <f t="shared" si="72"/>
        <v>8203.4051788677589</v>
      </c>
      <c r="Q349" s="25">
        <f t="shared" si="73"/>
        <v>0</v>
      </c>
      <c r="R349" s="26" t="str">
        <f t="shared" si="74"/>
        <v>COIN</v>
      </c>
      <c r="S349" s="26" t="str">
        <f t="shared" si="69"/>
        <v>LONG</v>
      </c>
      <c r="T349" s="26" t="str">
        <f t="shared" si="75"/>
        <v>COIN LONG</v>
      </c>
      <c r="U349" s="17">
        <f t="shared" si="76"/>
        <v>8203.4051788677698</v>
      </c>
      <c r="V349" s="17">
        <f t="shared" si="77"/>
        <v>0.27344683929559199</v>
      </c>
      <c r="W349" s="39">
        <f>IF($C349="","",IF(DefaultScenario,IF(OR(AND(Default_Exchange="ALL",NOT(ISERROR(MATCH($C349,$AF$6:$AF$37,0)))),$C349=Default_Exchange),IF($G349&gt;0,-LGD,0),0),IF(OR($J349="SWAP",$J349="FUTURE",$J349="CME FUTURE"),IF('Futures &amp; Perps Shifted'!$AE$31,VLOOKUP($M349,'Futures &amp; Perps Shifted'!$AE$32:$AO$76,MATCH($R349,'Futures &amp; Perps Shifted'!$AE$30:$AO$30,0),FALSE),0),0)))</f>
        <v>0</v>
      </c>
      <c r="X349" s="17">
        <f t="shared" si="78"/>
        <v>0</v>
      </c>
      <c r="Y349" s="14" t="str">
        <f t="shared" si="68"/>
        <v>LEND</v>
      </c>
      <c r="Z349" t="str">
        <f t="shared" si="79"/>
        <v>FTM COIN LONG</v>
      </c>
      <c r="AA349" t="b">
        <f>IF($C349="","",IF(ISERROR(VLOOKUP($Y349,Mappings!$A:$C,3,FALSE)),FALSE,VLOOKUP($Y349,Mappings!$A:$C,3,FALSE)))</f>
        <v>0</v>
      </c>
    </row>
    <row r="350" spans="1:27" customFormat="1" x14ac:dyDescent="0.25">
      <c r="A350" s="14">
        <v>348</v>
      </c>
      <c r="B350" s="71">
        <v>44938</v>
      </c>
      <c r="C350" s="14" t="s">
        <v>170</v>
      </c>
      <c r="D350" s="23" t="s">
        <v>168</v>
      </c>
      <c r="E350" s="23" t="s">
        <v>415</v>
      </c>
      <c r="F350" s="101">
        <v>50000</v>
      </c>
      <c r="G350" s="153">
        <v>3675.0979151612801</v>
      </c>
      <c r="H350" s="157">
        <v>7.3501958303225604E-2</v>
      </c>
      <c r="I350" s="23">
        <v>0</v>
      </c>
      <c r="J350" s="23" t="s">
        <v>85</v>
      </c>
      <c r="K350" s="24">
        <v>44938</v>
      </c>
      <c r="L350" s="23">
        <v>1</v>
      </c>
      <c r="M350" s="23" t="s">
        <v>415</v>
      </c>
      <c r="N350" s="45">
        <f t="shared" si="70"/>
        <v>1</v>
      </c>
      <c r="O350" s="159">
        <f t="shared" si="71"/>
        <v>50000</v>
      </c>
      <c r="P350" s="47">
        <f t="shared" si="72"/>
        <v>3675.0979151612801</v>
      </c>
      <c r="Q350" s="25">
        <f t="shared" si="73"/>
        <v>0</v>
      </c>
      <c r="R350" s="26" t="str">
        <f t="shared" si="74"/>
        <v>COIN</v>
      </c>
      <c r="S350" s="26" t="str">
        <f t="shared" si="69"/>
        <v>LONG</v>
      </c>
      <c r="T350" s="26" t="str">
        <f t="shared" si="75"/>
        <v>COIN LONG</v>
      </c>
      <c r="U350" s="17">
        <f t="shared" si="76"/>
        <v>3675.0979151612801</v>
      </c>
      <c r="V350" s="17">
        <f t="shared" si="77"/>
        <v>7.3501958303225604E-2</v>
      </c>
      <c r="W350" s="39">
        <f>IF($C350="","",IF(DefaultScenario,IF(OR(AND(Default_Exchange="ALL",NOT(ISERROR(MATCH($C350,$AF$6:$AF$37,0)))),$C350=Default_Exchange),IF($G350&gt;0,-LGD,0),0),IF(OR($J350="SWAP",$J350="FUTURE",$J350="CME FUTURE"),IF('Futures &amp; Perps Shifted'!$AE$31,VLOOKUP($M350,'Futures &amp; Perps Shifted'!$AE$32:$AO$76,MATCH($R350,'Futures &amp; Perps Shifted'!$AE$30:$AO$30,0),FALSE),0),0)))</f>
        <v>0</v>
      </c>
      <c r="X350" s="17">
        <f t="shared" si="78"/>
        <v>0</v>
      </c>
      <c r="Y350" s="14" t="str">
        <f t="shared" si="68"/>
        <v>LEND</v>
      </c>
      <c r="Z350" t="str">
        <f t="shared" si="79"/>
        <v>GRT COIN LONG</v>
      </c>
      <c r="AA350" t="b">
        <f>IF($C350="","",IF(ISERROR(VLOOKUP($Y350,Mappings!$A:$C,3,FALSE)),FALSE,VLOOKUP($Y350,Mappings!$A:$C,3,FALSE)))</f>
        <v>0</v>
      </c>
    </row>
    <row r="351" spans="1:27" customFormat="1" x14ac:dyDescent="0.25">
      <c r="A351" s="14">
        <v>349</v>
      </c>
      <c r="B351" s="71">
        <v>44938</v>
      </c>
      <c r="C351" s="14" t="s">
        <v>170</v>
      </c>
      <c r="D351" s="23" t="s">
        <v>168</v>
      </c>
      <c r="E351" s="23" t="s">
        <v>135</v>
      </c>
      <c r="F351" s="101">
        <v>125000</v>
      </c>
      <c r="G351" s="153">
        <v>5955.95459558743</v>
      </c>
      <c r="H351" s="157">
        <v>4.7647636764699498E-2</v>
      </c>
      <c r="I351" s="23">
        <v>0</v>
      </c>
      <c r="J351" s="23" t="s">
        <v>85</v>
      </c>
      <c r="K351" s="24">
        <v>44938</v>
      </c>
      <c r="L351" s="23">
        <v>1</v>
      </c>
      <c r="M351" s="23" t="s">
        <v>135</v>
      </c>
      <c r="N351" s="45">
        <f t="shared" si="70"/>
        <v>1</v>
      </c>
      <c r="O351" s="159">
        <f t="shared" si="71"/>
        <v>125000</v>
      </c>
      <c r="P351" s="47">
        <f t="shared" si="72"/>
        <v>5955.9545955874373</v>
      </c>
      <c r="Q351" s="25">
        <f t="shared" si="73"/>
        <v>0</v>
      </c>
      <c r="R351" s="26" t="str">
        <f t="shared" si="74"/>
        <v>COIN</v>
      </c>
      <c r="S351" s="26" t="str">
        <f t="shared" si="69"/>
        <v>LONG</v>
      </c>
      <c r="T351" s="26" t="str">
        <f t="shared" si="75"/>
        <v>COIN LONG</v>
      </c>
      <c r="U351" s="17">
        <f t="shared" si="76"/>
        <v>5955.95459558743</v>
      </c>
      <c r="V351" s="17">
        <f t="shared" si="77"/>
        <v>4.7647636764699498E-2</v>
      </c>
      <c r="W351" s="39">
        <f>IF($C351="","",IF(DefaultScenario,IF(OR(AND(Default_Exchange="ALL",NOT(ISERROR(MATCH($C351,$AF$6:$AF$37,0)))),$C351=Default_Exchange),IF($G351&gt;0,-LGD,0),0),IF(OR($J351="SWAP",$J351="FUTURE",$J351="CME FUTURE"),IF('Futures &amp; Perps Shifted'!$AE$31,VLOOKUP($M351,'Futures &amp; Perps Shifted'!$AE$32:$AO$76,MATCH($R351,'Futures &amp; Perps Shifted'!$AE$30:$AO$30,0),FALSE),0),0)))</f>
        <v>0</v>
      </c>
      <c r="X351" s="17">
        <f t="shared" si="78"/>
        <v>0</v>
      </c>
      <c r="Y351" s="14" t="str">
        <f t="shared" si="68"/>
        <v>LEND</v>
      </c>
      <c r="Z351" t="str">
        <f t="shared" si="79"/>
        <v>HBAR COIN LONG</v>
      </c>
      <c r="AA351" t="b">
        <f>IF($C351="","",IF(ISERROR(VLOOKUP($Y351,Mappings!$A:$C,3,FALSE)),FALSE,VLOOKUP($Y351,Mappings!$A:$C,3,FALSE)))</f>
        <v>0</v>
      </c>
    </row>
    <row r="352" spans="1:27" customFormat="1" x14ac:dyDescent="0.25">
      <c r="A352" s="14">
        <v>350</v>
      </c>
      <c r="B352" s="71">
        <v>44938</v>
      </c>
      <c r="C352" s="14" t="s">
        <v>170</v>
      </c>
      <c r="D352" s="23" t="s">
        <v>168</v>
      </c>
      <c r="E352" s="23" t="s">
        <v>27</v>
      </c>
      <c r="F352" s="101">
        <v>7000</v>
      </c>
      <c r="G352" s="153">
        <v>44669.3208670651</v>
      </c>
      <c r="H352" s="157">
        <v>6.38133155243787</v>
      </c>
      <c r="I352" s="23">
        <v>0</v>
      </c>
      <c r="J352" s="23" t="s">
        <v>85</v>
      </c>
      <c r="K352" s="24">
        <v>44938</v>
      </c>
      <c r="L352" s="23">
        <v>1</v>
      </c>
      <c r="M352" s="23" t="s">
        <v>27</v>
      </c>
      <c r="N352" s="45">
        <f t="shared" si="70"/>
        <v>1</v>
      </c>
      <c r="O352" s="159">
        <f t="shared" si="71"/>
        <v>7000</v>
      </c>
      <c r="P352" s="47">
        <f t="shared" si="72"/>
        <v>44669.320867065093</v>
      </c>
      <c r="Q352" s="25">
        <f t="shared" si="73"/>
        <v>0</v>
      </c>
      <c r="R352" s="26" t="str">
        <f t="shared" si="74"/>
        <v>COIN</v>
      </c>
      <c r="S352" s="26" t="str">
        <f t="shared" si="69"/>
        <v>LONG</v>
      </c>
      <c r="T352" s="26" t="str">
        <f t="shared" si="75"/>
        <v>COIN LONG</v>
      </c>
      <c r="U352" s="17">
        <f t="shared" si="76"/>
        <v>44669.3208670651</v>
      </c>
      <c r="V352" s="17">
        <f t="shared" si="77"/>
        <v>6.38133155243787</v>
      </c>
      <c r="W352" s="39">
        <f>IF($C352="","",IF(DefaultScenario,IF(OR(AND(Default_Exchange="ALL",NOT(ISERROR(MATCH($C352,$AF$6:$AF$37,0)))),$C352=Default_Exchange),IF($G352&gt;0,-LGD,0),0),IF(OR($J352="SWAP",$J352="FUTURE",$J352="CME FUTURE"),IF('Futures &amp; Perps Shifted'!$AE$31,VLOOKUP($M352,'Futures &amp; Perps Shifted'!$AE$32:$AO$76,MATCH($R352,'Futures &amp; Perps Shifted'!$AE$30:$AO$30,0),FALSE),0),0)))</f>
        <v>0</v>
      </c>
      <c r="X352" s="17">
        <f t="shared" si="78"/>
        <v>0</v>
      </c>
      <c r="Y352" s="14" t="str">
        <f t="shared" si="68"/>
        <v>LEND</v>
      </c>
      <c r="Z352" t="str">
        <f t="shared" si="79"/>
        <v>LINK COIN LONG</v>
      </c>
      <c r="AA352" t="b">
        <f>IF($C352="","",IF(ISERROR(VLOOKUP($Y352,Mappings!$A:$C,3,FALSE)),FALSE,VLOOKUP($Y352,Mappings!$A:$C,3,FALSE)))</f>
        <v>0</v>
      </c>
    </row>
    <row r="353" spans="1:27" customFormat="1" x14ac:dyDescent="0.25">
      <c r="A353" s="14">
        <v>351</v>
      </c>
      <c r="B353" s="71">
        <v>44938</v>
      </c>
      <c r="C353" s="14" t="s">
        <v>170</v>
      </c>
      <c r="D353" s="23" t="s">
        <v>168</v>
      </c>
      <c r="E353" s="23" t="s">
        <v>24</v>
      </c>
      <c r="F353" s="101">
        <v>500</v>
      </c>
      <c r="G353" s="153">
        <v>42982.114725378</v>
      </c>
      <c r="H353" s="157">
        <v>85.964229450756093</v>
      </c>
      <c r="I353" s="23">
        <v>0</v>
      </c>
      <c r="J353" s="23" t="s">
        <v>85</v>
      </c>
      <c r="K353" s="24">
        <v>44938</v>
      </c>
      <c r="L353" s="23">
        <v>1</v>
      </c>
      <c r="M353" s="23" t="s">
        <v>24</v>
      </c>
      <c r="N353" s="45">
        <f t="shared" si="70"/>
        <v>1</v>
      </c>
      <c r="O353" s="159">
        <f t="shared" si="71"/>
        <v>500</v>
      </c>
      <c r="P353" s="47">
        <f t="shared" si="72"/>
        <v>42982.114725378044</v>
      </c>
      <c r="Q353" s="25">
        <f t="shared" si="73"/>
        <v>0</v>
      </c>
      <c r="R353" s="26" t="str">
        <f t="shared" si="74"/>
        <v>COIN</v>
      </c>
      <c r="S353" s="26" t="str">
        <f t="shared" si="69"/>
        <v>LONG</v>
      </c>
      <c r="T353" s="26" t="str">
        <f t="shared" si="75"/>
        <v>COIN LONG</v>
      </c>
      <c r="U353" s="17">
        <f t="shared" si="76"/>
        <v>42982.114725378</v>
      </c>
      <c r="V353" s="17">
        <f t="shared" si="77"/>
        <v>85.964229450756093</v>
      </c>
      <c r="W353" s="39">
        <f>IF($C353="","",IF(DefaultScenario,IF(OR(AND(Default_Exchange="ALL",NOT(ISERROR(MATCH($C353,$AF$6:$AF$37,0)))),$C353=Default_Exchange),IF($G353&gt;0,-LGD,0),0),IF(OR($J353="SWAP",$J353="FUTURE",$J353="CME FUTURE"),IF('Futures &amp; Perps Shifted'!$AE$31,VLOOKUP($M353,'Futures &amp; Perps Shifted'!$AE$32:$AO$76,MATCH($R353,'Futures &amp; Perps Shifted'!$AE$30:$AO$30,0),FALSE),0),0)))</f>
        <v>0</v>
      </c>
      <c r="X353" s="17">
        <f t="shared" si="78"/>
        <v>0</v>
      </c>
      <c r="Y353" s="14" t="str">
        <f t="shared" si="68"/>
        <v>LEND</v>
      </c>
      <c r="Z353" t="str">
        <f t="shared" si="79"/>
        <v>LTC COIN LONG</v>
      </c>
      <c r="AA353" t="b">
        <f>IF($C353="","",IF(ISERROR(VLOOKUP($Y353,Mappings!$A:$C,3,FALSE)),FALSE,VLOOKUP($Y353,Mappings!$A:$C,3,FALSE)))</f>
        <v>0</v>
      </c>
    </row>
    <row r="354" spans="1:27" customFormat="1" x14ac:dyDescent="0.25">
      <c r="A354" s="14">
        <v>352</v>
      </c>
      <c r="B354" s="71">
        <v>44938</v>
      </c>
      <c r="C354" s="14" t="s">
        <v>170</v>
      </c>
      <c r="D354" s="23" t="s">
        <v>168</v>
      </c>
      <c r="E354" s="23" t="s">
        <v>192</v>
      </c>
      <c r="F354" s="101">
        <v>45000</v>
      </c>
      <c r="G354" s="153">
        <v>18560.356587142</v>
      </c>
      <c r="H354" s="157">
        <v>0.41245236860315698</v>
      </c>
      <c r="I354" s="23">
        <v>0</v>
      </c>
      <c r="J354" s="23" t="s">
        <v>85</v>
      </c>
      <c r="K354" s="24">
        <v>44938</v>
      </c>
      <c r="L354" s="23">
        <v>1</v>
      </c>
      <c r="M354" s="23" t="s">
        <v>192</v>
      </c>
      <c r="N354" s="45">
        <f t="shared" si="70"/>
        <v>1</v>
      </c>
      <c r="O354" s="159">
        <f t="shared" si="71"/>
        <v>45000</v>
      </c>
      <c r="P354" s="47">
        <f t="shared" si="72"/>
        <v>18560.356587142065</v>
      </c>
      <c r="Q354" s="25">
        <f t="shared" si="73"/>
        <v>0</v>
      </c>
      <c r="R354" s="26" t="str">
        <f t="shared" si="74"/>
        <v>COIN</v>
      </c>
      <c r="S354" s="26" t="str">
        <f t="shared" si="69"/>
        <v>LONG</v>
      </c>
      <c r="T354" s="26" t="str">
        <f t="shared" si="75"/>
        <v>COIN LONG</v>
      </c>
      <c r="U354" s="17">
        <f t="shared" si="76"/>
        <v>18560.356587142</v>
      </c>
      <c r="V354" s="17">
        <f t="shared" si="77"/>
        <v>0.41245236860315698</v>
      </c>
      <c r="W354" s="39">
        <f>IF($C354="","",IF(DefaultScenario,IF(OR(AND(Default_Exchange="ALL",NOT(ISERROR(MATCH($C354,$AF$6:$AF$37,0)))),$C354=Default_Exchange),IF($G354&gt;0,-LGD,0),0),IF(OR($J354="SWAP",$J354="FUTURE",$J354="CME FUTURE"),IF('Futures &amp; Perps Shifted'!$AE$31,VLOOKUP($M354,'Futures &amp; Perps Shifted'!$AE$32:$AO$76,MATCH($R354,'Futures &amp; Perps Shifted'!$AE$30:$AO$30,0),FALSE),0),0)))</f>
        <v>0</v>
      </c>
      <c r="X354" s="17">
        <f t="shared" si="78"/>
        <v>0</v>
      </c>
      <c r="Y354" s="14" t="str">
        <f t="shared" si="68"/>
        <v>LEND</v>
      </c>
      <c r="Z354" t="str">
        <f t="shared" si="79"/>
        <v>MANA COIN LONG</v>
      </c>
      <c r="AA354" t="b">
        <f>IF($C354="","",IF(ISERROR(VLOOKUP($Y354,Mappings!$A:$C,3,FALSE)),FALSE,VLOOKUP($Y354,Mappings!$A:$C,3,FALSE)))</f>
        <v>0</v>
      </c>
    </row>
    <row r="355" spans="1:27" customFormat="1" x14ac:dyDescent="0.25">
      <c r="A355" s="14">
        <v>353</v>
      </c>
      <c r="B355" s="71">
        <v>44938</v>
      </c>
      <c r="C355" s="14" t="s">
        <v>170</v>
      </c>
      <c r="D355" s="23" t="s">
        <v>168</v>
      </c>
      <c r="E355" s="23" t="s">
        <v>193</v>
      </c>
      <c r="F355" s="101">
        <v>50000</v>
      </c>
      <c r="G355" s="153">
        <v>45814.455718261699</v>
      </c>
      <c r="H355" s="157">
        <v>0.91628911436523497</v>
      </c>
      <c r="I355" s="23">
        <v>0</v>
      </c>
      <c r="J355" s="23" t="s">
        <v>85</v>
      </c>
      <c r="K355" s="24">
        <v>44938</v>
      </c>
      <c r="L355" s="23">
        <v>1</v>
      </c>
      <c r="M355" s="23" t="s">
        <v>193</v>
      </c>
      <c r="N355" s="45">
        <f t="shared" si="70"/>
        <v>1</v>
      </c>
      <c r="O355" s="159">
        <f t="shared" si="71"/>
        <v>50000</v>
      </c>
      <c r="P355" s="47">
        <f t="shared" si="72"/>
        <v>45814.45571826175</v>
      </c>
      <c r="Q355" s="25">
        <f t="shared" si="73"/>
        <v>0</v>
      </c>
      <c r="R355" s="26" t="str">
        <f t="shared" si="74"/>
        <v>COIN</v>
      </c>
      <c r="S355" s="26" t="str">
        <f t="shared" si="69"/>
        <v>LONG</v>
      </c>
      <c r="T355" s="26" t="str">
        <f t="shared" si="75"/>
        <v>COIN LONG</v>
      </c>
      <c r="U355" s="17">
        <f t="shared" si="76"/>
        <v>45814.455718261699</v>
      </c>
      <c r="V355" s="17">
        <f t="shared" si="77"/>
        <v>0.91628911436523497</v>
      </c>
      <c r="W355" s="39">
        <f>IF($C355="","",IF(DefaultScenario,IF(OR(AND(Default_Exchange="ALL",NOT(ISERROR(MATCH($C355,$AF$6:$AF$37,0)))),$C355=Default_Exchange),IF($G355&gt;0,-LGD,0),0),IF(OR($J355="SWAP",$J355="FUTURE",$J355="CME FUTURE"),IF('Futures &amp; Perps Shifted'!$AE$31,VLOOKUP($M355,'Futures &amp; Perps Shifted'!$AE$32:$AO$76,MATCH($R355,'Futures &amp; Perps Shifted'!$AE$30:$AO$30,0),FALSE),0),0)))</f>
        <v>0</v>
      </c>
      <c r="X355" s="17">
        <f t="shared" si="78"/>
        <v>0</v>
      </c>
      <c r="Y355" s="14" t="str">
        <f t="shared" si="68"/>
        <v>LEND</v>
      </c>
      <c r="Z355" t="str">
        <f t="shared" si="79"/>
        <v>MATIC COIN LONG</v>
      </c>
      <c r="AA355" t="b">
        <f>IF($C355="","",IF(ISERROR(VLOOKUP($Y355,Mappings!$A:$C,3,FALSE)),FALSE,VLOOKUP($Y355,Mappings!$A:$C,3,FALSE)))</f>
        <v>0</v>
      </c>
    </row>
    <row r="356" spans="1:27" customFormat="1" x14ac:dyDescent="0.25">
      <c r="A356" s="14">
        <v>354</v>
      </c>
      <c r="B356" s="71">
        <v>44938</v>
      </c>
      <c r="C356" s="14" t="s">
        <v>170</v>
      </c>
      <c r="D356" s="23" t="s">
        <v>168</v>
      </c>
      <c r="E356" s="23" t="s">
        <v>89</v>
      </c>
      <c r="F356" s="101">
        <v>80000</v>
      </c>
      <c r="G356" s="153">
        <v>5865.54655298123</v>
      </c>
      <c r="H356" s="157">
        <v>7.3319331912265404E-2</v>
      </c>
      <c r="I356" s="23">
        <v>0</v>
      </c>
      <c r="J356" s="23" t="s">
        <v>85</v>
      </c>
      <c r="K356" s="24">
        <v>44938</v>
      </c>
      <c r="L356" s="23">
        <v>1</v>
      </c>
      <c r="M356" s="23" t="s">
        <v>89</v>
      </c>
      <c r="N356" s="45">
        <f t="shared" si="70"/>
        <v>1</v>
      </c>
      <c r="O356" s="159">
        <f t="shared" si="71"/>
        <v>80000</v>
      </c>
      <c r="P356" s="47">
        <f t="shared" si="72"/>
        <v>5865.5465529812327</v>
      </c>
      <c r="Q356" s="25">
        <f t="shared" si="73"/>
        <v>0</v>
      </c>
      <c r="R356" s="26" t="str">
        <f t="shared" si="74"/>
        <v>COIN</v>
      </c>
      <c r="S356" s="26" t="str">
        <f t="shared" si="69"/>
        <v>LONG</v>
      </c>
      <c r="T356" s="26" t="str">
        <f t="shared" si="75"/>
        <v>COIN LONG</v>
      </c>
      <c r="U356" s="17">
        <f t="shared" si="76"/>
        <v>5865.54655298123</v>
      </c>
      <c r="V356" s="17">
        <f t="shared" si="77"/>
        <v>7.3319331912265404E-2</v>
      </c>
      <c r="W356" s="39">
        <f>IF($C356="","",IF(DefaultScenario,IF(OR(AND(Default_Exchange="ALL",NOT(ISERROR(MATCH($C356,$AF$6:$AF$37,0)))),$C356=Default_Exchange),IF($G356&gt;0,-LGD,0),0),IF(OR($J356="SWAP",$J356="FUTURE",$J356="CME FUTURE"),IF('Futures &amp; Perps Shifted'!$AE$31,VLOOKUP($M356,'Futures &amp; Perps Shifted'!$AE$32:$AO$76,MATCH($R356,'Futures &amp; Perps Shifted'!$AE$30:$AO$30,0),FALSE),0),0)))</f>
        <v>0</v>
      </c>
      <c r="X356" s="17">
        <f t="shared" si="78"/>
        <v>0</v>
      </c>
      <c r="Y356" s="14" t="str">
        <f t="shared" si="68"/>
        <v>LEND</v>
      </c>
      <c r="Z356" t="str">
        <f t="shared" si="79"/>
        <v>OXT COIN LONG</v>
      </c>
      <c r="AA356" t="b">
        <f>IF($C356="","",IF(ISERROR(VLOOKUP($Y356,Mappings!$A:$C,3,FALSE)),FALSE,VLOOKUP($Y356,Mappings!$A:$C,3,FALSE)))</f>
        <v>0</v>
      </c>
    </row>
    <row r="357" spans="1:27" customFormat="1" x14ac:dyDescent="0.25">
      <c r="A357" s="14">
        <v>355</v>
      </c>
      <c r="B357" s="71">
        <v>44938</v>
      </c>
      <c r="C357" s="14" t="s">
        <v>170</v>
      </c>
      <c r="D357" s="23" t="s">
        <v>168</v>
      </c>
      <c r="E357" s="23" t="s">
        <v>154</v>
      </c>
      <c r="F357" s="101">
        <v>3500</v>
      </c>
      <c r="G357" s="153">
        <v>58166.654687279501</v>
      </c>
      <c r="H357" s="157">
        <v>16.6190441963655</v>
      </c>
      <c r="I357" s="23">
        <v>0</v>
      </c>
      <c r="J357" s="23" t="s">
        <v>85</v>
      </c>
      <c r="K357" s="24">
        <v>44938</v>
      </c>
      <c r="L357" s="23">
        <v>1</v>
      </c>
      <c r="M357" s="23" t="s">
        <v>154</v>
      </c>
      <c r="N357" s="45">
        <f t="shared" si="70"/>
        <v>1</v>
      </c>
      <c r="O357" s="159">
        <f t="shared" si="71"/>
        <v>3500</v>
      </c>
      <c r="P357" s="47">
        <f t="shared" si="72"/>
        <v>58166.654687279253</v>
      </c>
      <c r="Q357" s="25">
        <f t="shared" si="73"/>
        <v>0</v>
      </c>
      <c r="R357" s="26" t="str">
        <f t="shared" si="74"/>
        <v>COIN</v>
      </c>
      <c r="S357" s="26" t="str">
        <f t="shared" si="69"/>
        <v>LONG</v>
      </c>
      <c r="T357" s="26" t="str">
        <f t="shared" si="75"/>
        <v>COIN LONG</v>
      </c>
      <c r="U357" s="17">
        <f t="shared" si="76"/>
        <v>58166.654687279501</v>
      </c>
      <c r="V357" s="17">
        <f t="shared" si="77"/>
        <v>16.6190441963655</v>
      </c>
      <c r="W357" s="39">
        <f>IF($C357="","",IF(DefaultScenario,IF(OR(AND(Default_Exchange="ALL",NOT(ISERROR(MATCH($C357,$AF$6:$AF$37,0)))),$C357=Default_Exchange),IF($G357&gt;0,-LGD,0),0),IF(OR($J357="SWAP",$J357="FUTURE",$J357="CME FUTURE"),IF('Futures &amp; Perps Shifted'!$AE$31,VLOOKUP($M357,'Futures &amp; Perps Shifted'!$AE$32:$AO$76,MATCH($R357,'Futures &amp; Perps Shifted'!$AE$30:$AO$30,0),FALSE),0),0)))</f>
        <v>0</v>
      </c>
      <c r="X357" s="17">
        <f t="shared" si="78"/>
        <v>0</v>
      </c>
      <c r="Y357" s="14" t="str">
        <f t="shared" si="68"/>
        <v>LEND</v>
      </c>
      <c r="Z357" t="str">
        <f t="shared" si="79"/>
        <v>SOL COIN LONG</v>
      </c>
      <c r="AA357" t="b">
        <f>IF($C357="","",IF(ISERROR(VLOOKUP($Y357,Mappings!$A:$C,3,FALSE)),FALSE,VLOOKUP($Y357,Mappings!$A:$C,3,FALSE)))</f>
        <v>0</v>
      </c>
    </row>
    <row r="358" spans="1:27" customFormat="1" x14ac:dyDescent="0.25">
      <c r="A358" s="14">
        <v>356</v>
      </c>
      <c r="B358" s="71">
        <v>44938</v>
      </c>
      <c r="C358" s="14" t="s">
        <v>170</v>
      </c>
      <c r="D358" s="23" t="s">
        <v>168</v>
      </c>
      <c r="E358" s="23" t="s">
        <v>414</v>
      </c>
      <c r="F358" s="101">
        <v>21600</v>
      </c>
      <c r="G358" s="153">
        <v>24574.094963555199</v>
      </c>
      <c r="H358" s="157">
        <v>1.1376895816460699</v>
      </c>
      <c r="I358" s="23">
        <v>0</v>
      </c>
      <c r="J358" s="23" t="s">
        <v>85</v>
      </c>
      <c r="K358" s="24">
        <v>44938</v>
      </c>
      <c r="L358" s="23">
        <v>1</v>
      </c>
      <c r="M358" s="23" t="s">
        <v>414</v>
      </c>
      <c r="N358" s="45">
        <f t="shared" si="70"/>
        <v>1</v>
      </c>
      <c r="O358" s="159">
        <f t="shared" si="71"/>
        <v>21600</v>
      </c>
      <c r="P358" s="47">
        <f t="shared" si="72"/>
        <v>24574.094963555111</v>
      </c>
      <c r="Q358" s="25">
        <f t="shared" si="73"/>
        <v>0</v>
      </c>
      <c r="R358" s="26" t="str">
        <f t="shared" si="74"/>
        <v>COIN</v>
      </c>
      <c r="S358" s="26" t="str">
        <f t="shared" si="69"/>
        <v>LONG</v>
      </c>
      <c r="T358" s="26" t="str">
        <f t="shared" si="75"/>
        <v>COIN LONG</v>
      </c>
      <c r="U358" s="17">
        <f t="shared" si="76"/>
        <v>24574.094963555199</v>
      </c>
      <c r="V358" s="17">
        <f t="shared" si="77"/>
        <v>1.1376895816460699</v>
      </c>
      <c r="W358" s="39">
        <f>IF($C358="","",IF(DefaultScenario,IF(OR(AND(Default_Exchange="ALL",NOT(ISERROR(MATCH($C358,$AF$6:$AF$37,0)))),$C358=Default_Exchange),IF($G358&gt;0,-LGD,0),0),IF(OR($J358="SWAP",$J358="FUTURE",$J358="CME FUTURE"),IF('Futures &amp; Perps Shifted'!$AE$31,VLOOKUP($M358,'Futures &amp; Perps Shifted'!$AE$32:$AO$76,MATCH($R358,'Futures &amp; Perps Shifted'!$AE$30:$AO$30,0),FALSE),0),0)))</f>
        <v>0</v>
      </c>
      <c r="X358" s="17">
        <f t="shared" si="78"/>
        <v>0</v>
      </c>
      <c r="Y358" s="14" t="str">
        <f t="shared" si="68"/>
        <v>LEND</v>
      </c>
      <c r="Z358" t="str">
        <f t="shared" si="79"/>
        <v>SUSHI COIN LONG</v>
      </c>
      <c r="AA358" t="b">
        <f>IF($C358="","",IF(ISERROR(VLOOKUP($Y358,Mappings!$A:$C,3,FALSE)),FALSE,VLOOKUP($Y358,Mappings!$A:$C,3,FALSE)))</f>
        <v>0</v>
      </c>
    </row>
    <row r="359" spans="1:27" customFormat="1" x14ac:dyDescent="0.25">
      <c r="A359" s="14">
        <v>357</v>
      </c>
      <c r="B359" s="71">
        <v>44938</v>
      </c>
      <c r="C359" s="14" t="s">
        <v>170</v>
      </c>
      <c r="D359" s="23" t="s">
        <v>168</v>
      </c>
      <c r="E359" s="23" t="s">
        <v>159</v>
      </c>
      <c r="F359" s="101">
        <v>6000</v>
      </c>
      <c r="G359" s="153">
        <v>37040.287692466401</v>
      </c>
      <c r="H359" s="157">
        <v>6.1733812820777398</v>
      </c>
      <c r="I359" s="23">
        <v>0</v>
      </c>
      <c r="J359" s="23" t="s">
        <v>85</v>
      </c>
      <c r="K359" s="24">
        <v>44938</v>
      </c>
      <c r="L359" s="23">
        <v>1</v>
      </c>
      <c r="M359" s="23" t="s">
        <v>159</v>
      </c>
      <c r="N359" s="45">
        <f t="shared" si="70"/>
        <v>1</v>
      </c>
      <c r="O359" s="159">
        <f t="shared" si="71"/>
        <v>6000</v>
      </c>
      <c r="P359" s="47">
        <f t="shared" si="72"/>
        <v>37040.287692466438</v>
      </c>
      <c r="Q359" s="25">
        <f t="shared" si="73"/>
        <v>0</v>
      </c>
      <c r="R359" s="26" t="str">
        <f t="shared" si="74"/>
        <v>COIN</v>
      </c>
      <c r="S359" s="26" t="str">
        <f t="shared" si="69"/>
        <v>LONG</v>
      </c>
      <c r="T359" s="26" t="str">
        <f t="shared" si="75"/>
        <v>COIN LONG</v>
      </c>
      <c r="U359" s="17">
        <f t="shared" si="76"/>
        <v>37040.287692466401</v>
      </c>
      <c r="V359" s="17">
        <f t="shared" si="77"/>
        <v>6.1733812820777398</v>
      </c>
      <c r="W359" s="39">
        <f>IF($C359="","",IF(DefaultScenario,IF(OR(AND(Default_Exchange="ALL",NOT(ISERROR(MATCH($C359,$AF$6:$AF$37,0)))),$C359=Default_Exchange),IF($G359&gt;0,-LGD,0),0),IF(OR($J359="SWAP",$J359="FUTURE",$J359="CME FUTURE"),IF('Futures &amp; Perps Shifted'!$AE$31,VLOOKUP($M359,'Futures &amp; Perps Shifted'!$AE$32:$AO$76,MATCH($R359,'Futures &amp; Perps Shifted'!$AE$30:$AO$30,0),FALSE),0),0)))</f>
        <v>0</v>
      </c>
      <c r="X359" s="17">
        <f t="shared" si="78"/>
        <v>0</v>
      </c>
      <c r="Y359" s="14" t="str">
        <f t="shared" si="68"/>
        <v>LEND</v>
      </c>
      <c r="Z359" t="str">
        <f t="shared" si="79"/>
        <v>UNI COIN LONG</v>
      </c>
      <c r="AA359" t="b">
        <f>IF($C359="","",IF(ISERROR(VLOOKUP($Y359,Mappings!$A:$C,3,FALSE)),FALSE,VLOOKUP($Y359,Mappings!$A:$C,3,FALSE)))</f>
        <v>0</v>
      </c>
    </row>
    <row r="360" spans="1:27" customFormat="1" x14ac:dyDescent="0.25">
      <c r="A360" s="14">
        <v>358</v>
      </c>
      <c r="B360" s="71">
        <v>44938</v>
      </c>
      <c r="C360" s="14" t="s">
        <v>170</v>
      </c>
      <c r="D360" s="23" t="s">
        <v>168</v>
      </c>
      <c r="E360" s="23" t="s">
        <v>38</v>
      </c>
      <c r="F360" s="101">
        <v>10000000</v>
      </c>
      <c r="G360" s="153">
        <v>10000920.491845099</v>
      </c>
      <c r="H360" s="157">
        <v>1.00009204918451</v>
      </c>
      <c r="I360" s="23">
        <v>0</v>
      </c>
      <c r="J360" s="23" t="s">
        <v>85</v>
      </c>
      <c r="K360" s="24">
        <v>44938</v>
      </c>
      <c r="L360" s="23">
        <v>1</v>
      </c>
      <c r="M360" s="23" t="s">
        <v>38</v>
      </c>
      <c r="N360" s="45">
        <f t="shared" si="70"/>
        <v>1</v>
      </c>
      <c r="O360" s="159">
        <f t="shared" si="71"/>
        <v>10000000</v>
      </c>
      <c r="P360" s="47">
        <f t="shared" si="72"/>
        <v>10000920.491845099</v>
      </c>
      <c r="Q360" s="25">
        <f t="shared" si="73"/>
        <v>0</v>
      </c>
      <c r="R360" s="26" t="str">
        <f t="shared" si="74"/>
        <v>COIN</v>
      </c>
      <c r="S360" s="26" t="str">
        <f t="shared" si="69"/>
        <v>LONG</v>
      </c>
      <c r="T360" s="26" t="str">
        <f t="shared" si="75"/>
        <v>COIN LONG</v>
      </c>
      <c r="U360" s="17">
        <f t="shared" si="76"/>
        <v>10000920.491845099</v>
      </c>
      <c r="V360" s="17">
        <f t="shared" si="77"/>
        <v>1.00009204918451</v>
      </c>
      <c r="W360" s="39">
        <f>IF($C360="","",IF(DefaultScenario,IF(OR(AND(Default_Exchange="ALL",NOT(ISERROR(MATCH($C360,$AF$6:$AF$37,0)))),$C360=Default_Exchange),IF($G360&gt;0,-LGD,0),0),IF(OR($J360="SWAP",$J360="FUTURE",$J360="CME FUTURE"),IF('Futures &amp; Perps Shifted'!$AE$31,VLOOKUP($M360,'Futures &amp; Perps Shifted'!$AE$32:$AO$76,MATCH($R360,'Futures &amp; Perps Shifted'!$AE$30:$AO$30,0),FALSE),0),0)))</f>
        <v>0</v>
      </c>
      <c r="X360" s="17">
        <f t="shared" si="78"/>
        <v>0</v>
      </c>
      <c r="Y360" s="14" t="str">
        <f t="shared" si="68"/>
        <v>LEND</v>
      </c>
      <c r="Z360" t="str">
        <f t="shared" si="79"/>
        <v>USDT COIN LONG</v>
      </c>
      <c r="AA360" t="b">
        <f>IF($C360="","",IF(ISERROR(VLOOKUP($Y360,Mappings!$A:$C,3,FALSE)),FALSE,VLOOKUP($Y360,Mappings!$A:$C,3,FALSE)))</f>
        <v>0</v>
      </c>
    </row>
    <row r="361" spans="1:27" customFormat="1" x14ac:dyDescent="0.25">
      <c r="A361" s="14">
        <v>359</v>
      </c>
      <c r="B361" s="71">
        <v>44938</v>
      </c>
      <c r="C361" s="14" t="s">
        <v>170</v>
      </c>
      <c r="D361" s="23" t="s">
        <v>168</v>
      </c>
      <c r="E361" s="23" t="s">
        <v>163</v>
      </c>
      <c r="F361" s="101">
        <v>100000</v>
      </c>
      <c r="G361" s="153">
        <v>8164.3783905093396</v>
      </c>
      <c r="H361" s="157">
        <v>8.1643783905093401E-2</v>
      </c>
      <c r="I361" s="23">
        <v>0</v>
      </c>
      <c r="J361" s="23" t="s">
        <v>85</v>
      </c>
      <c r="K361" s="24">
        <v>44938</v>
      </c>
      <c r="L361" s="23">
        <v>1</v>
      </c>
      <c r="M361" s="23" t="s">
        <v>163</v>
      </c>
      <c r="N361" s="45">
        <f t="shared" si="70"/>
        <v>1</v>
      </c>
      <c r="O361" s="159">
        <f t="shared" si="71"/>
        <v>100000</v>
      </c>
      <c r="P361" s="47">
        <f t="shared" si="72"/>
        <v>8164.3783905093396</v>
      </c>
      <c r="Q361" s="25">
        <f t="shared" si="73"/>
        <v>0</v>
      </c>
      <c r="R361" s="26" t="str">
        <f t="shared" si="74"/>
        <v>COIN</v>
      </c>
      <c r="S361" s="26" t="str">
        <f t="shared" si="69"/>
        <v>LONG</v>
      </c>
      <c r="T361" s="26" t="str">
        <f t="shared" si="75"/>
        <v>COIN LONG</v>
      </c>
      <c r="U361" s="17">
        <f t="shared" si="76"/>
        <v>8164.3783905093396</v>
      </c>
      <c r="V361" s="17">
        <f t="shared" si="77"/>
        <v>8.1643783905093401E-2</v>
      </c>
      <c r="W361" s="39">
        <f>IF($C361="","",IF(DefaultScenario,IF(OR(AND(Default_Exchange="ALL",NOT(ISERROR(MATCH($C361,$AF$6:$AF$37,0)))),$C361=Default_Exchange),IF($G361&gt;0,-LGD,0),0),IF(OR($J361="SWAP",$J361="FUTURE",$J361="CME FUTURE"),IF('Futures &amp; Perps Shifted'!$AE$31,VLOOKUP($M361,'Futures &amp; Perps Shifted'!$AE$32:$AO$76,MATCH($R361,'Futures &amp; Perps Shifted'!$AE$30:$AO$30,0),FALSE),0),0)))</f>
        <v>0</v>
      </c>
      <c r="X361" s="17">
        <f t="shared" si="78"/>
        <v>0</v>
      </c>
      <c r="Y361" s="14" t="str">
        <f t="shared" si="68"/>
        <v>LEND</v>
      </c>
      <c r="Z361" t="str">
        <f t="shared" si="79"/>
        <v>XLM COIN LONG</v>
      </c>
      <c r="AA361" t="b">
        <f>IF($C361="","",IF(ISERROR(VLOOKUP($Y361,Mappings!$A:$C,3,FALSE)),FALSE,VLOOKUP($Y361,Mappings!$A:$C,3,FALSE)))</f>
        <v>0</v>
      </c>
    </row>
    <row r="362" spans="1:27" customFormat="1" x14ac:dyDescent="0.25">
      <c r="A362" s="14">
        <v>360</v>
      </c>
      <c r="B362" s="71">
        <v>44938</v>
      </c>
      <c r="C362" s="14" t="s">
        <v>170</v>
      </c>
      <c r="D362" s="23" t="s">
        <v>168</v>
      </c>
      <c r="E362" s="23" t="s">
        <v>164</v>
      </c>
      <c r="F362" s="101">
        <v>5000</v>
      </c>
      <c r="G362" s="153">
        <v>4446.1492113460999</v>
      </c>
      <c r="H362" s="157">
        <v>0.88922984226921997</v>
      </c>
      <c r="I362" s="23">
        <v>0</v>
      </c>
      <c r="J362" s="23" t="s">
        <v>85</v>
      </c>
      <c r="K362" s="24">
        <v>44938</v>
      </c>
      <c r="L362" s="23">
        <v>1</v>
      </c>
      <c r="M362" s="23" t="s">
        <v>164</v>
      </c>
      <c r="N362" s="45">
        <f t="shared" si="70"/>
        <v>1</v>
      </c>
      <c r="O362" s="159">
        <f t="shared" si="71"/>
        <v>5000</v>
      </c>
      <c r="P362" s="47">
        <f t="shared" si="72"/>
        <v>4446.1492113460999</v>
      </c>
      <c r="Q362" s="25">
        <f t="shared" si="73"/>
        <v>0</v>
      </c>
      <c r="R362" s="26" t="str">
        <f t="shared" si="74"/>
        <v>COIN</v>
      </c>
      <c r="S362" s="26" t="str">
        <f t="shared" si="69"/>
        <v>LONG</v>
      </c>
      <c r="T362" s="26" t="str">
        <f t="shared" si="75"/>
        <v>COIN LONG</v>
      </c>
      <c r="U362" s="17">
        <f t="shared" si="76"/>
        <v>4446.1492113460999</v>
      </c>
      <c r="V362" s="17">
        <f t="shared" si="77"/>
        <v>0.88922984226921997</v>
      </c>
      <c r="W362" s="39">
        <f>IF($C362="","",IF(DefaultScenario,IF(OR(AND(Default_Exchange="ALL",NOT(ISERROR(MATCH($C362,$AF$6:$AF$37,0)))),$C362=Default_Exchange),IF($G362&gt;0,-LGD,0),0),IF(OR($J362="SWAP",$J362="FUTURE",$J362="CME FUTURE"),IF('Futures &amp; Perps Shifted'!$AE$31,VLOOKUP($M362,'Futures &amp; Perps Shifted'!$AE$32:$AO$76,MATCH($R362,'Futures &amp; Perps Shifted'!$AE$30:$AO$30,0),FALSE),0),0)))</f>
        <v>0</v>
      </c>
      <c r="X362" s="17">
        <f t="shared" si="78"/>
        <v>0</v>
      </c>
      <c r="Y362" s="14" t="str">
        <f t="shared" si="68"/>
        <v>LEND</v>
      </c>
      <c r="Z362" t="str">
        <f t="shared" si="79"/>
        <v>XTZ COIN LONG</v>
      </c>
      <c r="AA362" t="b">
        <f>IF($C362="","",IF(ISERROR(VLOOKUP($Y362,Mappings!$A:$C,3,FALSE)),FALSE,VLOOKUP($Y362,Mappings!$A:$C,3,FALSE)))</f>
        <v>0</v>
      </c>
    </row>
    <row r="363" spans="1:27" customFormat="1" x14ac:dyDescent="0.25">
      <c r="A363" s="14">
        <v>361</v>
      </c>
      <c r="B363" s="71">
        <v>44938.000008414354</v>
      </c>
      <c r="C363" s="14" t="s">
        <v>172</v>
      </c>
      <c r="D363" s="23" t="s">
        <v>172</v>
      </c>
      <c r="E363" s="23" t="s">
        <v>15</v>
      </c>
      <c r="F363" s="101">
        <v>5.0000000000000001E-4</v>
      </c>
      <c r="G363" s="153">
        <v>0.70896926155560902</v>
      </c>
      <c r="H363" s="157">
        <v>1417.9385231112101</v>
      </c>
      <c r="I363" s="23">
        <v>0</v>
      </c>
      <c r="J363" s="23" t="s">
        <v>85</v>
      </c>
      <c r="K363" s="24">
        <v>44938.000008414354</v>
      </c>
      <c r="L363" s="23">
        <v>1</v>
      </c>
      <c r="M363" s="23" t="s">
        <v>15</v>
      </c>
      <c r="N363" s="45">
        <f t="shared" si="70"/>
        <v>1</v>
      </c>
      <c r="O363" s="159">
        <f t="shared" si="71"/>
        <v>5.0000000000000001E-4</v>
      </c>
      <c r="P363" s="47">
        <f t="shared" si="72"/>
        <v>0.70896926155560502</v>
      </c>
      <c r="Q363" s="25">
        <f t="shared" si="73"/>
        <v>0</v>
      </c>
      <c r="R363" s="26" t="str">
        <f t="shared" si="74"/>
        <v>COIN</v>
      </c>
      <c r="S363" s="26" t="str">
        <f t="shared" si="69"/>
        <v>LONG</v>
      </c>
      <c r="T363" s="26" t="str">
        <f t="shared" si="75"/>
        <v>COIN LONG</v>
      </c>
      <c r="U363" s="17">
        <f t="shared" si="76"/>
        <v>0.70896926155560902</v>
      </c>
      <c r="V363" s="17">
        <f t="shared" si="77"/>
        <v>1417.9385231112101</v>
      </c>
      <c r="W363" s="39">
        <f>IF($C363="","",IF(DefaultScenario,IF(OR(AND(Default_Exchange="ALL",NOT(ISERROR(MATCH($C363,$AF$6:$AF$37,0)))),$C363=Default_Exchange),IF($G363&gt;0,-LGD,0),0),IF(OR($J363="SWAP",$J363="FUTURE",$J363="CME FUTURE"),IF('Futures &amp; Perps Shifted'!$AE$31,VLOOKUP($M363,'Futures &amp; Perps Shifted'!$AE$32:$AO$76,MATCH($R363,'Futures &amp; Perps Shifted'!$AE$30:$AO$30,0),FALSE),0),0)))</f>
        <v>0</v>
      </c>
      <c r="X363" s="17">
        <f t="shared" si="78"/>
        <v>0</v>
      </c>
      <c r="Y363" s="14" t="str">
        <f t="shared" si="68"/>
        <v>LMAC</v>
      </c>
      <c r="Z363" t="str">
        <f t="shared" si="79"/>
        <v>ETH COIN LONG</v>
      </c>
      <c r="AA363" t="b">
        <f>IF($C363="","",IF(ISERROR(VLOOKUP($Y363,Mappings!$A:$C,3,FALSE)),FALSE,VLOOKUP($Y363,Mappings!$A:$C,3,FALSE)))</f>
        <v>1</v>
      </c>
    </row>
    <row r="364" spans="1:27" customFormat="1" x14ac:dyDescent="0.25">
      <c r="A364" s="14">
        <v>362</v>
      </c>
      <c r="B364" s="71">
        <v>44938.000008414354</v>
      </c>
      <c r="C364" s="14" t="s">
        <v>172</v>
      </c>
      <c r="D364" s="23" t="s">
        <v>172</v>
      </c>
      <c r="E364" s="23" t="s">
        <v>95</v>
      </c>
      <c r="F364" s="101">
        <v>2.63E-3</v>
      </c>
      <c r="G364" s="153">
        <v>2.63E-3</v>
      </c>
      <c r="H364" s="157">
        <v>1</v>
      </c>
      <c r="I364" s="23">
        <v>0</v>
      </c>
      <c r="J364" s="23" t="s">
        <v>85</v>
      </c>
      <c r="K364" s="24">
        <v>44938.000008414354</v>
      </c>
      <c r="L364" s="23">
        <v>1</v>
      </c>
      <c r="M364" s="23" t="s">
        <v>95</v>
      </c>
      <c r="N364" s="45">
        <f t="shared" si="70"/>
        <v>1</v>
      </c>
      <c r="O364" s="159">
        <f t="shared" si="71"/>
        <v>2.63E-3</v>
      </c>
      <c r="P364" s="47">
        <f t="shared" si="72"/>
        <v>2.63E-3</v>
      </c>
      <c r="Q364" s="25">
        <f t="shared" si="73"/>
        <v>0</v>
      </c>
      <c r="R364" s="26" t="str">
        <f t="shared" si="74"/>
        <v>CASH</v>
      </c>
      <c r="S364" s="26" t="str">
        <f t="shared" si="69"/>
        <v>LONG</v>
      </c>
      <c r="T364" s="26" t="str">
        <f t="shared" si="75"/>
        <v>CASH LONG</v>
      </c>
      <c r="U364" s="17">
        <f t="shared" si="76"/>
        <v>2.63E-3</v>
      </c>
      <c r="V364" s="17">
        <f t="shared" si="77"/>
        <v>1</v>
      </c>
      <c r="W364" s="39">
        <f>IF($C364="","",IF(DefaultScenario,IF(OR(AND(Default_Exchange="ALL",NOT(ISERROR(MATCH($C364,$AF$6:$AF$37,0)))),$C364=Default_Exchange),IF($G364&gt;0,-LGD,0),0),IF(OR($J364="SWAP",$J364="FUTURE",$J364="CME FUTURE"),IF('Futures &amp; Perps Shifted'!$AE$31,VLOOKUP($M364,'Futures &amp; Perps Shifted'!$AE$32:$AO$76,MATCH($R364,'Futures &amp; Perps Shifted'!$AE$30:$AO$30,0),FALSE),0),0)))</f>
        <v>0</v>
      </c>
      <c r="X364" s="17">
        <f t="shared" si="78"/>
        <v>0</v>
      </c>
      <c r="Y364" s="14" t="str">
        <f t="shared" si="68"/>
        <v>LMAC</v>
      </c>
      <c r="Z364" t="str">
        <f t="shared" si="79"/>
        <v>USD CASH LONG</v>
      </c>
      <c r="AA364" t="b">
        <f>IF($C364="","",IF(ISERROR(VLOOKUP($Y364,Mappings!$A:$C,3,FALSE)),FALSE,VLOOKUP($Y364,Mappings!$A:$C,3,FALSE)))</f>
        <v>1</v>
      </c>
    </row>
    <row r="365" spans="1:27" customFormat="1" x14ac:dyDescent="0.25">
      <c r="A365" s="14">
        <v>363</v>
      </c>
      <c r="B365" s="71">
        <v>44938.000008414354</v>
      </c>
      <c r="C365" s="14" t="s">
        <v>173</v>
      </c>
      <c r="D365" s="23" t="s">
        <v>173</v>
      </c>
      <c r="E365" s="23" t="s">
        <v>95</v>
      </c>
      <c r="F365" s="101">
        <v>10138.725630000001</v>
      </c>
      <c r="G365" s="153">
        <v>10138.725630000001</v>
      </c>
      <c r="H365" s="157">
        <v>1</v>
      </c>
      <c r="I365" s="23">
        <v>0</v>
      </c>
      <c r="J365" s="23" t="s">
        <v>85</v>
      </c>
      <c r="K365" s="24">
        <v>44938.000008414354</v>
      </c>
      <c r="L365" s="23">
        <v>1</v>
      </c>
      <c r="M365" s="23" t="s">
        <v>95</v>
      </c>
      <c r="N365" s="45">
        <f t="shared" si="70"/>
        <v>1</v>
      </c>
      <c r="O365" s="159">
        <f t="shared" si="71"/>
        <v>10138.725630000001</v>
      </c>
      <c r="P365" s="47">
        <f t="shared" si="72"/>
        <v>10138.725630000001</v>
      </c>
      <c r="Q365" s="25">
        <f t="shared" si="73"/>
        <v>0</v>
      </c>
      <c r="R365" s="26" t="str">
        <f t="shared" si="74"/>
        <v>CASH</v>
      </c>
      <c r="S365" s="26" t="str">
        <f t="shared" si="69"/>
        <v>LONG</v>
      </c>
      <c r="T365" s="26" t="str">
        <f t="shared" si="75"/>
        <v>CASH LONG</v>
      </c>
      <c r="U365" s="17">
        <f t="shared" si="76"/>
        <v>10138.725630000001</v>
      </c>
      <c r="V365" s="17">
        <f t="shared" si="77"/>
        <v>1</v>
      </c>
      <c r="W365" s="39">
        <f>IF($C365="","",IF(DefaultScenario,IF(OR(AND(Default_Exchange="ALL",NOT(ISERROR(MATCH($C365,$AF$6:$AF$37,0)))),$C365=Default_Exchange),IF($G365&gt;0,-LGD,0),0),IF(OR($J365="SWAP",$J365="FUTURE",$J365="CME FUTURE"),IF('Futures &amp; Perps Shifted'!$AE$31,VLOOKUP($M365,'Futures &amp; Perps Shifted'!$AE$32:$AO$76,MATCH($R365,'Futures &amp; Perps Shifted'!$AE$30:$AO$30,0),FALSE),0),0)))</f>
        <v>0</v>
      </c>
      <c r="X365" s="17">
        <f t="shared" si="78"/>
        <v>0</v>
      </c>
      <c r="Y365" s="14" t="str">
        <f t="shared" si="68"/>
        <v>LMAX</v>
      </c>
      <c r="Z365" t="str">
        <f t="shared" si="79"/>
        <v>USD CASH LONG</v>
      </c>
      <c r="AA365" t="b">
        <f>IF($C365="","",IF(ISERROR(VLOOKUP($Y365,Mappings!$A:$C,3,FALSE)),FALSE,VLOOKUP($Y365,Mappings!$A:$C,3,FALSE)))</f>
        <v>1</v>
      </c>
    </row>
    <row r="366" spans="1:27" customFormat="1" x14ac:dyDescent="0.25">
      <c r="A366" s="14">
        <v>364</v>
      </c>
      <c r="B366" s="71">
        <v>44939.000000312502</v>
      </c>
      <c r="C366" s="14" t="s">
        <v>45</v>
      </c>
      <c r="D366" s="23" t="s">
        <v>48</v>
      </c>
      <c r="E366" s="23" t="s">
        <v>14</v>
      </c>
      <c r="F366" s="101">
        <v>2.6E-7</v>
      </c>
      <c r="G366" s="153">
        <v>4.9060928943690501E-3</v>
      </c>
      <c r="H366" s="157">
        <v>18869.5880552655</v>
      </c>
      <c r="I366" s="23">
        <v>0</v>
      </c>
      <c r="J366" s="23" t="s">
        <v>85</v>
      </c>
      <c r="K366" s="24">
        <v>44939.000000312502</v>
      </c>
      <c r="L366" s="23">
        <v>1</v>
      </c>
      <c r="M366" s="23" t="s">
        <v>14</v>
      </c>
      <c r="N366" s="45">
        <f t="shared" si="70"/>
        <v>1</v>
      </c>
      <c r="O366" s="159">
        <f t="shared" si="71"/>
        <v>2.6E-7</v>
      </c>
      <c r="P366" s="47">
        <f t="shared" si="72"/>
        <v>4.9060928943690301E-3</v>
      </c>
      <c r="Q366" s="25">
        <f t="shared" si="73"/>
        <v>0</v>
      </c>
      <c r="R366" s="26" t="str">
        <f t="shared" si="74"/>
        <v>COIN</v>
      </c>
      <c r="S366" s="26" t="str">
        <f t="shared" si="69"/>
        <v>LONG</v>
      </c>
      <c r="T366" s="26" t="str">
        <f t="shared" si="75"/>
        <v>COIN LONG</v>
      </c>
      <c r="U366" s="17">
        <f t="shared" si="76"/>
        <v>4.9060928943690501E-3</v>
      </c>
      <c r="V366" s="17">
        <f t="shared" si="77"/>
        <v>18869.5880552655</v>
      </c>
      <c r="W366" s="39">
        <f>IF($C366="","",IF(DefaultScenario,IF(OR(AND(Default_Exchange="ALL",NOT(ISERROR(MATCH($C366,$AF$6:$AF$37,0)))),$C366=Default_Exchange),IF($G366&gt;0,-LGD,0),0),IF(OR($J366="SWAP",$J366="FUTURE",$J366="CME FUTURE"),IF('Futures &amp; Perps Shifted'!$AE$31,VLOOKUP($M366,'Futures &amp; Perps Shifted'!$AE$32:$AO$76,MATCH($R366,'Futures &amp; Perps Shifted'!$AE$30:$AO$30,0),FALSE),0),0)))</f>
        <v>0</v>
      </c>
      <c r="X366" s="17">
        <f t="shared" si="78"/>
        <v>0</v>
      </c>
      <c r="Y366" s="14" t="str">
        <f t="shared" si="68"/>
        <v>OKEX</v>
      </c>
      <c r="Z366" t="str">
        <f t="shared" si="79"/>
        <v>BTC COIN LONG</v>
      </c>
      <c r="AA366" t="b">
        <f>IF($C366="","",IF(ISERROR(VLOOKUP($Y366,Mappings!$A:$C,3,FALSE)),FALSE,VLOOKUP($Y366,Mappings!$A:$C,3,FALSE)))</f>
        <v>1</v>
      </c>
    </row>
    <row r="367" spans="1:27" customFormat="1" x14ac:dyDescent="0.25">
      <c r="A367" s="14">
        <v>365</v>
      </c>
      <c r="B367" s="71">
        <v>44939.000000312502</v>
      </c>
      <c r="C367" s="14" t="s">
        <v>45</v>
      </c>
      <c r="D367" s="23" t="s">
        <v>48</v>
      </c>
      <c r="E367" s="23" t="s">
        <v>15</v>
      </c>
      <c r="F367" s="101">
        <v>6.7499999999999997E-6</v>
      </c>
      <c r="G367" s="153">
        <v>9.5710850310007298E-3</v>
      </c>
      <c r="H367" s="157">
        <v>1417.9385231112101</v>
      </c>
      <c r="I367" s="23">
        <v>0</v>
      </c>
      <c r="J367" s="23" t="s">
        <v>85</v>
      </c>
      <c r="K367" s="24">
        <v>44939.000000312502</v>
      </c>
      <c r="L367" s="23">
        <v>1</v>
      </c>
      <c r="M367" s="23" t="s">
        <v>15</v>
      </c>
      <c r="N367" s="45">
        <f t="shared" si="70"/>
        <v>1</v>
      </c>
      <c r="O367" s="159">
        <f t="shared" si="71"/>
        <v>6.7499999999999997E-6</v>
      </c>
      <c r="P367" s="47">
        <f t="shared" si="72"/>
        <v>9.5710850310006673E-3</v>
      </c>
      <c r="Q367" s="25">
        <f t="shared" si="73"/>
        <v>0</v>
      </c>
      <c r="R367" s="26" t="str">
        <f t="shared" si="74"/>
        <v>COIN</v>
      </c>
      <c r="S367" s="26" t="str">
        <f t="shared" si="69"/>
        <v>LONG</v>
      </c>
      <c r="T367" s="26" t="str">
        <f t="shared" si="75"/>
        <v>COIN LONG</v>
      </c>
      <c r="U367" s="17">
        <f t="shared" si="76"/>
        <v>9.5710850310007298E-3</v>
      </c>
      <c r="V367" s="17">
        <f t="shared" si="77"/>
        <v>1417.9385231112101</v>
      </c>
      <c r="W367" s="39">
        <f>IF($C367="","",IF(DefaultScenario,IF(OR(AND(Default_Exchange="ALL",NOT(ISERROR(MATCH($C367,$AF$6:$AF$37,0)))),$C367=Default_Exchange),IF($G367&gt;0,-LGD,0),0),IF(OR($J367="SWAP",$J367="FUTURE",$J367="CME FUTURE"),IF('Futures &amp; Perps Shifted'!$AE$31,VLOOKUP($M367,'Futures &amp; Perps Shifted'!$AE$32:$AO$76,MATCH($R367,'Futures &amp; Perps Shifted'!$AE$30:$AO$30,0),FALSE),0),0)))</f>
        <v>0</v>
      </c>
      <c r="X367" s="17">
        <f t="shared" si="78"/>
        <v>0</v>
      </c>
      <c r="Y367" s="14" t="str">
        <f t="shared" si="68"/>
        <v>OKEX</v>
      </c>
      <c r="Z367" t="str">
        <f t="shared" si="79"/>
        <v>ETH COIN LONG</v>
      </c>
      <c r="AA367" t="b">
        <f>IF($C367="","",IF(ISERROR(VLOOKUP($Y367,Mappings!$A:$C,3,FALSE)),FALSE,VLOOKUP($Y367,Mappings!$A:$C,3,FALSE)))</f>
        <v>1</v>
      </c>
    </row>
    <row r="368" spans="1:27" customFormat="1" x14ac:dyDescent="0.25">
      <c r="A368" s="14">
        <v>366</v>
      </c>
      <c r="B368" s="71">
        <v>44939.000000312502</v>
      </c>
      <c r="C368" s="14" t="s">
        <v>45</v>
      </c>
      <c r="D368" s="23" t="s">
        <v>48</v>
      </c>
      <c r="E368" s="23" t="s">
        <v>99</v>
      </c>
      <c r="F368" s="101">
        <v>0.44933625999999999</v>
      </c>
      <c r="G368" s="153">
        <v>0.168589680657663</v>
      </c>
      <c r="H368" s="157">
        <v>0.37519714224190098</v>
      </c>
      <c r="I368" s="23">
        <v>0</v>
      </c>
      <c r="J368" s="23" t="s">
        <v>85</v>
      </c>
      <c r="K368" s="24">
        <v>44939.000000312502</v>
      </c>
      <c r="L368" s="23">
        <v>1</v>
      </c>
      <c r="M368" s="23" t="s">
        <v>99</v>
      </c>
      <c r="N368" s="45">
        <f t="shared" si="70"/>
        <v>1</v>
      </c>
      <c r="O368" s="159">
        <f t="shared" si="71"/>
        <v>0.44933625999999999</v>
      </c>
      <c r="P368" s="47">
        <f t="shared" si="72"/>
        <v>0.1685896806576638</v>
      </c>
      <c r="Q368" s="25">
        <f t="shared" si="73"/>
        <v>0</v>
      </c>
      <c r="R368" s="26" t="str">
        <f t="shared" si="74"/>
        <v>COIN</v>
      </c>
      <c r="S368" s="26" t="str">
        <f t="shared" si="69"/>
        <v>LONG</v>
      </c>
      <c r="T368" s="26" t="str">
        <f t="shared" si="75"/>
        <v>COIN LONG</v>
      </c>
      <c r="U368" s="17">
        <f t="shared" si="76"/>
        <v>0.168589680657663</v>
      </c>
      <c r="V368" s="17">
        <f t="shared" si="77"/>
        <v>0.37519714224190098</v>
      </c>
      <c r="W368" s="39">
        <f>IF($C368="","",IF(DefaultScenario,IF(OR(AND(Default_Exchange="ALL",NOT(ISERROR(MATCH($C368,$AF$6:$AF$37,0)))),$C368=Default_Exchange),IF($G368&gt;0,-LGD,0),0),IF(OR($J368="SWAP",$J368="FUTURE",$J368="CME FUTURE"),IF('Futures &amp; Perps Shifted'!$AE$31,VLOOKUP($M368,'Futures &amp; Perps Shifted'!$AE$32:$AO$76,MATCH($R368,'Futures &amp; Perps Shifted'!$AE$30:$AO$30,0),FALSE),0),0)))</f>
        <v>0</v>
      </c>
      <c r="X368" s="17">
        <f t="shared" si="78"/>
        <v>0</v>
      </c>
      <c r="Y368" s="14" t="str">
        <f t="shared" si="68"/>
        <v>OKEX</v>
      </c>
      <c r="Z368" t="str">
        <f t="shared" si="79"/>
        <v>XRP COIN LONG</v>
      </c>
      <c r="AA368" t="b">
        <f>IF($C368="","",IF(ISERROR(VLOOKUP($Y368,Mappings!$A:$C,3,FALSE)),FALSE,VLOOKUP($Y368,Mappings!$A:$C,3,FALSE)))</f>
        <v>1</v>
      </c>
    </row>
    <row r="369" spans="1:27" customFormat="1" x14ac:dyDescent="0.25">
      <c r="A369" s="14">
        <v>367</v>
      </c>
      <c r="B369" s="71">
        <v>44939.000000312502</v>
      </c>
      <c r="C369" s="14" t="s">
        <v>45</v>
      </c>
      <c r="D369" s="23" t="s">
        <v>50</v>
      </c>
      <c r="E369" s="23" t="s">
        <v>38</v>
      </c>
      <c r="F369" s="101">
        <v>9.0007799999999999E-3</v>
      </c>
      <c r="G369" s="153">
        <v>9.0016085144589905E-3</v>
      </c>
      <c r="H369" s="157">
        <v>1.00009204918451</v>
      </c>
      <c r="I369" s="23">
        <v>0</v>
      </c>
      <c r="J369" s="23" t="s">
        <v>85</v>
      </c>
      <c r="K369" s="24">
        <v>44939.000000312502</v>
      </c>
      <c r="L369" s="23">
        <v>1</v>
      </c>
      <c r="M369" s="23" t="s">
        <v>38</v>
      </c>
      <c r="N369" s="45">
        <f t="shared" si="70"/>
        <v>1</v>
      </c>
      <c r="O369" s="159">
        <f t="shared" si="71"/>
        <v>9.0007799999999999E-3</v>
      </c>
      <c r="P369" s="47">
        <f t="shared" si="72"/>
        <v>9.0016085144589541E-3</v>
      </c>
      <c r="Q369" s="25">
        <f t="shared" si="73"/>
        <v>0</v>
      </c>
      <c r="R369" s="26" t="str">
        <f t="shared" si="74"/>
        <v>COIN</v>
      </c>
      <c r="S369" s="26" t="str">
        <f t="shared" si="69"/>
        <v>LONG</v>
      </c>
      <c r="T369" s="26" t="str">
        <f t="shared" si="75"/>
        <v>COIN LONG</v>
      </c>
      <c r="U369" s="17">
        <f t="shared" si="76"/>
        <v>9.0016085144589905E-3</v>
      </c>
      <c r="V369" s="17">
        <f t="shared" si="77"/>
        <v>1.00009204918451</v>
      </c>
      <c r="W369" s="39">
        <f>IF($C369="","",IF(DefaultScenario,IF(OR(AND(Default_Exchange="ALL",NOT(ISERROR(MATCH($C369,$AF$6:$AF$37,0)))),$C369=Default_Exchange),IF($G369&gt;0,-LGD,0),0),IF(OR($J369="SWAP",$J369="FUTURE",$J369="CME FUTURE"),IF('Futures &amp; Perps Shifted'!$AE$31,VLOOKUP($M369,'Futures &amp; Perps Shifted'!$AE$32:$AO$76,MATCH($R369,'Futures &amp; Perps Shifted'!$AE$30:$AO$30,0),FALSE),0),0)))</f>
        <v>0</v>
      </c>
      <c r="X369" s="17">
        <f t="shared" si="78"/>
        <v>0</v>
      </c>
      <c r="Y369" s="14" t="str">
        <f t="shared" ref="Y369:Y432" si="80">IF($C369="","",IF(ISERROR(SEARCH("-",$D369)),$C369,LEFT($D369,SEARCH("-",$D369)-1)))</f>
        <v>OKEX</v>
      </c>
      <c r="Z369" t="str">
        <f t="shared" si="79"/>
        <v>USDT COIN LONG</v>
      </c>
      <c r="AA369" t="b">
        <f>IF($C369="","",IF(ISERROR(VLOOKUP($Y369,Mappings!$A:$C,3,FALSE)),FALSE,VLOOKUP($Y369,Mappings!$A:$C,3,FALSE)))</f>
        <v>1</v>
      </c>
    </row>
    <row r="370" spans="1:27" customFormat="1" x14ac:dyDescent="0.25">
      <c r="A370" s="14">
        <v>368</v>
      </c>
      <c r="B370" s="71">
        <v>44939.000003819441</v>
      </c>
      <c r="C370" s="14" t="s">
        <v>45</v>
      </c>
      <c r="D370" s="23" t="s">
        <v>51</v>
      </c>
      <c r="E370" s="23" t="s">
        <v>14</v>
      </c>
      <c r="F370" s="101">
        <v>1.3863722599999999</v>
      </c>
      <c r="G370" s="153">
        <v>26160.2734374475</v>
      </c>
      <c r="H370" s="157">
        <v>18869.5880552655</v>
      </c>
      <c r="I370" s="23">
        <v>0</v>
      </c>
      <c r="J370" s="23" t="s">
        <v>85</v>
      </c>
      <c r="K370" s="24">
        <v>44939.000003819441</v>
      </c>
      <c r="L370" s="23">
        <v>1</v>
      </c>
      <c r="M370" s="23" t="s">
        <v>14</v>
      </c>
      <c r="N370" s="45">
        <f t="shared" si="70"/>
        <v>1</v>
      </c>
      <c r="O370" s="159">
        <f t="shared" si="71"/>
        <v>1.3863722599999999</v>
      </c>
      <c r="P370" s="47">
        <f t="shared" si="72"/>
        <v>26160.273437447435</v>
      </c>
      <c r="Q370" s="25">
        <f t="shared" si="73"/>
        <v>0</v>
      </c>
      <c r="R370" s="26" t="str">
        <f t="shared" si="74"/>
        <v>COIN</v>
      </c>
      <c r="S370" s="26" t="str">
        <f t="shared" si="69"/>
        <v>LONG</v>
      </c>
      <c r="T370" s="26" t="str">
        <f t="shared" si="75"/>
        <v>COIN LONG</v>
      </c>
      <c r="U370" s="17">
        <f t="shared" si="76"/>
        <v>26160.2734374475</v>
      </c>
      <c r="V370" s="17">
        <f t="shared" si="77"/>
        <v>18869.5880552655</v>
      </c>
      <c r="W370" s="39">
        <f>IF($C370="","",IF(DefaultScenario,IF(OR(AND(Default_Exchange="ALL",NOT(ISERROR(MATCH($C370,$AF$6:$AF$37,0)))),$C370=Default_Exchange),IF($G370&gt;0,-LGD,0),0),IF(OR($J370="SWAP",$J370="FUTURE",$J370="CME FUTURE"),IF('Futures &amp; Perps Shifted'!$AE$31,VLOOKUP($M370,'Futures &amp; Perps Shifted'!$AE$32:$AO$76,MATCH($R370,'Futures &amp; Perps Shifted'!$AE$30:$AO$30,0),FALSE),0),0)))</f>
        <v>0</v>
      </c>
      <c r="X370" s="17">
        <f t="shared" si="78"/>
        <v>0</v>
      </c>
      <c r="Y370" s="14" t="str">
        <f t="shared" si="80"/>
        <v>OKEX</v>
      </c>
      <c r="Z370" t="str">
        <f t="shared" si="79"/>
        <v>BTC COIN LONG</v>
      </c>
      <c r="AA370" t="b">
        <f>IF($C370="","",IF(ISERROR(VLOOKUP($Y370,Mappings!$A:$C,3,FALSE)),FALSE,VLOOKUP($Y370,Mappings!$A:$C,3,FALSE)))</f>
        <v>1</v>
      </c>
    </row>
    <row r="371" spans="1:27" customFormat="1" x14ac:dyDescent="0.25">
      <c r="A371" s="14">
        <v>369</v>
      </c>
      <c r="B371" s="71">
        <v>44939.000003819441</v>
      </c>
      <c r="C371" s="14" t="s">
        <v>45</v>
      </c>
      <c r="D371" s="23" t="s">
        <v>51</v>
      </c>
      <c r="E371" s="23" t="s">
        <v>38</v>
      </c>
      <c r="F371" s="101">
        <v>14155.78589843</v>
      </c>
      <c r="G371" s="153">
        <v>14157.0889269781</v>
      </c>
      <c r="H371" s="157">
        <v>1.00009204918451</v>
      </c>
      <c r="I371" s="23">
        <v>0</v>
      </c>
      <c r="J371" s="23" t="s">
        <v>85</v>
      </c>
      <c r="K371" s="24">
        <v>44939.000003819441</v>
      </c>
      <c r="L371" s="23">
        <v>1</v>
      </c>
      <c r="M371" s="23" t="s">
        <v>38</v>
      </c>
      <c r="N371" s="45">
        <f t="shared" si="70"/>
        <v>1</v>
      </c>
      <c r="O371" s="159">
        <f t="shared" si="71"/>
        <v>14155.78589843</v>
      </c>
      <c r="P371" s="47">
        <f t="shared" si="72"/>
        <v>14157.088926978049</v>
      </c>
      <c r="Q371" s="25">
        <f t="shared" si="73"/>
        <v>0</v>
      </c>
      <c r="R371" s="26" t="str">
        <f t="shared" si="74"/>
        <v>COIN</v>
      </c>
      <c r="S371" s="26" t="str">
        <f t="shared" si="69"/>
        <v>LONG</v>
      </c>
      <c r="T371" s="26" t="str">
        <f t="shared" si="75"/>
        <v>COIN LONG</v>
      </c>
      <c r="U371" s="17">
        <f t="shared" si="76"/>
        <v>14157.0889269781</v>
      </c>
      <c r="V371" s="17">
        <f t="shared" si="77"/>
        <v>1.00009204918451</v>
      </c>
      <c r="W371" s="39">
        <f>IF($C371="","",IF(DefaultScenario,IF(OR(AND(Default_Exchange="ALL",NOT(ISERROR(MATCH($C371,$AF$6:$AF$37,0)))),$C371=Default_Exchange),IF($G371&gt;0,-LGD,0),0),IF(OR($J371="SWAP",$J371="FUTURE",$J371="CME FUTURE"),IF('Futures &amp; Perps Shifted'!$AE$31,VLOOKUP($M371,'Futures &amp; Perps Shifted'!$AE$32:$AO$76,MATCH($R371,'Futures &amp; Perps Shifted'!$AE$30:$AO$30,0),FALSE),0),0)))</f>
        <v>0</v>
      </c>
      <c r="X371" s="17">
        <f t="shared" si="78"/>
        <v>0</v>
      </c>
      <c r="Y371" s="14" t="str">
        <f t="shared" si="80"/>
        <v>OKEX</v>
      </c>
      <c r="Z371" t="str">
        <f t="shared" si="79"/>
        <v>USDT COIN LONG</v>
      </c>
      <c r="AA371" t="b">
        <f>IF($C371="","",IF(ISERROR(VLOOKUP($Y371,Mappings!$A:$C,3,FALSE)),FALSE,VLOOKUP($Y371,Mappings!$A:$C,3,FALSE)))</f>
        <v>1</v>
      </c>
    </row>
    <row r="372" spans="1:27" customFormat="1" x14ac:dyDescent="0.25">
      <c r="A372" s="14">
        <v>370</v>
      </c>
      <c r="B372" s="71">
        <v>44939.000003819441</v>
      </c>
      <c r="C372" s="14" t="s">
        <v>45</v>
      </c>
      <c r="D372" s="23" t="s">
        <v>51</v>
      </c>
      <c r="E372" s="23" t="s">
        <v>38</v>
      </c>
      <c r="F372" s="101">
        <v>-17651.770061800002</v>
      </c>
      <c r="G372" s="153">
        <v>-17653.394892839398</v>
      </c>
      <c r="H372" s="157">
        <v>1.00009204918451</v>
      </c>
      <c r="I372" s="23">
        <v>0</v>
      </c>
      <c r="J372" s="23" t="s">
        <v>253</v>
      </c>
      <c r="K372" s="24">
        <v>44939.000003819441</v>
      </c>
      <c r="L372" s="23">
        <v>1</v>
      </c>
      <c r="M372" s="23" t="s">
        <v>38</v>
      </c>
      <c r="N372" s="45">
        <f t="shared" si="70"/>
        <v>1</v>
      </c>
      <c r="O372" s="159">
        <f t="shared" si="71"/>
        <v>-17651.770061800002</v>
      </c>
      <c r="P372" s="47">
        <f t="shared" si="72"/>
        <v>-17653.394892839347</v>
      </c>
      <c r="Q372" s="25">
        <f t="shared" si="73"/>
        <v>0</v>
      </c>
      <c r="R372" s="26" t="str">
        <f t="shared" si="74"/>
        <v>COIN</v>
      </c>
      <c r="S372" s="26" t="str">
        <f t="shared" si="69"/>
        <v>SHORT</v>
      </c>
      <c r="T372" s="26" t="str">
        <f t="shared" si="75"/>
        <v>COIN SHORT</v>
      </c>
      <c r="U372" s="17">
        <f t="shared" si="76"/>
        <v>-17653.394892839398</v>
      </c>
      <c r="V372" s="17">
        <f t="shared" si="77"/>
        <v>1.00009204918451</v>
      </c>
      <c r="W372" s="39">
        <f>IF($C372="","",IF(DefaultScenario,IF(OR(AND(Default_Exchange="ALL",NOT(ISERROR(MATCH($C372,$AF$6:$AF$37,0)))),$C372=Default_Exchange),IF($G372&gt;0,-LGD,0),0),IF(OR($J372="SWAP",$J372="FUTURE",$J372="CME FUTURE"),IF('Futures &amp; Perps Shifted'!$AE$31,VLOOKUP($M372,'Futures &amp; Perps Shifted'!$AE$32:$AO$76,MATCH($R372,'Futures &amp; Perps Shifted'!$AE$30:$AO$30,0),FALSE),0),0)))</f>
        <v>0</v>
      </c>
      <c r="X372" s="17">
        <f t="shared" si="78"/>
        <v>0</v>
      </c>
      <c r="Y372" s="14" t="str">
        <f t="shared" si="80"/>
        <v>OKEX</v>
      </c>
      <c r="Z372" t="str">
        <f t="shared" si="79"/>
        <v>USDT COIN SHORT</v>
      </c>
      <c r="AA372" t="b">
        <f>IF($C372="","",IF(ISERROR(VLOOKUP($Y372,Mappings!$A:$C,3,FALSE)),FALSE,VLOOKUP($Y372,Mappings!$A:$C,3,FALSE)))</f>
        <v>1</v>
      </c>
    </row>
    <row r="373" spans="1:27" customFormat="1" x14ac:dyDescent="0.25">
      <c r="A373" s="14">
        <v>371</v>
      </c>
      <c r="B373" s="71">
        <v>44939.000005208334</v>
      </c>
      <c r="C373" s="14" t="s">
        <v>45</v>
      </c>
      <c r="D373" s="23" t="s">
        <v>46</v>
      </c>
      <c r="E373" s="23" t="s">
        <v>14</v>
      </c>
      <c r="F373" s="101">
        <v>719.02328516</v>
      </c>
      <c r="G373" s="153">
        <v>13567673.1931129</v>
      </c>
      <c r="H373" s="157">
        <v>18869.5880552655</v>
      </c>
      <c r="I373" s="23">
        <v>0</v>
      </c>
      <c r="J373" s="23" t="s">
        <v>85</v>
      </c>
      <c r="K373" s="24">
        <v>44939.000005208334</v>
      </c>
      <c r="L373" s="23">
        <v>1</v>
      </c>
      <c r="M373" s="23" t="s">
        <v>14</v>
      </c>
      <c r="N373" s="45">
        <f t="shared" si="70"/>
        <v>1</v>
      </c>
      <c r="O373" s="159">
        <f t="shared" si="71"/>
        <v>719.02328516</v>
      </c>
      <c r="P373" s="47">
        <f t="shared" si="72"/>
        <v>13567673.193112895</v>
      </c>
      <c r="Q373" s="25">
        <f t="shared" si="73"/>
        <v>0</v>
      </c>
      <c r="R373" s="26" t="str">
        <f t="shared" si="74"/>
        <v>COIN</v>
      </c>
      <c r="S373" s="26" t="str">
        <f t="shared" si="69"/>
        <v>LONG</v>
      </c>
      <c r="T373" s="26" t="str">
        <f t="shared" si="75"/>
        <v>COIN LONG</v>
      </c>
      <c r="U373" s="17">
        <f t="shared" si="76"/>
        <v>13567673.1931129</v>
      </c>
      <c r="V373" s="17">
        <f t="shared" si="77"/>
        <v>18869.5880552655</v>
      </c>
      <c r="W373" s="39">
        <f>IF($C373="","",IF(DefaultScenario,IF(OR(AND(Default_Exchange="ALL",NOT(ISERROR(MATCH($C373,$AF$6:$AF$37,0)))),$C373=Default_Exchange),IF($G373&gt;0,-LGD,0),0),IF(OR($J373="SWAP",$J373="FUTURE",$J373="CME FUTURE"),IF('Futures &amp; Perps Shifted'!$AE$31,VLOOKUP($M373,'Futures &amp; Perps Shifted'!$AE$32:$AO$76,MATCH($R373,'Futures &amp; Perps Shifted'!$AE$30:$AO$30,0),FALSE),0),0)))</f>
        <v>0</v>
      </c>
      <c r="X373" s="17">
        <f t="shared" si="78"/>
        <v>0</v>
      </c>
      <c r="Y373" s="14" t="str">
        <f t="shared" si="80"/>
        <v>OKEX</v>
      </c>
      <c r="Z373" t="str">
        <f t="shared" si="79"/>
        <v>BTC COIN LONG</v>
      </c>
      <c r="AA373" t="b">
        <f>IF($C373="","",IF(ISERROR(VLOOKUP($Y373,Mappings!$A:$C,3,FALSE)),FALSE,VLOOKUP($Y373,Mappings!$A:$C,3,FALSE)))</f>
        <v>1</v>
      </c>
    </row>
    <row r="374" spans="1:27" customFormat="1" x14ac:dyDescent="0.25">
      <c r="A374" s="14">
        <v>372</v>
      </c>
      <c r="B374" s="71">
        <v>44939.000005208334</v>
      </c>
      <c r="C374" s="14" t="s">
        <v>45</v>
      </c>
      <c r="D374" s="23" t="s">
        <v>46</v>
      </c>
      <c r="E374" s="23" t="s">
        <v>14</v>
      </c>
      <c r="F374" s="101">
        <v>-32.644600570000001</v>
      </c>
      <c r="G374" s="153">
        <v>-615990.16498458805</v>
      </c>
      <c r="H374" s="157">
        <v>18869.5880552655</v>
      </c>
      <c r="I374" s="23">
        <v>0</v>
      </c>
      <c r="J374" s="23" t="s">
        <v>253</v>
      </c>
      <c r="K374" s="24">
        <v>44939.000005208334</v>
      </c>
      <c r="L374" s="23">
        <v>1</v>
      </c>
      <c r="M374" s="23" t="s">
        <v>14</v>
      </c>
      <c r="N374" s="45">
        <f t="shared" si="70"/>
        <v>1</v>
      </c>
      <c r="O374" s="159">
        <f t="shared" si="71"/>
        <v>-32.644600570000001</v>
      </c>
      <c r="P374" s="47">
        <f t="shared" si="72"/>
        <v>-615990.16498458537</v>
      </c>
      <c r="Q374" s="25">
        <f t="shared" si="73"/>
        <v>0</v>
      </c>
      <c r="R374" s="26" t="str">
        <f t="shared" si="74"/>
        <v>COIN</v>
      </c>
      <c r="S374" s="26" t="str">
        <f t="shared" si="69"/>
        <v>SHORT</v>
      </c>
      <c r="T374" s="26" t="str">
        <f t="shared" si="75"/>
        <v>COIN SHORT</v>
      </c>
      <c r="U374" s="17">
        <f t="shared" si="76"/>
        <v>-615990.16498458805</v>
      </c>
      <c r="V374" s="17">
        <f t="shared" si="77"/>
        <v>18869.5880552655</v>
      </c>
      <c r="W374" s="39">
        <f>IF($C374="","",IF(DefaultScenario,IF(OR(AND(Default_Exchange="ALL",NOT(ISERROR(MATCH($C374,$AF$6:$AF$37,0)))),$C374=Default_Exchange),IF($G374&gt;0,-LGD,0),0),IF(OR($J374="SWAP",$J374="FUTURE",$J374="CME FUTURE"),IF('Futures &amp; Perps Shifted'!$AE$31,VLOOKUP($M374,'Futures &amp; Perps Shifted'!$AE$32:$AO$76,MATCH($R374,'Futures &amp; Perps Shifted'!$AE$30:$AO$30,0),FALSE),0),0)))</f>
        <v>0</v>
      </c>
      <c r="X374" s="17">
        <f t="shared" si="78"/>
        <v>0</v>
      </c>
      <c r="Y374" s="14" t="str">
        <f t="shared" si="80"/>
        <v>OKEX</v>
      </c>
      <c r="Z374" t="str">
        <f t="shared" si="79"/>
        <v>BTC COIN SHORT</v>
      </c>
      <c r="AA374" t="b">
        <f>IF($C374="","",IF(ISERROR(VLOOKUP($Y374,Mappings!$A:$C,3,FALSE)),FALSE,VLOOKUP($Y374,Mappings!$A:$C,3,FALSE)))</f>
        <v>1</v>
      </c>
    </row>
    <row r="375" spans="1:27" customFormat="1" x14ac:dyDescent="0.25">
      <c r="A375" s="14">
        <v>373</v>
      </c>
      <c r="B375" s="71">
        <v>44939.000005208334</v>
      </c>
      <c r="C375" s="14" t="s">
        <v>45</v>
      </c>
      <c r="D375" s="23" t="s">
        <v>46</v>
      </c>
      <c r="E375" s="23" t="s">
        <v>15</v>
      </c>
      <c r="F375" s="101">
        <v>8955.2959333500003</v>
      </c>
      <c r="G375" s="153">
        <v>12698059.089758201</v>
      </c>
      <c r="H375" s="157">
        <v>1417.9385231112101</v>
      </c>
      <c r="I375" s="23">
        <v>0</v>
      </c>
      <c r="J375" s="23" t="s">
        <v>85</v>
      </c>
      <c r="K375" s="24">
        <v>44939.000005208334</v>
      </c>
      <c r="L375" s="23">
        <v>1</v>
      </c>
      <c r="M375" s="23" t="s">
        <v>15</v>
      </c>
      <c r="N375" s="45">
        <f t="shared" si="70"/>
        <v>1</v>
      </c>
      <c r="O375" s="159">
        <f t="shared" si="71"/>
        <v>8955.2959333500003</v>
      </c>
      <c r="P375" s="47">
        <f t="shared" si="72"/>
        <v>12698059.089758124</v>
      </c>
      <c r="Q375" s="25">
        <f t="shared" si="73"/>
        <v>0</v>
      </c>
      <c r="R375" s="26" t="str">
        <f t="shared" si="74"/>
        <v>COIN</v>
      </c>
      <c r="S375" s="26" t="str">
        <f t="shared" si="69"/>
        <v>LONG</v>
      </c>
      <c r="T375" s="26" t="str">
        <f t="shared" si="75"/>
        <v>COIN LONG</v>
      </c>
      <c r="U375" s="17">
        <f t="shared" si="76"/>
        <v>12698059.089758201</v>
      </c>
      <c r="V375" s="17">
        <f t="shared" si="77"/>
        <v>1417.9385231112101</v>
      </c>
      <c r="W375" s="39">
        <f>IF($C375="","",IF(DefaultScenario,IF(OR(AND(Default_Exchange="ALL",NOT(ISERROR(MATCH($C375,$AF$6:$AF$37,0)))),$C375=Default_Exchange),IF($G375&gt;0,-LGD,0),0),IF(OR($J375="SWAP",$J375="FUTURE",$J375="CME FUTURE"),IF('Futures &amp; Perps Shifted'!$AE$31,VLOOKUP($M375,'Futures &amp; Perps Shifted'!$AE$32:$AO$76,MATCH($R375,'Futures &amp; Perps Shifted'!$AE$30:$AO$30,0),FALSE),0),0)))</f>
        <v>0</v>
      </c>
      <c r="X375" s="17">
        <f t="shared" si="78"/>
        <v>0</v>
      </c>
      <c r="Y375" s="14" t="str">
        <f t="shared" si="80"/>
        <v>OKEX</v>
      </c>
      <c r="Z375" t="str">
        <f t="shared" si="79"/>
        <v>ETH COIN LONG</v>
      </c>
      <c r="AA375" t="b">
        <f>IF($C375="","",IF(ISERROR(VLOOKUP($Y375,Mappings!$A:$C,3,FALSE)),FALSE,VLOOKUP($Y375,Mappings!$A:$C,3,FALSE)))</f>
        <v>1</v>
      </c>
    </row>
    <row r="376" spans="1:27" customFormat="1" x14ac:dyDescent="0.25">
      <c r="A376" s="14">
        <v>374</v>
      </c>
      <c r="B376" s="71">
        <v>44939.000005208334</v>
      </c>
      <c r="C376" s="14" t="s">
        <v>45</v>
      </c>
      <c r="D376" s="23" t="s">
        <v>46</v>
      </c>
      <c r="E376" s="23" t="s">
        <v>15</v>
      </c>
      <c r="F376" s="101">
        <v>-270.77938137000001</v>
      </c>
      <c r="G376" s="153">
        <v>-383948.51610874699</v>
      </c>
      <c r="H376" s="157">
        <v>1417.9385231112101</v>
      </c>
      <c r="I376" s="23">
        <v>0</v>
      </c>
      <c r="J376" s="23" t="s">
        <v>253</v>
      </c>
      <c r="K376" s="24">
        <v>44939.000005208334</v>
      </c>
      <c r="L376" s="23">
        <v>1</v>
      </c>
      <c r="M376" s="23" t="s">
        <v>15</v>
      </c>
      <c r="N376" s="45">
        <f t="shared" si="70"/>
        <v>1</v>
      </c>
      <c r="O376" s="159">
        <f t="shared" si="71"/>
        <v>-270.77938137000001</v>
      </c>
      <c r="P376" s="47">
        <f t="shared" si="72"/>
        <v>-383948.51610874495</v>
      </c>
      <c r="Q376" s="25">
        <f t="shared" si="73"/>
        <v>0</v>
      </c>
      <c r="R376" s="26" t="str">
        <f t="shared" si="74"/>
        <v>COIN</v>
      </c>
      <c r="S376" s="26" t="str">
        <f t="shared" si="69"/>
        <v>SHORT</v>
      </c>
      <c r="T376" s="26" t="str">
        <f t="shared" si="75"/>
        <v>COIN SHORT</v>
      </c>
      <c r="U376" s="17">
        <f t="shared" si="76"/>
        <v>-383948.51610874699</v>
      </c>
      <c r="V376" s="17">
        <f t="shared" si="77"/>
        <v>1417.9385231112101</v>
      </c>
      <c r="W376" s="39">
        <f>IF($C376="","",IF(DefaultScenario,IF(OR(AND(Default_Exchange="ALL",NOT(ISERROR(MATCH($C376,$AF$6:$AF$37,0)))),$C376=Default_Exchange),IF($G376&gt;0,-LGD,0),0),IF(OR($J376="SWAP",$J376="FUTURE",$J376="CME FUTURE"),IF('Futures &amp; Perps Shifted'!$AE$31,VLOOKUP($M376,'Futures &amp; Perps Shifted'!$AE$32:$AO$76,MATCH($R376,'Futures &amp; Perps Shifted'!$AE$30:$AO$30,0),FALSE),0),0)))</f>
        <v>0</v>
      </c>
      <c r="X376" s="17">
        <f t="shared" si="78"/>
        <v>0</v>
      </c>
      <c r="Y376" s="14" t="str">
        <f t="shared" si="80"/>
        <v>OKEX</v>
      </c>
      <c r="Z376" t="str">
        <f t="shared" si="79"/>
        <v>ETH COIN SHORT</v>
      </c>
      <c r="AA376" t="b">
        <f>IF($C376="","",IF(ISERROR(VLOOKUP($Y376,Mappings!$A:$C,3,FALSE)),FALSE,VLOOKUP($Y376,Mappings!$A:$C,3,FALSE)))</f>
        <v>1</v>
      </c>
    </row>
    <row r="377" spans="1:27" customFormat="1" x14ac:dyDescent="0.25">
      <c r="A377" s="14">
        <v>375</v>
      </c>
      <c r="B377" s="71">
        <v>44939.000005208334</v>
      </c>
      <c r="C377" s="14" t="s">
        <v>45</v>
      </c>
      <c r="D377" s="23" t="s">
        <v>46</v>
      </c>
      <c r="E377" s="23" t="s">
        <v>89</v>
      </c>
      <c r="F377" s="101">
        <v>604136.71778894996</v>
      </c>
      <c r="G377" s="153">
        <v>44294.900531954598</v>
      </c>
      <c r="H377" s="157">
        <v>7.3319331912265404E-2</v>
      </c>
      <c r="I377" s="23">
        <v>0</v>
      </c>
      <c r="J377" s="23" t="s">
        <v>85</v>
      </c>
      <c r="K377" s="24">
        <v>44939.000005208334</v>
      </c>
      <c r="L377" s="23">
        <v>1</v>
      </c>
      <c r="M377" s="23" t="s">
        <v>89</v>
      </c>
      <c r="N377" s="45">
        <f t="shared" si="70"/>
        <v>1</v>
      </c>
      <c r="O377" s="159">
        <f t="shared" si="71"/>
        <v>604136.71778894996</v>
      </c>
      <c r="P377" s="47">
        <f t="shared" si="72"/>
        <v>44294.900531954634</v>
      </c>
      <c r="Q377" s="25">
        <f t="shared" si="73"/>
        <v>0</v>
      </c>
      <c r="R377" s="26" t="str">
        <f t="shared" si="74"/>
        <v>COIN</v>
      </c>
      <c r="S377" s="26" t="str">
        <f t="shared" ref="S377:S440" si="81">IF($C377="","",IF($J377="CME FUTURE",IF($G377&gt;0,"LONG","SHORT"),IF($G377&gt;0,"LONG","SHORT")))</f>
        <v>LONG</v>
      </c>
      <c r="T377" s="26" t="str">
        <f t="shared" si="75"/>
        <v>COIN LONG</v>
      </c>
      <c r="U377" s="17">
        <f t="shared" si="76"/>
        <v>44294.900531954598</v>
      </c>
      <c r="V377" s="17">
        <f t="shared" si="77"/>
        <v>7.3319331912265404E-2</v>
      </c>
      <c r="W377" s="39">
        <f>IF($C377="","",IF(DefaultScenario,IF(OR(AND(Default_Exchange="ALL",NOT(ISERROR(MATCH($C377,$AF$6:$AF$37,0)))),$C377=Default_Exchange),IF($G377&gt;0,-LGD,0),0),IF(OR($J377="SWAP",$J377="FUTURE",$J377="CME FUTURE"),IF('Futures &amp; Perps Shifted'!$AE$31,VLOOKUP($M377,'Futures &amp; Perps Shifted'!$AE$32:$AO$76,MATCH($R377,'Futures &amp; Perps Shifted'!$AE$30:$AO$30,0),FALSE),0),0)))</f>
        <v>0</v>
      </c>
      <c r="X377" s="17">
        <f t="shared" si="78"/>
        <v>0</v>
      </c>
      <c r="Y377" s="14" t="str">
        <f t="shared" si="80"/>
        <v>OKEX</v>
      </c>
      <c r="Z377" t="str">
        <f t="shared" si="79"/>
        <v>OXT COIN LONG</v>
      </c>
      <c r="AA377" t="b">
        <f>IF($C377="","",IF(ISERROR(VLOOKUP($Y377,Mappings!$A:$C,3,FALSE)),FALSE,VLOOKUP($Y377,Mappings!$A:$C,3,FALSE)))</f>
        <v>1</v>
      </c>
    </row>
    <row r="378" spans="1:27" customFormat="1" x14ac:dyDescent="0.25">
      <c r="A378" s="14">
        <v>376</v>
      </c>
      <c r="B378" s="71">
        <v>44939.000005208334</v>
      </c>
      <c r="C378" s="14" t="s">
        <v>45</v>
      </c>
      <c r="D378" s="23" t="s">
        <v>46</v>
      </c>
      <c r="E378" s="23" t="s">
        <v>37</v>
      </c>
      <c r="F378" s="101">
        <v>78952990042.466797</v>
      </c>
      <c r="G378" s="153">
        <v>747794.03457846702</v>
      </c>
      <c r="H378" s="157">
        <v>9.4713833405960602E-6</v>
      </c>
      <c r="I378" s="23">
        <v>0</v>
      </c>
      <c r="J378" s="23" t="s">
        <v>85</v>
      </c>
      <c r="K378" s="24">
        <v>44939.000005208334</v>
      </c>
      <c r="L378" s="23">
        <v>1</v>
      </c>
      <c r="M378" s="23" t="s">
        <v>37</v>
      </c>
      <c r="N378" s="45">
        <f t="shared" si="70"/>
        <v>1</v>
      </c>
      <c r="O378" s="159">
        <f t="shared" si="71"/>
        <v>78952990042.466797</v>
      </c>
      <c r="P378" s="47">
        <f t="shared" si="72"/>
        <v>747794.03457846667</v>
      </c>
      <c r="Q378" s="25">
        <f t="shared" si="73"/>
        <v>0</v>
      </c>
      <c r="R378" s="26" t="str">
        <f t="shared" si="74"/>
        <v>COIN</v>
      </c>
      <c r="S378" s="26" t="str">
        <f t="shared" si="81"/>
        <v>LONG</v>
      </c>
      <c r="T378" s="26" t="str">
        <f t="shared" si="75"/>
        <v>COIN LONG</v>
      </c>
      <c r="U378" s="17">
        <f t="shared" si="76"/>
        <v>747794.03457846702</v>
      </c>
      <c r="V378" s="17">
        <f t="shared" si="77"/>
        <v>9.4713833405960602E-6</v>
      </c>
      <c r="W378" s="39">
        <f>IF($C378="","",IF(DefaultScenario,IF(OR(AND(Default_Exchange="ALL",NOT(ISERROR(MATCH($C378,$AF$6:$AF$37,0)))),$C378=Default_Exchange),IF($G378&gt;0,-LGD,0),0),IF(OR($J378="SWAP",$J378="FUTURE",$J378="CME FUTURE"),IF('Futures &amp; Perps Shifted'!$AE$31,VLOOKUP($M378,'Futures &amp; Perps Shifted'!$AE$32:$AO$76,MATCH($R378,'Futures &amp; Perps Shifted'!$AE$30:$AO$30,0),FALSE),0),0)))</f>
        <v>0</v>
      </c>
      <c r="X378" s="17">
        <f t="shared" si="78"/>
        <v>0</v>
      </c>
      <c r="Y378" s="14" t="str">
        <f t="shared" si="80"/>
        <v>OKEX</v>
      </c>
      <c r="Z378" t="str">
        <f t="shared" si="79"/>
        <v>SHIB COIN LONG</v>
      </c>
      <c r="AA378" t="b">
        <f>IF($C378="","",IF(ISERROR(VLOOKUP($Y378,Mappings!$A:$C,3,FALSE)),FALSE,VLOOKUP($Y378,Mappings!$A:$C,3,FALSE)))</f>
        <v>1</v>
      </c>
    </row>
    <row r="379" spans="1:27" customFormat="1" x14ac:dyDescent="0.25">
      <c r="A379" s="14">
        <v>377</v>
      </c>
      <c r="B379" s="71">
        <v>44939.000005208334</v>
      </c>
      <c r="C379" s="14" t="s">
        <v>45</v>
      </c>
      <c r="D379" s="23" t="s">
        <v>46</v>
      </c>
      <c r="E379" s="23" t="s">
        <v>38</v>
      </c>
      <c r="F379" s="101">
        <v>2962793.3999678502</v>
      </c>
      <c r="G379" s="153">
        <v>2963066.1226841998</v>
      </c>
      <c r="H379" s="157">
        <v>1.00009204918451</v>
      </c>
      <c r="I379" s="23">
        <v>0</v>
      </c>
      <c r="J379" s="23" t="s">
        <v>85</v>
      </c>
      <c r="K379" s="24">
        <v>44939.000005208334</v>
      </c>
      <c r="L379" s="23">
        <v>1</v>
      </c>
      <c r="M379" s="23" t="s">
        <v>38</v>
      </c>
      <c r="N379" s="45">
        <f t="shared" ref="N379:N442" si="82">IF($C379="","",IF(OR($J379="SWAP",$J379="FUTURE",$J379="CME FUTURE"),IF($L379=1,ROUND($G379/$H379/$F379,3),POWER(10,ROUND(LOG($G379/$F379),1))),1))</f>
        <v>1</v>
      </c>
      <c r="O379" s="159">
        <f t="shared" si="71"/>
        <v>2962793.3999678502</v>
      </c>
      <c r="P379" s="47">
        <f t="shared" si="72"/>
        <v>2963066.1226841887</v>
      </c>
      <c r="Q379" s="25">
        <f t="shared" si="73"/>
        <v>0</v>
      </c>
      <c r="R379" s="26" t="str">
        <f t="shared" si="74"/>
        <v>COIN</v>
      </c>
      <c r="S379" s="26" t="str">
        <f t="shared" si="81"/>
        <v>LONG</v>
      </c>
      <c r="T379" s="26" t="str">
        <f t="shared" si="75"/>
        <v>COIN LONG</v>
      </c>
      <c r="U379" s="17">
        <f t="shared" si="76"/>
        <v>2963066.1226841998</v>
      </c>
      <c r="V379" s="17">
        <f t="shared" si="77"/>
        <v>1.00009204918451</v>
      </c>
      <c r="W379" s="39">
        <f>IF($C379="","",IF(DefaultScenario,IF(OR(AND(Default_Exchange="ALL",NOT(ISERROR(MATCH($C379,$AF$6:$AF$37,0)))),$C379=Default_Exchange),IF($G379&gt;0,-LGD,0),0),IF(OR($J379="SWAP",$J379="FUTURE",$J379="CME FUTURE"),IF('Futures &amp; Perps Shifted'!$AE$31,VLOOKUP($M379,'Futures &amp; Perps Shifted'!$AE$32:$AO$76,MATCH($R379,'Futures &amp; Perps Shifted'!$AE$30:$AO$30,0),FALSE),0),0)))</f>
        <v>0</v>
      </c>
      <c r="X379" s="17">
        <f t="shared" si="78"/>
        <v>0</v>
      </c>
      <c r="Y379" s="14" t="str">
        <f t="shared" si="80"/>
        <v>OKEX</v>
      </c>
      <c r="Z379" t="str">
        <f t="shared" si="79"/>
        <v>USDT COIN LONG</v>
      </c>
      <c r="AA379" t="b">
        <f>IF($C379="","",IF(ISERROR(VLOOKUP($Y379,Mappings!$A:$C,3,FALSE)),FALSE,VLOOKUP($Y379,Mappings!$A:$C,3,FALSE)))</f>
        <v>1</v>
      </c>
    </row>
    <row r="380" spans="1:27" customFormat="1" x14ac:dyDescent="0.25">
      <c r="A380" s="14">
        <v>378</v>
      </c>
      <c r="B380" s="71">
        <v>44939.000005208334</v>
      </c>
      <c r="C380" s="14" t="s">
        <v>45</v>
      </c>
      <c r="D380" s="23" t="s">
        <v>46</v>
      </c>
      <c r="E380" s="23" t="s">
        <v>38</v>
      </c>
      <c r="F380" s="101">
        <v>582247.84443457995</v>
      </c>
      <c r="G380" s="153">
        <v>582301.43987384497</v>
      </c>
      <c r="H380" s="157">
        <v>1.00009204918451</v>
      </c>
      <c r="I380" s="23">
        <v>0</v>
      </c>
      <c r="J380" s="23" t="s">
        <v>253</v>
      </c>
      <c r="K380" s="24">
        <v>44939.000005208334</v>
      </c>
      <c r="L380" s="23">
        <v>1</v>
      </c>
      <c r="M380" s="23" t="s">
        <v>38</v>
      </c>
      <c r="N380" s="45">
        <f t="shared" si="82"/>
        <v>1</v>
      </c>
      <c r="O380" s="159">
        <f t="shared" ref="O380:O443" si="83">IF($C380="","",IF(OR($J380="SWAP",$J380="FUTURE",$J380="CME FUTURE"),IF($L380=1,$F380*$N380,$AB$2*$F380*$N380/$H380),F380))</f>
        <v>582247.84443457995</v>
      </c>
      <c r="P380" s="47">
        <f t="shared" si="72"/>
        <v>582301.43987384287</v>
      </c>
      <c r="Q380" s="25">
        <f t="shared" si="73"/>
        <v>0</v>
      </c>
      <c r="R380" s="26" t="str">
        <f t="shared" si="74"/>
        <v>COIN</v>
      </c>
      <c r="S380" s="26" t="str">
        <f t="shared" si="81"/>
        <v>LONG</v>
      </c>
      <c r="T380" s="26" t="str">
        <f t="shared" si="75"/>
        <v>COIN LONG</v>
      </c>
      <c r="U380" s="17">
        <f t="shared" si="76"/>
        <v>582301.43987384497</v>
      </c>
      <c r="V380" s="17">
        <f t="shared" si="77"/>
        <v>1.00009204918451</v>
      </c>
      <c r="W380" s="39">
        <f>IF($C380="","",IF(DefaultScenario,IF(OR(AND(Default_Exchange="ALL",NOT(ISERROR(MATCH($C380,$AF$6:$AF$37,0)))),$C380=Default_Exchange),IF($G380&gt;0,-LGD,0),0),IF(OR($J380="SWAP",$J380="FUTURE",$J380="CME FUTURE"),IF('Futures &amp; Perps Shifted'!$AE$31,VLOOKUP($M380,'Futures &amp; Perps Shifted'!$AE$32:$AO$76,MATCH($R380,'Futures &amp; Perps Shifted'!$AE$30:$AO$30,0),FALSE),0),0)))</f>
        <v>0</v>
      </c>
      <c r="X380" s="17">
        <f t="shared" si="78"/>
        <v>0</v>
      </c>
      <c r="Y380" s="14" t="str">
        <f t="shared" si="80"/>
        <v>OKEX</v>
      </c>
      <c r="Z380" t="str">
        <f t="shared" si="79"/>
        <v>USDT COIN LONG</v>
      </c>
      <c r="AA380" t="b">
        <f>IF($C380="","",IF(ISERROR(VLOOKUP($Y380,Mappings!$A:$C,3,FALSE)),FALSE,VLOOKUP($Y380,Mappings!$A:$C,3,FALSE)))</f>
        <v>1</v>
      </c>
    </row>
    <row r="381" spans="1:27" customFormat="1" x14ac:dyDescent="0.25">
      <c r="A381" s="14">
        <v>379</v>
      </c>
      <c r="B381" s="71">
        <v>44939.000005208334</v>
      </c>
      <c r="C381" s="14" t="s">
        <v>45</v>
      </c>
      <c r="D381" s="23" t="s">
        <v>46</v>
      </c>
      <c r="E381" s="23" t="s">
        <v>26</v>
      </c>
      <c r="F381" s="101">
        <v>3469624.0473292298</v>
      </c>
      <c r="G381" s="153">
        <v>83182.432008713396</v>
      </c>
      <c r="H381" s="157">
        <v>2.39744799073386E-2</v>
      </c>
      <c r="I381" s="23">
        <v>0</v>
      </c>
      <c r="J381" s="23" t="s">
        <v>85</v>
      </c>
      <c r="K381" s="24">
        <v>44939.000005208334</v>
      </c>
      <c r="L381" s="23">
        <v>1</v>
      </c>
      <c r="M381" s="23" t="s">
        <v>26</v>
      </c>
      <c r="N381" s="45">
        <f t="shared" si="82"/>
        <v>1</v>
      </c>
      <c r="O381" s="159">
        <f t="shared" si="83"/>
        <v>3469624.0473292298</v>
      </c>
      <c r="P381" s="47">
        <f t="shared" si="72"/>
        <v>83182.432008713455</v>
      </c>
      <c r="Q381" s="25">
        <f t="shared" si="73"/>
        <v>0</v>
      </c>
      <c r="R381" s="26" t="str">
        <f t="shared" si="74"/>
        <v>COIN</v>
      </c>
      <c r="S381" s="26" t="str">
        <f t="shared" si="81"/>
        <v>LONG</v>
      </c>
      <c r="T381" s="26" t="str">
        <f t="shared" si="75"/>
        <v>COIN LONG</v>
      </c>
      <c r="U381" s="17">
        <f t="shared" si="76"/>
        <v>83182.432008713396</v>
      </c>
      <c r="V381" s="17">
        <f t="shared" si="77"/>
        <v>2.39744799073386E-2</v>
      </c>
      <c r="W381" s="39">
        <f>IF($C381="","",IF(DefaultScenario,IF(OR(AND(Default_Exchange="ALL",NOT(ISERROR(MATCH($C381,$AF$6:$AF$37,0)))),$C381=Default_Exchange),IF($G381&gt;0,-LGD,0),0),IF(OR($J381="SWAP",$J381="FUTURE",$J381="CME FUTURE"),IF('Futures &amp; Perps Shifted'!$AE$31,VLOOKUP($M381,'Futures &amp; Perps Shifted'!$AE$32:$AO$76,MATCH($R381,'Futures &amp; Perps Shifted'!$AE$30:$AO$30,0),FALSE),0),0)))</f>
        <v>0</v>
      </c>
      <c r="X381" s="17">
        <f t="shared" si="78"/>
        <v>0</v>
      </c>
      <c r="Y381" s="14" t="str">
        <f t="shared" si="80"/>
        <v>OKEX</v>
      </c>
      <c r="Z381" t="str">
        <f t="shared" si="79"/>
        <v>ZIL COIN LONG</v>
      </c>
      <c r="AA381" t="b">
        <f>IF($C381="","",IF(ISERROR(VLOOKUP($Y381,Mappings!$A:$C,3,FALSE)),FALSE,VLOOKUP($Y381,Mappings!$A:$C,3,FALSE)))</f>
        <v>1</v>
      </c>
    </row>
    <row r="382" spans="1:27" customFormat="1" x14ac:dyDescent="0.25">
      <c r="A382" s="14">
        <v>380</v>
      </c>
      <c r="B382" s="71">
        <v>44939.000005208334</v>
      </c>
      <c r="C382" s="14" t="s">
        <v>45</v>
      </c>
      <c r="D382" s="23" t="s">
        <v>174</v>
      </c>
      <c r="E382" s="23" t="s">
        <v>113</v>
      </c>
      <c r="F382" s="101">
        <v>9.4549999999999994E-5</v>
      </c>
      <c r="G382" s="153">
        <v>3.9850920739355599E-3</v>
      </c>
      <c r="H382" s="157">
        <v>42.1479859749927</v>
      </c>
      <c r="I382" s="23">
        <v>0</v>
      </c>
      <c r="J382" s="23" t="s">
        <v>85</v>
      </c>
      <c r="K382" s="24">
        <v>44939.000005208334</v>
      </c>
      <c r="L382" s="23">
        <v>1</v>
      </c>
      <c r="M382" s="23" t="s">
        <v>113</v>
      </c>
      <c r="N382" s="45">
        <f t="shared" si="82"/>
        <v>1</v>
      </c>
      <c r="O382" s="159">
        <f t="shared" si="83"/>
        <v>9.4549999999999994E-5</v>
      </c>
      <c r="P382" s="47">
        <f t="shared" si="72"/>
        <v>3.9850920739355599E-3</v>
      </c>
      <c r="Q382" s="25">
        <f t="shared" si="73"/>
        <v>0</v>
      </c>
      <c r="R382" s="26" t="str">
        <f t="shared" si="74"/>
        <v>COIN</v>
      </c>
      <c r="S382" s="26" t="str">
        <f t="shared" si="81"/>
        <v>LONG</v>
      </c>
      <c r="T382" s="26" t="str">
        <f t="shared" si="75"/>
        <v>COIN LONG</v>
      </c>
      <c r="U382" s="17">
        <f t="shared" si="76"/>
        <v>3.9850920739355599E-3</v>
      </c>
      <c r="V382" s="17">
        <f t="shared" si="77"/>
        <v>42.1479859749927</v>
      </c>
      <c r="W382" s="39">
        <f>IF($C382="","",IF(DefaultScenario,IF(OR(AND(Default_Exchange="ALL",NOT(ISERROR(MATCH($C382,$AF$6:$AF$37,0)))),$C382=Default_Exchange),IF($G382&gt;0,-LGD,0),0),IF(OR($J382="SWAP",$J382="FUTURE",$J382="CME FUTURE"),IF('Futures &amp; Perps Shifted'!$AE$31,VLOOKUP($M382,'Futures &amp; Perps Shifted'!$AE$32:$AO$76,MATCH($R382,'Futures &amp; Perps Shifted'!$AE$30:$AO$30,0),FALSE),0),0)))</f>
        <v>0</v>
      </c>
      <c r="X382" s="17">
        <f t="shared" si="78"/>
        <v>0</v>
      </c>
      <c r="Y382" s="14" t="str">
        <f t="shared" si="80"/>
        <v>OKEX</v>
      </c>
      <c r="Z382" t="str">
        <f t="shared" si="79"/>
        <v>BSV COIN LONG</v>
      </c>
      <c r="AA382" t="b">
        <f>IF($C382="","",IF(ISERROR(VLOOKUP($Y382,Mappings!$A:$C,3,FALSE)),FALSE,VLOOKUP($Y382,Mappings!$A:$C,3,FALSE)))</f>
        <v>1</v>
      </c>
    </row>
    <row r="383" spans="1:27" customFormat="1" x14ac:dyDescent="0.25">
      <c r="A383" s="14">
        <v>381</v>
      </c>
      <c r="B383" s="71">
        <v>44939.000005208334</v>
      </c>
      <c r="C383" s="14" t="s">
        <v>45</v>
      </c>
      <c r="D383" s="23" t="s">
        <v>174</v>
      </c>
      <c r="E383" s="23" t="s">
        <v>22</v>
      </c>
      <c r="F383" s="101">
        <v>1E-8</v>
      </c>
      <c r="G383" s="153">
        <v>5.2294779390740102E-8</v>
      </c>
      <c r="H383" s="157">
        <v>5.2294779390740098</v>
      </c>
      <c r="I383" s="23">
        <v>0</v>
      </c>
      <c r="J383" s="23" t="s">
        <v>85</v>
      </c>
      <c r="K383" s="24">
        <v>44939.000005208334</v>
      </c>
      <c r="L383" s="23">
        <v>1</v>
      </c>
      <c r="M383" s="23" t="s">
        <v>22</v>
      </c>
      <c r="N383" s="45">
        <f t="shared" si="82"/>
        <v>1</v>
      </c>
      <c r="O383" s="159">
        <f t="shared" si="83"/>
        <v>1E-8</v>
      </c>
      <c r="P383" s="47">
        <f t="shared" si="72"/>
        <v>5.2294779390740102E-8</v>
      </c>
      <c r="Q383" s="25">
        <f t="shared" si="73"/>
        <v>0</v>
      </c>
      <c r="R383" s="26" t="str">
        <f t="shared" si="74"/>
        <v>COIN</v>
      </c>
      <c r="S383" s="26" t="str">
        <f t="shared" si="81"/>
        <v>LONG</v>
      </c>
      <c r="T383" s="26" t="str">
        <f t="shared" si="75"/>
        <v>COIN LONG</v>
      </c>
      <c r="U383" s="17">
        <f t="shared" si="76"/>
        <v>5.2294779390740102E-8</v>
      </c>
      <c r="V383" s="17">
        <f t="shared" si="77"/>
        <v>5.2294779390740098</v>
      </c>
      <c r="W383" s="39">
        <f>IF($C383="","",IF(DefaultScenario,IF(OR(AND(Default_Exchange="ALL",NOT(ISERROR(MATCH($C383,$AF$6:$AF$37,0)))),$C383=Default_Exchange),IF($G383&gt;0,-LGD,0),0),IF(OR($J383="SWAP",$J383="FUTURE",$J383="CME FUTURE"),IF('Futures &amp; Perps Shifted'!$AE$31,VLOOKUP($M383,'Futures &amp; Perps Shifted'!$AE$32:$AO$76,MATCH($R383,'Futures &amp; Perps Shifted'!$AE$30:$AO$30,0),FALSE),0),0)))</f>
        <v>0</v>
      </c>
      <c r="X383" s="17">
        <f t="shared" si="78"/>
        <v>0</v>
      </c>
      <c r="Y383" s="14" t="str">
        <f t="shared" si="80"/>
        <v>OKEX</v>
      </c>
      <c r="Z383" t="str">
        <f t="shared" si="79"/>
        <v>DOT COIN LONG</v>
      </c>
      <c r="AA383" t="b">
        <f>IF($C383="","",IF(ISERROR(VLOOKUP($Y383,Mappings!$A:$C,3,FALSE)),FALSE,VLOOKUP($Y383,Mappings!$A:$C,3,FALSE)))</f>
        <v>1</v>
      </c>
    </row>
    <row r="384" spans="1:27" customFormat="1" x14ac:dyDescent="0.25">
      <c r="A384" s="14">
        <v>382</v>
      </c>
      <c r="B384" s="71">
        <v>44939.000005208334</v>
      </c>
      <c r="C384" s="14" t="s">
        <v>45</v>
      </c>
      <c r="D384" s="23" t="s">
        <v>174</v>
      </c>
      <c r="E384" s="23" t="s">
        <v>272</v>
      </c>
      <c r="F384" s="101">
        <v>8.7929999999999993E-5</v>
      </c>
      <c r="G384" s="153">
        <v>3.0195983368837601E-4</v>
      </c>
      <c r="H384" s="157">
        <v>3.43409341167265</v>
      </c>
      <c r="I384" s="23">
        <v>0</v>
      </c>
      <c r="J384" s="23" t="s">
        <v>85</v>
      </c>
      <c r="K384" s="24">
        <v>44939.000005208334</v>
      </c>
      <c r="L384" s="23">
        <v>1</v>
      </c>
      <c r="M384" s="23" t="s">
        <v>272</v>
      </c>
      <c r="N384" s="45">
        <f t="shared" si="82"/>
        <v>1</v>
      </c>
      <c r="O384" s="159">
        <f t="shared" si="83"/>
        <v>8.7929999999999993E-5</v>
      </c>
      <c r="P384" s="47">
        <f t="shared" si="72"/>
        <v>3.0195983368837612E-4</v>
      </c>
      <c r="Q384" s="25">
        <f t="shared" si="73"/>
        <v>0</v>
      </c>
      <c r="R384" s="26" t="str">
        <f t="shared" si="74"/>
        <v>COIN</v>
      </c>
      <c r="S384" s="26" t="str">
        <f t="shared" si="81"/>
        <v>LONG</v>
      </c>
      <c r="T384" s="26" t="str">
        <f t="shared" si="75"/>
        <v>COIN LONG</v>
      </c>
      <c r="U384" s="17">
        <f t="shared" si="76"/>
        <v>3.0195983368837601E-4</v>
      </c>
      <c r="V384" s="17">
        <f t="shared" si="77"/>
        <v>3.43409341167265</v>
      </c>
      <c r="W384" s="39">
        <f>IF($C384="","",IF(DefaultScenario,IF(OR(AND(Default_Exchange="ALL",NOT(ISERROR(MATCH($C384,$AF$6:$AF$37,0)))),$C384=Default_Exchange),IF($G384&gt;0,-LGD,0),0),IF(OR($J384="SWAP",$J384="FUTURE",$J384="CME FUTURE"),IF('Futures &amp; Perps Shifted'!$AE$31,VLOOKUP($M384,'Futures &amp; Perps Shifted'!$AE$32:$AO$76,MATCH($R384,'Futures &amp; Perps Shifted'!$AE$30:$AO$30,0),FALSE),0),0)))</f>
        <v>0</v>
      </c>
      <c r="X384" s="17">
        <f t="shared" si="78"/>
        <v>0</v>
      </c>
      <c r="Y384" s="14" t="str">
        <f t="shared" si="80"/>
        <v>OKEX</v>
      </c>
      <c r="Z384" t="str">
        <f t="shared" si="79"/>
        <v>ETHW COIN LONG</v>
      </c>
      <c r="AA384" t="b">
        <f>IF($C384="","",IF(ISERROR(VLOOKUP($Y384,Mappings!$A:$C,3,FALSE)),FALSE,VLOOKUP($Y384,Mappings!$A:$C,3,FALSE)))</f>
        <v>1</v>
      </c>
    </row>
    <row r="385" spans="1:27" customFormat="1" x14ac:dyDescent="0.25">
      <c r="A385" s="14">
        <v>383</v>
      </c>
      <c r="B385" s="71">
        <v>44939.000005208334</v>
      </c>
      <c r="C385" s="14" t="s">
        <v>45</v>
      </c>
      <c r="D385" s="23" t="s">
        <v>174</v>
      </c>
      <c r="E385" s="23" t="s">
        <v>24</v>
      </c>
      <c r="F385" s="101">
        <v>1E-8</v>
      </c>
      <c r="G385" s="153">
        <v>8.5964229450756099E-7</v>
      </c>
      <c r="H385" s="157">
        <v>85.964229450756093</v>
      </c>
      <c r="I385" s="23">
        <v>0</v>
      </c>
      <c r="J385" s="23" t="s">
        <v>85</v>
      </c>
      <c r="K385" s="24">
        <v>44939.000005208334</v>
      </c>
      <c r="L385" s="23">
        <v>1</v>
      </c>
      <c r="M385" s="23" t="s">
        <v>24</v>
      </c>
      <c r="N385" s="45">
        <f t="shared" si="82"/>
        <v>1</v>
      </c>
      <c r="O385" s="159">
        <f t="shared" si="83"/>
        <v>1E-8</v>
      </c>
      <c r="P385" s="47">
        <f t="shared" si="72"/>
        <v>8.5964229450756099E-7</v>
      </c>
      <c r="Q385" s="25">
        <f t="shared" si="73"/>
        <v>0</v>
      </c>
      <c r="R385" s="26" t="str">
        <f t="shared" si="74"/>
        <v>COIN</v>
      </c>
      <c r="S385" s="26" t="str">
        <f t="shared" si="81"/>
        <v>LONG</v>
      </c>
      <c r="T385" s="26" t="str">
        <f t="shared" si="75"/>
        <v>COIN LONG</v>
      </c>
      <c r="U385" s="17">
        <f t="shared" si="76"/>
        <v>8.5964229450756099E-7</v>
      </c>
      <c r="V385" s="17">
        <f t="shared" si="77"/>
        <v>85.964229450756093</v>
      </c>
      <c r="W385" s="39">
        <f>IF($C385="","",IF(DefaultScenario,IF(OR(AND(Default_Exchange="ALL",NOT(ISERROR(MATCH($C385,$AF$6:$AF$37,0)))),$C385=Default_Exchange),IF($G385&gt;0,-LGD,0),0),IF(OR($J385="SWAP",$J385="FUTURE",$J385="CME FUTURE"),IF('Futures &amp; Perps Shifted'!$AE$31,VLOOKUP($M385,'Futures &amp; Perps Shifted'!$AE$32:$AO$76,MATCH($R385,'Futures &amp; Perps Shifted'!$AE$30:$AO$30,0),FALSE),0),0)))</f>
        <v>0</v>
      </c>
      <c r="X385" s="17">
        <f t="shared" si="78"/>
        <v>0</v>
      </c>
      <c r="Y385" s="14" t="str">
        <f t="shared" si="80"/>
        <v>OKEX</v>
      </c>
      <c r="Z385" t="str">
        <f t="shared" si="79"/>
        <v>LTC COIN LONG</v>
      </c>
      <c r="AA385" t="b">
        <f>IF($C385="","",IF(ISERROR(VLOOKUP($Y385,Mappings!$A:$C,3,FALSE)),FALSE,VLOOKUP($Y385,Mappings!$A:$C,3,FALSE)))</f>
        <v>1</v>
      </c>
    </row>
    <row r="386" spans="1:27" customFormat="1" x14ac:dyDescent="0.25">
      <c r="A386" s="14">
        <v>384</v>
      </c>
      <c r="B386" s="71">
        <v>44939.000005208334</v>
      </c>
      <c r="C386" s="14" t="s">
        <v>45</v>
      </c>
      <c r="D386" s="23" t="s">
        <v>174</v>
      </c>
      <c r="E386" s="23" t="s">
        <v>37</v>
      </c>
      <c r="F386" s="101">
        <v>10000000000</v>
      </c>
      <c r="G386" s="153">
        <v>94713.833405960599</v>
      </c>
      <c r="H386" s="157">
        <v>9.4713833405960602E-6</v>
      </c>
      <c r="I386" s="23">
        <v>0</v>
      </c>
      <c r="J386" s="23" t="s">
        <v>85</v>
      </c>
      <c r="K386" s="24">
        <v>44939.000005208334</v>
      </c>
      <c r="L386" s="23">
        <v>1</v>
      </c>
      <c r="M386" s="23" t="s">
        <v>37</v>
      </c>
      <c r="N386" s="45">
        <f t="shared" si="82"/>
        <v>1</v>
      </c>
      <c r="O386" s="159">
        <f t="shared" si="83"/>
        <v>10000000000</v>
      </c>
      <c r="P386" s="47">
        <f t="shared" ref="P386:P449" si="84">IF($C386="","",IF(OR($J386="SWAP",$J386="FUTURE",$J386="CME FUTURE"),IF(NOT(ISERROR(VLOOKUP($M386,SpotUSDRateTable,2,FALSE))),VLOOKUP($M386,SpotUSDRateTable,2,FALSE),$H386)*O386,VLOOKUP($M386,SpotUSDRateTable,2,FALSE)*O386))</f>
        <v>94713.833405960599</v>
      </c>
      <c r="Q386" s="25">
        <f t="shared" si="73"/>
        <v>0</v>
      </c>
      <c r="R386" s="26" t="str">
        <f t="shared" si="74"/>
        <v>COIN</v>
      </c>
      <c r="S386" s="26" t="str">
        <f t="shared" si="81"/>
        <v>LONG</v>
      </c>
      <c r="T386" s="26" t="str">
        <f t="shared" si="75"/>
        <v>COIN LONG</v>
      </c>
      <c r="U386" s="17">
        <f t="shared" si="76"/>
        <v>94713.833405960599</v>
      </c>
      <c r="V386" s="17">
        <f t="shared" si="77"/>
        <v>9.4713833405960602E-6</v>
      </c>
      <c r="W386" s="39">
        <f>IF($C386="","",IF(DefaultScenario,IF(OR(AND(Default_Exchange="ALL",NOT(ISERROR(MATCH($C386,$AF$6:$AF$37,0)))),$C386=Default_Exchange),IF($G386&gt;0,-LGD,0),0),IF(OR($J386="SWAP",$J386="FUTURE",$J386="CME FUTURE"),IF('Futures &amp; Perps Shifted'!$AE$31,VLOOKUP($M386,'Futures &amp; Perps Shifted'!$AE$32:$AO$76,MATCH($R386,'Futures &amp; Perps Shifted'!$AE$30:$AO$30,0),FALSE),0),0)))</f>
        <v>0</v>
      </c>
      <c r="X386" s="17">
        <f t="shared" si="78"/>
        <v>0</v>
      </c>
      <c r="Y386" s="14" t="str">
        <f t="shared" si="80"/>
        <v>OKEX</v>
      </c>
      <c r="Z386" t="str">
        <f t="shared" si="79"/>
        <v>SHIB COIN LONG</v>
      </c>
      <c r="AA386" t="b">
        <f>IF($C386="","",IF(ISERROR(VLOOKUP($Y386,Mappings!$A:$C,3,FALSE)),FALSE,VLOOKUP($Y386,Mappings!$A:$C,3,FALSE)))</f>
        <v>1</v>
      </c>
    </row>
    <row r="387" spans="1:27" customFormat="1" x14ac:dyDescent="0.25">
      <c r="A387" s="14">
        <v>385</v>
      </c>
      <c r="B387" s="71">
        <v>44939.000005208334</v>
      </c>
      <c r="C387" s="14" t="s">
        <v>45</v>
      </c>
      <c r="D387" s="23" t="s">
        <v>174</v>
      </c>
      <c r="E387" s="23" t="s">
        <v>92</v>
      </c>
      <c r="F387" s="101">
        <v>5.2E-7</v>
      </c>
      <c r="G387" s="153">
        <v>5.2003751780624803E-7</v>
      </c>
      <c r="H387" s="157">
        <v>1.0000721496274001</v>
      </c>
      <c r="I387" s="23">
        <v>0</v>
      </c>
      <c r="J387" s="23" t="s">
        <v>85</v>
      </c>
      <c r="K387" s="24">
        <v>44939.000005208334</v>
      </c>
      <c r="L387" s="23">
        <v>1</v>
      </c>
      <c r="M387" s="23" t="s">
        <v>92</v>
      </c>
      <c r="N387" s="45">
        <f t="shared" si="82"/>
        <v>1</v>
      </c>
      <c r="O387" s="159">
        <f t="shared" si="83"/>
        <v>5.2E-7</v>
      </c>
      <c r="P387" s="47">
        <f t="shared" si="84"/>
        <v>5.2003751780624803E-7</v>
      </c>
      <c r="Q387" s="25">
        <f t="shared" ref="Q387:Q450" si="85">IF($C387="","",IF(OR($J387="SWAP",$J387="FUTURE",$J387="CME FUTURE"),INT($K387-$B387),0))</f>
        <v>0</v>
      </c>
      <c r="R387" s="26" t="str">
        <f t="shared" ref="R387:R450" si="86">IF($C387="","",IF(OR($E387="USD",$E387="EUR"),"CASH",IF($Q387=0,"COIN",IF($Q387&gt;720,"PERP",IF($J387="FUTURE",TEXT($K387-1,"mmm yy"),"CME "&amp;TEXT($K387-1,"mmm yy"))))))</f>
        <v>COIN</v>
      </c>
      <c r="S387" s="26" t="str">
        <f t="shared" si="81"/>
        <v>LONG</v>
      </c>
      <c r="T387" s="26" t="str">
        <f t="shared" ref="T387:T450" si="87">IF($C387="","",$R387&amp;" "&amp;$S387)</f>
        <v>COIN LONG</v>
      </c>
      <c r="U387" s="17">
        <f t="shared" ref="U387:U450" si="88">IF($C387="","",$G387*(1+$W387))</f>
        <v>5.2003751780624803E-7</v>
      </c>
      <c r="V387" s="17">
        <f t="shared" ref="V387:V450" si="89">IF($C387="","",$H387*(1+$W387))</f>
        <v>1.0000721496274001</v>
      </c>
      <c r="W387" s="39">
        <f>IF($C387="","",IF(DefaultScenario,IF(OR(AND(Default_Exchange="ALL",NOT(ISERROR(MATCH($C387,$AF$6:$AF$37,0)))),$C387=Default_Exchange),IF($G387&gt;0,-LGD,0),0),IF(OR($J387="SWAP",$J387="FUTURE",$J387="CME FUTURE"),IF('Futures &amp; Perps Shifted'!$AE$31,VLOOKUP($M387,'Futures &amp; Perps Shifted'!$AE$32:$AO$76,MATCH($R387,'Futures &amp; Perps Shifted'!$AE$30:$AO$30,0),FALSE),0),0)))</f>
        <v>0</v>
      </c>
      <c r="X387" s="17">
        <f t="shared" ref="X387:X450" si="90">IF($C387="","",$U387-$G387)</f>
        <v>0</v>
      </c>
      <c r="Y387" s="14" t="str">
        <f t="shared" si="80"/>
        <v>OKEX</v>
      </c>
      <c r="Z387" t="str">
        <f t="shared" ref="Z387:Z450" si="91">IF($C387="","",$M387&amp;" "&amp;$T387)</f>
        <v>USDC COIN LONG</v>
      </c>
      <c r="AA387" t="b">
        <f>IF($C387="","",IF(ISERROR(VLOOKUP($Y387,Mappings!$A:$C,3,FALSE)),FALSE,VLOOKUP($Y387,Mappings!$A:$C,3,FALSE)))</f>
        <v>1</v>
      </c>
    </row>
    <row r="388" spans="1:27" customFormat="1" x14ac:dyDescent="0.25">
      <c r="A388" s="14">
        <v>386</v>
      </c>
      <c r="B388" s="71">
        <v>44939.000005208334</v>
      </c>
      <c r="C388" s="14" t="s">
        <v>45</v>
      </c>
      <c r="D388" s="23" t="s">
        <v>174</v>
      </c>
      <c r="E388" s="23" t="s">
        <v>162</v>
      </c>
      <c r="F388" s="101">
        <v>5.47</v>
      </c>
      <c r="G388" s="153">
        <v>1.4939303501530001E-4</v>
      </c>
      <c r="H388" s="157">
        <v>2.7311340953437101E-5</v>
      </c>
      <c r="I388" s="23">
        <v>0</v>
      </c>
      <c r="J388" s="23" t="s">
        <v>85</v>
      </c>
      <c r="K388" s="24">
        <v>44939.000005208334</v>
      </c>
      <c r="L388" s="23">
        <v>1</v>
      </c>
      <c r="M388" s="23" t="s">
        <v>162</v>
      </c>
      <c r="N388" s="45">
        <f t="shared" si="82"/>
        <v>1</v>
      </c>
      <c r="O388" s="159">
        <f t="shared" si="83"/>
        <v>5.47</v>
      </c>
      <c r="P388" s="47">
        <f t="shared" si="84"/>
        <v>1.4939303501530093E-4</v>
      </c>
      <c r="Q388" s="25">
        <f t="shared" si="85"/>
        <v>0</v>
      </c>
      <c r="R388" s="26" t="str">
        <f t="shared" si="86"/>
        <v>COIN</v>
      </c>
      <c r="S388" s="26" t="str">
        <f t="shared" si="81"/>
        <v>LONG</v>
      </c>
      <c r="T388" s="26" t="str">
        <f t="shared" si="87"/>
        <v>COIN LONG</v>
      </c>
      <c r="U388" s="17">
        <f t="shared" si="88"/>
        <v>1.4939303501530001E-4</v>
      </c>
      <c r="V388" s="17">
        <f t="shared" si="89"/>
        <v>2.7311340953437101E-5</v>
      </c>
      <c r="W388" s="39">
        <f>IF($C388="","",IF(DefaultScenario,IF(OR(AND(Default_Exchange="ALL",NOT(ISERROR(MATCH($C388,$AF$6:$AF$37,0)))),$C388=Default_Exchange),IF($G388&gt;0,-LGD,0),0),IF(OR($J388="SWAP",$J388="FUTURE",$J388="CME FUTURE"),IF('Futures &amp; Perps Shifted'!$AE$31,VLOOKUP($M388,'Futures &amp; Perps Shifted'!$AE$32:$AO$76,MATCH($R388,'Futures &amp; Perps Shifted'!$AE$30:$AO$30,0),FALSE),0),0)))</f>
        <v>0</v>
      </c>
      <c r="X388" s="17">
        <f t="shared" si="90"/>
        <v>0</v>
      </c>
      <c r="Y388" s="14" t="str">
        <f t="shared" si="80"/>
        <v>OKEX</v>
      </c>
      <c r="Z388" t="str">
        <f t="shared" si="91"/>
        <v>XEC COIN LONG</v>
      </c>
      <c r="AA388" t="b">
        <f>IF($C388="","",IF(ISERROR(VLOOKUP($Y388,Mappings!$A:$C,3,FALSE)),FALSE,VLOOKUP($Y388,Mappings!$A:$C,3,FALSE)))</f>
        <v>1</v>
      </c>
    </row>
    <row r="389" spans="1:27" customFormat="1" x14ac:dyDescent="0.25">
      <c r="A389" s="14">
        <v>387</v>
      </c>
      <c r="B389" s="71">
        <v>44939.000005208334</v>
      </c>
      <c r="C389" s="14" t="s">
        <v>45</v>
      </c>
      <c r="D389" s="23" t="s">
        <v>174</v>
      </c>
      <c r="E389" s="23" t="s">
        <v>99</v>
      </c>
      <c r="F389" s="101">
        <v>4.4000000000000002E-7</v>
      </c>
      <c r="G389" s="153">
        <v>1.65086742586436E-7</v>
      </c>
      <c r="H389" s="157">
        <v>0.37519714224190098</v>
      </c>
      <c r="I389" s="23">
        <v>0</v>
      </c>
      <c r="J389" s="23" t="s">
        <v>85</v>
      </c>
      <c r="K389" s="24">
        <v>44939.000005208334</v>
      </c>
      <c r="L389" s="23">
        <v>1</v>
      </c>
      <c r="M389" s="23" t="s">
        <v>99</v>
      </c>
      <c r="N389" s="45">
        <f t="shared" si="82"/>
        <v>1</v>
      </c>
      <c r="O389" s="159">
        <f t="shared" si="83"/>
        <v>4.4000000000000002E-7</v>
      </c>
      <c r="P389" s="47">
        <f t="shared" si="84"/>
        <v>1.6508674258643645E-7</v>
      </c>
      <c r="Q389" s="25">
        <f t="shared" si="85"/>
        <v>0</v>
      </c>
      <c r="R389" s="26" t="str">
        <f t="shared" si="86"/>
        <v>COIN</v>
      </c>
      <c r="S389" s="26" t="str">
        <f t="shared" si="81"/>
        <v>LONG</v>
      </c>
      <c r="T389" s="26" t="str">
        <f t="shared" si="87"/>
        <v>COIN LONG</v>
      </c>
      <c r="U389" s="17">
        <f t="shared" si="88"/>
        <v>1.65086742586436E-7</v>
      </c>
      <c r="V389" s="17">
        <f t="shared" si="89"/>
        <v>0.37519714224190098</v>
      </c>
      <c r="W389" s="39">
        <f>IF($C389="","",IF(DefaultScenario,IF(OR(AND(Default_Exchange="ALL",NOT(ISERROR(MATCH($C389,$AF$6:$AF$37,0)))),$C389=Default_Exchange),IF($G389&gt;0,-LGD,0),0),IF(OR($J389="SWAP",$J389="FUTURE",$J389="CME FUTURE"),IF('Futures &amp; Perps Shifted'!$AE$31,VLOOKUP($M389,'Futures &amp; Perps Shifted'!$AE$32:$AO$76,MATCH($R389,'Futures &amp; Perps Shifted'!$AE$30:$AO$30,0),FALSE),0),0)))</f>
        <v>0</v>
      </c>
      <c r="X389" s="17">
        <f t="shared" si="90"/>
        <v>0</v>
      </c>
      <c r="Y389" s="14" t="str">
        <f t="shared" si="80"/>
        <v>OKEX</v>
      </c>
      <c r="Z389" t="str">
        <f t="shared" si="91"/>
        <v>XRP COIN LONG</v>
      </c>
      <c r="AA389" t="b">
        <f>IF($C389="","",IF(ISERROR(VLOOKUP($Y389,Mappings!$A:$C,3,FALSE)),FALSE,VLOOKUP($Y389,Mappings!$A:$C,3,FALSE)))</f>
        <v>1</v>
      </c>
    </row>
    <row r="390" spans="1:27" customFormat="1" x14ac:dyDescent="0.25">
      <c r="A390" s="14">
        <v>388</v>
      </c>
      <c r="B390" s="71">
        <v>44939.040304745373</v>
      </c>
      <c r="C390" s="14" t="s">
        <v>176</v>
      </c>
      <c r="D390" s="23" t="s">
        <v>175</v>
      </c>
      <c r="E390" s="23" t="s">
        <v>15</v>
      </c>
      <c r="F390" s="101">
        <v>7.1361999999999999E-4</v>
      </c>
      <c r="G390" s="153">
        <v>1.01186928886262</v>
      </c>
      <c r="H390" s="157">
        <v>1417.9385231112101</v>
      </c>
      <c r="I390" s="23">
        <v>0</v>
      </c>
      <c r="J390" s="23" t="s">
        <v>85</v>
      </c>
      <c r="K390" s="24">
        <v>44939.040304745373</v>
      </c>
      <c r="L390" s="23">
        <v>1</v>
      </c>
      <c r="M390" s="23" t="s">
        <v>15</v>
      </c>
      <c r="N390" s="45">
        <f t="shared" si="82"/>
        <v>1</v>
      </c>
      <c r="O390" s="159">
        <f t="shared" si="83"/>
        <v>7.1361999999999999E-4</v>
      </c>
      <c r="P390" s="47">
        <f t="shared" si="84"/>
        <v>1.0118692888626217</v>
      </c>
      <c r="Q390" s="25">
        <f t="shared" si="85"/>
        <v>0</v>
      </c>
      <c r="R390" s="26" t="str">
        <f t="shared" si="86"/>
        <v>COIN</v>
      </c>
      <c r="S390" s="26" t="str">
        <f t="shared" si="81"/>
        <v>LONG</v>
      </c>
      <c r="T390" s="26" t="str">
        <f t="shared" si="87"/>
        <v>COIN LONG</v>
      </c>
      <c r="U390" s="17">
        <f t="shared" si="88"/>
        <v>1.01186928886262</v>
      </c>
      <c r="V390" s="17">
        <f t="shared" si="89"/>
        <v>1417.9385231112101</v>
      </c>
      <c r="W390" s="39">
        <f>IF($C390="","",IF(DefaultScenario,IF(OR(AND(Default_Exchange="ALL",NOT(ISERROR(MATCH($C390,$AF$6:$AF$37,0)))),$C390=Default_Exchange),IF($G390&gt;0,-LGD,0),0),IF(OR($J390="SWAP",$J390="FUTURE",$J390="CME FUTURE"),IF('Futures &amp; Perps Shifted'!$AE$31,VLOOKUP($M390,'Futures &amp; Perps Shifted'!$AE$32:$AO$76,MATCH($R390,'Futures &amp; Perps Shifted'!$AE$30:$AO$30,0),FALSE),0),0)))</f>
        <v>0</v>
      </c>
      <c r="X390" s="17">
        <f t="shared" si="90"/>
        <v>0</v>
      </c>
      <c r="Y390" s="14" t="str">
        <f t="shared" si="80"/>
        <v>PITX</v>
      </c>
      <c r="Z390" t="str">
        <f t="shared" si="91"/>
        <v>ETH COIN LONG</v>
      </c>
      <c r="AA390" t="b">
        <f>IF($C390="","",IF(ISERROR(VLOOKUP($Y390,Mappings!$A:$C,3,FALSE)),FALSE,VLOOKUP($Y390,Mappings!$A:$C,3,FALSE)))</f>
        <v>1</v>
      </c>
    </row>
    <row r="391" spans="1:27" customFormat="1" x14ac:dyDescent="0.25">
      <c r="A391" s="14">
        <v>389</v>
      </c>
      <c r="B391" s="71">
        <v>44939.040304548609</v>
      </c>
      <c r="C391" s="14" t="s">
        <v>176</v>
      </c>
      <c r="D391" s="23" t="s">
        <v>175</v>
      </c>
      <c r="E391" s="23" t="s">
        <v>107</v>
      </c>
      <c r="F391" s="101">
        <v>0.01</v>
      </c>
      <c r="G391" s="153">
        <v>1.0852199999999999E-2</v>
      </c>
      <c r="H391" s="157">
        <v>1.0852200000000001</v>
      </c>
      <c r="I391" s="23">
        <v>0</v>
      </c>
      <c r="J391" s="23" t="s">
        <v>85</v>
      </c>
      <c r="K391" s="24">
        <v>44939.040304548609</v>
      </c>
      <c r="L391" s="23">
        <v>1</v>
      </c>
      <c r="M391" s="23" t="s">
        <v>107</v>
      </c>
      <c r="N391" s="45">
        <f t="shared" si="82"/>
        <v>1</v>
      </c>
      <c r="O391" s="159">
        <f t="shared" si="83"/>
        <v>0.01</v>
      </c>
      <c r="P391" s="47">
        <f t="shared" si="84"/>
        <v>1.0852200000000001E-2</v>
      </c>
      <c r="Q391" s="25">
        <f t="shared" si="85"/>
        <v>0</v>
      </c>
      <c r="R391" s="26" t="str">
        <f t="shared" si="86"/>
        <v>CASH</v>
      </c>
      <c r="S391" s="26" t="str">
        <f t="shared" si="81"/>
        <v>LONG</v>
      </c>
      <c r="T391" s="26" t="str">
        <f t="shared" si="87"/>
        <v>CASH LONG</v>
      </c>
      <c r="U391" s="17">
        <f t="shared" si="88"/>
        <v>1.0852199999999999E-2</v>
      </c>
      <c r="V391" s="17">
        <f t="shared" si="89"/>
        <v>1.0852200000000001</v>
      </c>
      <c r="W391" s="39">
        <f>IF($C391="","",IF(DefaultScenario,IF(OR(AND(Default_Exchange="ALL",NOT(ISERROR(MATCH($C391,$AF$6:$AF$37,0)))),$C391=Default_Exchange),IF($G391&gt;0,-LGD,0),0),IF(OR($J391="SWAP",$J391="FUTURE",$J391="CME FUTURE"),IF('Futures &amp; Perps Shifted'!$AE$31,VLOOKUP($M391,'Futures &amp; Perps Shifted'!$AE$32:$AO$76,MATCH($R391,'Futures &amp; Perps Shifted'!$AE$30:$AO$30,0),FALSE),0),0)))</f>
        <v>0</v>
      </c>
      <c r="X391" s="17">
        <f t="shared" si="90"/>
        <v>0</v>
      </c>
      <c r="Y391" s="14" t="str">
        <f t="shared" si="80"/>
        <v>PITX</v>
      </c>
      <c r="Z391" t="str">
        <f t="shared" si="91"/>
        <v>EUR CASH LONG</v>
      </c>
      <c r="AA391" t="b">
        <f>IF($C391="","",IF(ISERROR(VLOOKUP($Y391,Mappings!$A:$C,3,FALSE)),FALSE,VLOOKUP($Y391,Mappings!$A:$C,3,FALSE)))</f>
        <v>1</v>
      </c>
    </row>
    <row r="392" spans="1:27" customFormat="1" x14ac:dyDescent="0.25">
      <c r="A392" s="14">
        <v>390</v>
      </c>
      <c r="B392" s="71">
        <v>44939.040304548609</v>
      </c>
      <c r="C392" s="14" t="s">
        <v>176</v>
      </c>
      <c r="D392" s="23" t="s">
        <v>175</v>
      </c>
      <c r="E392" s="23" t="s">
        <v>177</v>
      </c>
      <c r="F392" s="101">
        <v>0.01</v>
      </c>
      <c r="G392" s="153">
        <v>1.2211649999999999E-2</v>
      </c>
      <c r="H392" s="157">
        <v>1.2211650000000001</v>
      </c>
      <c r="I392" s="23">
        <v>0</v>
      </c>
      <c r="J392" s="23" t="s">
        <v>85</v>
      </c>
      <c r="K392" s="24">
        <v>44939.040304548609</v>
      </c>
      <c r="L392" s="23">
        <v>1</v>
      </c>
      <c r="M392" s="23" t="s">
        <v>177</v>
      </c>
      <c r="N392" s="45">
        <f t="shared" si="82"/>
        <v>1</v>
      </c>
      <c r="O392" s="159">
        <f t="shared" si="83"/>
        <v>0.01</v>
      </c>
      <c r="P392" s="47">
        <f t="shared" si="84"/>
        <v>1.2211650000000001E-2</v>
      </c>
      <c r="Q392" s="25">
        <f t="shared" si="85"/>
        <v>0</v>
      </c>
      <c r="R392" s="26" t="str">
        <f t="shared" si="86"/>
        <v>COIN</v>
      </c>
      <c r="S392" s="26" t="str">
        <f t="shared" si="81"/>
        <v>LONG</v>
      </c>
      <c r="T392" s="26" t="str">
        <f t="shared" si="87"/>
        <v>COIN LONG</v>
      </c>
      <c r="U392" s="17">
        <f t="shared" si="88"/>
        <v>1.2211649999999999E-2</v>
      </c>
      <c r="V392" s="17">
        <f t="shared" si="89"/>
        <v>1.2211650000000001</v>
      </c>
      <c r="W392" s="39">
        <f>IF($C392="","",IF(DefaultScenario,IF(OR(AND(Default_Exchange="ALL",NOT(ISERROR(MATCH($C392,$AF$6:$AF$37,0)))),$C392=Default_Exchange),IF($G392&gt;0,-LGD,0),0),IF(OR($J392="SWAP",$J392="FUTURE",$J392="CME FUTURE"),IF('Futures &amp; Perps Shifted'!$AE$31,VLOOKUP($M392,'Futures &amp; Perps Shifted'!$AE$32:$AO$76,MATCH($R392,'Futures &amp; Perps Shifted'!$AE$30:$AO$30,0),FALSE),0),0)))</f>
        <v>0</v>
      </c>
      <c r="X392" s="17">
        <f t="shared" si="90"/>
        <v>0</v>
      </c>
      <c r="Y392" s="14" t="str">
        <f t="shared" si="80"/>
        <v>PITX</v>
      </c>
      <c r="Z392" t="str">
        <f t="shared" si="91"/>
        <v>GBP COIN LONG</v>
      </c>
      <c r="AA392" t="b">
        <f>IF($C392="","",IF(ISERROR(VLOOKUP($Y392,Mappings!$A:$C,3,FALSE)),FALSE,VLOOKUP($Y392,Mappings!$A:$C,3,FALSE)))</f>
        <v>1</v>
      </c>
    </row>
    <row r="393" spans="1:27" customFormat="1" x14ac:dyDescent="0.25">
      <c r="A393" s="14">
        <v>391</v>
      </c>
      <c r="B393" s="71">
        <v>44939.040304548609</v>
      </c>
      <c r="C393" s="14" t="s">
        <v>176</v>
      </c>
      <c r="D393" s="23" t="s">
        <v>175</v>
      </c>
      <c r="E393" s="23" t="s">
        <v>179</v>
      </c>
      <c r="F393" s="101">
        <v>0.10983253</v>
      </c>
      <c r="G393" s="153">
        <v>2.6601917850581499E-4</v>
      </c>
      <c r="H393" s="157">
        <v>2.4220436195525599E-3</v>
      </c>
      <c r="I393" s="23">
        <v>0</v>
      </c>
      <c r="J393" s="23" t="s">
        <v>85</v>
      </c>
      <c r="K393" s="24">
        <v>44939.040304548609</v>
      </c>
      <c r="L393" s="23">
        <v>1</v>
      </c>
      <c r="M393" s="23" t="s">
        <v>179</v>
      </c>
      <c r="N393" s="45">
        <f t="shared" si="82"/>
        <v>1</v>
      </c>
      <c r="O393" s="159">
        <f t="shared" si="83"/>
        <v>0.10983253</v>
      </c>
      <c r="P393" s="47">
        <f t="shared" si="84"/>
        <v>2.660191785058151E-4</v>
      </c>
      <c r="Q393" s="25">
        <f t="shared" si="85"/>
        <v>0</v>
      </c>
      <c r="R393" s="26" t="str">
        <f t="shared" si="86"/>
        <v>COIN</v>
      </c>
      <c r="S393" s="26" t="str">
        <f t="shared" si="81"/>
        <v>LONG</v>
      </c>
      <c r="T393" s="26" t="str">
        <f t="shared" si="87"/>
        <v>COIN LONG</v>
      </c>
      <c r="U393" s="17">
        <f t="shared" si="88"/>
        <v>2.6601917850581499E-4</v>
      </c>
      <c r="V393" s="17">
        <f t="shared" si="89"/>
        <v>2.4220436195525599E-3</v>
      </c>
      <c r="W393" s="39">
        <f>IF($C393="","",IF(DefaultScenario,IF(OR(AND(Default_Exchange="ALL",NOT(ISERROR(MATCH($C393,$AF$6:$AF$37,0)))),$C393=Default_Exchange),IF($G393&gt;0,-LGD,0),0),IF(OR($J393="SWAP",$J393="FUTURE",$J393="CME FUTURE"),IF('Futures &amp; Perps Shifted'!$AE$31,VLOOKUP($M393,'Futures &amp; Perps Shifted'!$AE$32:$AO$76,MATCH($R393,'Futures &amp; Perps Shifted'!$AE$30:$AO$30,0),FALSE),0),0)))</f>
        <v>0</v>
      </c>
      <c r="X393" s="17">
        <f t="shared" si="90"/>
        <v>0</v>
      </c>
      <c r="Y393" s="14" t="str">
        <f t="shared" si="80"/>
        <v>PITX</v>
      </c>
      <c r="Z393" t="str">
        <f t="shared" si="91"/>
        <v>TRY COIN LONG</v>
      </c>
      <c r="AA393" t="b">
        <f>IF($C393="","",IF(ISERROR(VLOOKUP($Y393,Mappings!$A:$C,3,FALSE)),FALSE,VLOOKUP($Y393,Mappings!$A:$C,3,FALSE)))</f>
        <v>1</v>
      </c>
    </row>
    <row r="394" spans="1:27" customFormat="1" x14ac:dyDescent="0.25">
      <c r="A394" s="14">
        <v>392</v>
      </c>
      <c r="B394" s="71">
        <v>44939.040304548609</v>
      </c>
      <c r="C394" s="14" t="s">
        <v>176</v>
      </c>
      <c r="D394" s="23" t="s">
        <v>175</v>
      </c>
      <c r="E394" s="23" t="s">
        <v>95</v>
      </c>
      <c r="F394" s="101">
        <v>6.5778299999999998E-3</v>
      </c>
      <c r="G394" s="153">
        <v>6.5778299999999998E-3</v>
      </c>
      <c r="H394" s="157">
        <v>1</v>
      </c>
      <c r="I394" s="23">
        <v>0</v>
      </c>
      <c r="J394" s="23" t="s">
        <v>85</v>
      </c>
      <c r="K394" s="24">
        <v>44939.040304548609</v>
      </c>
      <c r="L394" s="23">
        <v>1</v>
      </c>
      <c r="M394" s="23" t="s">
        <v>95</v>
      </c>
      <c r="N394" s="45">
        <f t="shared" si="82"/>
        <v>1</v>
      </c>
      <c r="O394" s="159">
        <f t="shared" si="83"/>
        <v>6.5778299999999998E-3</v>
      </c>
      <c r="P394" s="47">
        <f t="shared" si="84"/>
        <v>6.5778299999999998E-3</v>
      </c>
      <c r="Q394" s="25">
        <f t="shared" si="85"/>
        <v>0</v>
      </c>
      <c r="R394" s="26" t="str">
        <f t="shared" si="86"/>
        <v>CASH</v>
      </c>
      <c r="S394" s="26" t="str">
        <f t="shared" si="81"/>
        <v>LONG</v>
      </c>
      <c r="T394" s="26" t="str">
        <f t="shared" si="87"/>
        <v>CASH LONG</v>
      </c>
      <c r="U394" s="17">
        <f t="shared" si="88"/>
        <v>6.5778299999999998E-3</v>
      </c>
      <c r="V394" s="17">
        <f t="shared" si="89"/>
        <v>1</v>
      </c>
      <c r="W394" s="39">
        <f>IF($C394="","",IF(DefaultScenario,IF(OR(AND(Default_Exchange="ALL",NOT(ISERROR(MATCH($C394,$AF$6:$AF$37,0)))),$C394=Default_Exchange),IF($G394&gt;0,-LGD,0),0),IF(OR($J394="SWAP",$J394="FUTURE",$J394="CME FUTURE"),IF('Futures &amp; Perps Shifted'!$AE$31,VLOOKUP($M394,'Futures &amp; Perps Shifted'!$AE$32:$AO$76,MATCH($R394,'Futures &amp; Perps Shifted'!$AE$30:$AO$30,0),FALSE),0),0)))</f>
        <v>0</v>
      </c>
      <c r="X394" s="17">
        <f t="shared" si="90"/>
        <v>0</v>
      </c>
      <c r="Y394" s="14" t="str">
        <f t="shared" si="80"/>
        <v>PITX</v>
      </c>
      <c r="Z394" t="str">
        <f t="shared" si="91"/>
        <v>USD CASH LONG</v>
      </c>
      <c r="AA394" t="b">
        <f>IF($C394="","",IF(ISERROR(VLOOKUP($Y394,Mappings!$A:$C,3,FALSE)),FALSE,VLOOKUP($Y394,Mappings!$A:$C,3,FALSE)))</f>
        <v>1</v>
      </c>
    </row>
    <row r="395" spans="1:27" customFormat="1" x14ac:dyDescent="0.25">
      <c r="A395" s="14">
        <v>393</v>
      </c>
      <c r="B395" s="71">
        <v>44939.040304548609</v>
      </c>
      <c r="C395" s="14" t="s">
        <v>176</v>
      </c>
      <c r="D395" s="23" t="s">
        <v>175</v>
      </c>
      <c r="E395" s="23" t="s">
        <v>38</v>
      </c>
      <c r="F395" s="101">
        <v>9.9996000000000004E-4</v>
      </c>
      <c r="G395" s="153">
        <v>1.0000520455025401E-3</v>
      </c>
      <c r="H395" s="157">
        <v>1.00009204918451</v>
      </c>
      <c r="I395" s="23">
        <v>0</v>
      </c>
      <c r="J395" s="23" t="s">
        <v>85</v>
      </c>
      <c r="K395" s="24">
        <v>44939.040304548609</v>
      </c>
      <c r="L395" s="23">
        <v>1</v>
      </c>
      <c r="M395" s="23" t="s">
        <v>38</v>
      </c>
      <c r="N395" s="45">
        <f t="shared" si="82"/>
        <v>1</v>
      </c>
      <c r="O395" s="159">
        <f t="shared" si="83"/>
        <v>9.9996000000000004E-4</v>
      </c>
      <c r="P395" s="47">
        <f t="shared" si="84"/>
        <v>1.0000520455025427E-3</v>
      </c>
      <c r="Q395" s="25">
        <f t="shared" si="85"/>
        <v>0</v>
      </c>
      <c r="R395" s="26" t="str">
        <f t="shared" si="86"/>
        <v>COIN</v>
      </c>
      <c r="S395" s="26" t="str">
        <f t="shared" si="81"/>
        <v>LONG</v>
      </c>
      <c r="T395" s="26" t="str">
        <f t="shared" si="87"/>
        <v>COIN LONG</v>
      </c>
      <c r="U395" s="17">
        <f t="shared" si="88"/>
        <v>1.0000520455025401E-3</v>
      </c>
      <c r="V395" s="17">
        <f t="shared" si="89"/>
        <v>1.00009204918451</v>
      </c>
      <c r="W395" s="39">
        <f>IF($C395="","",IF(DefaultScenario,IF(OR(AND(Default_Exchange="ALL",NOT(ISERROR(MATCH($C395,$AF$6:$AF$37,0)))),$C395=Default_Exchange),IF($G395&gt;0,-LGD,0),0),IF(OR($J395="SWAP",$J395="FUTURE",$J395="CME FUTURE"),IF('Futures &amp; Perps Shifted'!$AE$31,VLOOKUP($M395,'Futures &amp; Perps Shifted'!$AE$32:$AO$76,MATCH($R395,'Futures &amp; Perps Shifted'!$AE$30:$AO$30,0),FALSE),0),0)))</f>
        <v>0</v>
      </c>
      <c r="X395" s="17">
        <f t="shared" si="90"/>
        <v>0</v>
      </c>
      <c r="Y395" s="14" t="str">
        <f t="shared" si="80"/>
        <v>PITX</v>
      </c>
      <c r="Z395" t="str">
        <f t="shared" si="91"/>
        <v>USDT COIN LONG</v>
      </c>
      <c r="AA395" t="b">
        <f>IF($C395="","",IF(ISERROR(VLOOKUP($Y395,Mappings!$A:$C,3,FALSE)),FALSE,VLOOKUP($Y395,Mappings!$A:$C,3,FALSE)))</f>
        <v>1</v>
      </c>
    </row>
    <row r="396" spans="1:27" customFormat="1" x14ac:dyDescent="0.25">
      <c r="A396" s="14">
        <v>394</v>
      </c>
      <c r="B396" s="71">
        <v>44939.040304548609</v>
      </c>
      <c r="C396" s="14" t="s">
        <v>176</v>
      </c>
      <c r="D396" s="23" t="s">
        <v>175</v>
      </c>
      <c r="E396" s="23" t="s">
        <v>163</v>
      </c>
      <c r="F396" s="101">
        <v>9.9999999999999995E-8</v>
      </c>
      <c r="G396" s="153">
        <v>8.1643783905093393E-9</v>
      </c>
      <c r="H396" s="157">
        <v>8.1643783905093401E-2</v>
      </c>
      <c r="I396" s="23">
        <v>0</v>
      </c>
      <c r="J396" s="23" t="s">
        <v>85</v>
      </c>
      <c r="K396" s="24">
        <v>44939.040304548609</v>
      </c>
      <c r="L396" s="23">
        <v>1</v>
      </c>
      <c r="M396" s="23" t="s">
        <v>163</v>
      </c>
      <c r="N396" s="45">
        <f t="shared" si="82"/>
        <v>1</v>
      </c>
      <c r="O396" s="159">
        <f t="shared" si="83"/>
        <v>9.9999999999999995E-8</v>
      </c>
      <c r="P396" s="47">
        <f t="shared" si="84"/>
        <v>8.1643783905093393E-9</v>
      </c>
      <c r="Q396" s="25">
        <f t="shared" si="85"/>
        <v>0</v>
      </c>
      <c r="R396" s="26" t="str">
        <f t="shared" si="86"/>
        <v>COIN</v>
      </c>
      <c r="S396" s="26" t="str">
        <f t="shared" si="81"/>
        <v>LONG</v>
      </c>
      <c r="T396" s="26" t="str">
        <f t="shared" si="87"/>
        <v>COIN LONG</v>
      </c>
      <c r="U396" s="17">
        <f t="shared" si="88"/>
        <v>8.1643783905093393E-9</v>
      </c>
      <c r="V396" s="17">
        <f t="shared" si="89"/>
        <v>8.1643783905093401E-2</v>
      </c>
      <c r="W396" s="39">
        <f>IF($C396="","",IF(DefaultScenario,IF(OR(AND(Default_Exchange="ALL",NOT(ISERROR(MATCH($C396,$AF$6:$AF$37,0)))),$C396=Default_Exchange),IF($G396&gt;0,-LGD,0),0),IF(OR($J396="SWAP",$J396="FUTURE",$J396="CME FUTURE"),IF('Futures &amp; Perps Shifted'!$AE$31,VLOOKUP($M396,'Futures &amp; Perps Shifted'!$AE$32:$AO$76,MATCH($R396,'Futures &amp; Perps Shifted'!$AE$30:$AO$30,0),FALSE),0),0)))</f>
        <v>0</v>
      </c>
      <c r="X396" s="17">
        <f t="shared" si="90"/>
        <v>0</v>
      </c>
      <c r="Y396" s="14" t="str">
        <f t="shared" si="80"/>
        <v>PITX</v>
      </c>
      <c r="Z396" t="str">
        <f t="shared" si="91"/>
        <v>XLM COIN LONG</v>
      </c>
      <c r="AA396" t="b">
        <f>IF($C396="","",IF(ISERROR(VLOOKUP($Y396,Mappings!$A:$C,3,FALSE)),FALSE,VLOOKUP($Y396,Mappings!$A:$C,3,FALSE)))</f>
        <v>1</v>
      </c>
    </row>
    <row r="397" spans="1:27" customFormat="1" x14ac:dyDescent="0.25">
      <c r="A397" s="14">
        <v>395</v>
      </c>
      <c r="B397" s="71">
        <v>44939.000005590278</v>
      </c>
      <c r="C397" s="14" t="s">
        <v>182</v>
      </c>
      <c r="D397" s="23" t="s">
        <v>180</v>
      </c>
      <c r="E397" s="23" t="s">
        <v>181</v>
      </c>
      <c r="F397" s="101">
        <v>3449324.2188823698</v>
      </c>
      <c r="G397" s="153">
        <v>27668.2027522961</v>
      </c>
      <c r="H397" s="157">
        <v>8.0213401224605903E-3</v>
      </c>
      <c r="I397" s="23">
        <v>0</v>
      </c>
      <c r="J397" s="23" t="s">
        <v>85</v>
      </c>
      <c r="K397" s="24">
        <v>44939.000005590278</v>
      </c>
      <c r="L397" s="23">
        <v>1</v>
      </c>
      <c r="M397" s="23" t="s">
        <v>181</v>
      </c>
      <c r="N397" s="45">
        <f t="shared" si="82"/>
        <v>1</v>
      </c>
      <c r="O397" s="159">
        <f t="shared" si="83"/>
        <v>3449324.2188823698</v>
      </c>
      <c r="P397" s="47">
        <f t="shared" si="84"/>
        <v>27668.202752296187</v>
      </c>
      <c r="Q397" s="25">
        <f t="shared" si="85"/>
        <v>0</v>
      </c>
      <c r="R397" s="26" t="str">
        <f t="shared" si="86"/>
        <v>COIN</v>
      </c>
      <c r="S397" s="26" t="str">
        <f t="shared" si="81"/>
        <v>LONG</v>
      </c>
      <c r="T397" s="26" t="str">
        <f t="shared" si="87"/>
        <v>COIN LONG</v>
      </c>
      <c r="U397" s="17">
        <f t="shared" si="88"/>
        <v>27668.2027522961</v>
      </c>
      <c r="V397" s="17">
        <f t="shared" si="89"/>
        <v>8.0213401224605903E-3</v>
      </c>
      <c r="W397" s="39">
        <f>IF($C397="","",IF(DefaultScenario,IF(OR(AND(Default_Exchange="ALL",NOT(ISERROR(MATCH($C397,$AF$6:$AF$37,0)))),$C397=Default_Exchange),IF($G397&gt;0,-LGD,0),0),IF(OR($J397="SWAP",$J397="FUTURE",$J397="CME FUTURE"),IF('Futures &amp; Perps Shifted'!$AE$31,VLOOKUP($M397,'Futures &amp; Perps Shifted'!$AE$32:$AO$76,MATCH($R397,'Futures &amp; Perps Shifted'!$AE$30:$AO$30,0),FALSE),0),0)))</f>
        <v>0</v>
      </c>
      <c r="X397" s="17">
        <f t="shared" si="90"/>
        <v>0</v>
      </c>
      <c r="Y397" s="14" t="str">
        <f t="shared" si="80"/>
        <v>SHFT</v>
      </c>
      <c r="Z397" t="str">
        <f t="shared" si="91"/>
        <v>SHFT COIN LONG</v>
      </c>
      <c r="AA397" t="b">
        <f>IF($C397="","",IF(ISERROR(VLOOKUP($Y397,Mappings!$A:$C,3,FALSE)),FALSE,VLOOKUP($Y397,Mappings!$A:$C,3,FALSE)))</f>
        <v>0</v>
      </c>
    </row>
    <row r="398" spans="1:27" customFormat="1" x14ac:dyDescent="0.25">
      <c r="A398" s="14">
        <v>396</v>
      </c>
      <c r="B398" s="71">
        <v>44939.000000775464</v>
      </c>
      <c r="C398" s="14" t="s">
        <v>184</v>
      </c>
      <c r="D398" s="23" t="s">
        <v>183</v>
      </c>
      <c r="E398" s="23" t="s">
        <v>14</v>
      </c>
      <c r="F398" s="101">
        <v>130.56228007999999</v>
      </c>
      <c r="G398" s="153">
        <v>2463656.4406658001</v>
      </c>
      <c r="H398" s="157">
        <v>18869.5880552655</v>
      </c>
      <c r="I398" s="23">
        <v>0</v>
      </c>
      <c r="J398" s="23" t="s">
        <v>85</v>
      </c>
      <c r="K398" s="24">
        <v>44939.000000775464</v>
      </c>
      <c r="L398" s="23">
        <v>1</v>
      </c>
      <c r="M398" s="23" t="s">
        <v>14</v>
      </c>
      <c r="N398" s="45">
        <f t="shared" si="82"/>
        <v>1</v>
      </c>
      <c r="O398" s="159">
        <f t="shared" si="83"/>
        <v>130.56228007999999</v>
      </c>
      <c r="P398" s="47">
        <f t="shared" si="84"/>
        <v>2463656.4406657964</v>
      </c>
      <c r="Q398" s="25">
        <f t="shared" si="85"/>
        <v>0</v>
      </c>
      <c r="R398" s="26" t="str">
        <f t="shared" si="86"/>
        <v>COIN</v>
      </c>
      <c r="S398" s="26" t="str">
        <f t="shared" si="81"/>
        <v>LONG</v>
      </c>
      <c r="T398" s="26" t="str">
        <f t="shared" si="87"/>
        <v>COIN LONG</v>
      </c>
      <c r="U398" s="17">
        <f t="shared" si="88"/>
        <v>2463656.4406658001</v>
      </c>
      <c r="V398" s="17">
        <f t="shared" si="89"/>
        <v>18869.5880552655</v>
      </c>
      <c r="W398" s="39">
        <f>IF($C398="","",IF(DefaultScenario,IF(OR(AND(Default_Exchange="ALL",NOT(ISERROR(MATCH($C398,$AF$6:$AF$37,0)))),$C398=Default_Exchange),IF($G398&gt;0,-LGD,0),0),IF(OR($J398="SWAP",$J398="FUTURE",$J398="CME FUTURE"),IF('Futures &amp; Perps Shifted'!$AE$31,VLOOKUP($M398,'Futures &amp; Perps Shifted'!$AE$32:$AO$76,MATCH($R398,'Futures &amp; Perps Shifted'!$AE$30:$AO$30,0),FALSE),0),0)))</f>
        <v>0</v>
      </c>
      <c r="X398" s="17">
        <f t="shared" si="90"/>
        <v>0</v>
      </c>
      <c r="Y398" s="14" t="str">
        <f t="shared" si="80"/>
        <v>WOOX</v>
      </c>
      <c r="Z398" t="str">
        <f t="shared" si="91"/>
        <v>BTC COIN LONG</v>
      </c>
      <c r="AA398" t="b">
        <f>IF($C398="","",IF(ISERROR(VLOOKUP($Y398,Mappings!$A:$C,3,FALSE)),FALSE,VLOOKUP($Y398,Mappings!$A:$C,3,FALSE)))</f>
        <v>1</v>
      </c>
    </row>
    <row r="399" spans="1:27" customFormat="1" x14ac:dyDescent="0.25">
      <c r="A399" s="14">
        <v>397</v>
      </c>
      <c r="B399" s="71">
        <v>44939.000000775464</v>
      </c>
      <c r="C399" s="14" t="s">
        <v>184</v>
      </c>
      <c r="D399" s="23" t="s">
        <v>183</v>
      </c>
      <c r="E399" s="23" t="s">
        <v>15</v>
      </c>
      <c r="F399" s="101">
        <v>2169.3453886699999</v>
      </c>
      <c r="G399" s="153">
        <v>3075998.3965288699</v>
      </c>
      <c r="H399" s="157">
        <v>1417.9385231112101</v>
      </c>
      <c r="I399" s="23">
        <v>0</v>
      </c>
      <c r="J399" s="23" t="s">
        <v>85</v>
      </c>
      <c r="K399" s="24">
        <v>44939.000000775464</v>
      </c>
      <c r="L399" s="23">
        <v>1</v>
      </c>
      <c r="M399" s="23" t="s">
        <v>15</v>
      </c>
      <c r="N399" s="45">
        <f t="shared" si="82"/>
        <v>1</v>
      </c>
      <c r="O399" s="159">
        <f t="shared" si="83"/>
        <v>2169.3453886699999</v>
      </c>
      <c r="P399" s="47">
        <f t="shared" si="84"/>
        <v>3075998.3965288536</v>
      </c>
      <c r="Q399" s="25">
        <f t="shared" si="85"/>
        <v>0</v>
      </c>
      <c r="R399" s="26" t="str">
        <f t="shared" si="86"/>
        <v>COIN</v>
      </c>
      <c r="S399" s="26" t="str">
        <f t="shared" si="81"/>
        <v>LONG</v>
      </c>
      <c r="T399" s="26" t="str">
        <f t="shared" si="87"/>
        <v>COIN LONG</v>
      </c>
      <c r="U399" s="17">
        <f t="shared" si="88"/>
        <v>3075998.3965288699</v>
      </c>
      <c r="V399" s="17">
        <f t="shared" si="89"/>
        <v>1417.9385231112101</v>
      </c>
      <c r="W399" s="39">
        <f>IF($C399="","",IF(DefaultScenario,IF(OR(AND(Default_Exchange="ALL",NOT(ISERROR(MATCH($C399,$AF$6:$AF$37,0)))),$C399=Default_Exchange),IF($G399&gt;0,-LGD,0),0),IF(OR($J399="SWAP",$J399="FUTURE",$J399="CME FUTURE"),IF('Futures &amp; Perps Shifted'!$AE$31,VLOOKUP($M399,'Futures &amp; Perps Shifted'!$AE$32:$AO$76,MATCH($R399,'Futures &amp; Perps Shifted'!$AE$30:$AO$30,0),FALSE),0),0)))</f>
        <v>0</v>
      </c>
      <c r="X399" s="17">
        <f t="shared" si="90"/>
        <v>0</v>
      </c>
      <c r="Y399" s="14" t="str">
        <f t="shared" si="80"/>
        <v>WOOX</v>
      </c>
      <c r="Z399" t="str">
        <f t="shared" si="91"/>
        <v>ETH COIN LONG</v>
      </c>
      <c r="AA399" t="b">
        <f>IF($C399="","",IF(ISERROR(VLOOKUP($Y399,Mappings!$A:$C,3,FALSE)),FALSE,VLOOKUP($Y399,Mappings!$A:$C,3,FALSE)))</f>
        <v>1</v>
      </c>
    </row>
    <row r="400" spans="1:27" customFormat="1" x14ac:dyDescent="0.25">
      <c r="A400" s="14">
        <v>398</v>
      </c>
      <c r="B400" s="71">
        <v>44939.000000775464</v>
      </c>
      <c r="C400" s="14" t="s">
        <v>184</v>
      </c>
      <c r="D400" s="23" t="s">
        <v>183</v>
      </c>
      <c r="E400" s="23" t="s">
        <v>185</v>
      </c>
      <c r="F400" s="101">
        <v>1644286.05309931</v>
      </c>
      <c r="G400" s="153">
        <v>281459.93846142199</v>
      </c>
      <c r="H400" s="157">
        <v>0.17117455805873899</v>
      </c>
      <c r="I400" s="23">
        <v>0</v>
      </c>
      <c r="J400" s="23" t="s">
        <v>85</v>
      </c>
      <c r="K400" s="24">
        <v>44939.000000775464</v>
      </c>
      <c r="L400" s="23">
        <v>1</v>
      </c>
      <c r="M400" s="23" t="s">
        <v>185</v>
      </c>
      <c r="N400" s="45">
        <f t="shared" si="82"/>
        <v>1</v>
      </c>
      <c r="O400" s="159">
        <f t="shared" si="83"/>
        <v>1644286.05309931</v>
      </c>
      <c r="P400" s="47">
        <f t="shared" si="84"/>
        <v>281459.93846142263</v>
      </c>
      <c r="Q400" s="25">
        <f t="shared" si="85"/>
        <v>0</v>
      </c>
      <c r="R400" s="26" t="str">
        <f t="shared" si="86"/>
        <v>COIN</v>
      </c>
      <c r="S400" s="26" t="str">
        <f t="shared" si="81"/>
        <v>LONG</v>
      </c>
      <c r="T400" s="26" t="str">
        <f t="shared" si="87"/>
        <v>COIN LONG</v>
      </c>
      <c r="U400" s="17">
        <f t="shared" si="88"/>
        <v>281459.93846142199</v>
      </c>
      <c r="V400" s="17">
        <f t="shared" si="89"/>
        <v>0.17117455805873899</v>
      </c>
      <c r="W400" s="39">
        <f>IF($C400="","",IF(DefaultScenario,IF(OR(AND(Default_Exchange="ALL",NOT(ISERROR(MATCH($C400,$AF$6:$AF$37,0)))),$C400=Default_Exchange),IF($G400&gt;0,-LGD,0),0),IF(OR($J400="SWAP",$J400="FUTURE",$J400="CME FUTURE"),IF('Futures &amp; Perps Shifted'!$AE$31,VLOOKUP($M400,'Futures &amp; Perps Shifted'!$AE$32:$AO$76,MATCH($R400,'Futures &amp; Perps Shifted'!$AE$30:$AO$30,0),FALSE),0),0)))</f>
        <v>0</v>
      </c>
      <c r="X400" s="17">
        <f t="shared" si="90"/>
        <v>0</v>
      </c>
      <c r="Y400" s="14" t="str">
        <f t="shared" si="80"/>
        <v>WOOX</v>
      </c>
      <c r="Z400" t="str">
        <f t="shared" si="91"/>
        <v>WOO COIN LONG</v>
      </c>
      <c r="AA400" t="b">
        <f>IF($C400="","",IF(ISERROR(VLOOKUP($Y400,Mappings!$A:$C,3,FALSE)),FALSE,VLOOKUP($Y400,Mappings!$A:$C,3,FALSE)))</f>
        <v>1</v>
      </c>
    </row>
    <row r="401" spans="1:27" customFormat="1" x14ac:dyDescent="0.25">
      <c r="A401" s="14">
        <v>399</v>
      </c>
      <c r="B401" s="71">
        <v>44938.983087002314</v>
      </c>
      <c r="C401" s="14" t="s">
        <v>186</v>
      </c>
      <c r="D401" s="23" t="s">
        <v>186</v>
      </c>
      <c r="E401" s="23" t="s">
        <v>116</v>
      </c>
      <c r="F401" s="101">
        <v>1.34894162</v>
      </c>
      <c r="G401" s="153">
        <v>91.5407114475789</v>
      </c>
      <c r="H401" s="157">
        <v>67.861136531304297</v>
      </c>
      <c r="I401" s="23">
        <v>0</v>
      </c>
      <c r="J401" s="23" t="s">
        <v>85</v>
      </c>
      <c r="K401" s="24">
        <v>44938.983087002314</v>
      </c>
      <c r="L401" s="23">
        <v>1</v>
      </c>
      <c r="M401" s="23" t="s">
        <v>116</v>
      </c>
      <c r="N401" s="45">
        <f t="shared" si="82"/>
        <v>1</v>
      </c>
      <c r="O401" s="159">
        <f t="shared" si="83"/>
        <v>1.34894162</v>
      </c>
      <c r="P401" s="47">
        <f t="shared" si="84"/>
        <v>91.540711447578801</v>
      </c>
      <c r="Q401" s="25">
        <f t="shared" si="85"/>
        <v>0</v>
      </c>
      <c r="R401" s="26" t="str">
        <f t="shared" si="86"/>
        <v>COIN</v>
      </c>
      <c r="S401" s="26" t="str">
        <f t="shared" si="81"/>
        <v>LONG</v>
      </c>
      <c r="T401" s="26" t="str">
        <f t="shared" si="87"/>
        <v>COIN LONG</v>
      </c>
      <c r="U401" s="17">
        <f t="shared" si="88"/>
        <v>91.5407114475789</v>
      </c>
      <c r="V401" s="17">
        <f t="shared" si="89"/>
        <v>67.861136531304297</v>
      </c>
      <c r="W401" s="39">
        <f>IF($C401="","",IF(DefaultScenario,IF(OR(AND(Default_Exchange="ALL",NOT(ISERROR(MATCH($C401,$AF$6:$AF$37,0)))),$C401=Default_Exchange),IF($G401&gt;0,-LGD,0),0),IF(OR($J401="SWAP",$J401="FUTURE",$J401="CME FUTURE"),IF('Futures &amp; Perps Shifted'!$AE$31,VLOOKUP($M401,'Futures &amp; Perps Shifted'!$AE$32:$AO$76,MATCH($R401,'Futures &amp; Perps Shifted'!$AE$30:$AO$30,0),FALSE),0),0)))</f>
        <v>0</v>
      </c>
      <c r="X401" s="17">
        <f t="shared" si="90"/>
        <v>0</v>
      </c>
      <c r="Y401" s="14" t="str">
        <f t="shared" si="80"/>
        <v>FBLK</v>
      </c>
      <c r="Z401" t="str">
        <f t="shared" si="91"/>
        <v>AAVE COIN LONG</v>
      </c>
      <c r="AA401" t="b">
        <f>IF($C401="","",IF(ISERROR(VLOOKUP($Y401,Mappings!$A:$C,3,FALSE)),FALSE,VLOOKUP($Y401,Mappings!$A:$C,3,FALSE)))</f>
        <v>0</v>
      </c>
    </row>
    <row r="402" spans="1:27" customFormat="1" x14ac:dyDescent="0.25">
      <c r="A402" s="14">
        <v>400</v>
      </c>
      <c r="B402" s="71">
        <v>44938.983087002314</v>
      </c>
      <c r="C402" s="14" t="s">
        <v>186</v>
      </c>
      <c r="D402" s="23" t="s">
        <v>186</v>
      </c>
      <c r="E402" s="23" t="s">
        <v>84</v>
      </c>
      <c r="F402" s="101">
        <v>559</v>
      </c>
      <c r="G402" s="153">
        <v>184.33498738154699</v>
      </c>
      <c r="H402" s="157">
        <v>0.329758474743375</v>
      </c>
      <c r="I402" s="23">
        <v>0</v>
      </c>
      <c r="J402" s="23" t="s">
        <v>85</v>
      </c>
      <c r="K402" s="24">
        <v>44938.983087002314</v>
      </c>
      <c r="L402" s="23">
        <v>1</v>
      </c>
      <c r="M402" s="23" t="s">
        <v>84</v>
      </c>
      <c r="N402" s="45">
        <f t="shared" si="82"/>
        <v>1</v>
      </c>
      <c r="O402" s="159">
        <f t="shared" si="83"/>
        <v>559</v>
      </c>
      <c r="P402" s="47">
        <f t="shared" si="84"/>
        <v>184.33498738154663</v>
      </c>
      <c r="Q402" s="25">
        <f t="shared" si="85"/>
        <v>0</v>
      </c>
      <c r="R402" s="26" t="str">
        <f t="shared" si="86"/>
        <v>COIN</v>
      </c>
      <c r="S402" s="26" t="str">
        <f t="shared" si="81"/>
        <v>LONG</v>
      </c>
      <c r="T402" s="26" t="str">
        <f t="shared" si="87"/>
        <v>COIN LONG</v>
      </c>
      <c r="U402" s="17">
        <f t="shared" si="88"/>
        <v>184.33498738154699</v>
      </c>
      <c r="V402" s="17">
        <f t="shared" si="89"/>
        <v>0.329758474743375</v>
      </c>
      <c r="W402" s="39">
        <f>IF($C402="","",IF(DefaultScenario,IF(OR(AND(Default_Exchange="ALL",NOT(ISERROR(MATCH($C402,$AF$6:$AF$37,0)))),$C402=Default_Exchange),IF($G402&gt;0,-LGD,0),0),IF(OR($J402="SWAP",$J402="FUTURE",$J402="CME FUTURE"),IF('Futures &amp; Perps Shifted'!$AE$31,VLOOKUP($M402,'Futures &amp; Perps Shifted'!$AE$32:$AO$76,MATCH($R402,'Futures &amp; Perps Shifted'!$AE$30:$AO$30,0),FALSE),0),0)))</f>
        <v>0</v>
      </c>
      <c r="X402" s="17">
        <f t="shared" si="90"/>
        <v>0</v>
      </c>
      <c r="Y402" s="14" t="str">
        <f t="shared" si="80"/>
        <v>FBLK</v>
      </c>
      <c r="Z402" t="str">
        <f t="shared" si="91"/>
        <v>ADA COIN LONG</v>
      </c>
      <c r="AA402" t="b">
        <f>IF($C402="","",IF(ISERROR(VLOOKUP($Y402,Mappings!$A:$C,3,FALSE)),FALSE,VLOOKUP($Y402,Mappings!$A:$C,3,FALSE)))</f>
        <v>0</v>
      </c>
    </row>
    <row r="403" spans="1:27" customFormat="1" x14ac:dyDescent="0.25">
      <c r="A403" s="14">
        <v>401</v>
      </c>
      <c r="B403" s="71">
        <v>44938.983087002314</v>
      </c>
      <c r="C403" s="14" t="s">
        <v>186</v>
      </c>
      <c r="D403" s="23" t="s">
        <v>186</v>
      </c>
      <c r="E403" s="23" t="s">
        <v>122</v>
      </c>
      <c r="F403" s="101">
        <v>116.66666600000001</v>
      </c>
      <c r="G403" s="153">
        <v>24.794757208932801</v>
      </c>
      <c r="H403" s="157">
        <v>0.21252649157671899</v>
      </c>
      <c r="I403" s="23">
        <v>0</v>
      </c>
      <c r="J403" s="23" t="s">
        <v>85</v>
      </c>
      <c r="K403" s="24">
        <v>44938.983087002314</v>
      </c>
      <c r="L403" s="23">
        <v>1</v>
      </c>
      <c r="M403" s="23" t="s">
        <v>122</v>
      </c>
      <c r="N403" s="45">
        <f t="shared" si="82"/>
        <v>1</v>
      </c>
      <c r="O403" s="159">
        <f t="shared" si="83"/>
        <v>116.66666600000001</v>
      </c>
      <c r="P403" s="47">
        <f t="shared" si="84"/>
        <v>24.794757208932889</v>
      </c>
      <c r="Q403" s="25">
        <f t="shared" si="85"/>
        <v>0</v>
      </c>
      <c r="R403" s="26" t="str">
        <f t="shared" si="86"/>
        <v>COIN</v>
      </c>
      <c r="S403" s="26" t="str">
        <f t="shared" si="81"/>
        <v>LONG</v>
      </c>
      <c r="T403" s="26" t="str">
        <f t="shared" si="87"/>
        <v>COIN LONG</v>
      </c>
      <c r="U403" s="17">
        <f t="shared" si="88"/>
        <v>24.794757208932801</v>
      </c>
      <c r="V403" s="17">
        <f t="shared" si="89"/>
        <v>0.21252649157671899</v>
      </c>
      <c r="W403" s="39">
        <f>IF($C403="","",IF(DefaultScenario,IF(OR(AND(Default_Exchange="ALL",NOT(ISERROR(MATCH($C403,$AF$6:$AF$37,0)))),$C403=Default_Exchange),IF($G403&gt;0,-LGD,0),0),IF(OR($J403="SWAP",$J403="FUTURE",$J403="CME FUTURE"),IF('Futures &amp; Perps Shifted'!$AE$31,VLOOKUP($M403,'Futures &amp; Perps Shifted'!$AE$32:$AO$76,MATCH($R403,'Futures &amp; Perps Shifted'!$AE$30:$AO$30,0),FALSE),0),0)))</f>
        <v>0</v>
      </c>
      <c r="X403" s="17">
        <f t="shared" si="90"/>
        <v>0</v>
      </c>
      <c r="Y403" s="14" t="str">
        <f t="shared" si="80"/>
        <v>FBLK</v>
      </c>
      <c r="Z403" t="str">
        <f t="shared" si="91"/>
        <v>ALGO COIN LONG</v>
      </c>
      <c r="AA403" t="b">
        <f>IF($C403="","",IF(ISERROR(VLOOKUP($Y403,Mappings!$A:$C,3,FALSE)),FALSE,VLOOKUP($Y403,Mappings!$A:$C,3,FALSE)))</f>
        <v>0</v>
      </c>
    </row>
    <row r="404" spans="1:27" customFormat="1" x14ac:dyDescent="0.25">
      <c r="A404" s="14">
        <v>402</v>
      </c>
      <c r="B404" s="71">
        <v>44938.983087002314</v>
      </c>
      <c r="C404" s="14" t="s">
        <v>186</v>
      </c>
      <c r="D404" s="23" t="s">
        <v>186</v>
      </c>
      <c r="E404" s="23" t="s">
        <v>187</v>
      </c>
      <c r="F404" s="101">
        <v>170.43333855999899</v>
      </c>
      <c r="G404" s="153">
        <v>2634.4478100657702</v>
      </c>
      <c r="H404" s="157">
        <v>15.4573502597811</v>
      </c>
      <c r="I404" s="23">
        <v>0</v>
      </c>
      <c r="J404" s="23" t="s">
        <v>85</v>
      </c>
      <c r="K404" s="24">
        <v>44938.983087002314</v>
      </c>
      <c r="L404" s="23">
        <v>1</v>
      </c>
      <c r="M404" s="23" t="s">
        <v>187</v>
      </c>
      <c r="N404" s="45">
        <f t="shared" si="82"/>
        <v>1</v>
      </c>
      <c r="O404" s="159">
        <f t="shared" si="83"/>
        <v>170.43333855999899</v>
      </c>
      <c r="P404" s="47">
        <f t="shared" si="84"/>
        <v>2634.4478100657602</v>
      </c>
      <c r="Q404" s="25">
        <f t="shared" si="85"/>
        <v>0</v>
      </c>
      <c r="R404" s="26" t="str">
        <f t="shared" si="86"/>
        <v>COIN</v>
      </c>
      <c r="S404" s="26" t="str">
        <f t="shared" si="81"/>
        <v>LONG</v>
      </c>
      <c r="T404" s="26" t="str">
        <f t="shared" si="87"/>
        <v>COIN LONG</v>
      </c>
      <c r="U404" s="17">
        <f t="shared" si="88"/>
        <v>2634.4478100657702</v>
      </c>
      <c r="V404" s="17">
        <f t="shared" si="89"/>
        <v>15.4573502597811</v>
      </c>
      <c r="W404" s="39">
        <f>IF($C404="","",IF(DefaultScenario,IF(OR(AND(Default_Exchange="ALL",NOT(ISERROR(MATCH($C404,$AF$6:$AF$37,0)))),$C404=Default_Exchange),IF($G404&gt;0,-LGD,0),0),IF(OR($J404="SWAP",$J404="FUTURE",$J404="CME FUTURE"),IF('Futures &amp; Perps Shifted'!$AE$31,VLOOKUP($M404,'Futures &amp; Perps Shifted'!$AE$32:$AO$76,MATCH($R404,'Futures &amp; Perps Shifted'!$AE$30:$AO$30,0),FALSE),0),0)))</f>
        <v>0</v>
      </c>
      <c r="X404" s="17">
        <f t="shared" si="90"/>
        <v>0</v>
      </c>
      <c r="Y404" s="14" t="str">
        <f t="shared" si="80"/>
        <v>FBLK</v>
      </c>
      <c r="Z404" t="str">
        <f t="shared" si="91"/>
        <v>AVAX COIN LONG</v>
      </c>
      <c r="AA404" t="b">
        <f>IF($C404="","",IF(ISERROR(VLOOKUP($Y404,Mappings!$A:$C,3,FALSE)),FALSE,VLOOKUP($Y404,Mappings!$A:$C,3,FALSE)))</f>
        <v>0</v>
      </c>
    </row>
    <row r="405" spans="1:27" customFormat="1" x14ac:dyDescent="0.25">
      <c r="A405" s="14">
        <v>403</v>
      </c>
      <c r="B405" s="71">
        <v>44938.983087002314</v>
      </c>
      <c r="C405" s="14" t="s">
        <v>186</v>
      </c>
      <c r="D405" s="23" t="s">
        <v>186</v>
      </c>
      <c r="E405" s="23" t="s">
        <v>124</v>
      </c>
      <c r="F405" s="101">
        <v>333.33333333000002</v>
      </c>
      <c r="G405" s="153">
        <v>68.258005063265003</v>
      </c>
      <c r="H405" s="157">
        <v>0.20477401519184199</v>
      </c>
      <c r="I405" s="23">
        <v>0</v>
      </c>
      <c r="J405" s="23" t="s">
        <v>85</v>
      </c>
      <c r="K405" s="24">
        <v>44938.983087002314</v>
      </c>
      <c r="L405" s="23">
        <v>1</v>
      </c>
      <c r="M405" s="23" t="s">
        <v>124</v>
      </c>
      <c r="N405" s="45">
        <f t="shared" si="82"/>
        <v>1</v>
      </c>
      <c r="O405" s="159">
        <f t="shared" si="83"/>
        <v>333.33333333000002</v>
      </c>
      <c r="P405" s="47">
        <f t="shared" si="84"/>
        <v>68.258005063264747</v>
      </c>
      <c r="Q405" s="25">
        <f t="shared" si="85"/>
        <v>0</v>
      </c>
      <c r="R405" s="26" t="str">
        <f t="shared" si="86"/>
        <v>COIN</v>
      </c>
      <c r="S405" s="26" t="str">
        <f t="shared" si="81"/>
        <v>LONG</v>
      </c>
      <c r="T405" s="26" t="str">
        <f t="shared" si="87"/>
        <v>COIN LONG</v>
      </c>
      <c r="U405" s="17">
        <f t="shared" si="88"/>
        <v>68.258005063265003</v>
      </c>
      <c r="V405" s="17">
        <f t="shared" si="89"/>
        <v>0.20477401519184199</v>
      </c>
      <c r="W405" s="39">
        <f>IF($C405="","",IF(DefaultScenario,IF(OR(AND(Default_Exchange="ALL",NOT(ISERROR(MATCH($C405,$AF$6:$AF$37,0)))),$C405=Default_Exchange),IF($G405&gt;0,-LGD,0),0),IF(OR($J405="SWAP",$J405="FUTURE",$J405="CME FUTURE"),IF('Futures &amp; Perps Shifted'!$AE$31,VLOOKUP($M405,'Futures &amp; Perps Shifted'!$AE$32:$AO$76,MATCH($R405,'Futures &amp; Perps Shifted'!$AE$30:$AO$30,0),FALSE),0),0)))</f>
        <v>0</v>
      </c>
      <c r="X405" s="17">
        <f t="shared" si="90"/>
        <v>0</v>
      </c>
      <c r="Y405" s="14" t="str">
        <f t="shared" si="80"/>
        <v>FBLK</v>
      </c>
      <c r="Z405" t="str">
        <f t="shared" si="91"/>
        <v>BAT COIN LONG</v>
      </c>
      <c r="AA405" t="b">
        <f>IF($C405="","",IF(ISERROR(VLOOKUP($Y405,Mappings!$A:$C,3,FALSE)),FALSE,VLOOKUP($Y405,Mappings!$A:$C,3,FALSE)))</f>
        <v>0</v>
      </c>
    </row>
    <row r="406" spans="1:27" customFormat="1" x14ac:dyDescent="0.25">
      <c r="A406" s="14">
        <v>404</v>
      </c>
      <c r="B406" s="71">
        <v>44938.983087002314</v>
      </c>
      <c r="C406" s="14" t="s">
        <v>186</v>
      </c>
      <c r="D406" s="23" t="s">
        <v>186</v>
      </c>
      <c r="E406" s="23" t="s">
        <v>20</v>
      </c>
      <c r="F406" s="101">
        <v>5171.2119944799997</v>
      </c>
      <c r="G406" s="153">
        <v>619048.19835457695</v>
      </c>
      <c r="H406" s="157">
        <v>119.710466137412</v>
      </c>
      <c r="I406" s="23">
        <v>0</v>
      </c>
      <c r="J406" s="23" t="s">
        <v>85</v>
      </c>
      <c r="K406" s="24">
        <v>44938.983087002314</v>
      </c>
      <c r="L406" s="23">
        <v>1</v>
      </c>
      <c r="M406" s="23" t="s">
        <v>20</v>
      </c>
      <c r="N406" s="45">
        <f t="shared" si="82"/>
        <v>1</v>
      </c>
      <c r="O406" s="159">
        <f t="shared" si="83"/>
        <v>5171.2119944799997</v>
      </c>
      <c r="P406" s="47">
        <f t="shared" si="84"/>
        <v>619048.19835457671</v>
      </c>
      <c r="Q406" s="25">
        <f t="shared" si="85"/>
        <v>0</v>
      </c>
      <c r="R406" s="26" t="str">
        <f t="shared" si="86"/>
        <v>COIN</v>
      </c>
      <c r="S406" s="26" t="str">
        <f t="shared" si="81"/>
        <v>LONG</v>
      </c>
      <c r="T406" s="26" t="str">
        <f t="shared" si="87"/>
        <v>COIN LONG</v>
      </c>
      <c r="U406" s="17">
        <f t="shared" si="88"/>
        <v>619048.19835457695</v>
      </c>
      <c r="V406" s="17">
        <f t="shared" si="89"/>
        <v>119.710466137412</v>
      </c>
      <c r="W406" s="39">
        <f>IF($C406="","",IF(DefaultScenario,IF(OR(AND(Default_Exchange="ALL",NOT(ISERROR(MATCH($C406,$AF$6:$AF$37,0)))),$C406=Default_Exchange),IF($G406&gt;0,-LGD,0),0),IF(OR($J406="SWAP",$J406="FUTURE",$J406="CME FUTURE"),IF('Futures &amp; Perps Shifted'!$AE$31,VLOOKUP($M406,'Futures &amp; Perps Shifted'!$AE$32:$AO$76,MATCH($R406,'Futures &amp; Perps Shifted'!$AE$30:$AO$30,0),FALSE),0),0)))</f>
        <v>0</v>
      </c>
      <c r="X406" s="17">
        <f t="shared" si="90"/>
        <v>0</v>
      </c>
      <c r="Y406" s="14" t="str">
        <f t="shared" si="80"/>
        <v>FBLK</v>
      </c>
      <c r="Z406" t="str">
        <f t="shared" si="91"/>
        <v>BCH COIN LONG</v>
      </c>
      <c r="AA406" t="b">
        <f>IF($C406="","",IF(ISERROR(VLOOKUP($Y406,Mappings!$A:$C,3,FALSE)),FALSE,VLOOKUP($Y406,Mappings!$A:$C,3,FALSE)))</f>
        <v>0</v>
      </c>
    </row>
    <row r="407" spans="1:27" customFormat="1" x14ac:dyDescent="0.25">
      <c r="A407" s="14">
        <v>405</v>
      </c>
      <c r="B407" s="71">
        <v>44938.983087002314</v>
      </c>
      <c r="C407" s="14" t="s">
        <v>186</v>
      </c>
      <c r="D407" s="23" t="s">
        <v>186</v>
      </c>
      <c r="E407" s="23" t="s">
        <v>87</v>
      </c>
      <c r="F407" s="101">
        <v>1.7652E-4</v>
      </c>
      <c r="G407" s="153">
        <v>5.0804633608003198E-2</v>
      </c>
      <c r="H407" s="157">
        <v>287.81233632451398</v>
      </c>
      <c r="I407" s="23">
        <v>0</v>
      </c>
      <c r="J407" s="23" t="s">
        <v>85</v>
      </c>
      <c r="K407" s="24">
        <v>44938.983087002314</v>
      </c>
      <c r="L407" s="23">
        <v>1</v>
      </c>
      <c r="M407" s="23" t="s">
        <v>87</v>
      </c>
      <c r="N407" s="45">
        <f t="shared" si="82"/>
        <v>1</v>
      </c>
      <c r="O407" s="159">
        <f t="shared" si="83"/>
        <v>1.7652E-4</v>
      </c>
      <c r="P407" s="47">
        <f t="shared" si="84"/>
        <v>5.0804633608003205E-2</v>
      </c>
      <c r="Q407" s="25">
        <f t="shared" si="85"/>
        <v>0</v>
      </c>
      <c r="R407" s="26" t="str">
        <f t="shared" si="86"/>
        <v>COIN</v>
      </c>
      <c r="S407" s="26" t="str">
        <f t="shared" si="81"/>
        <v>LONG</v>
      </c>
      <c r="T407" s="26" t="str">
        <f t="shared" si="87"/>
        <v>COIN LONG</v>
      </c>
      <c r="U407" s="17">
        <f t="shared" si="88"/>
        <v>5.0804633608003198E-2</v>
      </c>
      <c r="V407" s="17">
        <f t="shared" si="89"/>
        <v>287.81233632451398</v>
      </c>
      <c r="W407" s="39">
        <f>IF($C407="","",IF(DefaultScenario,IF(OR(AND(Default_Exchange="ALL",NOT(ISERROR(MATCH($C407,$AF$6:$AF$37,0)))),$C407=Default_Exchange),IF($G407&gt;0,-LGD,0),0),IF(OR($J407="SWAP",$J407="FUTURE",$J407="CME FUTURE"),IF('Futures &amp; Perps Shifted'!$AE$31,VLOOKUP($M407,'Futures &amp; Perps Shifted'!$AE$32:$AO$76,MATCH($R407,'Futures &amp; Perps Shifted'!$AE$30:$AO$30,0),FALSE),0),0)))</f>
        <v>0</v>
      </c>
      <c r="X407" s="17">
        <f t="shared" si="90"/>
        <v>0</v>
      </c>
      <c r="Y407" s="14" t="str">
        <f t="shared" si="80"/>
        <v>FBLK</v>
      </c>
      <c r="Z407" t="str">
        <f t="shared" si="91"/>
        <v>BNB COIN LONG</v>
      </c>
      <c r="AA407" t="b">
        <f>IF($C407="","",IF(ISERROR(VLOOKUP($Y407,Mappings!$A:$C,3,FALSE)),FALSE,VLOOKUP($Y407,Mappings!$A:$C,3,FALSE)))</f>
        <v>0</v>
      </c>
    </row>
    <row r="408" spans="1:27" customFormat="1" x14ac:dyDescent="0.25">
      <c r="A408" s="14">
        <v>406</v>
      </c>
      <c r="B408" s="71">
        <v>44938.983087002314</v>
      </c>
      <c r="C408" s="14" t="s">
        <v>186</v>
      </c>
      <c r="D408" s="23" t="s">
        <v>186</v>
      </c>
      <c r="E408" s="23" t="s">
        <v>14</v>
      </c>
      <c r="F408" s="101">
        <v>135.14263080000001</v>
      </c>
      <c r="G408" s="153">
        <v>2550085.7719008401</v>
      </c>
      <c r="H408" s="157">
        <v>18869.5880552655</v>
      </c>
      <c r="I408" s="23">
        <v>0</v>
      </c>
      <c r="J408" s="23" t="s">
        <v>85</v>
      </c>
      <c r="K408" s="24">
        <v>44938.983087002314</v>
      </c>
      <c r="L408" s="23">
        <v>1</v>
      </c>
      <c r="M408" s="23" t="s">
        <v>14</v>
      </c>
      <c r="N408" s="45">
        <f t="shared" si="82"/>
        <v>1</v>
      </c>
      <c r="O408" s="159">
        <f t="shared" si="83"/>
        <v>135.14263080000001</v>
      </c>
      <c r="P408" s="47">
        <f t="shared" si="84"/>
        <v>2550085.7719008354</v>
      </c>
      <c r="Q408" s="25">
        <f t="shared" si="85"/>
        <v>0</v>
      </c>
      <c r="R408" s="26" t="str">
        <f t="shared" si="86"/>
        <v>COIN</v>
      </c>
      <c r="S408" s="26" t="str">
        <f t="shared" si="81"/>
        <v>LONG</v>
      </c>
      <c r="T408" s="26" t="str">
        <f t="shared" si="87"/>
        <v>COIN LONG</v>
      </c>
      <c r="U408" s="17">
        <f t="shared" si="88"/>
        <v>2550085.7719008401</v>
      </c>
      <c r="V408" s="17">
        <f t="shared" si="89"/>
        <v>18869.5880552655</v>
      </c>
      <c r="W408" s="39">
        <f>IF($C408="","",IF(DefaultScenario,IF(OR(AND(Default_Exchange="ALL",NOT(ISERROR(MATCH($C408,$AF$6:$AF$37,0)))),$C408=Default_Exchange),IF($G408&gt;0,-LGD,0),0),IF(OR($J408="SWAP",$J408="FUTURE",$J408="CME FUTURE"),IF('Futures &amp; Perps Shifted'!$AE$31,VLOOKUP($M408,'Futures &amp; Perps Shifted'!$AE$32:$AO$76,MATCH($R408,'Futures &amp; Perps Shifted'!$AE$30:$AO$30,0),FALSE),0),0)))</f>
        <v>0</v>
      </c>
      <c r="X408" s="17">
        <f t="shared" si="90"/>
        <v>0</v>
      </c>
      <c r="Y408" s="14" t="str">
        <f t="shared" si="80"/>
        <v>FBLK</v>
      </c>
      <c r="Z408" t="str">
        <f t="shared" si="91"/>
        <v>BTC COIN LONG</v>
      </c>
      <c r="AA408" t="b">
        <f>IF($C408="","",IF(ISERROR(VLOOKUP($Y408,Mappings!$A:$C,3,FALSE)),FALSE,VLOOKUP($Y408,Mappings!$A:$C,3,FALSE)))</f>
        <v>0</v>
      </c>
    </row>
    <row r="409" spans="1:27" customFormat="1" x14ac:dyDescent="0.25">
      <c r="A409" s="14">
        <v>407</v>
      </c>
      <c r="B409" s="71">
        <v>44938.983087002314</v>
      </c>
      <c r="C409" s="14" t="s">
        <v>186</v>
      </c>
      <c r="D409" s="23" t="s">
        <v>186</v>
      </c>
      <c r="E409" s="23" t="s">
        <v>31</v>
      </c>
      <c r="F409" s="101">
        <v>2921.9333411799998</v>
      </c>
      <c r="G409" s="153">
        <v>110175.64054287699</v>
      </c>
      <c r="H409" s="157">
        <v>37.706418209521303</v>
      </c>
      <c r="I409" s="23">
        <v>0</v>
      </c>
      <c r="J409" s="23" t="s">
        <v>85</v>
      </c>
      <c r="K409" s="24">
        <v>44938.983087002314</v>
      </c>
      <c r="L409" s="23">
        <v>1</v>
      </c>
      <c r="M409" s="23" t="s">
        <v>31</v>
      </c>
      <c r="N409" s="45">
        <f t="shared" si="82"/>
        <v>1</v>
      </c>
      <c r="O409" s="159">
        <f t="shared" si="83"/>
        <v>2921.9333411799998</v>
      </c>
      <c r="P409" s="47">
        <f t="shared" si="84"/>
        <v>110175.64054287696</v>
      </c>
      <c r="Q409" s="25">
        <f t="shared" si="85"/>
        <v>0</v>
      </c>
      <c r="R409" s="26" t="str">
        <f t="shared" si="86"/>
        <v>COIN</v>
      </c>
      <c r="S409" s="26" t="str">
        <f t="shared" si="81"/>
        <v>LONG</v>
      </c>
      <c r="T409" s="26" t="str">
        <f t="shared" si="87"/>
        <v>COIN LONG</v>
      </c>
      <c r="U409" s="17">
        <f t="shared" si="88"/>
        <v>110175.64054287699</v>
      </c>
      <c r="V409" s="17">
        <f t="shared" si="89"/>
        <v>37.706418209521303</v>
      </c>
      <c r="W409" s="39">
        <f>IF($C409="","",IF(DefaultScenario,IF(OR(AND(Default_Exchange="ALL",NOT(ISERROR(MATCH($C409,$AF$6:$AF$37,0)))),$C409=Default_Exchange),IF($G409&gt;0,-LGD,0),0),IF(OR($J409="SWAP",$J409="FUTURE",$J409="CME FUTURE"),IF('Futures &amp; Perps Shifted'!$AE$31,VLOOKUP($M409,'Futures &amp; Perps Shifted'!$AE$32:$AO$76,MATCH($R409,'Futures &amp; Perps Shifted'!$AE$30:$AO$30,0),FALSE),0),0)))</f>
        <v>0</v>
      </c>
      <c r="X409" s="17">
        <f t="shared" si="90"/>
        <v>0</v>
      </c>
      <c r="Y409" s="14" t="str">
        <f t="shared" si="80"/>
        <v>FBLK</v>
      </c>
      <c r="Z409" t="str">
        <f t="shared" si="91"/>
        <v>COMP COIN LONG</v>
      </c>
      <c r="AA409" t="b">
        <f>IF($C409="","",IF(ISERROR(VLOOKUP($Y409,Mappings!$A:$C,3,FALSE)),FALSE,VLOOKUP($Y409,Mappings!$A:$C,3,FALSE)))</f>
        <v>0</v>
      </c>
    </row>
    <row r="410" spans="1:27" customFormat="1" x14ac:dyDescent="0.25">
      <c r="A410" s="14">
        <v>408</v>
      </c>
      <c r="B410" s="71">
        <v>44938.983087002314</v>
      </c>
      <c r="C410" s="14" t="s">
        <v>186</v>
      </c>
      <c r="D410" s="23" t="s">
        <v>186</v>
      </c>
      <c r="E410" s="23" t="s">
        <v>132</v>
      </c>
      <c r="F410" s="101">
        <v>2.9907231299999899</v>
      </c>
      <c r="G410" s="153">
        <v>147.61158764267699</v>
      </c>
      <c r="H410" s="157">
        <v>49.356487119112799</v>
      </c>
      <c r="I410" s="23">
        <v>0</v>
      </c>
      <c r="J410" s="23" t="s">
        <v>85</v>
      </c>
      <c r="K410" s="24">
        <v>44938.983087002314</v>
      </c>
      <c r="L410" s="23">
        <v>1</v>
      </c>
      <c r="M410" s="23" t="s">
        <v>132</v>
      </c>
      <c r="N410" s="45">
        <f t="shared" si="82"/>
        <v>1</v>
      </c>
      <c r="O410" s="159">
        <f t="shared" si="83"/>
        <v>2.9907231299999899</v>
      </c>
      <c r="P410" s="47">
        <f t="shared" si="84"/>
        <v>147.61158764267722</v>
      </c>
      <c r="Q410" s="25">
        <f t="shared" si="85"/>
        <v>0</v>
      </c>
      <c r="R410" s="26" t="str">
        <f t="shared" si="86"/>
        <v>COIN</v>
      </c>
      <c r="S410" s="26" t="str">
        <f t="shared" si="81"/>
        <v>LONG</v>
      </c>
      <c r="T410" s="26" t="str">
        <f t="shared" si="87"/>
        <v>COIN LONG</v>
      </c>
      <c r="U410" s="17">
        <f t="shared" si="88"/>
        <v>147.61158764267699</v>
      </c>
      <c r="V410" s="17">
        <f t="shared" si="89"/>
        <v>49.356487119112799</v>
      </c>
      <c r="W410" s="39">
        <f>IF($C410="","",IF(DefaultScenario,IF(OR(AND(Default_Exchange="ALL",NOT(ISERROR(MATCH($C410,$AF$6:$AF$37,0)))),$C410=Default_Exchange),IF($G410&gt;0,-LGD,0),0),IF(OR($J410="SWAP",$J410="FUTURE",$J410="CME FUTURE"),IF('Futures &amp; Perps Shifted'!$AE$31,VLOOKUP($M410,'Futures &amp; Perps Shifted'!$AE$32:$AO$76,MATCH($R410,'Futures &amp; Perps Shifted'!$AE$30:$AO$30,0),FALSE),0),0)))</f>
        <v>0</v>
      </c>
      <c r="X410" s="17">
        <f t="shared" si="90"/>
        <v>0</v>
      </c>
      <c r="Y410" s="14" t="str">
        <f t="shared" si="80"/>
        <v>FBLK</v>
      </c>
      <c r="Z410" t="str">
        <f t="shared" si="91"/>
        <v>DASH COIN LONG</v>
      </c>
      <c r="AA410" t="b">
        <f>IF($C410="","",IF(ISERROR(VLOOKUP($Y410,Mappings!$A:$C,3,FALSE)),FALSE,VLOOKUP($Y410,Mappings!$A:$C,3,FALSE)))</f>
        <v>0</v>
      </c>
    </row>
    <row r="411" spans="1:27" customFormat="1" x14ac:dyDescent="0.25">
      <c r="A411" s="14">
        <v>409</v>
      </c>
      <c r="B411" s="71">
        <v>44938.983087002314</v>
      </c>
      <c r="C411" s="14" t="s">
        <v>186</v>
      </c>
      <c r="D411" s="23" t="s">
        <v>186</v>
      </c>
      <c r="E411" s="23" t="s">
        <v>190</v>
      </c>
      <c r="F411" s="101">
        <v>2000</v>
      </c>
      <c r="G411" s="153">
        <v>160.571472005229</v>
      </c>
      <c r="H411" s="157">
        <v>8.0285736002614697E-2</v>
      </c>
      <c r="I411" s="23">
        <v>0</v>
      </c>
      <c r="J411" s="23" t="s">
        <v>85</v>
      </c>
      <c r="K411" s="24">
        <v>44938.983087002314</v>
      </c>
      <c r="L411" s="23">
        <v>1</v>
      </c>
      <c r="M411" s="23" t="s">
        <v>190</v>
      </c>
      <c r="N411" s="45">
        <f t="shared" si="82"/>
        <v>1</v>
      </c>
      <c r="O411" s="159">
        <f t="shared" si="83"/>
        <v>2000</v>
      </c>
      <c r="P411" s="47">
        <f t="shared" si="84"/>
        <v>160.5714720052294</v>
      </c>
      <c r="Q411" s="25">
        <f t="shared" si="85"/>
        <v>0</v>
      </c>
      <c r="R411" s="26" t="str">
        <f t="shared" si="86"/>
        <v>COIN</v>
      </c>
      <c r="S411" s="26" t="str">
        <f t="shared" si="81"/>
        <v>LONG</v>
      </c>
      <c r="T411" s="26" t="str">
        <f t="shared" si="87"/>
        <v>COIN LONG</v>
      </c>
      <c r="U411" s="17">
        <f t="shared" si="88"/>
        <v>160.571472005229</v>
      </c>
      <c r="V411" s="17">
        <f t="shared" si="89"/>
        <v>8.0285736002614697E-2</v>
      </c>
      <c r="W411" s="39">
        <f>IF($C411="","",IF(DefaultScenario,IF(OR(AND(Default_Exchange="ALL",NOT(ISERROR(MATCH($C411,$AF$6:$AF$37,0)))),$C411=Default_Exchange),IF($G411&gt;0,-LGD,0),0),IF(OR($J411="SWAP",$J411="FUTURE",$J411="CME FUTURE"),IF('Futures &amp; Perps Shifted'!$AE$31,VLOOKUP($M411,'Futures &amp; Perps Shifted'!$AE$32:$AO$76,MATCH($R411,'Futures &amp; Perps Shifted'!$AE$30:$AO$30,0),FALSE),0),0)))</f>
        <v>0</v>
      </c>
      <c r="X411" s="17">
        <f t="shared" si="90"/>
        <v>0</v>
      </c>
      <c r="Y411" s="14" t="str">
        <f t="shared" si="80"/>
        <v>FBLK</v>
      </c>
      <c r="Z411" t="str">
        <f t="shared" si="91"/>
        <v>DOGE COIN LONG</v>
      </c>
      <c r="AA411" t="b">
        <f>IF($C411="","",IF(ISERROR(VLOOKUP($Y411,Mappings!$A:$C,3,FALSE)),FALSE,VLOOKUP($Y411,Mappings!$A:$C,3,FALSE)))</f>
        <v>0</v>
      </c>
    </row>
    <row r="412" spans="1:27" customFormat="1" x14ac:dyDescent="0.25">
      <c r="A412" s="14">
        <v>410</v>
      </c>
      <c r="B412" s="71">
        <v>44938.983087002314</v>
      </c>
      <c r="C412" s="14" t="s">
        <v>186</v>
      </c>
      <c r="D412" s="23" t="s">
        <v>186</v>
      </c>
      <c r="E412" s="23" t="s">
        <v>22</v>
      </c>
      <c r="F412" s="101">
        <v>322.31185354000002</v>
      </c>
      <c r="G412" s="153">
        <v>1685.5227275894799</v>
      </c>
      <c r="H412" s="157">
        <v>5.2294779390740098</v>
      </c>
      <c r="I412" s="23">
        <v>0</v>
      </c>
      <c r="J412" s="23" t="s">
        <v>85</v>
      </c>
      <c r="K412" s="24">
        <v>44938.983087002314</v>
      </c>
      <c r="L412" s="23">
        <v>1</v>
      </c>
      <c r="M412" s="23" t="s">
        <v>22</v>
      </c>
      <c r="N412" s="45">
        <f t="shared" si="82"/>
        <v>1</v>
      </c>
      <c r="O412" s="159">
        <f t="shared" si="83"/>
        <v>322.31185354000002</v>
      </c>
      <c r="P412" s="47">
        <f t="shared" si="84"/>
        <v>1685.5227275894833</v>
      </c>
      <c r="Q412" s="25">
        <f t="shared" si="85"/>
        <v>0</v>
      </c>
      <c r="R412" s="26" t="str">
        <f t="shared" si="86"/>
        <v>COIN</v>
      </c>
      <c r="S412" s="26" t="str">
        <f t="shared" si="81"/>
        <v>LONG</v>
      </c>
      <c r="T412" s="26" t="str">
        <f t="shared" si="87"/>
        <v>COIN LONG</v>
      </c>
      <c r="U412" s="17">
        <f t="shared" si="88"/>
        <v>1685.5227275894799</v>
      </c>
      <c r="V412" s="17">
        <f t="shared" si="89"/>
        <v>5.2294779390740098</v>
      </c>
      <c r="W412" s="39">
        <f>IF($C412="","",IF(DefaultScenario,IF(OR(AND(Default_Exchange="ALL",NOT(ISERROR(MATCH($C412,$AF$6:$AF$37,0)))),$C412=Default_Exchange),IF($G412&gt;0,-LGD,0),0),IF(OR($J412="SWAP",$J412="FUTURE",$J412="CME FUTURE"),IF('Futures &amp; Perps Shifted'!$AE$31,VLOOKUP($M412,'Futures &amp; Perps Shifted'!$AE$32:$AO$76,MATCH($R412,'Futures &amp; Perps Shifted'!$AE$30:$AO$30,0),FALSE),0),0)))</f>
        <v>0</v>
      </c>
      <c r="X412" s="17">
        <f t="shared" si="90"/>
        <v>0</v>
      </c>
      <c r="Y412" s="14" t="str">
        <f t="shared" si="80"/>
        <v>FBLK</v>
      </c>
      <c r="Z412" t="str">
        <f t="shared" si="91"/>
        <v>DOT COIN LONG</v>
      </c>
      <c r="AA412" t="b">
        <f>IF($C412="","",IF(ISERROR(VLOOKUP($Y412,Mappings!$A:$C,3,FALSE)),FALSE,VLOOKUP($Y412,Mappings!$A:$C,3,FALSE)))</f>
        <v>0</v>
      </c>
    </row>
    <row r="413" spans="1:27" customFormat="1" x14ac:dyDescent="0.25">
      <c r="A413" s="14">
        <v>411</v>
      </c>
      <c r="B413" s="71">
        <v>44938.983087002314</v>
      </c>
      <c r="C413" s="14" t="s">
        <v>186</v>
      </c>
      <c r="D413" s="23" t="s">
        <v>186</v>
      </c>
      <c r="E413" s="23" t="s">
        <v>28</v>
      </c>
      <c r="F413" s="101">
        <v>516.67744242000003</v>
      </c>
      <c r="G413" s="153">
        <v>157.11964629923699</v>
      </c>
      <c r="H413" s="157">
        <v>0.304096198903759</v>
      </c>
      <c r="I413" s="23">
        <v>0</v>
      </c>
      <c r="J413" s="23" t="s">
        <v>85</v>
      </c>
      <c r="K413" s="24">
        <v>44938.983087002314</v>
      </c>
      <c r="L413" s="23">
        <v>1</v>
      </c>
      <c r="M413" s="23" t="s">
        <v>28</v>
      </c>
      <c r="N413" s="45">
        <f t="shared" si="82"/>
        <v>1</v>
      </c>
      <c r="O413" s="159">
        <f t="shared" si="83"/>
        <v>516.67744242000003</v>
      </c>
      <c r="P413" s="47">
        <f t="shared" si="84"/>
        <v>157.11964629923781</v>
      </c>
      <c r="Q413" s="25">
        <f t="shared" si="85"/>
        <v>0</v>
      </c>
      <c r="R413" s="26" t="str">
        <f t="shared" si="86"/>
        <v>COIN</v>
      </c>
      <c r="S413" s="26" t="str">
        <f t="shared" si="81"/>
        <v>LONG</v>
      </c>
      <c r="T413" s="26" t="str">
        <f t="shared" si="87"/>
        <v>COIN LONG</v>
      </c>
      <c r="U413" s="17">
        <f t="shared" si="88"/>
        <v>157.11964629923699</v>
      </c>
      <c r="V413" s="17">
        <f t="shared" si="89"/>
        <v>0.304096198903759</v>
      </c>
      <c r="W413" s="39">
        <f>IF($C413="","",IF(DefaultScenario,IF(OR(AND(Default_Exchange="ALL",NOT(ISERROR(MATCH($C413,$AF$6:$AF$37,0)))),$C413=Default_Exchange),IF($G413&gt;0,-LGD,0),0),IF(OR($J413="SWAP",$J413="FUTURE",$J413="CME FUTURE"),IF('Futures &amp; Perps Shifted'!$AE$31,VLOOKUP($M413,'Futures &amp; Perps Shifted'!$AE$32:$AO$76,MATCH($R413,'Futures &amp; Perps Shifted'!$AE$30:$AO$30,0),FALSE),0),0)))</f>
        <v>0</v>
      </c>
      <c r="X413" s="17">
        <f t="shared" si="90"/>
        <v>0</v>
      </c>
      <c r="Y413" s="14" t="str">
        <f t="shared" si="80"/>
        <v>FBLK</v>
      </c>
      <c r="Z413" t="str">
        <f t="shared" si="91"/>
        <v>ENJ COIN LONG</v>
      </c>
      <c r="AA413" t="b">
        <f>IF($C413="","",IF(ISERROR(VLOOKUP($Y413,Mappings!$A:$C,3,FALSE)),FALSE,VLOOKUP($Y413,Mappings!$A:$C,3,FALSE)))</f>
        <v>0</v>
      </c>
    </row>
    <row r="414" spans="1:27" customFormat="1" x14ac:dyDescent="0.25">
      <c r="A414" s="14">
        <v>412</v>
      </c>
      <c r="B414" s="71">
        <v>44938.983087002314</v>
      </c>
      <c r="C414" s="14" t="s">
        <v>186</v>
      </c>
      <c r="D414" s="23" t="s">
        <v>186</v>
      </c>
      <c r="E414" s="23" t="s">
        <v>23</v>
      </c>
      <c r="F414" s="101">
        <v>186334.70740000001</v>
      </c>
      <c r="G414" s="153">
        <v>184516.542170873</v>
      </c>
      <c r="H414" s="157">
        <v>0.990242476806942</v>
      </c>
      <c r="I414" s="23">
        <v>0</v>
      </c>
      <c r="J414" s="23" t="s">
        <v>85</v>
      </c>
      <c r="K414" s="24">
        <v>44938.983087002314</v>
      </c>
      <c r="L414" s="23">
        <v>1</v>
      </c>
      <c r="M414" s="23" t="s">
        <v>23</v>
      </c>
      <c r="N414" s="45">
        <f t="shared" si="82"/>
        <v>1</v>
      </c>
      <c r="O414" s="159">
        <f t="shared" si="83"/>
        <v>186334.70740000001</v>
      </c>
      <c r="P414" s="47">
        <f t="shared" si="84"/>
        <v>184516.54217087282</v>
      </c>
      <c r="Q414" s="25">
        <f t="shared" si="85"/>
        <v>0</v>
      </c>
      <c r="R414" s="26" t="str">
        <f t="shared" si="86"/>
        <v>COIN</v>
      </c>
      <c r="S414" s="26" t="str">
        <f t="shared" si="81"/>
        <v>LONG</v>
      </c>
      <c r="T414" s="26" t="str">
        <f t="shared" si="87"/>
        <v>COIN LONG</v>
      </c>
      <c r="U414" s="17">
        <f t="shared" si="88"/>
        <v>184516.542170873</v>
      </c>
      <c r="V414" s="17">
        <f t="shared" si="89"/>
        <v>0.990242476806942</v>
      </c>
      <c r="W414" s="39">
        <f>IF($C414="","",IF(DefaultScenario,IF(OR(AND(Default_Exchange="ALL",NOT(ISERROR(MATCH($C414,$AF$6:$AF$37,0)))),$C414=Default_Exchange),IF($G414&gt;0,-LGD,0),0),IF(OR($J414="SWAP",$J414="FUTURE",$J414="CME FUTURE"),IF('Futures &amp; Perps Shifted'!$AE$31,VLOOKUP($M414,'Futures &amp; Perps Shifted'!$AE$32:$AO$76,MATCH($R414,'Futures &amp; Perps Shifted'!$AE$30:$AO$30,0),FALSE),0),0)))</f>
        <v>0</v>
      </c>
      <c r="X414" s="17">
        <f t="shared" si="90"/>
        <v>0</v>
      </c>
      <c r="Y414" s="14" t="str">
        <f t="shared" si="80"/>
        <v>FBLK</v>
      </c>
      <c r="Z414" t="str">
        <f t="shared" si="91"/>
        <v>EOS COIN LONG</v>
      </c>
      <c r="AA414" t="b">
        <f>IF($C414="","",IF(ISERROR(VLOOKUP($Y414,Mappings!$A:$C,3,FALSE)),FALSE,VLOOKUP($Y414,Mappings!$A:$C,3,FALSE)))</f>
        <v>0</v>
      </c>
    </row>
    <row r="415" spans="1:27" customFormat="1" x14ac:dyDescent="0.25">
      <c r="A415" s="14">
        <v>413</v>
      </c>
      <c r="B415" s="71">
        <v>44938.983087002314</v>
      </c>
      <c r="C415" s="14" t="s">
        <v>186</v>
      </c>
      <c r="D415" s="23" t="s">
        <v>186</v>
      </c>
      <c r="E415" s="23" t="s">
        <v>29</v>
      </c>
      <c r="F415" s="101">
        <v>98844.463872979904</v>
      </c>
      <c r="G415" s="153">
        <v>2067604.59645753</v>
      </c>
      <c r="H415" s="157">
        <v>20.917758217744002</v>
      </c>
      <c r="I415" s="23">
        <v>0</v>
      </c>
      <c r="J415" s="23" t="s">
        <v>85</v>
      </c>
      <c r="K415" s="24">
        <v>44938.983087002314</v>
      </c>
      <c r="L415" s="23">
        <v>1</v>
      </c>
      <c r="M415" s="23" t="s">
        <v>29</v>
      </c>
      <c r="N415" s="45">
        <f t="shared" si="82"/>
        <v>1</v>
      </c>
      <c r="O415" s="159">
        <f t="shared" si="83"/>
        <v>98844.463872979904</v>
      </c>
      <c r="P415" s="47">
        <f t="shared" si="84"/>
        <v>2067604.5964575254</v>
      </c>
      <c r="Q415" s="25">
        <f t="shared" si="85"/>
        <v>0</v>
      </c>
      <c r="R415" s="26" t="str">
        <f t="shared" si="86"/>
        <v>COIN</v>
      </c>
      <c r="S415" s="26" t="str">
        <f t="shared" si="81"/>
        <v>LONG</v>
      </c>
      <c r="T415" s="26" t="str">
        <f t="shared" si="87"/>
        <v>COIN LONG</v>
      </c>
      <c r="U415" s="17">
        <f t="shared" si="88"/>
        <v>2067604.59645753</v>
      </c>
      <c r="V415" s="17">
        <f t="shared" si="89"/>
        <v>20.917758217744002</v>
      </c>
      <c r="W415" s="39">
        <f>IF($C415="","",IF(DefaultScenario,IF(OR(AND(Default_Exchange="ALL",NOT(ISERROR(MATCH($C415,$AF$6:$AF$37,0)))),$C415=Default_Exchange),IF($G415&gt;0,-LGD,0),0),IF(OR($J415="SWAP",$J415="FUTURE",$J415="CME FUTURE"),IF('Futures &amp; Perps Shifted'!$AE$31,VLOOKUP($M415,'Futures &amp; Perps Shifted'!$AE$32:$AO$76,MATCH($R415,'Futures &amp; Perps Shifted'!$AE$30:$AO$30,0),FALSE),0),0)))</f>
        <v>0</v>
      </c>
      <c r="X415" s="17">
        <f t="shared" si="90"/>
        <v>0</v>
      </c>
      <c r="Y415" s="14" t="str">
        <f t="shared" si="80"/>
        <v>FBLK</v>
      </c>
      <c r="Z415" t="str">
        <f t="shared" si="91"/>
        <v>ETC COIN LONG</v>
      </c>
      <c r="AA415" t="b">
        <f>IF($C415="","",IF(ISERROR(VLOOKUP($Y415,Mappings!$A:$C,3,FALSE)),FALSE,VLOOKUP($Y415,Mappings!$A:$C,3,FALSE)))</f>
        <v>0</v>
      </c>
    </row>
    <row r="416" spans="1:27" customFormat="1" x14ac:dyDescent="0.25">
      <c r="A416" s="14">
        <v>414</v>
      </c>
      <c r="B416" s="71">
        <v>44938.983087002314</v>
      </c>
      <c r="C416" s="14" t="s">
        <v>186</v>
      </c>
      <c r="D416" s="23" t="s">
        <v>186</v>
      </c>
      <c r="E416" s="23" t="s">
        <v>15</v>
      </c>
      <c r="F416" s="101">
        <v>1175.8957334300001</v>
      </c>
      <c r="G416" s="153">
        <v>1667347.8595925099</v>
      </c>
      <c r="H416" s="157">
        <v>1417.9385231112101</v>
      </c>
      <c r="I416" s="23">
        <v>0</v>
      </c>
      <c r="J416" s="23" t="s">
        <v>85</v>
      </c>
      <c r="K416" s="24">
        <v>44938.983087002314</v>
      </c>
      <c r="L416" s="23">
        <v>1</v>
      </c>
      <c r="M416" s="23" t="s">
        <v>15</v>
      </c>
      <c r="N416" s="45">
        <f t="shared" si="82"/>
        <v>1</v>
      </c>
      <c r="O416" s="159">
        <f t="shared" si="83"/>
        <v>1175.8957334300001</v>
      </c>
      <c r="P416" s="47">
        <f t="shared" si="84"/>
        <v>1667347.8595925076</v>
      </c>
      <c r="Q416" s="25">
        <f t="shared" si="85"/>
        <v>0</v>
      </c>
      <c r="R416" s="26" t="str">
        <f t="shared" si="86"/>
        <v>COIN</v>
      </c>
      <c r="S416" s="26" t="str">
        <f t="shared" si="81"/>
        <v>LONG</v>
      </c>
      <c r="T416" s="26" t="str">
        <f t="shared" si="87"/>
        <v>COIN LONG</v>
      </c>
      <c r="U416" s="17">
        <f t="shared" si="88"/>
        <v>1667347.8595925099</v>
      </c>
      <c r="V416" s="17">
        <f t="shared" si="89"/>
        <v>1417.9385231112101</v>
      </c>
      <c r="W416" s="39">
        <f>IF($C416="","",IF(DefaultScenario,IF(OR(AND(Default_Exchange="ALL",NOT(ISERROR(MATCH($C416,$AF$6:$AF$37,0)))),$C416=Default_Exchange),IF($G416&gt;0,-LGD,0),0),IF(OR($J416="SWAP",$J416="FUTURE",$J416="CME FUTURE"),IF('Futures &amp; Perps Shifted'!$AE$31,VLOOKUP($M416,'Futures &amp; Perps Shifted'!$AE$32:$AO$76,MATCH($R416,'Futures &amp; Perps Shifted'!$AE$30:$AO$30,0),FALSE),0),0)))</f>
        <v>0</v>
      </c>
      <c r="X416" s="17">
        <f t="shared" si="90"/>
        <v>0</v>
      </c>
      <c r="Y416" s="14" t="str">
        <f t="shared" si="80"/>
        <v>FBLK</v>
      </c>
      <c r="Z416" t="str">
        <f t="shared" si="91"/>
        <v>ETH COIN LONG</v>
      </c>
      <c r="AA416" t="b">
        <f>IF($C416="","",IF(ISERROR(VLOOKUP($Y416,Mappings!$A:$C,3,FALSE)),FALSE,VLOOKUP($Y416,Mappings!$A:$C,3,FALSE)))</f>
        <v>0</v>
      </c>
    </row>
    <row r="417" spans="1:27" customFormat="1" x14ac:dyDescent="0.25">
      <c r="A417" s="14">
        <v>415</v>
      </c>
      <c r="B417" s="71">
        <v>44938.983087002314</v>
      </c>
      <c r="C417" s="14" t="s">
        <v>186</v>
      </c>
      <c r="D417" s="23" t="s">
        <v>186</v>
      </c>
      <c r="E417" s="23" t="s">
        <v>272</v>
      </c>
      <c r="F417" s="101">
        <v>1268.1820227400001</v>
      </c>
      <c r="G417" s="153">
        <v>4355.0555290931297</v>
      </c>
      <c r="H417" s="157">
        <v>3.43409341167265</v>
      </c>
      <c r="I417" s="23">
        <v>0</v>
      </c>
      <c r="J417" s="23" t="s">
        <v>85</v>
      </c>
      <c r="K417" s="24">
        <v>44938.983087002314</v>
      </c>
      <c r="L417" s="23">
        <v>1</v>
      </c>
      <c r="M417" s="23" t="s">
        <v>272</v>
      </c>
      <c r="N417" s="45">
        <f t="shared" si="82"/>
        <v>1</v>
      </c>
      <c r="O417" s="159">
        <f t="shared" si="83"/>
        <v>1268.1820227400001</v>
      </c>
      <c r="P417" s="47">
        <f t="shared" si="84"/>
        <v>4355.0555290931288</v>
      </c>
      <c r="Q417" s="25">
        <f t="shared" si="85"/>
        <v>0</v>
      </c>
      <c r="R417" s="26" t="str">
        <f t="shared" si="86"/>
        <v>COIN</v>
      </c>
      <c r="S417" s="26" t="str">
        <f t="shared" si="81"/>
        <v>LONG</v>
      </c>
      <c r="T417" s="26" t="str">
        <f t="shared" si="87"/>
        <v>COIN LONG</v>
      </c>
      <c r="U417" s="17">
        <f t="shared" si="88"/>
        <v>4355.0555290931297</v>
      </c>
      <c r="V417" s="17">
        <f t="shared" si="89"/>
        <v>3.43409341167265</v>
      </c>
      <c r="W417" s="39">
        <f>IF($C417="","",IF(DefaultScenario,IF(OR(AND(Default_Exchange="ALL",NOT(ISERROR(MATCH($C417,$AF$6:$AF$37,0)))),$C417=Default_Exchange),IF($G417&gt;0,-LGD,0),0),IF(OR($J417="SWAP",$J417="FUTURE",$J417="CME FUTURE"),IF('Futures &amp; Perps Shifted'!$AE$31,VLOOKUP($M417,'Futures &amp; Perps Shifted'!$AE$32:$AO$76,MATCH($R417,'Futures &amp; Perps Shifted'!$AE$30:$AO$30,0),FALSE),0),0)))</f>
        <v>0</v>
      </c>
      <c r="X417" s="17">
        <f t="shared" si="90"/>
        <v>0</v>
      </c>
      <c r="Y417" s="14" t="str">
        <f t="shared" si="80"/>
        <v>FBLK</v>
      </c>
      <c r="Z417" t="str">
        <f t="shared" si="91"/>
        <v>ETHW COIN LONG</v>
      </c>
      <c r="AA417" t="b">
        <f>IF($C417="","",IF(ISERROR(VLOOKUP($Y417,Mappings!$A:$C,3,FALSE)),FALSE,VLOOKUP($Y417,Mappings!$A:$C,3,FALSE)))</f>
        <v>0</v>
      </c>
    </row>
    <row r="418" spans="1:27" customFormat="1" x14ac:dyDescent="0.25">
      <c r="A418" s="14">
        <v>416</v>
      </c>
      <c r="B418" s="71">
        <v>44938.983087002314</v>
      </c>
      <c r="C418" s="14" t="s">
        <v>186</v>
      </c>
      <c r="D418" s="23" t="s">
        <v>186</v>
      </c>
      <c r="E418" s="23" t="s">
        <v>258</v>
      </c>
      <c r="F418" s="101">
        <v>235746.127034</v>
      </c>
      <c r="G418" s="153">
        <v>255681.53062948701</v>
      </c>
      <c r="H418" s="157">
        <v>1.0845630163527999</v>
      </c>
      <c r="I418" s="23">
        <v>0</v>
      </c>
      <c r="J418" s="23" t="s">
        <v>85</v>
      </c>
      <c r="K418" s="24">
        <v>44938.983087002314</v>
      </c>
      <c r="L418" s="23">
        <v>1</v>
      </c>
      <c r="M418" s="23" t="s">
        <v>258</v>
      </c>
      <c r="N418" s="45">
        <f t="shared" si="82"/>
        <v>1</v>
      </c>
      <c r="O418" s="159">
        <f t="shared" si="83"/>
        <v>235746.127034</v>
      </c>
      <c r="P418" s="47">
        <f t="shared" si="84"/>
        <v>255681.53062948541</v>
      </c>
      <c r="Q418" s="25">
        <f t="shared" si="85"/>
        <v>0</v>
      </c>
      <c r="R418" s="26" t="str">
        <f t="shared" si="86"/>
        <v>COIN</v>
      </c>
      <c r="S418" s="26" t="str">
        <f t="shared" si="81"/>
        <v>LONG</v>
      </c>
      <c r="T418" s="26" t="str">
        <f t="shared" si="87"/>
        <v>COIN LONG</v>
      </c>
      <c r="U418" s="17">
        <f t="shared" si="88"/>
        <v>255681.53062948701</v>
      </c>
      <c r="V418" s="17">
        <f t="shared" si="89"/>
        <v>1.0845630163527999</v>
      </c>
      <c r="W418" s="39">
        <f>IF($C418="","",IF(DefaultScenario,IF(OR(AND(Default_Exchange="ALL",NOT(ISERROR(MATCH($C418,$AF$6:$AF$37,0)))),$C418=Default_Exchange),IF($G418&gt;0,-LGD,0),0),IF(OR($J418="SWAP",$J418="FUTURE",$J418="CME FUTURE"),IF('Futures &amp; Perps Shifted'!$AE$31,VLOOKUP($M418,'Futures &amp; Perps Shifted'!$AE$32:$AO$76,MATCH($R418,'Futures &amp; Perps Shifted'!$AE$30:$AO$30,0),FALSE),0),0)))</f>
        <v>0</v>
      </c>
      <c r="X418" s="17">
        <f t="shared" si="90"/>
        <v>0</v>
      </c>
      <c r="Y418" s="14" t="str">
        <f t="shared" si="80"/>
        <v>FBLK</v>
      </c>
      <c r="Z418" t="str">
        <f t="shared" si="91"/>
        <v>EUROC COIN LONG</v>
      </c>
      <c r="AA418" t="b">
        <f>IF($C418="","",IF(ISERROR(VLOOKUP($Y418,Mappings!$A:$C,3,FALSE)),FALSE,VLOOKUP($Y418,Mappings!$A:$C,3,FALSE)))</f>
        <v>0</v>
      </c>
    </row>
    <row r="419" spans="1:27" customFormat="1" x14ac:dyDescent="0.25">
      <c r="A419" s="14">
        <v>417</v>
      </c>
      <c r="B419" s="71">
        <v>44938.983087002314</v>
      </c>
      <c r="C419" s="14" t="s">
        <v>186</v>
      </c>
      <c r="D419" s="23" t="s">
        <v>186</v>
      </c>
      <c r="E419" s="23" t="s">
        <v>191</v>
      </c>
      <c r="F419" s="101">
        <v>3173.41253207</v>
      </c>
      <c r="G419" s="153">
        <v>867.75962667556405</v>
      </c>
      <c r="H419" s="157">
        <v>0.27344683929559199</v>
      </c>
      <c r="I419" s="23">
        <v>0</v>
      </c>
      <c r="J419" s="23" t="s">
        <v>85</v>
      </c>
      <c r="K419" s="24">
        <v>44938.983087002314</v>
      </c>
      <c r="L419" s="23">
        <v>1</v>
      </c>
      <c r="M419" s="23" t="s">
        <v>191</v>
      </c>
      <c r="N419" s="45">
        <f t="shared" si="82"/>
        <v>1</v>
      </c>
      <c r="O419" s="159">
        <f t="shared" si="83"/>
        <v>3173.41253207</v>
      </c>
      <c r="P419" s="47">
        <f t="shared" si="84"/>
        <v>867.75962667556291</v>
      </c>
      <c r="Q419" s="25">
        <f t="shared" si="85"/>
        <v>0</v>
      </c>
      <c r="R419" s="26" t="str">
        <f t="shared" si="86"/>
        <v>COIN</v>
      </c>
      <c r="S419" s="26" t="str">
        <f t="shared" si="81"/>
        <v>LONG</v>
      </c>
      <c r="T419" s="26" t="str">
        <f t="shared" si="87"/>
        <v>COIN LONG</v>
      </c>
      <c r="U419" s="17">
        <f t="shared" si="88"/>
        <v>867.75962667556405</v>
      </c>
      <c r="V419" s="17">
        <f t="shared" si="89"/>
        <v>0.27344683929559199</v>
      </c>
      <c r="W419" s="39">
        <f>IF($C419="","",IF(DefaultScenario,IF(OR(AND(Default_Exchange="ALL",NOT(ISERROR(MATCH($C419,$AF$6:$AF$37,0)))),$C419=Default_Exchange),IF($G419&gt;0,-LGD,0),0),IF(OR($J419="SWAP",$J419="FUTURE",$J419="CME FUTURE"),IF('Futures &amp; Perps Shifted'!$AE$31,VLOOKUP($M419,'Futures &amp; Perps Shifted'!$AE$32:$AO$76,MATCH($R419,'Futures &amp; Perps Shifted'!$AE$30:$AO$30,0),FALSE),0),0)))</f>
        <v>0</v>
      </c>
      <c r="X419" s="17">
        <f t="shared" si="90"/>
        <v>0</v>
      </c>
      <c r="Y419" s="14" t="str">
        <f t="shared" si="80"/>
        <v>FBLK</v>
      </c>
      <c r="Z419" t="str">
        <f t="shared" si="91"/>
        <v>FTM COIN LONG</v>
      </c>
      <c r="AA419" t="b">
        <f>IF($C419="","",IF(ISERROR(VLOOKUP($Y419,Mappings!$A:$C,3,FALSE)),FALSE,VLOOKUP($Y419,Mappings!$A:$C,3,FALSE)))</f>
        <v>0</v>
      </c>
    </row>
    <row r="420" spans="1:27" customFormat="1" x14ac:dyDescent="0.25">
      <c r="A420" s="14">
        <v>418</v>
      </c>
      <c r="B420" s="71">
        <v>44938.983087002314</v>
      </c>
      <c r="C420" s="14" t="s">
        <v>186</v>
      </c>
      <c r="D420" s="23" t="s">
        <v>186</v>
      </c>
      <c r="E420" s="23" t="s">
        <v>109</v>
      </c>
      <c r="F420" s="101">
        <v>2.53888889</v>
      </c>
      <c r="G420" s="153">
        <v>3.5057257739339498</v>
      </c>
      <c r="H420" s="157">
        <v>1.3808110263281099</v>
      </c>
      <c r="I420" s="23">
        <v>0</v>
      </c>
      <c r="J420" s="23" t="s">
        <v>85</v>
      </c>
      <c r="K420" s="24">
        <v>44938.983087002314</v>
      </c>
      <c r="L420" s="23">
        <v>1</v>
      </c>
      <c r="M420" s="23" t="s">
        <v>109</v>
      </c>
      <c r="N420" s="45">
        <f t="shared" si="82"/>
        <v>1</v>
      </c>
      <c r="O420" s="159">
        <f t="shared" si="83"/>
        <v>2.53888889</v>
      </c>
      <c r="P420" s="47">
        <f t="shared" si="84"/>
        <v>3.5057257739339356</v>
      </c>
      <c r="Q420" s="25">
        <f t="shared" si="85"/>
        <v>0</v>
      </c>
      <c r="R420" s="26" t="str">
        <f t="shared" si="86"/>
        <v>COIN</v>
      </c>
      <c r="S420" s="26" t="str">
        <f t="shared" si="81"/>
        <v>LONG</v>
      </c>
      <c r="T420" s="26" t="str">
        <f t="shared" si="87"/>
        <v>COIN LONG</v>
      </c>
      <c r="U420" s="17">
        <f t="shared" si="88"/>
        <v>3.5057257739339498</v>
      </c>
      <c r="V420" s="17">
        <f t="shared" si="89"/>
        <v>1.3808110263281099</v>
      </c>
      <c r="W420" s="39">
        <f>IF($C420="","",IF(DefaultScenario,IF(OR(AND(Default_Exchange="ALL",NOT(ISERROR(MATCH($C420,$AF$6:$AF$37,0)))),$C420=Default_Exchange),IF($G420&gt;0,-LGD,0),0),IF(OR($J420="SWAP",$J420="FUTURE",$J420="CME FUTURE"),IF('Futures &amp; Perps Shifted'!$AE$31,VLOOKUP($M420,'Futures &amp; Perps Shifted'!$AE$32:$AO$76,MATCH($R420,'Futures &amp; Perps Shifted'!$AE$30:$AO$30,0),FALSE),0),0)))</f>
        <v>0</v>
      </c>
      <c r="X420" s="17">
        <f t="shared" si="90"/>
        <v>0</v>
      </c>
      <c r="Y420" s="14" t="str">
        <f t="shared" si="80"/>
        <v>FBLK</v>
      </c>
      <c r="Z420" t="str">
        <f t="shared" si="91"/>
        <v>FTT COIN LONG</v>
      </c>
      <c r="AA420" t="b">
        <f>IF($C420="","",IF(ISERROR(VLOOKUP($Y420,Mappings!$A:$C,3,FALSE)),FALSE,VLOOKUP($Y420,Mappings!$A:$C,3,FALSE)))</f>
        <v>0</v>
      </c>
    </row>
    <row r="421" spans="1:27" customFormat="1" x14ac:dyDescent="0.25">
      <c r="A421" s="14">
        <v>419</v>
      </c>
      <c r="B421" s="71">
        <v>44938.983087002314</v>
      </c>
      <c r="C421" s="14" t="s">
        <v>186</v>
      </c>
      <c r="D421" s="23" t="s">
        <v>186</v>
      </c>
      <c r="E421" s="23" t="s">
        <v>415</v>
      </c>
      <c r="F421" s="101">
        <v>8497.41400307</v>
      </c>
      <c r="G421" s="153">
        <v>624.57656973889596</v>
      </c>
      <c r="H421" s="157">
        <v>7.3501958303225604E-2</v>
      </c>
      <c r="I421" s="23">
        <v>0</v>
      </c>
      <c r="J421" s="23" t="s">
        <v>85</v>
      </c>
      <c r="K421" s="24">
        <v>44938.983087002314</v>
      </c>
      <c r="L421" s="23">
        <v>1</v>
      </c>
      <c r="M421" s="23" t="s">
        <v>415</v>
      </c>
      <c r="N421" s="45">
        <f t="shared" si="82"/>
        <v>1</v>
      </c>
      <c r="O421" s="159">
        <f t="shared" si="83"/>
        <v>8497.41400307</v>
      </c>
      <c r="P421" s="47">
        <f t="shared" si="84"/>
        <v>624.57656973889652</v>
      </c>
      <c r="Q421" s="25">
        <f t="shared" si="85"/>
        <v>0</v>
      </c>
      <c r="R421" s="26" t="str">
        <f t="shared" si="86"/>
        <v>COIN</v>
      </c>
      <c r="S421" s="26" t="str">
        <f t="shared" si="81"/>
        <v>LONG</v>
      </c>
      <c r="T421" s="26" t="str">
        <f t="shared" si="87"/>
        <v>COIN LONG</v>
      </c>
      <c r="U421" s="17">
        <f t="shared" si="88"/>
        <v>624.57656973889596</v>
      </c>
      <c r="V421" s="17">
        <f t="shared" si="89"/>
        <v>7.3501958303225604E-2</v>
      </c>
      <c r="W421" s="39">
        <f>IF($C421="","",IF(DefaultScenario,IF(OR(AND(Default_Exchange="ALL",NOT(ISERROR(MATCH($C421,$AF$6:$AF$37,0)))),$C421=Default_Exchange),IF($G421&gt;0,-LGD,0),0),IF(OR($J421="SWAP",$J421="FUTURE",$J421="CME FUTURE"),IF('Futures &amp; Perps Shifted'!$AE$31,VLOOKUP($M421,'Futures &amp; Perps Shifted'!$AE$32:$AO$76,MATCH($R421,'Futures &amp; Perps Shifted'!$AE$30:$AO$30,0),FALSE),0),0)))</f>
        <v>0</v>
      </c>
      <c r="X421" s="17">
        <f t="shared" si="90"/>
        <v>0</v>
      </c>
      <c r="Y421" s="14" t="str">
        <f t="shared" si="80"/>
        <v>FBLK</v>
      </c>
      <c r="Z421" t="str">
        <f t="shared" si="91"/>
        <v>GRT COIN LONG</v>
      </c>
      <c r="AA421" t="b">
        <f>IF($C421="","",IF(ISERROR(VLOOKUP($Y421,Mappings!$A:$C,3,FALSE)),FALSE,VLOOKUP($Y421,Mappings!$A:$C,3,FALSE)))</f>
        <v>0</v>
      </c>
    </row>
    <row r="422" spans="1:27" customFormat="1" x14ac:dyDescent="0.25">
      <c r="A422" s="14">
        <v>420</v>
      </c>
      <c r="B422" s="71">
        <v>44938.983087002314</v>
      </c>
      <c r="C422" s="14" t="s">
        <v>186</v>
      </c>
      <c r="D422" s="23" t="s">
        <v>186</v>
      </c>
      <c r="E422" s="23" t="s">
        <v>135</v>
      </c>
      <c r="F422" s="101">
        <v>255118.81084801001</v>
      </c>
      <c r="G422" s="153">
        <v>12155.808431128</v>
      </c>
      <c r="H422" s="157">
        <v>4.7647636764699498E-2</v>
      </c>
      <c r="I422" s="23">
        <v>0</v>
      </c>
      <c r="J422" s="23" t="s">
        <v>85</v>
      </c>
      <c r="K422" s="24">
        <v>44938.983087002314</v>
      </c>
      <c r="L422" s="23">
        <v>1</v>
      </c>
      <c r="M422" s="23" t="s">
        <v>135</v>
      </c>
      <c r="N422" s="45">
        <f t="shared" si="82"/>
        <v>1</v>
      </c>
      <c r="O422" s="159">
        <f t="shared" si="83"/>
        <v>255118.81084801001</v>
      </c>
      <c r="P422" s="47">
        <f t="shared" si="84"/>
        <v>12155.808431128058</v>
      </c>
      <c r="Q422" s="25">
        <f t="shared" si="85"/>
        <v>0</v>
      </c>
      <c r="R422" s="26" t="str">
        <f t="shared" si="86"/>
        <v>COIN</v>
      </c>
      <c r="S422" s="26" t="str">
        <f t="shared" si="81"/>
        <v>LONG</v>
      </c>
      <c r="T422" s="26" t="str">
        <f t="shared" si="87"/>
        <v>COIN LONG</v>
      </c>
      <c r="U422" s="17">
        <f t="shared" si="88"/>
        <v>12155.808431128</v>
      </c>
      <c r="V422" s="17">
        <f t="shared" si="89"/>
        <v>4.7647636764699498E-2</v>
      </c>
      <c r="W422" s="39">
        <f>IF($C422="","",IF(DefaultScenario,IF(OR(AND(Default_Exchange="ALL",NOT(ISERROR(MATCH($C422,$AF$6:$AF$37,0)))),$C422=Default_Exchange),IF($G422&gt;0,-LGD,0),0),IF(OR($J422="SWAP",$J422="FUTURE",$J422="CME FUTURE"),IF('Futures &amp; Perps Shifted'!$AE$31,VLOOKUP($M422,'Futures &amp; Perps Shifted'!$AE$32:$AO$76,MATCH($R422,'Futures &amp; Perps Shifted'!$AE$30:$AO$30,0),FALSE),0),0)))</f>
        <v>0</v>
      </c>
      <c r="X422" s="17">
        <f t="shared" si="90"/>
        <v>0</v>
      </c>
      <c r="Y422" s="14" t="str">
        <f t="shared" si="80"/>
        <v>FBLK</v>
      </c>
      <c r="Z422" t="str">
        <f t="shared" si="91"/>
        <v>HBAR COIN LONG</v>
      </c>
      <c r="AA422" t="b">
        <f>IF($C422="","",IF(ISERROR(VLOOKUP($Y422,Mappings!$A:$C,3,FALSE)),FALSE,VLOOKUP($Y422,Mappings!$A:$C,3,FALSE)))</f>
        <v>0</v>
      </c>
    </row>
    <row r="423" spans="1:27" customFormat="1" x14ac:dyDescent="0.25">
      <c r="A423" s="14">
        <v>421</v>
      </c>
      <c r="B423" s="71">
        <v>44938.983087002314</v>
      </c>
      <c r="C423" s="14" t="s">
        <v>186</v>
      </c>
      <c r="D423" s="23" t="s">
        <v>186</v>
      </c>
      <c r="E423" s="23" t="s">
        <v>43</v>
      </c>
      <c r="F423" s="101">
        <v>9.2269799999999992E-3</v>
      </c>
      <c r="G423" s="153">
        <v>0.26137888695302802</v>
      </c>
      <c r="H423" s="157">
        <v>28.327674597000101</v>
      </c>
      <c r="I423" s="23">
        <v>0</v>
      </c>
      <c r="J423" s="23" t="s">
        <v>85</v>
      </c>
      <c r="K423" s="24">
        <v>44938.983087002314</v>
      </c>
      <c r="L423" s="23">
        <v>1</v>
      </c>
      <c r="M423" s="23" t="s">
        <v>43</v>
      </c>
      <c r="N423" s="45">
        <f t="shared" si="82"/>
        <v>1</v>
      </c>
      <c r="O423" s="159">
        <f t="shared" si="83"/>
        <v>9.2269799999999992E-3</v>
      </c>
      <c r="P423" s="47">
        <f t="shared" si="84"/>
        <v>0.26137888695302797</v>
      </c>
      <c r="Q423" s="25">
        <f t="shared" si="85"/>
        <v>0</v>
      </c>
      <c r="R423" s="26" t="str">
        <f t="shared" si="86"/>
        <v>COIN</v>
      </c>
      <c r="S423" s="26" t="str">
        <f t="shared" si="81"/>
        <v>LONG</v>
      </c>
      <c r="T423" s="26" t="str">
        <f t="shared" si="87"/>
        <v>COIN LONG</v>
      </c>
      <c r="U423" s="17">
        <f t="shared" si="88"/>
        <v>0.26137888695302802</v>
      </c>
      <c r="V423" s="17">
        <f t="shared" si="89"/>
        <v>28.327674597000101</v>
      </c>
      <c r="W423" s="39">
        <f>IF($C423="","",IF(DefaultScenario,IF(OR(AND(Default_Exchange="ALL",NOT(ISERROR(MATCH($C423,$AF$6:$AF$37,0)))),$C423=Default_Exchange),IF($G423&gt;0,-LGD,0),0),IF(OR($J423="SWAP",$J423="FUTURE",$J423="CME FUTURE"),IF('Futures &amp; Perps Shifted'!$AE$31,VLOOKUP($M423,'Futures &amp; Perps Shifted'!$AE$32:$AO$76,MATCH($R423,'Futures &amp; Perps Shifted'!$AE$30:$AO$30,0),FALSE),0),0)))</f>
        <v>0</v>
      </c>
      <c r="X423" s="17">
        <f t="shared" si="90"/>
        <v>0</v>
      </c>
      <c r="Y423" s="14" t="str">
        <f t="shared" si="80"/>
        <v>FBLK</v>
      </c>
      <c r="Z423" t="str">
        <f t="shared" si="91"/>
        <v>KSM COIN LONG</v>
      </c>
      <c r="AA423" t="b">
        <f>IF($C423="","",IF(ISERROR(VLOOKUP($Y423,Mappings!$A:$C,3,FALSE)),FALSE,VLOOKUP($Y423,Mappings!$A:$C,3,FALSE)))</f>
        <v>0</v>
      </c>
    </row>
    <row r="424" spans="1:27" customFormat="1" x14ac:dyDescent="0.25">
      <c r="A424" s="14">
        <v>422</v>
      </c>
      <c r="B424" s="71">
        <v>44938.983087002314</v>
      </c>
      <c r="C424" s="14" t="s">
        <v>186</v>
      </c>
      <c r="D424" s="23" t="s">
        <v>186</v>
      </c>
      <c r="E424" s="23" t="s">
        <v>27</v>
      </c>
      <c r="F424" s="101">
        <v>23.333333329999999</v>
      </c>
      <c r="G424" s="153">
        <v>148.89773620227899</v>
      </c>
      <c r="H424" s="157">
        <v>6.38133155243787</v>
      </c>
      <c r="I424" s="23">
        <v>0</v>
      </c>
      <c r="J424" s="23" t="s">
        <v>85</v>
      </c>
      <c r="K424" s="24">
        <v>44938.983087002314</v>
      </c>
      <c r="L424" s="23">
        <v>1</v>
      </c>
      <c r="M424" s="23" t="s">
        <v>27</v>
      </c>
      <c r="N424" s="45">
        <f t="shared" si="82"/>
        <v>1</v>
      </c>
      <c r="O424" s="159">
        <f t="shared" si="83"/>
        <v>23.333333329999999</v>
      </c>
      <c r="P424" s="47">
        <f t="shared" si="84"/>
        <v>148.89773620227919</v>
      </c>
      <c r="Q424" s="25">
        <f t="shared" si="85"/>
        <v>0</v>
      </c>
      <c r="R424" s="26" t="str">
        <f t="shared" si="86"/>
        <v>COIN</v>
      </c>
      <c r="S424" s="26" t="str">
        <f t="shared" si="81"/>
        <v>LONG</v>
      </c>
      <c r="T424" s="26" t="str">
        <f t="shared" si="87"/>
        <v>COIN LONG</v>
      </c>
      <c r="U424" s="17">
        <f t="shared" si="88"/>
        <v>148.89773620227899</v>
      </c>
      <c r="V424" s="17">
        <f t="shared" si="89"/>
        <v>6.38133155243787</v>
      </c>
      <c r="W424" s="39">
        <f>IF($C424="","",IF(DefaultScenario,IF(OR(AND(Default_Exchange="ALL",NOT(ISERROR(MATCH($C424,$AF$6:$AF$37,0)))),$C424=Default_Exchange),IF($G424&gt;0,-LGD,0),0),IF(OR($J424="SWAP",$J424="FUTURE",$J424="CME FUTURE"),IF('Futures &amp; Perps Shifted'!$AE$31,VLOOKUP($M424,'Futures &amp; Perps Shifted'!$AE$32:$AO$76,MATCH($R424,'Futures &amp; Perps Shifted'!$AE$30:$AO$30,0),FALSE),0),0)))</f>
        <v>0</v>
      </c>
      <c r="X424" s="17">
        <f t="shared" si="90"/>
        <v>0</v>
      </c>
      <c r="Y424" s="14" t="str">
        <f t="shared" si="80"/>
        <v>FBLK</v>
      </c>
      <c r="Z424" t="str">
        <f t="shared" si="91"/>
        <v>LINK COIN LONG</v>
      </c>
      <c r="AA424" t="b">
        <f>IF($C424="","",IF(ISERROR(VLOOKUP($Y424,Mappings!$A:$C,3,FALSE)),FALSE,VLOOKUP($Y424,Mappings!$A:$C,3,FALSE)))</f>
        <v>0</v>
      </c>
    </row>
    <row r="425" spans="1:27" customFormat="1" x14ac:dyDescent="0.25">
      <c r="A425" s="14">
        <v>423</v>
      </c>
      <c r="B425" s="71">
        <v>44938.983087002314</v>
      </c>
      <c r="C425" s="14" t="s">
        <v>186</v>
      </c>
      <c r="D425" s="23" t="s">
        <v>186</v>
      </c>
      <c r="E425" s="23" t="s">
        <v>24</v>
      </c>
      <c r="F425" s="101">
        <v>1.6666666699999999</v>
      </c>
      <c r="G425" s="153">
        <v>143.27371603780699</v>
      </c>
      <c r="H425" s="157">
        <v>85.964229450756093</v>
      </c>
      <c r="I425" s="23">
        <v>0</v>
      </c>
      <c r="J425" s="23" t="s">
        <v>85</v>
      </c>
      <c r="K425" s="24">
        <v>44938.983087002314</v>
      </c>
      <c r="L425" s="23">
        <v>1</v>
      </c>
      <c r="M425" s="23" t="s">
        <v>24</v>
      </c>
      <c r="N425" s="45">
        <f t="shared" si="82"/>
        <v>1</v>
      </c>
      <c r="O425" s="159">
        <f t="shared" si="83"/>
        <v>1.6666666699999999</v>
      </c>
      <c r="P425" s="47">
        <f t="shared" si="84"/>
        <v>143.27371603780759</v>
      </c>
      <c r="Q425" s="25">
        <f t="shared" si="85"/>
        <v>0</v>
      </c>
      <c r="R425" s="26" t="str">
        <f t="shared" si="86"/>
        <v>COIN</v>
      </c>
      <c r="S425" s="26" t="str">
        <f t="shared" si="81"/>
        <v>LONG</v>
      </c>
      <c r="T425" s="26" t="str">
        <f t="shared" si="87"/>
        <v>COIN LONG</v>
      </c>
      <c r="U425" s="17">
        <f t="shared" si="88"/>
        <v>143.27371603780699</v>
      </c>
      <c r="V425" s="17">
        <f t="shared" si="89"/>
        <v>85.964229450756093</v>
      </c>
      <c r="W425" s="39">
        <f>IF($C425="","",IF(DefaultScenario,IF(OR(AND(Default_Exchange="ALL",NOT(ISERROR(MATCH($C425,$AF$6:$AF$37,0)))),$C425=Default_Exchange),IF($G425&gt;0,-LGD,0),0),IF(OR($J425="SWAP",$J425="FUTURE",$J425="CME FUTURE"),IF('Futures &amp; Perps Shifted'!$AE$31,VLOOKUP($M425,'Futures &amp; Perps Shifted'!$AE$32:$AO$76,MATCH($R425,'Futures &amp; Perps Shifted'!$AE$30:$AO$30,0),FALSE),0),0)))</f>
        <v>0</v>
      </c>
      <c r="X425" s="17">
        <f t="shared" si="90"/>
        <v>0</v>
      </c>
      <c r="Y425" s="14" t="str">
        <f t="shared" si="80"/>
        <v>FBLK</v>
      </c>
      <c r="Z425" t="str">
        <f t="shared" si="91"/>
        <v>LTC COIN LONG</v>
      </c>
      <c r="AA425" t="b">
        <f>IF($C425="","",IF(ISERROR(VLOOKUP($Y425,Mappings!$A:$C,3,FALSE)),FALSE,VLOOKUP($Y425,Mappings!$A:$C,3,FALSE)))</f>
        <v>0</v>
      </c>
    </row>
    <row r="426" spans="1:27" customFormat="1" x14ac:dyDescent="0.25">
      <c r="A426" s="14">
        <v>424</v>
      </c>
      <c r="B426" s="71">
        <v>44938.983087002314</v>
      </c>
      <c r="C426" s="14" t="s">
        <v>186</v>
      </c>
      <c r="D426" s="23" t="s">
        <v>186</v>
      </c>
      <c r="E426" s="23" t="s">
        <v>192</v>
      </c>
      <c r="F426" s="101">
        <v>150.97894937000001</v>
      </c>
      <c r="G426" s="153">
        <v>62.271625276872697</v>
      </c>
      <c r="H426" s="157">
        <v>0.41245236860315698</v>
      </c>
      <c r="I426" s="23">
        <v>0</v>
      </c>
      <c r="J426" s="23" t="s">
        <v>85</v>
      </c>
      <c r="K426" s="24">
        <v>44938.983087002314</v>
      </c>
      <c r="L426" s="23">
        <v>1</v>
      </c>
      <c r="M426" s="23" t="s">
        <v>192</v>
      </c>
      <c r="N426" s="45">
        <f t="shared" si="82"/>
        <v>1</v>
      </c>
      <c r="O426" s="159">
        <f t="shared" si="83"/>
        <v>150.97894937000001</v>
      </c>
      <c r="P426" s="47">
        <f t="shared" si="84"/>
        <v>62.271625276872619</v>
      </c>
      <c r="Q426" s="25">
        <f t="shared" si="85"/>
        <v>0</v>
      </c>
      <c r="R426" s="26" t="str">
        <f t="shared" si="86"/>
        <v>COIN</v>
      </c>
      <c r="S426" s="26" t="str">
        <f t="shared" si="81"/>
        <v>LONG</v>
      </c>
      <c r="T426" s="26" t="str">
        <f t="shared" si="87"/>
        <v>COIN LONG</v>
      </c>
      <c r="U426" s="17">
        <f t="shared" si="88"/>
        <v>62.271625276872697</v>
      </c>
      <c r="V426" s="17">
        <f t="shared" si="89"/>
        <v>0.41245236860315698</v>
      </c>
      <c r="W426" s="39">
        <f>IF($C426="","",IF(DefaultScenario,IF(OR(AND(Default_Exchange="ALL",NOT(ISERROR(MATCH($C426,$AF$6:$AF$37,0)))),$C426=Default_Exchange),IF($G426&gt;0,-LGD,0),0),IF(OR($J426="SWAP",$J426="FUTURE",$J426="CME FUTURE"),IF('Futures &amp; Perps Shifted'!$AE$31,VLOOKUP($M426,'Futures &amp; Perps Shifted'!$AE$32:$AO$76,MATCH($R426,'Futures &amp; Perps Shifted'!$AE$30:$AO$30,0),FALSE),0),0)))</f>
        <v>0</v>
      </c>
      <c r="X426" s="17">
        <f t="shared" si="90"/>
        <v>0</v>
      </c>
      <c r="Y426" s="14" t="str">
        <f t="shared" si="80"/>
        <v>FBLK</v>
      </c>
      <c r="Z426" t="str">
        <f t="shared" si="91"/>
        <v>MANA COIN LONG</v>
      </c>
      <c r="AA426" t="b">
        <f>IF($C426="","",IF(ISERROR(VLOOKUP($Y426,Mappings!$A:$C,3,FALSE)),FALSE,VLOOKUP($Y426,Mappings!$A:$C,3,FALSE)))</f>
        <v>0</v>
      </c>
    </row>
    <row r="427" spans="1:27" customFormat="1" x14ac:dyDescent="0.25">
      <c r="A427" s="14">
        <v>425</v>
      </c>
      <c r="B427" s="71">
        <v>44938.983087002314</v>
      </c>
      <c r="C427" s="14" t="s">
        <v>186</v>
      </c>
      <c r="D427" s="23" t="s">
        <v>186</v>
      </c>
      <c r="E427" s="23" t="s">
        <v>193</v>
      </c>
      <c r="F427" s="101">
        <v>2464.7238741799902</v>
      </c>
      <c r="G427" s="153">
        <v>2258.3996558272402</v>
      </c>
      <c r="H427" s="157">
        <v>0.91628911436523497</v>
      </c>
      <c r="I427" s="23">
        <v>0</v>
      </c>
      <c r="J427" s="23" t="s">
        <v>85</v>
      </c>
      <c r="K427" s="24">
        <v>44938.983087002314</v>
      </c>
      <c r="L427" s="23">
        <v>1</v>
      </c>
      <c r="M427" s="23" t="s">
        <v>193</v>
      </c>
      <c r="N427" s="45">
        <f t="shared" si="82"/>
        <v>1</v>
      </c>
      <c r="O427" s="159">
        <f t="shared" si="83"/>
        <v>2464.7238741799902</v>
      </c>
      <c r="P427" s="47">
        <f t="shared" si="84"/>
        <v>2258.3996558272338</v>
      </c>
      <c r="Q427" s="25">
        <f t="shared" si="85"/>
        <v>0</v>
      </c>
      <c r="R427" s="26" t="str">
        <f t="shared" si="86"/>
        <v>COIN</v>
      </c>
      <c r="S427" s="26" t="str">
        <f t="shared" si="81"/>
        <v>LONG</v>
      </c>
      <c r="T427" s="26" t="str">
        <f t="shared" si="87"/>
        <v>COIN LONG</v>
      </c>
      <c r="U427" s="17">
        <f t="shared" si="88"/>
        <v>2258.3996558272402</v>
      </c>
      <c r="V427" s="17">
        <f t="shared" si="89"/>
        <v>0.91628911436523497</v>
      </c>
      <c r="W427" s="39">
        <f>IF($C427="","",IF(DefaultScenario,IF(OR(AND(Default_Exchange="ALL",NOT(ISERROR(MATCH($C427,$AF$6:$AF$37,0)))),$C427=Default_Exchange),IF($G427&gt;0,-LGD,0),0),IF(OR($J427="SWAP",$J427="FUTURE",$J427="CME FUTURE"),IF('Futures &amp; Perps Shifted'!$AE$31,VLOOKUP($M427,'Futures &amp; Perps Shifted'!$AE$32:$AO$76,MATCH($R427,'Futures &amp; Perps Shifted'!$AE$30:$AO$30,0),FALSE),0),0)))</f>
        <v>0</v>
      </c>
      <c r="X427" s="17">
        <f t="shared" si="90"/>
        <v>0</v>
      </c>
      <c r="Y427" s="14" t="str">
        <f t="shared" si="80"/>
        <v>FBLK</v>
      </c>
      <c r="Z427" t="str">
        <f t="shared" si="91"/>
        <v>MATIC COIN LONG</v>
      </c>
      <c r="AA427" t="b">
        <f>IF($C427="","",IF(ISERROR(VLOOKUP($Y427,Mappings!$A:$C,3,FALSE)),FALSE,VLOOKUP($Y427,Mappings!$A:$C,3,FALSE)))</f>
        <v>0</v>
      </c>
    </row>
    <row r="428" spans="1:27" customFormat="1" x14ac:dyDescent="0.25">
      <c r="A428" s="14">
        <v>426</v>
      </c>
      <c r="B428" s="71">
        <v>44938.983087002314</v>
      </c>
      <c r="C428" s="14" t="s">
        <v>186</v>
      </c>
      <c r="D428" s="23" t="s">
        <v>186</v>
      </c>
      <c r="E428" s="23" t="s">
        <v>413</v>
      </c>
      <c r="F428" s="101">
        <v>3.27084449</v>
      </c>
      <c r="G428" s="153">
        <v>2134.4735182886802</v>
      </c>
      <c r="H428" s="157">
        <v>652.57566503526505</v>
      </c>
      <c r="I428" s="23">
        <v>0</v>
      </c>
      <c r="J428" s="23" t="s">
        <v>85</v>
      </c>
      <c r="K428" s="24">
        <v>44938.983087002314</v>
      </c>
      <c r="L428" s="23">
        <v>1</v>
      </c>
      <c r="M428" s="23" t="s">
        <v>413</v>
      </c>
      <c r="N428" s="45">
        <f t="shared" si="82"/>
        <v>1</v>
      </c>
      <c r="O428" s="159">
        <f t="shared" si="83"/>
        <v>3.27084449</v>
      </c>
      <c r="P428" s="47">
        <f t="shared" si="84"/>
        <v>2134.4735182886825</v>
      </c>
      <c r="Q428" s="25">
        <f t="shared" si="85"/>
        <v>0</v>
      </c>
      <c r="R428" s="26" t="str">
        <f t="shared" si="86"/>
        <v>COIN</v>
      </c>
      <c r="S428" s="26" t="str">
        <f t="shared" si="81"/>
        <v>LONG</v>
      </c>
      <c r="T428" s="26" t="str">
        <f t="shared" si="87"/>
        <v>COIN LONG</v>
      </c>
      <c r="U428" s="17">
        <f t="shared" si="88"/>
        <v>2134.4735182886802</v>
      </c>
      <c r="V428" s="17">
        <f t="shared" si="89"/>
        <v>652.57566503526505</v>
      </c>
      <c r="W428" s="39">
        <f>IF($C428="","",IF(DefaultScenario,IF(OR(AND(Default_Exchange="ALL",NOT(ISERROR(MATCH($C428,$AF$6:$AF$37,0)))),$C428=Default_Exchange),IF($G428&gt;0,-LGD,0),0),IF(OR($J428="SWAP",$J428="FUTURE",$J428="CME FUTURE"),IF('Futures &amp; Perps Shifted'!$AE$31,VLOOKUP($M428,'Futures &amp; Perps Shifted'!$AE$32:$AO$76,MATCH($R428,'Futures &amp; Perps Shifted'!$AE$30:$AO$30,0),FALSE),0),0)))</f>
        <v>0</v>
      </c>
      <c r="X428" s="17">
        <f t="shared" si="90"/>
        <v>0</v>
      </c>
      <c r="Y428" s="14" t="str">
        <f t="shared" si="80"/>
        <v>FBLK</v>
      </c>
      <c r="Z428" t="str">
        <f t="shared" si="91"/>
        <v>MKR COIN LONG</v>
      </c>
      <c r="AA428" t="b">
        <f>IF($C428="","",IF(ISERROR(VLOOKUP($Y428,Mappings!$A:$C,3,FALSE)),FALSE,VLOOKUP($Y428,Mappings!$A:$C,3,FALSE)))</f>
        <v>0</v>
      </c>
    </row>
    <row r="429" spans="1:27" customFormat="1" x14ac:dyDescent="0.25">
      <c r="A429" s="14">
        <v>427</v>
      </c>
      <c r="B429" s="71">
        <v>44938.983087002314</v>
      </c>
      <c r="C429" s="14" t="s">
        <v>186</v>
      </c>
      <c r="D429" s="23" t="s">
        <v>186</v>
      </c>
      <c r="E429" s="23" t="s">
        <v>150</v>
      </c>
      <c r="F429" s="101">
        <v>204.55099999999999</v>
      </c>
      <c r="G429" s="153">
        <v>247.97144936939401</v>
      </c>
      <c r="H429" s="157">
        <v>1.21227199754288</v>
      </c>
      <c r="I429" s="23">
        <v>0</v>
      </c>
      <c r="J429" s="23" t="s">
        <v>85</v>
      </c>
      <c r="K429" s="24">
        <v>44938.983087002314</v>
      </c>
      <c r="L429" s="23">
        <v>1</v>
      </c>
      <c r="M429" s="23" t="s">
        <v>150</v>
      </c>
      <c r="N429" s="45">
        <f t="shared" si="82"/>
        <v>1</v>
      </c>
      <c r="O429" s="159">
        <f t="shared" si="83"/>
        <v>204.55099999999999</v>
      </c>
      <c r="P429" s="47">
        <f t="shared" si="84"/>
        <v>247.97144936939361</v>
      </c>
      <c r="Q429" s="25">
        <f t="shared" si="85"/>
        <v>0</v>
      </c>
      <c r="R429" s="26" t="str">
        <f t="shared" si="86"/>
        <v>COIN</v>
      </c>
      <c r="S429" s="26" t="str">
        <f t="shared" si="81"/>
        <v>LONG</v>
      </c>
      <c r="T429" s="26" t="str">
        <f t="shared" si="87"/>
        <v>COIN LONG</v>
      </c>
      <c r="U429" s="17">
        <f t="shared" si="88"/>
        <v>247.97144936939401</v>
      </c>
      <c r="V429" s="17">
        <f t="shared" si="89"/>
        <v>1.21227199754288</v>
      </c>
      <c r="W429" s="39">
        <f>IF($C429="","",IF(DefaultScenario,IF(OR(AND(Default_Exchange="ALL",NOT(ISERROR(MATCH($C429,$AF$6:$AF$37,0)))),$C429=Default_Exchange),IF($G429&gt;0,-LGD,0),0),IF(OR($J429="SWAP",$J429="FUTURE",$J429="CME FUTURE"),IF('Futures &amp; Perps Shifted'!$AE$31,VLOOKUP($M429,'Futures &amp; Perps Shifted'!$AE$32:$AO$76,MATCH($R429,'Futures &amp; Perps Shifted'!$AE$30:$AO$30,0),FALSE),0),0)))</f>
        <v>0</v>
      </c>
      <c r="X429" s="17">
        <f t="shared" si="90"/>
        <v>0</v>
      </c>
      <c r="Y429" s="14" t="str">
        <f t="shared" si="80"/>
        <v>FBLK</v>
      </c>
      <c r="Z429" t="str">
        <f t="shared" si="91"/>
        <v>OMG COIN LONG</v>
      </c>
      <c r="AA429" t="b">
        <f>IF($C429="","",IF(ISERROR(VLOOKUP($Y429,Mappings!$A:$C,3,FALSE)),FALSE,VLOOKUP($Y429,Mappings!$A:$C,3,FALSE)))</f>
        <v>0</v>
      </c>
    </row>
    <row r="430" spans="1:27" customFormat="1" x14ac:dyDescent="0.25">
      <c r="A430" s="14">
        <v>428</v>
      </c>
      <c r="B430" s="71">
        <v>44938.983087002314</v>
      </c>
      <c r="C430" s="14" t="s">
        <v>186</v>
      </c>
      <c r="D430" s="23" t="s">
        <v>186</v>
      </c>
      <c r="E430" s="23" t="s">
        <v>89</v>
      </c>
      <c r="F430" s="101">
        <v>837715.31955742999</v>
      </c>
      <c r="G430" s="153">
        <v>61420.727562620697</v>
      </c>
      <c r="H430" s="157">
        <v>7.3319331912265404E-2</v>
      </c>
      <c r="I430" s="23">
        <v>0</v>
      </c>
      <c r="J430" s="23" t="s">
        <v>85</v>
      </c>
      <c r="K430" s="24">
        <v>44938.983087002314</v>
      </c>
      <c r="L430" s="23">
        <v>1</v>
      </c>
      <c r="M430" s="23" t="s">
        <v>89</v>
      </c>
      <c r="N430" s="45">
        <f t="shared" si="82"/>
        <v>1</v>
      </c>
      <c r="O430" s="159">
        <f t="shared" si="83"/>
        <v>837715.31955742999</v>
      </c>
      <c r="P430" s="47">
        <f t="shared" si="84"/>
        <v>61420.72756262069</v>
      </c>
      <c r="Q430" s="25">
        <f t="shared" si="85"/>
        <v>0</v>
      </c>
      <c r="R430" s="26" t="str">
        <f t="shared" si="86"/>
        <v>COIN</v>
      </c>
      <c r="S430" s="26" t="str">
        <f t="shared" si="81"/>
        <v>LONG</v>
      </c>
      <c r="T430" s="26" t="str">
        <f t="shared" si="87"/>
        <v>COIN LONG</v>
      </c>
      <c r="U430" s="17">
        <f t="shared" si="88"/>
        <v>61420.727562620697</v>
      </c>
      <c r="V430" s="17">
        <f t="shared" si="89"/>
        <v>7.3319331912265404E-2</v>
      </c>
      <c r="W430" s="39">
        <f>IF($C430="","",IF(DefaultScenario,IF(OR(AND(Default_Exchange="ALL",NOT(ISERROR(MATCH($C430,$AF$6:$AF$37,0)))),$C430=Default_Exchange),IF($G430&gt;0,-LGD,0),0),IF(OR($J430="SWAP",$J430="FUTURE",$J430="CME FUTURE"),IF('Futures &amp; Perps Shifted'!$AE$31,VLOOKUP($M430,'Futures &amp; Perps Shifted'!$AE$32:$AO$76,MATCH($R430,'Futures &amp; Perps Shifted'!$AE$30:$AO$30,0),FALSE),0),0)))</f>
        <v>0</v>
      </c>
      <c r="X430" s="17">
        <f t="shared" si="90"/>
        <v>0</v>
      </c>
      <c r="Y430" s="14" t="str">
        <f t="shared" si="80"/>
        <v>FBLK</v>
      </c>
      <c r="Z430" t="str">
        <f t="shared" si="91"/>
        <v>OXT COIN LONG</v>
      </c>
      <c r="AA430" t="b">
        <f>IF($C430="","",IF(ISERROR(VLOOKUP($Y430,Mappings!$A:$C,3,FALSE)),FALSE,VLOOKUP($Y430,Mappings!$A:$C,3,FALSE)))</f>
        <v>0</v>
      </c>
    </row>
    <row r="431" spans="1:27" customFormat="1" x14ac:dyDescent="0.25">
      <c r="A431" s="14">
        <v>429</v>
      </c>
      <c r="B431" s="71">
        <v>44938.983087002314</v>
      </c>
      <c r="C431" s="14" t="s">
        <v>186</v>
      </c>
      <c r="D431" s="23" t="s">
        <v>186</v>
      </c>
      <c r="E431" s="23" t="s">
        <v>37</v>
      </c>
      <c r="F431" s="101">
        <v>1682891321.7256501</v>
      </c>
      <c r="G431" s="153">
        <v>15939.308828626001</v>
      </c>
      <c r="H431" s="157">
        <v>9.4713833405960602E-6</v>
      </c>
      <c r="I431" s="23">
        <v>0</v>
      </c>
      <c r="J431" s="23" t="s">
        <v>85</v>
      </c>
      <c r="K431" s="24">
        <v>44938.983087002314</v>
      </c>
      <c r="L431" s="23">
        <v>1</v>
      </c>
      <c r="M431" s="23" t="s">
        <v>37</v>
      </c>
      <c r="N431" s="45">
        <f t="shared" si="82"/>
        <v>1</v>
      </c>
      <c r="O431" s="159">
        <f t="shared" si="83"/>
        <v>1682891321.7256501</v>
      </c>
      <c r="P431" s="47">
        <f t="shared" si="84"/>
        <v>15939.308828626006</v>
      </c>
      <c r="Q431" s="25">
        <f t="shared" si="85"/>
        <v>0</v>
      </c>
      <c r="R431" s="26" t="str">
        <f t="shared" si="86"/>
        <v>COIN</v>
      </c>
      <c r="S431" s="26" t="str">
        <f t="shared" si="81"/>
        <v>LONG</v>
      </c>
      <c r="T431" s="26" t="str">
        <f t="shared" si="87"/>
        <v>COIN LONG</v>
      </c>
      <c r="U431" s="17">
        <f t="shared" si="88"/>
        <v>15939.308828626001</v>
      </c>
      <c r="V431" s="17">
        <f t="shared" si="89"/>
        <v>9.4713833405960602E-6</v>
      </c>
      <c r="W431" s="39">
        <f>IF($C431="","",IF(DefaultScenario,IF(OR(AND(Default_Exchange="ALL",NOT(ISERROR(MATCH($C431,$AF$6:$AF$37,0)))),$C431=Default_Exchange),IF($G431&gt;0,-LGD,0),0),IF(OR($J431="SWAP",$J431="FUTURE",$J431="CME FUTURE"),IF('Futures &amp; Perps Shifted'!$AE$31,VLOOKUP($M431,'Futures &amp; Perps Shifted'!$AE$32:$AO$76,MATCH($R431,'Futures &amp; Perps Shifted'!$AE$30:$AO$30,0),FALSE),0),0)))</f>
        <v>0</v>
      </c>
      <c r="X431" s="17">
        <f t="shared" si="90"/>
        <v>0</v>
      </c>
      <c r="Y431" s="14" t="str">
        <f t="shared" si="80"/>
        <v>FBLK</v>
      </c>
      <c r="Z431" t="str">
        <f t="shared" si="91"/>
        <v>SHIB COIN LONG</v>
      </c>
      <c r="AA431" t="b">
        <f>IF($C431="","",IF(ISERROR(VLOOKUP($Y431,Mappings!$A:$C,3,FALSE)),FALSE,VLOOKUP($Y431,Mappings!$A:$C,3,FALSE)))</f>
        <v>0</v>
      </c>
    </row>
    <row r="432" spans="1:27" customFormat="1" x14ac:dyDescent="0.25">
      <c r="A432" s="14">
        <v>430</v>
      </c>
      <c r="B432" s="71">
        <v>44938.983087002314</v>
      </c>
      <c r="C432" s="14" t="s">
        <v>186</v>
      </c>
      <c r="D432" s="23" t="s">
        <v>186</v>
      </c>
      <c r="E432" s="23" t="s">
        <v>154</v>
      </c>
      <c r="F432" s="101">
        <v>11.66666667</v>
      </c>
      <c r="G432" s="153">
        <v>193.888849012995</v>
      </c>
      <c r="H432" s="157">
        <v>16.6190441963655</v>
      </c>
      <c r="I432" s="23">
        <v>0</v>
      </c>
      <c r="J432" s="23" t="s">
        <v>85</v>
      </c>
      <c r="K432" s="24">
        <v>44938.983087002314</v>
      </c>
      <c r="L432" s="23">
        <v>1</v>
      </c>
      <c r="M432" s="23" t="s">
        <v>154</v>
      </c>
      <c r="N432" s="45">
        <f t="shared" si="82"/>
        <v>1</v>
      </c>
      <c r="O432" s="159">
        <f t="shared" si="83"/>
        <v>11.66666667</v>
      </c>
      <c r="P432" s="47">
        <f t="shared" si="84"/>
        <v>193.88884901299431</v>
      </c>
      <c r="Q432" s="25">
        <f t="shared" si="85"/>
        <v>0</v>
      </c>
      <c r="R432" s="26" t="str">
        <f t="shared" si="86"/>
        <v>COIN</v>
      </c>
      <c r="S432" s="26" t="str">
        <f t="shared" si="81"/>
        <v>LONG</v>
      </c>
      <c r="T432" s="26" t="str">
        <f t="shared" si="87"/>
        <v>COIN LONG</v>
      </c>
      <c r="U432" s="17">
        <f t="shared" si="88"/>
        <v>193.888849012995</v>
      </c>
      <c r="V432" s="17">
        <f t="shared" si="89"/>
        <v>16.6190441963655</v>
      </c>
      <c r="W432" s="39">
        <f>IF($C432="","",IF(DefaultScenario,IF(OR(AND(Default_Exchange="ALL",NOT(ISERROR(MATCH($C432,$AF$6:$AF$37,0)))),$C432=Default_Exchange),IF($G432&gt;0,-LGD,0),0),IF(OR($J432="SWAP",$J432="FUTURE",$J432="CME FUTURE"),IF('Futures &amp; Perps Shifted'!$AE$31,VLOOKUP($M432,'Futures &amp; Perps Shifted'!$AE$32:$AO$76,MATCH($R432,'Futures &amp; Perps Shifted'!$AE$30:$AO$30,0),FALSE),0),0)))</f>
        <v>0</v>
      </c>
      <c r="X432" s="17">
        <f t="shared" si="90"/>
        <v>0</v>
      </c>
      <c r="Y432" s="14" t="str">
        <f t="shared" si="80"/>
        <v>FBLK</v>
      </c>
      <c r="Z432" t="str">
        <f t="shared" si="91"/>
        <v>SOL COIN LONG</v>
      </c>
      <c r="AA432" t="b">
        <f>IF($C432="","",IF(ISERROR(VLOOKUP($Y432,Mappings!$A:$C,3,FALSE)),FALSE,VLOOKUP($Y432,Mappings!$A:$C,3,FALSE)))</f>
        <v>0</v>
      </c>
    </row>
    <row r="433" spans="1:27" customFormat="1" x14ac:dyDescent="0.25">
      <c r="A433" s="14">
        <v>431</v>
      </c>
      <c r="B433" s="71">
        <v>44938.983087002314</v>
      </c>
      <c r="C433" s="14" t="s">
        <v>186</v>
      </c>
      <c r="D433" s="23" t="s">
        <v>186</v>
      </c>
      <c r="E433" s="23" t="s">
        <v>414</v>
      </c>
      <c r="F433" s="101">
        <v>719.80145141000003</v>
      </c>
      <c r="G433" s="153">
        <v>818.91061212288105</v>
      </c>
      <c r="H433" s="157">
        <v>1.1376895816460699</v>
      </c>
      <c r="I433" s="23">
        <v>0</v>
      </c>
      <c r="J433" s="23" t="s">
        <v>85</v>
      </c>
      <c r="K433" s="24">
        <v>44938.983087002314</v>
      </c>
      <c r="L433" s="23">
        <v>1</v>
      </c>
      <c r="M433" s="23" t="s">
        <v>414</v>
      </c>
      <c r="N433" s="45">
        <f t="shared" si="82"/>
        <v>1</v>
      </c>
      <c r="O433" s="159">
        <f t="shared" si="83"/>
        <v>719.80145141000003</v>
      </c>
      <c r="P433" s="47">
        <f t="shared" si="84"/>
        <v>818.91061212287684</v>
      </c>
      <c r="Q433" s="25">
        <f t="shared" si="85"/>
        <v>0</v>
      </c>
      <c r="R433" s="26" t="str">
        <f t="shared" si="86"/>
        <v>COIN</v>
      </c>
      <c r="S433" s="26" t="str">
        <f t="shared" si="81"/>
        <v>LONG</v>
      </c>
      <c r="T433" s="26" t="str">
        <f t="shared" si="87"/>
        <v>COIN LONG</v>
      </c>
      <c r="U433" s="17">
        <f t="shared" si="88"/>
        <v>818.91061212288105</v>
      </c>
      <c r="V433" s="17">
        <f t="shared" si="89"/>
        <v>1.1376895816460699</v>
      </c>
      <c r="W433" s="39">
        <f>IF($C433="","",IF(DefaultScenario,IF(OR(AND(Default_Exchange="ALL",NOT(ISERROR(MATCH($C433,$AF$6:$AF$37,0)))),$C433=Default_Exchange),IF($G433&gt;0,-LGD,0),0),IF(OR($J433="SWAP",$J433="FUTURE",$J433="CME FUTURE"),IF('Futures &amp; Perps Shifted'!$AE$31,VLOOKUP($M433,'Futures &amp; Perps Shifted'!$AE$32:$AO$76,MATCH($R433,'Futures &amp; Perps Shifted'!$AE$30:$AO$30,0),FALSE),0),0)))</f>
        <v>0</v>
      </c>
      <c r="X433" s="17">
        <f t="shared" si="90"/>
        <v>0</v>
      </c>
      <c r="Y433" s="14" t="str">
        <f t="shared" ref="Y433:Y496" si="92">IF($C433="","",IF(ISERROR(SEARCH("-",$D433)),$C433,LEFT($D433,SEARCH("-",$D433)-1)))</f>
        <v>FBLK</v>
      </c>
      <c r="Z433" t="str">
        <f t="shared" si="91"/>
        <v>SUSHI COIN LONG</v>
      </c>
      <c r="AA433" t="b">
        <f>IF($C433="","",IF(ISERROR(VLOOKUP($Y433,Mappings!$A:$C,3,FALSE)),FALSE,VLOOKUP($Y433,Mappings!$A:$C,3,FALSE)))</f>
        <v>0</v>
      </c>
    </row>
    <row r="434" spans="1:27" customFormat="1" x14ac:dyDescent="0.25">
      <c r="A434" s="14">
        <v>432</v>
      </c>
      <c r="B434" s="71">
        <v>44938.983087002314</v>
      </c>
      <c r="C434" s="14" t="s">
        <v>186</v>
      </c>
      <c r="D434" s="23" t="s">
        <v>186</v>
      </c>
      <c r="E434" s="23" t="s">
        <v>159</v>
      </c>
      <c r="F434" s="101">
        <v>308.31158293999999</v>
      </c>
      <c r="G434" s="153">
        <v>1903.3249551695501</v>
      </c>
      <c r="H434" s="157">
        <v>6.1733812820777398</v>
      </c>
      <c r="I434" s="23">
        <v>0</v>
      </c>
      <c r="J434" s="23" t="s">
        <v>85</v>
      </c>
      <c r="K434" s="24">
        <v>44938.983087002314</v>
      </c>
      <c r="L434" s="23">
        <v>1</v>
      </c>
      <c r="M434" s="23" t="s">
        <v>159</v>
      </c>
      <c r="N434" s="45">
        <f t="shared" si="82"/>
        <v>1</v>
      </c>
      <c r="O434" s="159">
        <f t="shared" si="83"/>
        <v>308.31158293999999</v>
      </c>
      <c r="P434" s="47">
        <f t="shared" si="84"/>
        <v>1903.3249551695546</v>
      </c>
      <c r="Q434" s="25">
        <f t="shared" si="85"/>
        <v>0</v>
      </c>
      <c r="R434" s="26" t="str">
        <f t="shared" si="86"/>
        <v>COIN</v>
      </c>
      <c r="S434" s="26" t="str">
        <f t="shared" si="81"/>
        <v>LONG</v>
      </c>
      <c r="T434" s="26" t="str">
        <f t="shared" si="87"/>
        <v>COIN LONG</v>
      </c>
      <c r="U434" s="17">
        <f t="shared" si="88"/>
        <v>1903.3249551695501</v>
      </c>
      <c r="V434" s="17">
        <f t="shared" si="89"/>
        <v>6.1733812820777398</v>
      </c>
      <c r="W434" s="39">
        <f>IF($C434="","",IF(DefaultScenario,IF(OR(AND(Default_Exchange="ALL",NOT(ISERROR(MATCH($C434,$AF$6:$AF$37,0)))),$C434=Default_Exchange),IF($G434&gt;0,-LGD,0),0),IF(OR($J434="SWAP",$J434="FUTURE",$J434="CME FUTURE"),IF('Futures &amp; Perps Shifted'!$AE$31,VLOOKUP($M434,'Futures &amp; Perps Shifted'!$AE$32:$AO$76,MATCH($R434,'Futures &amp; Perps Shifted'!$AE$30:$AO$30,0),FALSE),0),0)))</f>
        <v>0</v>
      </c>
      <c r="X434" s="17">
        <f t="shared" si="90"/>
        <v>0</v>
      </c>
      <c r="Y434" s="14" t="str">
        <f t="shared" si="92"/>
        <v>FBLK</v>
      </c>
      <c r="Z434" t="str">
        <f t="shared" si="91"/>
        <v>UNI COIN LONG</v>
      </c>
      <c r="AA434" t="b">
        <f>IF($C434="","",IF(ISERROR(VLOOKUP($Y434,Mappings!$A:$C,3,FALSE)),FALSE,VLOOKUP($Y434,Mappings!$A:$C,3,FALSE)))</f>
        <v>0</v>
      </c>
    </row>
    <row r="435" spans="1:27" customFormat="1" x14ac:dyDescent="0.25">
      <c r="A435" s="14">
        <v>433</v>
      </c>
      <c r="B435" s="71">
        <v>44938.983087002314</v>
      </c>
      <c r="C435" s="14" t="s">
        <v>186</v>
      </c>
      <c r="D435" s="23" t="s">
        <v>186</v>
      </c>
      <c r="E435" s="23" t="s">
        <v>92</v>
      </c>
      <c r="F435" s="101">
        <v>18401408.683667999</v>
      </c>
      <c r="G435" s="153">
        <v>18402736.3384481</v>
      </c>
      <c r="H435" s="157">
        <v>1.0000721496274001</v>
      </c>
      <c r="I435" s="23">
        <v>0</v>
      </c>
      <c r="J435" s="23" t="s">
        <v>85</v>
      </c>
      <c r="K435" s="24">
        <v>44938.983087002314</v>
      </c>
      <c r="L435" s="23">
        <v>1</v>
      </c>
      <c r="M435" s="23" t="s">
        <v>92</v>
      </c>
      <c r="N435" s="45">
        <f t="shared" si="82"/>
        <v>1</v>
      </c>
      <c r="O435" s="159">
        <f t="shared" si="83"/>
        <v>18401408.683667999</v>
      </c>
      <c r="P435" s="47">
        <f t="shared" si="84"/>
        <v>18402736.338448163</v>
      </c>
      <c r="Q435" s="25">
        <f t="shared" si="85"/>
        <v>0</v>
      </c>
      <c r="R435" s="26" t="str">
        <f t="shared" si="86"/>
        <v>COIN</v>
      </c>
      <c r="S435" s="26" t="str">
        <f t="shared" si="81"/>
        <v>LONG</v>
      </c>
      <c r="T435" s="26" t="str">
        <f t="shared" si="87"/>
        <v>COIN LONG</v>
      </c>
      <c r="U435" s="17">
        <f t="shared" si="88"/>
        <v>18402736.3384481</v>
      </c>
      <c r="V435" s="17">
        <f t="shared" si="89"/>
        <v>1.0000721496274001</v>
      </c>
      <c r="W435" s="39">
        <f>IF($C435="","",IF(DefaultScenario,IF(OR(AND(Default_Exchange="ALL",NOT(ISERROR(MATCH($C435,$AF$6:$AF$37,0)))),$C435=Default_Exchange),IF($G435&gt;0,-LGD,0),0),IF(OR($J435="SWAP",$J435="FUTURE",$J435="CME FUTURE"),IF('Futures &amp; Perps Shifted'!$AE$31,VLOOKUP($M435,'Futures &amp; Perps Shifted'!$AE$32:$AO$76,MATCH($R435,'Futures &amp; Perps Shifted'!$AE$30:$AO$30,0),FALSE),0),0)))</f>
        <v>0</v>
      </c>
      <c r="X435" s="17">
        <f t="shared" si="90"/>
        <v>0</v>
      </c>
      <c r="Y435" s="14" t="str">
        <f t="shared" si="92"/>
        <v>FBLK</v>
      </c>
      <c r="Z435" t="str">
        <f t="shared" si="91"/>
        <v>USDC COIN LONG</v>
      </c>
      <c r="AA435" t="b">
        <f>IF($C435="","",IF(ISERROR(VLOOKUP($Y435,Mappings!$A:$C,3,FALSE)),FALSE,VLOOKUP($Y435,Mappings!$A:$C,3,FALSE)))</f>
        <v>0</v>
      </c>
    </row>
    <row r="436" spans="1:27" customFormat="1" x14ac:dyDescent="0.25">
      <c r="A436" s="14">
        <v>434</v>
      </c>
      <c r="B436" s="71">
        <v>44938.983087002314</v>
      </c>
      <c r="C436" s="14" t="s">
        <v>186</v>
      </c>
      <c r="D436" s="23" t="s">
        <v>186</v>
      </c>
      <c r="E436" s="23" t="s">
        <v>38</v>
      </c>
      <c r="F436" s="101">
        <v>1579950.0448429999</v>
      </c>
      <c r="G436" s="153">
        <v>1580095.4779562</v>
      </c>
      <c r="H436" s="157">
        <v>1.00009204918451</v>
      </c>
      <c r="I436" s="23">
        <v>0</v>
      </c>
      <c r="J436" s="23" t="s">
        <v>85</v>
      </c>
      <c r="K436" s="24">
        <v>44938.983087002314</v>
      </c>
      <c r="L436" s="23">
        <v>1</v>
      </c>
      <c r="M436" s="23" t="s">
        <v>38</v>
      </c>
      <c r="N436" s="45">
        <f t="shared" si="82"/>
        <v>1</v>
      </c>
      <c r="O436" s="159">
        <f t="shared" si="83"/>
        <v>1579950.0448429999</v>
      </c>
      <c r="P436" s="47">
        <f t="shared" si="84"/>
        <v>1580095.4779561942</v>
      </c>
      <c r="Q436" s="25">
        <f t="shared" si="85"/>
        <v>0</v>
      </c>
      <c r="R436" s="26" t="str">
        <f t="shared" si="86"/>
        <v>COIN</v>
      </c>
      <c r="S436" s="26" t="str">
        <f t="shared" si="81"/>
        <v>LONG</v>
      </c>
      <c r="T436" s="26" t="str">
        <f t="shared" si="87"/>
        <v>COIN LONG</v>
      </c>
      <c r="U436" s="17">
        <f t="shared" si="88"/>
        <v>1580095.4779562</v>
      </c>
      <c r="V436" s="17">
        <f t="shared" si="89"/>
        <v>1.00009204918451</v>
      </c>
      <c r="W436" s="39">
        <f>IF($C436="","",IF(DefaultScenario,IF(OR(AND(Default_Exchange="ALL",NOT(ISERROR(MATCH($C436,$AF$6:$AF$37,0)))),$C436=Default_Exchange),IF($G436&gt;0,-LGD,0),0),IF(OR($J436="SWAP",$J436="FUTURE",$J436="CME FUTURE"),IF('Futures &amp; Perps Shifted'!$AE$31,VLOOKUP($M436,'Futures &amp; Perps Shifted'!$AE$32:$AO$76,MATCH($R436,'Futures &amp; Perps Shifted'!$AE$30:$AO$30,0),FALSE),0),0)))</f>
        <v>0</v>
      </c>
      <c r="X436" s="17">
        <f t="shared" si="90"/>
        <v>0</v>
      </c>
      <c r="Y436" s="14" t="str">
        <f t="shared" si="92"/>
        <v>FBLK</v>
      </c>
      <c r="Z436" t="str">
        <f t="shared" si="91"/>
        <v>USDT COIN LONG</v>
      </c>
      <c r="AA436" t="b">
        <f>IF($C436="","",IF(ISERROR(VLOOKUP($Y436,Mappings!$A:$C,3,FALSE)),FALSE,VLOOKUP($Y436,Mappings!$A:$C,3,FALSE)))</f>
        <v>0</v>
      </c>
    </row>
    <row r="437" spans="1:27" customFormat="1" x14ac:dyDescent="0.25">
      <c r="A437" s="14">
        <v>435</v>
      </c>
      <c r="B437" s="71">
        <v>44938.983087002314</v>
      </c>
      <c r="C437" s="14" t="s">
        <v>186</v>
      </c>
      <c r="D437" s="23" t="s">
        <v>186</v>
      </c>
      <c r="E437" s="23" t="s">
        <v>163</v>
      </c>
      <c r="F437" s="101">
        <v>25070.457326</v>
      </c>
      <c r="G437" s="153">
        <v>2046.8470003258101</v>
      </c>
      <c r="H437" s="157">
        <v>8.1643783905093401E-2</v>
      </c>
      <c r="I437" s="23">
        <v>0</v>
      </c>
      <c r="J437" s="23" t="s">
        <v>85</v>
      </c>
      <c r="K437" s="24">
        <v>44938.983087002314</v>
      </c>
      <c r="L437" s="23">
        <v>1</v>
      </c>
      <c r="M437" s="23" t="s">
        <v>163</v>
      </c>
      <c r="N437" s="45">
        <f t="shared" si="82"/>
        <v>1</v>
      </c>
      <c r="O437" s="159">
        <f t="shared" si="83"/>
        <v>25070.457326</v>
      </c>
      <c r="P437" s="47">
        <f t="shared" si="84"/>
        <v>2046.8470003258096</v>
      </c>
      <c r="Q437" s="25">
        <f t="shared" si="85"/>
        <v>0</v>
      </c>
      <c r="R437" s="26" t="str">
        <f t="shared" si="86"/>
        <v>COIN</v>
      </c>
      <c r="S437" s="26" t="str">
        <f t="shared" si="81"/>
        <v>LONG</v>
      </c>
      <c r="T437" s="26" t="str">
        <f t="shared" si="87"/>
        <v>COIN LONG</v>
      </c>
      <c r="U437" s="17">
        <f t="shared" si="88"/>
        <v>2046.8470003258101</v>
      </c>
      <c r="V437" s="17">
        <f t="shared" si="89"/>
        <v>8.1643783905093401E-2</v>
      </c>
      <c r="W437" s="39">
        <f>IF($C437="","",IF(DefaultScenario,IF(OR(AND(Default_Exchange="ALL",NOT(ISERROR(MATCH($C437,$AF$6:$AF$37,0)))),$C437=Default_Exchange),IF($G437&gt;0,-LGD,0),0),IF(OR($J437="SWAP",$J437="FUTURE",$J437="CME FUTURE"),IF('Futures &amp; Perps Shifted'!$AE$31,VLOOKUP($M437,'Futures &amp; Perps Shifted'!$AE$32:$AO$76,MATCH($R437,'Futures &amp; Perps Shifted'!$AE$30:$AO$30,0),FALSE),0),0)))</f>
        <v>0</v>
      </c>
      <c r="X437" s="17">
        <f t="shared" si="90"/>
        <v>0</v>
      </c>
      <c r="Y437" s="14" t="str">
        <f t="shared" si="92"/>
        <v>FBLK</v>
      </c>
      <c r="Z437" t="str">
        <f t="shared" si="91"/>
        <v>XLM COIN LONG</v>
      </c>
      <c r="AA437" t="b">
        <f>IF($C437="","",IF(ISERROR(VLOOKUP($Y437,Mappings!$A:$C,3,FALSE)),FALSE,VLOOKUP($Y437,Mappings!$A:$C,3,FALSE)))</f>
        <v>0</v>
      </c>
    </row>
    <row r="438" spans="1:27" customFormat="1" x14ac:dyDescent="0.25">
      <c r="A438" s="14">
        <v>436</v>
      </c>
      <c r="B438" s="71">
        <v>44938.983087002314</v>
      </c>
      <c r="C438" s="14" t="s">
        <v>186</v>
      </c>
      <c r="D438" s="23" t="s">
        <v>186</v>
      </c>
      <c r="E438" s="23" t="s">
        <v>99</v>
      </c>
      <c r="F438" s="101">
        <v>283.58991600000002</v>
      </c>
      <c r="G438" s="153">
        <v>106.40212605182001</v>
      </c>
      <c r="H438" s="157">
        <v>0.37519714224190098</v>
      </c>
      <c r="I438" s="23">
        <v>0</v>
      </c>
      <c r="J438" s="23" t="s">
        <v>85</v>
      </c>
      <c r="K438" s="24">
        <v>44938.983087002314</v>
      </c>
      <c r="L438" s="23">
        <v>1</v>
      </c>
      <c r="M438" s="23" t="s">
        <v>99</v>
      </c>
      <c r="N438" s="45">
        <f t="shared" si="82"/>
        <v>1</v>
      </c>
      <c r="O438" s="159">
        <f t="shared" si="83"/>
        <v>283.58991600000002</v>
      </c>
      <c r="P438" s="47">
        <f t="shared" si="84"/>
        <v>106.40212605182076</v>
      </c>
      <c r="Q438" s="25">
        <f t="shared" si="85"/>
        <v>0</v>
      </c>
      <c r="R438" s="26" t="str">
        <f t="shared" si="86"/>
        <v>COIN</v>
      </c>
      <c r="S438" s="26" t="str">
        <f t="shared" si="81"/>
        <v>LONG</v>
      </c>
      <c r="T438" s="26" t="str">
        <f t="shared" si="87"/>
        <v>COIN LONG</v>
      </c>
      <c r="U438" s="17">
        <f t="shared" si="88"/>
        <v>106.40212605182001</v>
      </c>
      <c r="V438" s="17">
        <f t="shared" si="89"/>
        <v>0.37519714224190098</v>
      </c>
      <c r="W438" s="39">
        <f>IF($C438="","",IF(DefaultScenario,IF(OR(AND(Default_Exchange="ALL",NOT(ISERROR(MATCH($C438,$AF$6:$AF$37,0)))),$C438=Default_Exchange),IF($G438&gt;0,-LGD,0),0),IF(OR($J438="SWAP",$J438="FUTURE",$J438="CME FUTURE"),IF('Futures &amp; Perps Shifted'!$AE$31,VLOOKUP($M438,'Futures &amp; Perps Shifted'!$AE$32:$AO$76,MATCH($R438,'Futures &amp; Perps Shifted'!$AE$30:$AO$30,0),FALSE),0),0)))</f>
        <v>0</v>
      </c>
      <c r="X438" s="17">
        <f t="shared" si="90"/>
        <v>0</v>
      </c>
      <c r="Y438" s="14" t="str">
        <f t="shared" si="92"/>
        <v>FBLK</v>
      </c>
      <c r="Z438" t="str">
        <f t="shared" si="91"/>
        <v>XRP COIN LONG</v>
      </c>
      <c r="AA438" t="b">
        <f>IF($C438="","",IF(ISERROR(VLOOKUP($Y438,Mappings!$A:$C,3,FALSE)),FALSE,VLOOKUP($Y438,Mappings!$A:$C,3,FALSE)))</f>
        <v>0</v>
      </c>
    </row>
    <row r="439" spans="1:27" customFormat="1" x14ac:dyDescent="0.25">
      <c r="A439" s="14">
        <v>437</v>
      </c>
      <c r="B439" s="71">
        <v>44938.983087002314</v>
      </c>
      <c r="C439" s="14" t="s">
        <v>186</v>
      </c>
      <c r="D439" s="23" t="s">
        <v>186</v>
      </c>
      <c r="E439" s="23" t="s">
        <v>164</v>
      </c>
      <c r="F439" s="101">
        <v>599.81476599999996</v>
      </c>
      <c r="G439" s="153">
        <v>533.37318976092899</v>
      </c>
      <c r="H439" s="157">
        <v>0.88922984226922097</v>
      </c>
      <c r="I439" s="23">
        <v>0</v>
      </c>
      <c r="J439" s="23" t="s">
        <v>85</v>
      </c>
      <c r="K439" s="24">
        <v>44938.983087002314</v>
      </c>
      <c r="L439" s="23">
        <v>1</v>
      </c>
      <c r="M439" s="23" t="s">
        <v>164</v>
      </c>
      <c r="N439" s="45">
        <f t="shared" si="82"/>
        <v>1</v>
      </c>
      <c r="O439" s="159">
        <f t="shared" si="83"/>
        <v>599.81476599999996</v>
      </c>
      <c r="P439" s="47">
        <f t="shared" si="84"/>
        <v>533.37318976092911</v>
      </c>
      <c r="Q439" s="25">
        <f t="shared" si="85"/>
        <v>0</v>
      </c>
      <c r="R439" s="26" t="str">
        <f t="shared" si="86"/>
        <v>COIN</v>
      </c>
      <c r="S439" s="26" t="str">
        <f t="shared" si="81"/>
        <v>LONG</v>
      </c>
      <c r="T439" s="26" t="str">
        <f t="shared" si="87"/>
        <v>COIN LONG</v>
      </c>
      <c r="U439" s="17">
        <f t="shared" si="88"/>
        <v>533.37318976092899</v>
      </c>
      <c r="V439" s="17">
        <f t="shared" si="89"/>
        <v>0.88922984226922097</v>
      </c>
      <c r="W439" s="39">
        <f>IF($C439="","",IF(DefaultScenario,IF(OR(AND(Default_Exchange="ALL",NOT(ISERROR(MATCH($C439,$AF$6:$AF$37,0)))),$C439=Default_Exchange),IF($G439&gt;0,-LGD,0),0),IF(OR($J439="SWAP",$J439="FUTURE",$J439="CME FUTURE"),IF('Futures &amp; Perps Shifted'!$AE$31,VLOOKUP($M439,'Futures &amp; Perps Shifted'!$AE$32:$AO$76,MATCH($R439,'Futures &amp; Perps Shifted'!$AE$30:$AO$30,0),FALSE),0),0)))</f>
        <v>0</v>
      </c>
      <c r="X439" s="17">
        <f t="shared" si="90"/>
        <v>0</v>
      </c>
      <c r="Y439" s="14" t="str">
        <f t="shared" si="92"/>
        <v>FBLK</v>
      </c>
      <c r="Z439" t="str">
        <f t="shared" si="91"/>
        <v>XTZ COIN LONG</v>
      </c>
      <c r="AA439" t="b">
        <f>IF($C439="","",IF(ISERROR(VLOOKUP($Y439,Mappings!$A:$C,3,FALSE)),FALSE,VLOOKUP($Y439,Mappings!$A:$C,3,FALSE)))</f>
        <v>0</v>
      </c>
    </row>
    <row r="440" spans="1:27" customFormat="1" x14ac:dyDescent="0.25">
      <c r="A440" s="14">
        <v>438</v>
      </c>
      <c r="B440" s="71">
        <v>44938.983087002314</v>
      </c>
      <c r="C440" s="14" t="s">
        <v>186</v>
      </c>
      <c r="D440" s="23" t="s">
        <v>186</v>
      </c>
      <c r="E440" s="23" t="s">
        <v>171</v>
      </c>
      <c r="F440" s="101">
        <v>3.444444E-2</v>
      </c>
      <c r="G440" s="153">
        <v>214.737571186076</v>
      </c>
      <c r="H440" s="157">
        <v>6234.31738724961</v>
      </c>
      <c r="I440" s="23">
        <v>0</v>
      </c>
      <c r="J440" s="23" t="s">
        <v>85</v>
      </c>
      <c r="K440" s="24">
        <v>44938.983087002314</v>
      </c>
      <c r="L440" s="23">
        <v>1</v>
      </c>
      <c r="M440" s="23" t="s">
        <v>171</v>
      </c>
      <c r="N440" s="45">
        <f t="shared" si="82"/>
        <v>1</v>
      </c>
      <c r="O440" s="159">
        <f t="shared" si="83"/>
        <v>3.444444E-2</v>
      </c>
      <c r="P440" s="47">
        <f t="shared" si="84"/>
        <v>214.73757118607597</v>
      </c>
      <c r="Q440" s="25">
        <f t="shared" si="85"/>
        <v>0</v>
      </c>
      <c r="R440" s="26" t="str">
        <f t="shared" si="86"/>
        <v>COIN</v>
      </c>
      <c r="S440" s="26" t="str">
        <f t="shared" si="81"/>
        <v>LONG</v>
      </c>
      <c r="T440" s="26" t="str">
        <f t="shared" si="87"/>
        <v>COIN LONG</v>
      </c>
      <c r="U440" s="17">
        <f t="shared" si="88"/>
        <v>214.737571186076</v>
      </c>
      <c r="V440" s="17">
        <f t="shared" si="89"/>
        <v>6234.31738724961</v>
      </c>
      <c r="W440" s="39">
        <f>IF($C440="","",IF(DefaultScenario,IF(OR(AND(Default_Exchange="ALL",NOT(ISERROR(MATCH($C440,$AF$6:$AF$37,0)))),$C440=Default_Exchange),IF($G440&gt;0,-LGD,0),0),IF(OR($J440="SWAP",$J440="FUTURE",$J440="CME FUTURE"),IF('Futures &amp; Perps Shifted'!$AE$31,VLOOKUP($M440,'Futures &amp; Perps Shifted'!$AE$32:$AO$76,MATCH($R440,'Futures &amp; Perps Shifted'!$AE$30:$AO$30,0),FALSE),0),0)))</f>
        <v>0</v>
      </c>
      <c r="X440" s="17">
        <f t="shared" si="90"/>
        <v>0</v>
      </c>
      <c r="Y440" s="14" t="str">
        <f t="shared" si="92"/>
        <v>FBLK</v>
      </c>
      <c r="Z440" t="str">
        <f t="shared" si="91"/>
        <v>YFI COIN LONG</v>
      </c>
      <c r="AA440" t="b">
        <f>IF($C440="","",IF(ISERROR(VLOOKUP($Y440,Mappings!$A:$C,3,FALSE)),FALSE,VLOOKUP($Y440,Mappings!$A:$C,3,FALSE)))</f>
        <v>0</v>
      </c>
    </row>
    <row r="441" spans="1:27" customFormat="1" x14ac:dyDescent="0.25">
      <c r="A441" s="14">
        <v>439</v>
      </c>
      <c r="B441" s="71">
        <v>44939.000002199071</v>
      </c>
      <c r="C441" s="14" t="s">
        <v>11</v>
      </c>
      <c r="D441" s="23" t="s">
        <v>194</v>
      </c>
      <c r="E441" s="23" t="s">
        <v>116</v>
      </c>
      <c r="F441" s="101">
        <v>-900</v>
      </c>
      <c r="G441" s="153">
        <v>-61075.022878173899</v>
      </c>
      <c r="H441" s="157">
        <v>67.861136531304297</v>
      </c>
      <c r="I441" s="23">
        <v>0</v>
      </c>
      <c r="J441" s="23" t="s">
        <v>263</v>
      </c>
      <c r="K441" s="24">
        <v>44939.000002199071</v>
      </c>
      <c r="L441" s="23">
        <v>1</v>
      </c>
      <c r="M441" s="23" t="s">
        <v>116</v>
      </c>
      <c r="N441" s="45">
        <f t="shared" si="82"/>
        <v>1</v>
      </c>
      <c r="O441" s="159">
        <f t="shared" si="83"/>
        <v>-900</v>
      </c>
      <c r="P441" s="47">
        <f t="shared" si="84"/>
        <v>-61075.02287817387</v>
      </c>
      <c r="Q441" s="25">
        <f t="shared" si="85"/>
        <v>0</v>
      </c>
      <c r="R441" s="26" t="str">
        <f t="shared" si="86"/>
        <v>COIN</v>
      </c>
      <c r="S441" s="26" t="str">
        <f t="shared" ref="S441:S504" si="93">IF($C441="","",IF($J441="CME FUTURE",IF($G441&gt;0,"LONG","SHORT"),IF($G441&gt;0,"LONG","SHORT")))</f>
        <v>SHORT</v>
      </c>
      <c r="T441" s="26" t="str">
        <f t="shared" si="87"/>
        <v>COIN SHORT</v>
      </c>
      <c r="U441" s="17">
        <f t="shared" si="88"/>
        <v>-61075.022878173899</v>
      </c>
      <c r="V441" s="17">
        <f t="shared" si="89"/>
        <v>67.861136531304297</v>
      </c>
      <c r="W441" s="39">
        <f>IF($C441="","",IF(DefaultScenario,IF(OR(AND(Default_Exchange="ALL",NOT(ISERROR(MATCH($C441,$AF$6:$AF$37,0)))),$C441=Default_Exchange),IF($G441&gt;0,-LGD,0),0),IF(OR($J441="SWAP",$J441="FUTURE",$J441="CME FUTURE"),IF('Futures &amp; Perps Shifted'!$AE$31,VLOOKUP($M441,'Futures &amp; Perps Shifted'!$AE$32:$AO$76,MATCH($R441,'Futures &amp; Perps Shifted'!$AE$30:$AO$30,0),FALSE),0),0)))</f>
        <v>0</v>
      </c>
      <c r="X441" s="17">
        <f t="shared" si="90"/>
        <v>0</v>
      </c>
      <c r="Y441" s="14" t="str">
        <f t="shared" si="92"/>
        <v>BINE</v>
      </c>
      <c r="Z441" t="str">
        <f t="shared" si="91"/>
        <v>AAVE COIN SHORT</v>
      </c>
      <c r="AA441" t="b">
        <f>IF($C441="","",IF(ISERROR(VLOOKUP($Y441,Mappings!$A:$C,3,FALSE)),FALSE,VLOOKUP($Y441,Mappings!$A:$C,3,FALSE)))</f>
        <v>1</v>
      </c>
    </row>
    <row r="442" spans="1:27" customFormat="1" x14ac:dyDescent="0.25">
      <c r="A442" s="14">
        <v>440</v>
      </c>
      <c r="B442" s="71">
        <v>44939.000002199071</v>
      </c>
      <c r="C442" s="14" t="s">
        <v>11</v>
      </c>
      <c r="D442" s="23" t="s">
        <v>194</v>
      </c>
      <c r="E442" s="23" t="s">
        <v>84</v>
      </c>
      <c r="F442" s="101">
        <v>-450000</v>
      </c>
      <c r="G442" s="153">
        <v>-148391.313634519</v>
      </c>
      <c r="H442" s="157">
        <v>0.329758474743375</v>
      </c>
      <c r="I442" s="23">
        <v>0</v>
      </c>
      <c r="J442" s="23" t="s">
        <v>263</v>
      </c>
      <c r="K442" s="24">
        <v>44939.000002199071</v>
      </c>
      <c r="L442" s="23">
        <v>1</v>
      </c>
      <c r="M442" s="23" t="s">
        <v>84</v>
      </c>
      <c r="N442" s="45">
        <f t="shared" si="82"/>
        <v>1</v>
      </c>
      <c r="O442" s="159">
        <f t="shared" si="83"/>
        <v>-450000</v>
      </c>
      <c r="P442" s="47">
        <f t="shared" si="84"/>
        <v>-148391.31363451874</v>
      </c>
      <c r="Q442" s="25">
        <f t="shared" si="85"/>
        <v>0</v>
      </c>
      <c r="R442" s="26" t="str">
        <f t="shared" si="86"/>
        <v>COIN</v>
      </c>
      <c r="S442" s="26" t="str">
        <f t="shared" si="93"/>
        <v>SHORT</v>
      </c>
      <c r="T442" s="26" t="str">
        <f t="shared" si="87"/>
        <v>COIN SHORT</v>
      </c>
      <c r="U442" s="17">
        <f t="shared" si="88"/>
        <v>-148391.313634519</v>
      </c>
      <c r="V442" s="17">
        <f t="shared" si="89"/>
        <v>0.329758474743375</v>
      </c>
      <c r="W442" s="39">
        <f>IF($C442="","",IF(DefaultScenario,IF(OR(AND(Default_Exchange="ALL",NOT(ISERROR(MATCH($C442,$AF$6:$AF$37,0)))),$C442=Default_Exchange),IF($G442&gt;0,-LGD,0),0),IF(OR($J442="SWAP",$J442="FUTURE",$J442="CME FUTURE"),IF('Futures &amp; Perps Shifted'!$AE$31,VLOOKUP($M442,'Futures &amp; Perps Shifted'!$AE$32:$AO$76,MATCH($R442,'Futures &amp; Perps Shifted'!$AE$30:$AO$30,0),FALSE),0),0)))</f>
        <v>0</v>
      </c>
      <c r="X442" s="17">
        <f t="shared" si="90"/>
        <v>0</v>
      </c>
      <c r="Y442" s="14" t="str">
        <f t="shared" si="92"/>
        <v>BINE</v>
      </c>
      <c r="Z442" t="str">
        <f t="shared" si="91"/>
        <v>ADA COIN SHORT</v>
      </c>
      <c r="AA442" t="b">
        <f>IF($C442="","",IF(ISERROR(VLOOKUP($Y442,Mappings!$A:$C,3,FALSE)),FALSE,VLOOKUP($Y442,Mappings!$A:$C,3,FALSE)))</f>
        <v>1</v>
      </c>
    </row>
    <row r="443" spans="1:27" customFormat="1" x14ac:dyDescent="0.25">
      <c r="A443" s="14">
        <v>441</v>
      </c>
      <c r="B443" s="71">
        <v>44939.000002199071</v>
      </c>
      <c r="C443" s="14" t="s">
        <v>11</v>
      </c>
      <c r="D443" s="23" t="s">
        <v>194</v>
      </c>
      <c r="E443" s="23" t="s">
        <v>122</v>
      </c>
      <c r="F443" s="101">
        <v>-244800</v>
      </c>
      <c r="G443" s="153">
        <v>-52026.485137980802</v>
      </c>
      <c r="H443" s="157">
        <v>0.21252649157671899</v>
      </c>
      <c r="I443" s="23">
        <v>0</v>
      </c>
      <c r="J443" s="23" t="s">
        <v>263</v>
      </c>
      <c r="K443" s="24">
        <v>44939.000002199071</v>
      </c>
      <c r="L443" s="23">
        <v>1</v>
      </c>
      <c r="M443" s="23" t="s">
        <v>122</v>
      </c>
      <c r="N443" s="45">
        <f t="shared" ref="N443:N506" si="94">IF($C443="","",IF(OR($J443="SWAP",$J443="FUTURE",$J443="CME FUTURE"),IF($L443=1,ROUND($G443/$H443/$F443,3),POWER(10,ROUND(LOG($G443/$F443),1))),1))</f>
        <v>1</v>
      </c>
      <c r="O443" s="159">
        <f t="shared" si="83"/>
        <v>-244800</v>
      </c>
      <c r="P443" s="47">
        <f t="shared" si="84"/>
        <v>-52026.48513798081</v>
      </c>
      <c r="Q443" s="25">
        <f t="shared" si="85"/>
        <v>0</v>
      </c>
      <c r="R443" s="26" t="str">
        <f t="shared" si="86"/>
        <v>COIN</v>
      </c>
      <c r="S443" s="26" t="str">
        <f t="shared" si="93"/>
        <v>SHORT</v>
      </c>
      <c r="T443" s="26" t="str">
        <f t="shared" si="87"/>
        <v>COIN SHORT</v>
      </c>
      <c r="U443" s="17">
        <f t="shared" si="88"/>
        <v>-52026.485137980802</v>
      </c>
      <c r="V443" s="17">
        <f t="shared" si="89"/>
        <v>0.21252649157671899</v>
      </c>
      <c r="W443" s="39">
        <f>IF($C443="","",IF(DefaultScenario,IF(OR(AND(Default_Exchange="ALL",NOT(ISERROR(MATCH($C443,$AF$6:$AF$37,0)))),$C443=Default_Exchange),IF($G443&gt;0,-LGD,0),0),IF(OR($J443="SWAP",$J443="FUTURE",$J443="CME FUTURE"),IF('Futures &amp; Perps Shifted'!$AE$31,VLOOKUP($M443,'Futures &amp; Perps Shifted'!$AE$32:$AO$76,MATCH($R443,'Futures &amp; Perps Shifted'!$AE$30:$AO$30,0),FALSE),0),0)))</f>
        <v>0</v>
      </c>
      <c r="X443" s="17">
        <f t="shared" si="90"/>
        <v>0</v>
      </c>
      <c r="Y443" s="14" t="str">
        <f t="shared" si="92"/>
        <v>BINE</v>
      </c>
      <c r="Z443" t="str">
        <f t="shared" si="91"/>
        <v>ALGO COIN SHORT</v>
      </c>
      <c r="AA443" t="b">
        <f>IF($C443="","",IF(ISERROR(VLOOKUP($Y443,Mappings!$A:$C,3,FALSE)),FALSE,VLOOKUP($Y443,Mappings!$A:$C,3,FALSE)))</f>
        <v>1</v>
      </c>
    </row>
    <row r="444" spans="1:27" customFormat="1" x14ac:dyDescent="0.25">
      <c r="A444" s="14">
        <v>442</v>
      </c>
      <c r="B444" s="71">
        <v>44939.000002199071</v>
      </c>
      <c r="C444" s="14" t="s">
        <v>11</v>
      </c>
      <c r="D444" s="23" t="s">
        <v>194</v>
      </c>
      <c r="E444" s="23" t="s">
        <v>187</v>
      </c>
      <c r="F444" s="101">
        <v>-6000</v>
      </c>
      <c r="G444" s="153">
        <v>-92744.101558686598</v>
      </c>
      <c r="H444" s="157">
        <v>15.4573502597811</v>
      </c>
      <c r="I444" s="23">
        <v>0</v>
      </c>
      <c r="J444" s="23" t="s">
        <v>263</v>
      </c>
      <c r="K444" s="24">
        <v>44939.000002199071</v>
      </c>
      <c r="L444" s="23">
        <v>1</v>
      </c>
      <c r="M444" s="23" t="s">
        <v>187</v>
      </c>
      <c r="N444" s="45">
        <f t="shared" si="94"/>
        <v>1</v>
      </c>
      <c r="O444" s="159">
        <f t="shared" ref="O444:O507" si="95">IF($C444="","",IF(OR($J444="SWAP",$J444="FUTURE",$J444="CME FUTURE"),IF($L444=1,$F444*$N444,$AB$2*$F444*$N444/$H444),F444))</f>
        <v>-6000</v>
      </c>
      <c r="P444" s="47">
        <f t="shared" si="84"/>
        <v>-92744.101558686598</v>
      </c>
      <c r="Q444" s="25">
        <f t="shared" si="85"/>
        <v>0</v>
      </c>
      <c r="R444" s="26" t="str">
        <f t="shared" si="86"/>
        <v>COIN</v>
      </c>
      <c r="S444" s="26" t="str">
        <f t="shared" si="93"/>
        <v>SHORT</v>
      </c>
      <c r="T444" s="26" t="str">
        <f t="shared" si="87"/>
        <v>COIN SHORT</v>
      </c>
      <c r="U444" s="17">
        <f t="shared" si="88"/>
        <v>-92744.101558686598</v>
      </c>
      <c r="V444" s="17">
        <f t="shared" si="89"/>
        <v>15.4573502597811</v>
      </c>
      <c r="W444" s="39">
        <f>IF($C444="","",IF(DefaultScenario,IF(OR(AND(Default_Exchange="ALL",NOT(ISERROR(MATCH($C444,$AF$6:$AF$37,0)))),$C444=Default_Exchange),IF($G444&gt;0,-LGD,0),0),IF(OR($J444="SWAP",$J444="FUTURE",$J444="CME FUTURE"),IF('Futures &amp; Perps Shifted'!$AE$31,VLOOKUP($M444,'Futures &amp; Perps Shifted'!$AE$32:$AO$76,MATCH($R444,'Futures &amp; Perps Shifted'!$AE$30:$AO$30,0),FALSE),0),0)))</f>
        <v>0</v>
      </c>
      <c r="X444" s="17">
        <f t="shared" si="90"/>
        <v>0</v>
      </c>
      <c r="Y444" s="14" t="str">
        <f t="shared" si="92"/>
        <v>BINE</v>
      </c>
      <c r="Z444" t="str">
        <f t="shared" si="91"/>
        <v>AVAX COIN SHORT</v>
      </c>
      <c r="AA444" t="b">
        <f>IF($C444="","",IF(ISERROR(VLOOKUP($Y444,Mappings!$A:$C,3,FALSE)),FALSE,VLOOKUP($Y444,Mappings!$A:$C,3,FALSE)))</f>
        <v>1</v>
      </c>
    </row>
    <row r="445" spans="1:27" customFormat="1" x14ac:dyDescent="0.25">
      <c r="A445" s="14">
        <v>443</v>
      </c>
      <c r="B445" s="71">
        <v>44939.000002199071</v>
      </c>
      <c r="C445" s="14" t="s">
        <v>11</v>
      </c>
      <c r="D445" s="23" t="s">
        <v>194</v>
      </c>
      <c r="E445" s="23" t="s">
        <v>124</v>
      </c>
      <c r="F445" s="101">
        <v>-200000</v>
      </c>
      <c r="G445" s="153">
        <v>-40954.803038368504</v>
      </c>
      <c r="H445" s="157">
        <v>0.20477401519184199</v>
      </c>
      <c r="I445" s="23">
        <v>0</v>
      </c>
      <c r="J445" s="23" t="s">
        <v>263</v>
      </c>
      <c r="K445" s="24">
        <v>44939.000002199071</v>
      </c>
      <c r="L445" s="23">
        <v>1</v>
      </c>
      <c r="M445" s="23" t="s">
        <v>124</v>
      </c>
      <c r="N445" s="45">
        <f t="shared" si="94"/>
        <v>1</v>
      </c>
      <c r="O445" s="159">
        <f t="shared" si="95"/>
        <v>-200000</v>
      </c>
      <c r="P445" s="47">
        <f t="shared" si="84"/>
        <v>-40954.803038368394</v>
      </c>
      <c r="Q445" s="25">
        <f t="shared" si="85"/>
        <v>0</v>
      </c>
      <c r="R445" s="26" t="str">
        <f t="shared" si="86"/>
        <v>COIN</v>
      </c>
      <c r="S445" s="26" t="str">
        <f t="shared" si="93"/>
        <v>SHORT</v>
      </c>
      <c r="T445" s="26" t="str">
        <f t="shared" si="87"/>
        <v>COIN SHORT</v>
      </c>
      <c r="U445" s="17">
        <f t="shared" si="88"/>
        <v>-40954.803038368504</v>
      </c>
      <c r="V445" s="17">
        <f t="shared" si="89"/>
        <v>0.20477401519184199</v>
      </c>
      <c r="W445" s="39">
        <f>IF($C445="","",IF(DefaultScenario,IF(OR(AND(Default_Exchange="ALL",NOT(ISERROR(MATCH($C445,$AF$6:$AF$37,0)))),$C445=Default_Exchange),IF($G445&gt;0,-LGD,0),0),IF(OR($J445="SWAP",$J445="FUTURE",$J445="CME FUTURE"),IF('Futures &amp; Perps Shifted'!$AE$31,VLOOKUP($M445,'Futures &amp; Perps Shifted'!$AE$32:$AO$76,MATCH($R445,'Futures &amp; Perps Shifted'!$AE$30:$AO$30,0),FALSE),0),0)))</f>
        <v>0</v>
      </c>
      <c r="X445" s="17">
        <f t="shared" si="90"/>
        <v>0</v>
      </c>
      <c r="Y445" s="14" t="str">
        <f t="shared" si="92"/>
        <v>BINE</v>
      </c>
      <c r="Z445" t="str">
        <f t="shared" si="91"/>
        <v>BAT COIN SHORT</v>
      </c>
      <c r="AA445" t="b">
        <f>IF($C445="","",IF(ISERROR(VLOOKUP($Y445,Mappings!$A:$C,3,FALSE)),FALSE,VLOOKUP($Y445,Mappings!$A:$C,3,FALSE)))</f>
        <v>1</v>
      </c>
    </row>
    <row r="446" spans="1:27" customFormat="1" x14ac:dyDescent="0.25">
      <c r="A446" s="14">
        <v>444</v>
      </c>
      <c r="B446" s="71">
        <v>44939.000002199071</v>
      </c>
      <c r="C446" s="14" t="s">
        <v>11</v>
      </c>
      <c r="D446" s="23" t="s">
        <v>194</v>
      </c>
      <c r="E446" s="23" t="s">
        <v>20</v>
      </c>
      <c r="F446" s="101">
        <v>-90</v>
      </c>
      <c r="G446" s="153">
        <v>-10773.941952367</v>
      </c>
      <c r="H446" s="157">
        <v>119.710466137412</v>
      </c>
      <c r="I446" s="23">
        <v>0</v>
      </c>
      <c r="J446" s="23" t="s">
        <v>263</v>
      </c>
      <c r="K446" s="24">
        <v>44939.000002199071</v>
      </c>
      <c r="L446" s="23">
        <v>1</v>
      </c>
      <c r="M446" s="23" t="s">
        <v>20</v>
      </c>
      <c r="N446" s="45">
        <f t="shared" si="94"/>
        <v>1</v>
      </c>
      <c r="O446" s="159">
        <f t="shared" si="95"/>
        <v>-90</v>
      </c>
      <c r="P446" s="47">
        <f t="shared" si="84"/>
        <v>-10773.94195236708</v>
      </c>
      <c r="Q446" s="25">
        <f t="shared" si="85"/>
        <v>0</v>
      </c>
      <c r="R446" s="26" t="str">
        <f t="shared" si="86"/>
        <v>COIN</v>
      </c>
      <c r="S446" s="26" t="str">
        <f t="shared" si="93"/>
        <v>SHORT</v>
      </c>
      <c r="T446" s="26" t="str">
        <f t="shared" si="87"/>
        <v>COIN SHORT</v>
      </c>
      <c r="U446" s="17">
        <f t="shared" si="88"/>
        <v>-10773.941952367</v>
      </c>
      <c r="V446" s="17">
        <f t="shared" si="89"/>
        <v>119.710466137412</v>
      </c>
      <c r="W446" s="39">
        <f>IF($C446="","",IF(DefaultScenario,IF(OR(AND(Default_Exchange="ALL",NOT(ISERROR(MATCH($C446,$AF$6:$AF$37,0)))),$C446=Default_Exchange),IF($G446&gt;0,-LGD,0),0),IF(OR($J446="SWAP",$J446="FUTURE",$J446="CME FUTURE"),IF('Futures &amp; Perps Shifted'!$AE$31,VLOOKUP($M446,'Futures &amp; Perps Shifted'!$AE$32:$AO$76,MATCH($R446,'Futures &amp; Perps Shifted'!$AE$30:$AO$30,0),FALSE),0),0)))</f>
        <v>0</v>
      </c>
      <c r="X446" s="17">
        <f t="shared" si="90"/>
        <v>0</v>
      </c>
      <c r="Y446" s="14" t="str">
        <f t="shared" si="92"/>
        <v>BINE</v>
      </c>
      <c r="Z446" t="str">
        <f t="shared" si="91"/>
        <v>BCH COIN SHORT</v>
      </c>
      <c r="AA446" t="b">
        <f>IF($C446="","",IF(ISERROR(VLOOKUP($Y446,Mappings!$A:$C,3,FALSE)),FALSE,VLOOKUP($Y446,Mappings!$A:$C,3,FALSE)))</f>
        <v>1</v>
      </c>
    </row>
    <row r="447" spans="1:27" customFormat="1" x14ac:dyDescent="0.25">
      <c r="A447" s="14">
        <v>445</v>
      </c>
      <c r="B447" s="71">
        <v>44939.000002199071</v>
      </c>
      <c r="C447" s="14" t="s">
        <v>11</v>
      </c>
      <c r="D447" s="23" t="s">
        <v>194</v>
      </c>
      <c r="E447" s="23" t="s">
        <v>31</v>
      </c>
      <c r="F447" s="101">
        <v>-4800</v>
      </c>
      <c r="G447" s="153">
        <v>-180990.80740570201</v>
      </c>
      <c r="H447" s="157">
        <v>37.706418209521303</v>
      </c>
      <c r="I447" s="23">
        <v>0</v>
      </c>
      <c r="J447" s="23" t="s">
        <v>263</v>
      </c>
      <c r="K447" s="24">
        <v>44939.000002199071</v>
      </c>
      <c r="L447" s="23">
        <v>1</v>
      </c>
      <c r="M447" s="23" t="s">
        <v>31</v>
      </c>
      <c r="N447" s="45">
        <f t="shared" si="94"/>
        <v>1</v>
      </c>
      <c r="O447" s="159">
        <f t="shared" si="95"/>
        <v>-4800</v>
      </c>
      <c r="P447" s="47">
        <f t="shared" si="84"/>
        <v>-180990.80740570225</v>
      </c>
      <c r="Q447" s="25">
        <f t="shared" si="85"/>
        <v>0</v>
      </c>
      <c r="R447" s="26" t="str">
        <f t="shared" si="86"/>
        <v>COIN</v>
      </c>
      <c r="S447" s="26" t="str">
        <f t="shared" si="93"/>
        <v>SHORT</v>
      </c>
      <c r="T447" s="26" t="str">
        <f t="shared" si="87"/>
        <v>COIN SHORT</v>
      </c>
      <c r="U447" s="17">
        <f t="shared" si="88"/>
        <v>-180990.80740570201</v>
      </c>
      <c r="V447" s="17">
        <f t="shared" si="89"/>
        <v>37.706418209521303</v>
      </c>
      <c r="W447" s="39">
        <f>IF($C447="","",IF(DefaultScenario,IF(OR(AND(Default_Exchange="ALL",NOT(ISERROR(MATCH($C447,$AF$6:$AF$37,0)))),$C447=Default_Exchange),IF($G447&gt;0,-LGD,0),0),IF(OR($J447="SWAP",$J447="FUTURE",$J447="CME FUTURE"),IF('Futures &amp; Perps Shifted'!$AE$31,VLOOKUP($M447,'Futures &amp; Perps Shifted'!$AE$32:$AO$76,MATCH($R447,'Futures &amp; Perps Shifted'!$AE$30:$AO$30,0),FALSE),0),0)))</f>
        <v>0</v>
      </c>
      <c r="X447" s="17">
        <f t="shared" si="90"/>
        <v>0</v>
      </c>
      <c r="Y447" s="14" t="str">
        <f t="shared" si="92"/>
        <v>BINE</v>
      </c>
      <c r="Z447" t="str">
        <f t="shared" si="91"/>
        <v>COMP COIN SHORT</v>
      </c>
      <c r="AA447" t="b">
        <f>IF($C447="","",IF(ISERROR(VLOOKUP($Y447,Mappings!$A:$C,3,FALSE)),FALSE,VLOOKUP($Y447,Mappings!$A:$C,3,FALSE)))</f>
        <v>1</v>
      </c>
    </row>
    <row r="448" spans="1:27" customFormat="1" x14ac:dyDescent="0.25">
      <c r="A448" s="14">
        <v>446</v>
      </c>
      <c r="B448" s="71">
        <v>44939.000002199071</v>
      </c>
      <c r="C448" s="14" t="s">
        <v>11</v>
      </c>
      <c r="D448" s="23" t="s">
        <v>194</v>
      </c>
      <c r="E448" s="23" t="s">
        <v>132</v>
      </c>
      <c r="F448" s="101">
        <v>-1000</v>
      </c>
      <c r="G448" s="153">
        <v>-49356.487119112797</v>
      </c>
      <c r="H448" s="157">
        <v>49.356487119112799</v>
      </c>
      <c r="I448" s="23">
        <v>0</v>
      </c>
      <c r="J448" s="23" t="s">
        <v>263</v>
      </c>
      <c r="K448" s="24">
        <v>44939.000002199071</v>
      </c>
      <c r="L448" s="23">
        <v>1</v>
      </c>
      <c r="M448" s="23" t="s">
        <v>132</v>
      </c>
      <c r="N448" s="45">
        <f t="shared" si="94"/>
        <v>1</v>
      </c>
      <c r="O448" s="159">
        <f t="shared" si="95"/>
        <v>-1000</v>
      </c>
      <c r="P448" s="47">
        <f t="shared" si="84"/>
        <v>-49356.487119112797</v>
      </c>
      <c r="Q448" s="25">
        <f t="shared" si="85"/>
        <v>0</v>
      </c>
      <c r="R448" s="26" t="str">
        <f t="shared" si="86"/>
        <v>COIN</v>
      </c>
      <c r="S448" s="26" t="str">
        <f t="shared" si="93"/>
        <v>SHORT</v>
      </c>
      <c r="T448" s="26" t="str">
        <f t="shared" si="87"/>
        <v>COIN SHORT</v>
      </c>
      <c r="U448" s="17">
        <f t="shared" si="88"/>
        <v>-49356.487119112797</v>
      </c>
      <c r="V448" s="17">
        <f t="shared" si="89"/>
        <v>49.356487119112799</v>
      </c>
      <c r="W448" s="39">
        <f>IF($C448="","",IF(DefaultScenario,IF(OR(AND(Default_Exchange="ALL",NOT(ISERROR(MATCH($C448,$AF$6:$AF$37,0)))),$C448=Default_Exchange),IF($G448&gt;0,-LGD,0),0),IF(OR($J448="SWAP",$J448="FUTURE",$J448="CME FUTURE"),IF('Futures &amp; Perps Shifted'!$AE$31,VLOOKUP($M448,'Futures &amp; Perps Shifted'!$AE$32:$AO$76,MATCH($R448,'Futures &amp; Perps Shifted'!$AE$30:$AO$30,0),FALSE),0),0)))</f>
        <v>0</v>
      </c>
      <c r="X448" s="17">
        <f t="shared" si="90"/>
        <v>0</v>
      </c>
      <c r="Y448" s="14" t="str">
        <f t="shared" si="92"/>
        <v>BINE</v>
      </c>
      <c r="Z448" t="str">
        <f t="shared" si="91"/>
        <v>DASH COIN SHORT</v>
      </c>
      <c r="AA448" t="b">
        <f>IF($C448="","",IF(ISERROR(VLOOKUP($Y448,Mappings!$A:$C,3,FALSE)),FALSE,VLOOKUP($Y448,Mappings!$A:$C,3,FALSE)))</f>
        <v>1</v>
      </c>
    </row>
    <row r="449" spans="1:27" customFormat="1" x14ac:dyDescent="0.25">
      <c r="A449" s="14">
        <v>447</v>
      </c>
      <c r="B449" s="71">
        <v>44939.000002199071</v>
      </c>
      <c r="C449" s="14" t="s">
        <v>11</v>
      </c>
      <c r="D449" s="23" t="s">
        <v>194</v>
      </c>
      <c r="E449" s="23" t="s">
        <v>190</v>
      </c>
      <c r="F449" s="101">
        <v>-1100000</v>
      </c>
      <c r="G449" s="153">
        <v>-88314.309602876194</v>
      </c>
      <c r="H449" s="157">
        <v>8.0285736002614697E-2</v>
      </c>
      <c r="I449" s="23">
        <v>0</v>
      </c>
      <c r="J449" s="23" t="s">
        <v>263</v>
      </c>
      <c r="K449" s="24">
        <v>44939.000002199071</v>
      </c>
      <c r="L449" s="23">
        <v>1</v>
      </c>
      <c r="M449" s="23" t="s">
        <v>190</v>
      </c>
      <c r="N449" s="45">
        <f t="shared" si="94"/>
        <v>1</v>
      </c>
      <c r="O449" s="159">
        <f t="shared" si="95"/>
        <v>-1100000</v>
      </c>
      <c r="P449" s="47">
        <f t="shared" si="84"/>
        <v>-88314.309602876165</v>
      </c>
      <c r="Q449" s="25">
        <f t="shared" si="85"/>
        <v>0</v>
      </c>
      <c r="R449" s="26" t="str">
        <f t="shared" si="86"/>
        <v>COIN</v>
      </c>
      <c r="S449" s="26" t="str">
        <f t="shared" si="93"/>
        <v>SHORT</v>
      </c>
      <c r="T449" s="26" t="str">
        <f t="shared" si="87"/>
        <v>COIN SHORT</v>
      </c>
      <c r="U449" s="17">
        <f t="shared" si="88"/>
        <v>-88314.309602876194</v>
      </c>
      <c r="V449" s="17">
        <f t="shared" si="89"/>
        <v>8.0285736002614697E-2</v>
      </c>
      <c r="W449" s="39">
        <f>IF($C449="","",IF(DefaultScenario,IF(OR(AND(Default_Exchange="ALL",NOT(ISERROR(MATCH($C449,$AF$6:$AF$37,0)))),$C449=Default_Exchange),IF($G449&gt;0,-LGD,0),0),IF(OR($J449="SWAP",$J449="FUTURE",$J449="CME FUTURE"),IF('Futures &amp; Perps Shifted'!$AE$31,VLOOKUP($M449,'Futures &amp; Perps Shifted'!$AE$32:$AO$76,MATCH($R449,'Futures &amp; Perps Shifted'!$AE$30:$AO$30,0),FALSE),0),0)))</f>
        <v>0</v>
      </c>
      <c r="X449" s="17">
        <f t="shared" si="90"/>
        <v>0</v>
      </c>
      <c r="Y449" s="14" t="str">
        <f t="shared" si="92"/>
        <v>BINE</v>
      </c>
      <c r="Z449" t="str">
        <f t="shared" si="91"/>
        <v>DOGE COIN SHORT</v>
      </c>
      <c r="AA449" t="b">
        <f>IF($C449="","",IF(ISERROR(VLOOKUP($Y449,Mappings!$A:$C,3,FALSE)),FALSE,VLOOKUP($Y449,Mappings!$A:$C,3,FALSE)))</f>
        <v>1</v>
      </c>
    </row>
    <row r="450" spans="1:27" customFormat="1" x14ac:dyDescent="0.25">
      <c r="A450" s="14">
        <v>448</v>
      </c>
      <c r="B450" s="71">
        <v>44939.000002199071</v>
      </c>
      <c r="C450" s="14" t="s">
        <v>11</v>
      </c>
      <c r="D450" s="23" t="s">
        <v>194</v>
      </c>
      <c r="E450" s="23" t="s">
        <v>22</v>
      </c>
      <c r="F450" s="101">
        <v>-10000</v>
      </c>
      <c r="G450" s="153">
        <v>-52294.779390740099</v>
      </c>
      <c r="H450" s="157">
        <v>5.2294779390740098</v>
      </c>
      <c r="I450" s="23">
        <v>0</v>
      </c>
      <c r="J450" s="23" t="s">
        <v>263</v>
      </c>
      <c r="K450" s="24">
        <v>44939.000002199071</v>
      </c>
      <c r="L450" s="23">
        <v>1</v>
      </c>
      <c r="M450" s="23" t="s">
        <v>22</v>
      </c>
      <c r="N450" s="45">
        <f t="shared" si="94"/>
        <v>1</v>
      </c>
      <c r="O450" s="159">
        <f t="shared" si="95"/>
        <v>-10000</v>
      </c>
      <c r="P450" s="47">
        <f t="shared" ref="P450:P513" si="96">IF($C450="","",IF(OR($J450="SWAP",$J450="FUTURE",$J450="CME FUTURE"),IF(NOT(ISERROR(VLOOKUP($M450,SpotUSDRateTable,2,FALSE))),VLOOKUP($M450,SpotUSDRateTable,2,FALSE),$H450)*O450,VLOOKUP($M450,SpotUSDRateTable,2,FALSE)*O450))</f>
        <v>-52294.779390740099</v>
      </c>
      <c r="Q450" s="25">
        <f t="shared" si="85"/>
        <v>0</v>
      </c>
      <c r="R450" s="26" t="str">
        <f t="shared" si="86"/>
        <v>COIN</v>
      </c>
      <c r="S450" s="26" t="str">
        <f t="shared" si="93"/>
        <v>SHORT</v>
      </c>
      <c r="T450" s="26" t="str">
        <f t="shared" si="87"/>
        <v>COIN SHORT</v>
      </c>
      <c r="U450" s="17">
        <f t="shared" si="88"/>
        <v>-52294.779390740099</v>
      </c>
      <c r="V450" s="17">
        <f t="shared" si="89"/>
        <v>5.2294779390740098</v>
      </c>
      <c r="W450" s="39">
        <f>IF($C450="","",IF(DefaultScenario,IF(OR(AND(Default_Exchange="ALL",NOT(ISERROR(MATCH($C450,$AF$6:$AF$37,0)))),$C450=Default_Exchange),IF($G450&gt;0,-LGD,0),0),IF(OR($J450="SWAP",$J450="FUTURE",$J450="CME FUTURE"),IF('Futures &amp; Perps Shifted'!$AE$31,VLOOKUP($M450,'Futures &amp; Perps Shifted'!$AE$32:$AO$76,MATCH($R450,'Futures &amp; Perps Shifted'!$AE$30:$AO$30,0),FALSE),0),0)))</f>
        <v>0</v>
      </c>
      <c r="X450" s="17">
        <f t="shared" si="90"/>
        <v>0</v>
      </c>
      <c r="Y450" s="14" t="str">
        <f t="shared" si="92"/>
        <v>BINE</v>
      </c>
      <c r="Z450" t="str">
        <f t="shared" si="91"/>
        <v>DOT COIN SHORT</v>
      </c>
      <c r="AA450" t="b">
        <f>IF($C450="","",IF(ISERROR(VLOOKUP($Y450,Mappings!$A:$C,3,FALSE)),FALSE,VLOOKUP($Y450,Mappings!$A:$C,3,FALSE)))</f>
        <v>1</v>
      </c>
    </row>
    <row r="451" spans="1:27" customFormat="1" x14ac:dyDescent="0.25">
      <c r="A451" s="14">
        <v>449</v>
      </c>
      <c r="B451" s="71">
        <v>44939.000002199071</v>
      </c>
      <c r="C451" s="14" t="s">
        <v>11</v>
      </c>
      <c r="D451" s="23" t="s">
        <v>194</v>
      </c>
      <c r="E451" s="23" t="s">
        <v>28</v>
      </c>
      <c r="F451" s="101">
        <v>-60000</v>
      </c>
      <c r="G451" s="153">
        <v>-18245.7719342255</v>
      </c>
      <c r="H451" s="157">
        <v>0.304096198903759</v>
      </c>
      <c r="I451" s="23">
        <v>0</v>
      </c>
      <c r="J451" s="23" t="s">
        <v>263</v>
      </c>
      <c r="K451" s="24">
        <v>44939.000002199071</v>
      </c>
      <c r="L451" s="23">
        <v>1</v>
      </c>
      <c r="M451" s="23" t="s">
        <v>28</v>
      </c>
      <c r="N451" s="45">
        <f t="shared" si="94"/>
        <v>1</v>
      </c>
      <c r="O451" s="159">
        <f t="shared" si="95"/>
        <v>-60000</v>
      </c>
      <c r="P451" s="47">
        <f t="shared" si="96"/>
        <v>-18245.77193422554</v>
      </c>
      <c r="Q451" s="25">
        <f t="shared" ref="Q451:Q514" si="97">IF($C451="","",IF(OR($J451="SWAP",$J451="FUTURE",$J451="CME FUTURE"),INT($K451-$B451),0))</f>
        <v>0</v>
      </c>
      <c r="R451" s="26" t="str">
        <f t="shared" ref="R451:R514" si="98">IF($C451="","",IF(OR($E451="USD",$E451="EUR"),"CASH",IF($Q451=0,"COIN",IF($Q451&gt;720,"PERP",IF($J451="FUTURE",TEXT($K451-1,"mmm yy"),"CME "&amp;TEXT($K451-1,"mmm yy"))))))</f>
        <v>COIN</v>
      </c>
      <c r="S451" s="26" t="str">
        <f t="shared" si="93"/>
        <v>SHORT</v>
      </c>
      <c r="T451" s="26" t="str">
        <f t="shared" ref="T451:T514" si="99">IF($C451="","",$R451&amp;" "&amp;$S451)</f>
        <v>COIN SHORT</v>
      </c>
      <c r="U451" s="17">
        <f t="shared" ref="U451:U514" si="100">IF($C451="","",$G451*(1+$W451))</f>
        <v>-18245.7719342255</v>
      </c>
      <c r="V451" s="17">
        <f t="shared" ref="V451:V514" si="101">IF($C451="","",$H451*(1+$W451))</f>
        <v>0.304096198903759</v>
      </c>
      <c r="W451" s="39">
        <f>IF($C451="","",IF(DefaultScenario,IF(OR(AND(Default_Exchange="ALL",NOT(ISERROR(MATCH($C451,$AF$6:$AF$37,0)))),$C451=Default_Exchange),IF($G451&gt;0,-LGD,0),0),IF(OR($J451="SWAP",$J451="FUTURE",$J451="CME FUTURE"),IF('Futures &amp; Perps Shifted'!$AE$31,VLOOKUP($M451,'Futures &amp; Perps Shifted'!$AE$32:$AO$76,MATCH($R451,'Futures &amp; Perps Shifted'!$AE$30:$AO$30,0),FALSE),0),0)))</f>
        <v>0</v>
      </c>
      <c r="X451" s="17">
        <f t="shared" ref="X451:X514" si="102">IF($C451="","",$U451-$G451)</f>
        <v>0</v>
      </c>
      <c r="Y451" s="14" t="str">
        <f t="shared" si="92"/>
        <v>BINE</v>
      </c>
      <c r="Z451" t="str">
        <f t="shared" ref="Z451:Z514" si="103">IF($C451="","",$M451&amp;" "&amp;$T451)</f>
        <v>ENJ COIN SHORT</v>
      </c>
      <c r="AA451" t="b">
        <f>IF($C451="","",IF(ISERROR(VLOOKUP($Y451,Mappings!$A:$C,3,FALSE)),FALSE,VLOOKUP($Y451,Mappings!$A:$C,3,FALSE)))</f>
        <v>1</v>
      </c>
    </row>
    <row r="452" spans="1:27" customFormat="1" x14ac:dyDescent="0.25">
      <c r="A452" s="14">
        <v>450</v>
      </c>
      <c r="B452" s="71">
        <v>44939.000002199071</v>
      </c>
      <c r="C452" s="14" t="s">
        <v>11</v>
      </c>
      <c r="D452" s="23" t="s">
        <v>194</v>
      </c>
      <c r="E452" s="23" t="s">
        <v>23</v>
      </c>
      <c r="F452" s="101">
        <v>-115336.6</v>
      </c>
      <c r="G452" s="153">
        <v>-114211.200450491</v>
      </c>
      <c r="H452" s="157">
        <v>0.990242476806942</v>
      </c>
      <c r="I452" s="23">
        <v>0</v>
      </c>
      <c r="J452" s="23" t="s">
        <v>263</v>
      </c>
      <c r="K452" s="24">
        <v>44939.000002199071</v>
      </c>
      <c r="L452" s="23">
        <v>1</v>
      </c>
      <c r="M452" s="23" t="s">
        <v>23</v>
      </c>
      <c r="N452" s="45">
        <f t="shared" si="94"/>
        <v>1</v>
      </c>
      <c r="O452" s="159">
        <f t="shared" si="95"/>
        <v>-115336.6</v>
      </c>
      <c r="P452" s="47">
        <f t="shared" si="96"/>
        <v>-114211.20045049155</v>
      </c>
      <c r="Q452" s="25">
        <f t="shared" si="97"/>
        <v>0</v>
      </c>
      <c r="R452" s="26" t="str">
        <f t="shared" si="98"/>
        <v>COIN</v>
      </c>
      <c r="S452" s="26" t="str">
        <f t="shared" si="93"/>
        <v>SHORT</v>
      </c>
      <c r="T452" s="26" t="str">
        <f t="shared" si="99"/>
        <v>COIN SHORT</v>
      </c>
      <c r="U452" s="17">
        <f t="shared" si="100"/>
        <v>-114211.200450491</v>
      </c>
      <c r="V452" s="17">
        <f t="shared" si="101"/>
        <v>0.990242476806942</v>
      </c>
      <c r="W452" s="39">
        <f>IF($C452="","",IF(DefaultScenario,IF(OR(AND(Default_Exchange="ALL",NOT(ISERROR(MATCH($C452,$AF$6:$AF$37,0)))),$C452=Default_Exchange),IF($G452&gt;0,-LGD,0),0),IF(OR($J452="SWAP",$J452="FUTURE",$J452="CME FUTURE"),IF('Futures &amp; Perps Shifted'!$AE$31,VLOOKUP($M452,'Futures &amp; Perps Shifted'!$AE$32:$AO$76,MATCH($R452,'Futures &amp; Perps Shifted'!$AE$30:$AO$30,0),FALSE),0),0)))</f>
        <v>0</v>
      </c>
      <c r="X452" s="17">
        <f t="shared" si="102"/>
        <v>0</v>
      </c>
      <c r="Y452" s="14" t="str">
        <f t="shared" si="92"/>
        <v>BINE</v>
      </c>
      <c r="Z452" t="str">
        <f t="shared" si="103"/>
        <v>EOS COIN SHORT</v>
      </c>
      <c r="AA452" t="b">
        <f>IF($C452="","",IF(ISERROR(VLOOKUP($Y452,Mappings!$A:$C,3,FALSE)),FALSE,VLOOKUP($Y452,Mappings!$A:$C,3,FALSE)))</f>
        <v>1</v>
      </c>
    </row>
    <row r="453" spans="1:27" customFormat="1" x14ac:dyDescent="0.25">
      <c r="A453" s="14">
        <v>451</v>
      </c>
      <c r="B453" s="71">
        <v>44939.000002199071</v>
      </c>
      <c r="C453" s="14" t="s">
        <v>11</v>
      </c>
      <c r="D453" s="14" t="s">
        <v>194</v>
      </c>
      <c r="E453" s="23" t="s">
        <v>191</v>
      </c>
      <c r="F453" s="101">
        <v>-300000</v>
      </c>
      <c r="G453" s="153">
        <v>-82034.051788677694</v>
      </c>
      <c r="H453" s="157">
        <v>0.27344683929559199</v>
      </c>
      <c r="I453" s="23">
        <v>0</v>
      </c>
      <c r="J453" s="23" t="s">
        <v>263</v>
      </c>
      <c r="K453" s="24">
        <v>44939.000002199071</v>
      </c>
      <c r="L453" s="23">
        <v>1</v>
      </c>
      <c r="M453" s="23" t="s">
        <v>191</v>
      </c>
      <c r="N453" s="45">
        <f t="shared" si="94"/>
        <v>1</v>
      </c>
      <c r="O453" s="159">
        <f t="shared" si="95"/>
        <v>-300000</v>
      </c>
      <c r="P453" s="47">
        <f t="shared" si="96"/>
        <v>-82034.051788677592</v>
      </c>
      <c r="Q453" s="25">
        <f t="shared" si="97"/>
        <v>0</v>
      </c>
      <c r="R453" s="26" t="str">
        <f t="shared" si="98"/>
        <v>COIN</v>
      </c>
      <c r="S453" s="26" t="str">
        <f t="shared" si="93"/>
        <v>SHORT</v>
      </c>
      <c r="T453" s="26" t="str">
        <f t="shared" si="99"/>
        <v>COIN SHORT</v>
      </c>
      <c r="U453" s="17">
        <f t="shared" si="100"/>
        <v>-82034.051788677694</v>
      </c>
      <c r="V453" s="17">
        <f t="shared" si="101"/>
        <v>0.27344683929559199</v>
      </c>
      <c r="W453" s="39">
        <f>IF($C453="","",IF(DefaultScenario,IF(OR(AND(Default_Exchange="ALL",NOT(ISERROR(MATCH($C453,$AF$6:$AF$37,0)))),$C453=Default_Exchange),IF($G453&gt;0,-LGD,0),0),IF(OR($J453="SWAP",$J453="FUTURE",$J453="CME FUTURE"),IF('Futures &amp; Perps Shifted'!$AE$31,VLOOKUP($M453,'Futures &amp; Perps Shifted'!$AE$32:$AO$76,MATCH($R453,'Futures &amp; Perps Shifted'!$AE$30:$AO$30,0),FALSE),0),0)))</f>
        <v>0</v>
      </c>
      <c r="X453" s="17">
        <f t="shared" si="102"/>
        <v>0</v>
      </c>
      <c r="Y453" s="14" t="str">
        <f t="shared" si="92"/>
        <v>BINE</v>
      </c>
      <c r="Z453" t="str">
        <f t="shared" si="103"/>
        <v>FTM COIN SHORT</v>
      </c>
      <c r="AA453" t="b">
        <f>IF($C453="","",IF(ISERROR(VLOOKUP($Y453,Mappings!$A:$C,3,FALSE)),FALSE,VLOOKUP($Y453,Mappings!$A:$C,3,FALSE)))</f>
        <v>1</v>
      </c>
    </row>
    <row r="454" spans="1:27" customFormat="1" x14ac:dyDescent="0.25">
      <c r="A454" s="14">
        <v>452</v>
      </c>
      <c r="B454" s="71">
        <v>44939.000002199071</v>
      </c>
      <c r="C454" s="14" t="s">
        <v>11</v>
      </c>
      <c r="D454" s="23" t="s">
        <v>194</v>
      </c>
      <c r="E454" s="23" t="s">
        <v>415</v>
      </c>
      <c r="F454" s="101">
        <v>-240000</v>
      </c>
      <c r="G454" s="153">
        <v>-17640.469992774099</v>
      </c>
      <c r="H454" s="157">
        <v>7.3501958303225604E-2</v>
      </c>
      <c r="I454" s="23">
        <v>0</v>
      </c>
      <c r="J454" s="23" t="s">
        <v>263</v>
      </c>
      <c r="K454" s="24">
        <v>44939.000002199071</v>
      </c>
      <c r="L454" s="23">
        <v>1</v>
      </c>
      <c r="M454" s="23" t="s">
        <v>415</v>
      </c>
      <c r="N454" s="45">
        <f t="shared" si="94"/>
        <v>1</v>
      </c>
      <c r="O454" s="159">
        <f t="shared" si="95"/>
        <v>-240000</v>
      </c>
      <c r="P454" s="47">
        <f t="shared" si="96"/>
        <v>-17640.469992774146</v>
      </c>
      <c r="Q454" s="25">
        <f t="shared" si="97"/>
        <v>0</v>
      </c>
      <c r="R454" s="26" t="str">
        <f t="shared" si="98"/>
        <v>COIN</v>
      </c>
      <c r="S454" s="26" t="str">
        <f t="shared" si="93"/>
        <v>SHORT</v>
      </c>
      <c r="T454" s="26" t="str">
        <f t="shared" si="99"/>
        <v>COIN SHORT</v>
      </c>
      <c r="U454" s="17">
        <f t="shared" si="100"/>
        <v>-17640.469992774099</v>
      </c>
      <c r="V454" s="17">
        <f t="shared" si="101"/>
        <v>7.3501958303225604E-2</v>
      </c>
      <c r="W454" s="39">
        <f>IF($C454="","",IF(DefaultScenario,IF(OR(AND(Default_Exchange="ALL",NOT(ISERROR(MATCH($C454,$AF$6:$AF$37,0)))),$C454=Default_Exchange),IF($G454&gt;0,-LGD,0),0),IF(OR($J454="SWAP",$J454="FUTURE",$J454="CME FUTURE"),IF('Futures &amp; Perps Shifted'!$AE$31,VLOOKUP($M454,'Futures &amp; Perps Shifted'!$AE$32:$AO$76,MATCH($R454,'Futures &amp; Perps Shifted'!$AE$30:$AO$30,0),FALSE),0),0)))</f>
        <v>0</v>
      </c>
      <c r="X454" s="17">
        <f t="shared" si="102"/>
        <v>0</v>
      </c>
      <c r="Y454" s="14" t="str">
        <f t="shared" si="92"/>
        <v>BINE</v>
      </c>
      <c r="Z454" t="str">
        <f t="shared" si="103"/>
        <v>GRT COIN SHORT</v>
      </c>
      <c r="AA454" t="b">
        <f>IF($C454="","",IF(ISERROR(VLOOKUP($Y454,Mappings!$A:$C,3,FALSE)),FALSE,VLOOKUP($Y454,Mappings!$A:$C,3,FALSE)))</f>
        <v>1</v>
      </c>
    </row>
    <row r="455" spans="1:27" customFormat="1" x14ac:dyDescent="0.25">
      <c r="A455" s="14">
        <v>453</v>
      </c>
      <c r="B455" s="71">
        <v>44939.000002199071</v>
      </c>
      <c r="C455" s="14" t="s">
        <v>11</v>
      </c>
      <c r="D455" s="23" t="s">
        <v>194</v>
      </c>
      <c r="E455" s="23" t="s">
        <v>135</v>
      </c>
      <c r="F455" s="101">
        <v>-628800</v>
      </c>
      <c r="G455" s="153">
        <v>-29960.833997643</v>
      </c>
      <c r="H455" s="157">
        <v>4.7647636764699498E-2</v>
      </c>
      <c r="I455" s="23">
        <v>0</v>
      </c>
      <c r="J455" s="23" t="s">
        <v>263</v>
      </c>
      <c r="K455" s="24">
        <v>44939.000002199071</v>
      </c>
      <c r="L455" s="23">
        <v>1</v>
      </c>
      <c r="M455" s="23" t="s">
        <v>135</v>
      </c>
      <c r="N455" s="45">
        <f t="shared" si="94"/>
        <v>1</v>
      </c>
      <c r="O455" s="159">
        <f t="shared" si="95"/>
        <v>-628800</v>
      </c>
      <c r="P455" s="47">
        <f t="shared" si="96"/>
        <v>-29960.833997643043</v>
      </c>
      <c r="Q455" s="25">
        <f t="shared" si="97"/>
        <v>0</v>
      </c>
      <c r="R455" s="26" t="str">
        <f t="shared" si="98"/>
        <v>COIN</v>
      </c>
      <c r="S455" s="26" t="str">
        <f t="shared" si="93"/>
        <v>SHORT</v>
      </c>
      <c r="T455" s="26" t="str">
        <f t="shared" si="99"/>
        <v>COIN SHORT</v>
      </c>
      <c r="U455" s="17">
        <f t="shared" si="100"/>
        <v>-29960.833997643</v>
      </c>
      <c r="V455" s="17">
        <f t="shared" si="101"/>
        <v>4.7647636764699498E-2</v>
      </c>
      <c r="W455" s="39">
        <f>IF($C455="","",IF(DefaultScenario,IF(OR(AND(Default_Exchange="ALL",NOT(ISERROR(MATCH($C455,$AF$6:$AF$37,0)))),$C455=Default_Exchange),IF($G455&gt;0,-LGD,0),0),IF(OR($J455="SWAP",$J455="FUTURE",$J455="CME FUTURE"),IF('Futures &amp; Perps Shifted'!$AE$31,VLOOKUP($M455,'Futures &amp; Perps Shifted'!$AE$32:$AO$76,MATCH($R455,'Futures &amp; Perps Shifted'!$AE$30:$AO$30,0),FALSE),0),0)))</f>
        <v>0</v>
      </c>
      <c r="X455" s="17">
        <f t="shared" si="102"/>
        <v>0</v>
      </c>
      <c r="Y455" s="14" t="str">
        <f t="shared" si="92"/>
        <v>BINE</v>
      </c>
      <c r="Z455" t="str">
        <f t="shared" si="103"/>
        <v>HBAR COIN SHORT</v>
      </c>
      <c r="AA455" t="b">
        <f>IF($C455="","",IF(ISERROR(VLOOKUP($Y455,Mappings!$A:$C,3,FALSE)),FALSE,VLOOKUP($Y455,Mappings!$A:$C,3,FALSE)))</f>
        <v>1</v>
      </c>
    </row>
    <row r="456" spans="1:27" customFormat="1" x14ac:dyDescent="0.25">
      <c r="A456" s="14">
        <v>454</v>
      </c>
      <c r="B456" s="71">
        <v>44939.000002199071</v>
      </c>
      <c r="C456" s="14" t="s">
        <v>11</v>
      </c>
      <c r="D456" s="23" t="s">
        <v>194</v>
      </c>
      <c r="E456" s="23" t="s">
        <v>27</v>
      </c>
      <c r="F456" s="101">
        <v>-20654.13</v>
      </c>
      <c r="G456" s="153">
        <v>-131800.85145715301</v>
      </c>
      <c r="H456" s="157">
        <v>6.38133155243787</v>
      </c>
      <c r="I456" s="23">
        <v>0</v>
      </c>
      <c r="J456" s="23" t="s">
        <v>263</v>
      </c>
      <c r="K456" s="24">
        <v>44939.000002199071</v>
      </c>
      <c r="L456" s="23">
        <v>1</v>
      </c>
      <c r="M456" s="23" t="s">
        <v>27</v>
      </c>
      <c r="N456" s="45">
        <f t="shared" si="94"/>
        <v>1</v>
      </c>
      <c r="O456" s="159">
        <f t="shared" si="95"/>
        <v>-20654.13</v>
      </c>
      <c r="P456" s="47">
        <f t="shared" si="96"/>
        <v>-131800.85145715359</v>
      </c>
      <c r="Q456" s="25">
        <f t="shared" si="97"/>
        <v>0</v>
      </c>
      <c r="R456" s="26" t="str">
        <f t="shared" si="98"/>
        <v>COIN</v>
      </c>
      <c r="S456" s="26" t="str">
        <f t="shared" si="93"/>
        <v>SHORT</v>
      </c>
      <c r="T456" s="26" t="str">
        <f t="shared" si="99"/>
        <v>COIN SHORT</v>
      </c>
      <c r="U456" s="17">
        <f t="shared" si="100"/>
        <v>-131800.85145715301</v>
      </c>
      <c r="V456" s="17">
        <f t="shared" si="101"/>
        <v>6.38133155243787</v>
      </c>
      <c r="W456" s="39">
        <f>IF($C456="","",IF(DefaultScenario,IF(OR(AND(Default_Exchange="ALL",NOT(ISERROR(MATCH($C456,$AF$6:$AF$37,0)))),$C456=Default_Exchange),IF($G456&gt;0,-LGD,0),0),IF(OR($J456="SWAP",$J456="FUTURE",$J456="CME FUTURE"),IF('Futures &amp; Perps Shifted'!$AE$31,VLOOKUP($M456,'Futures &amp; Perps Shifted'!$AE$32:$AO$76,MATCH($R456,'Futures &amp; Perps Shifted'!$AE$30:$AO$30,0),FALSE),0),0)))</f>
        <v>0</v>
      </c>
      <c r="X456" s="17">
        <f t="shared" si="102"/>
        <v>0</v>
      </c>
      <c r="Y456" s="14" t="str">
        <f t="shared" si="92"/>
        <v>BINE</v>
      </c>
      <c r="Z456" t="str">
        <f t="shared" si="103"/>
        <v>LINK COIN SHORT</v>
      </c>
      <c r="AA456" t="b">
        <f>IF($C456="","",IF(ISERROR(VLOOKUP($Y456,Mappings!$A:$C,3,FALSE)),FALSE,VLOOKUP($Y456,Mappings!$A:$C,3,FALSE)))</f>
        <v>1</v>
      </c>
    </row>
    <row r="457" spans="1:27" customFormat="1" x14ac:dyDescent="0.25">
      <c r="A457" s="14">
        <v>455</v>
      </c>
      <c r="B457" s="71">
        <v>44939.000002199071</v>
      </c>
      <c r="C457" s="14" t="s">
        <v>11</v>
      </c>
      <c r="D457" s="23" t="s">
        <v>194</v>
      </c>
      <c r="E457" s="23" t="s">
        <v>24</v>
      </c>
      <c r="F457" s="101">
        <v>-1610.2</v>
      </c>
      <c r="G457" s="153">
        <v>-138419.60226160701</v>
      </c>
      <c r="H457" s="157">
        <v>85.964229450756093</v>
      </c>
      <c r="I457" s="23">
        <v>0</v>
      </c>
      <c r="J457" s="23" t="s">
        <v>263</v>
      </c>
      <c r="K457" s="24">
        <v>44939.000002199071</v>
      </c>
      <c r="L457" s="23">
        <v>1</v>
      </c>
      <c r="M457" s="23" t="s">
        <v>24</v>
      </c>
      <c r="N457" s="45">
        <f t="shared" si="94"/>
        <v>1</v>
      </c>
      <c r="O457" s="159">
        <f t="shared" si="95"/>
        <v>-1610.2</v>
      </c>
      <c r="P457" s="47">
        <f t="shared" si="96"/>
        <v>-138419.60226160748</v>
      </c>
      <c r="Q457" s="25">
        <f t="shared" si="97"/>
        <v>0</v>
      </c>
      <c r="R457" s="26" t="str">
        <f t="shared" si="98"/>
        <v>COIN</v>
      </c>
      <c r="S457" s="26" t="str">
        <f t="shared" si="93"/>
        <v>SHORT</v>
      </c>
      <c r="T457" s="26" t="str">
        <f t="shared" si="99"/>
        <v>COIN SHORT</v>
      </c>
      <c r="U457" s="17">
        <f t="shared" si="100"/>
        <v>-138419.60226160701</v>
      </c>
      <c r="V457" s="17">
        <f t="shared" si="101"/>
        <v>85.964229450756093</v>
      </c>
      <c r="W457" s="39">
        <f>IF($C457="","",IF(DefaultScenario,IF(OR(AND(Default_Exchange="ALL",NOT(ISERROR(MATCH($C457,$AF$6:$AF$37,0)))),$C457=Default_Exchange),IF($G457&gt;0,-LGD,0),0),IF(OR($J457="SWAP",$J457="FUTURE",$J457="CME FUTURE"),IF('Futures &amp; Perps Shifted'!$AE$31,VLOOKUP($M457,'Futures &amp; Perps Shifted'!$AE$32:$AO$76,MATCH($R457,'Futures &amp; Perps Shifted'!$AE$30:$AO$30,0),FALSE),0),0)))</f>
        <v>0</v>
      </c>
      <c r="X457" s="17">
        <f t="shared" si="102"/>
        <v>0</v>
      </c>
      <c r="Y457" s="14" t="str">
        <f t="shared" si="92"/>
        <v>BINE</v>
      </c>
      <c r="Z457" t="str">
        <f t="shared" si="103"/>
        <v>LTC COIN SHORT</v>
      </c>
      <c r="AA457" t="b">
        <f>IF($C457="","",IF(ISERROR(VLOOKUP($Y457,Mappings!$A:$C,3,FALSE)),FALSE,VLOOKUP($Y457,Mappings!$A:$C,3,FALSE)))</f>
        <v>1</v>
      </c>
    </row>
    <row r="458" spans="1:27" customFormat="1" x14ac:dyDescent="0.25">
      <c r="A458" s="14">
        <v>456</v>
      </c>
      <c r="B458" s="71">
        <v>44939.000002199071</v>
      </c>
      <c r="C458" s="14" t="s">
        <v>11</v>
      </c>
      <c r="D458" s="23" t="s">
        <v>194</v>
      </c>
      <c r="E458" s="23" t="s">
        <v>192</v>
      </c>
      <c r="F458" s="101">
        <v>-90000</v>
      </c>
      <c r="G458" s="153">
        <v>-37120.713174284101</v>
      </c>
      <c r="H458" s="157">
        <v>0.41245236860315698</v>
      </c>
      <c r="I458" s="23">
        <v>0</v>
      </c>
      <c r="J458" s="23" t="s">
        <v>263</v>
      </c>
      <c r="K458" s="24">
        <v>44939.000002199071</v>
      </c>
      <c r="L458" s="23">
        <v>1</v>
      </c>
      <c r="M458" s="23" t="s">
        <v>192</v>
      </c>
      <c r="N458" s="45">
        <f t="shared" si="94"/>
        <v>1</v>
      </c>
      <c r="O458" s="159">
        <f t="shared" si="95"/>
        <v>-90000</v>
      </c>
      <c r="P458" s="47">
        <f t="shared" si="96"/>
        <v>-37120.71317428413</v>
      </c>
      <c r="Q458" s="25">
        <f t="shared" si="97"/>
        <v>0</v>
      </c>
      <c r="R458" s="26" t="str">
        <f t="shared" si="98"/>
        <v>COIN</v>
      </c>
      <c r="S458" s="26" t="str">
        <f t="shared" si="93"/>
        <v>SHORT</v>
      </c>
      <c r="T458" s="26" t="str">
        <f t="shared" si="99"/>
        <v>COIN SHORT</v>
      </c>
      <c r="U458" s="17">
        <f t="shared" si="100"/>
        <v>-37120.713174284101</v>
      </c>
      <c r="V458" s="17">
        <f t="shared" si="101"/>
        <v>0.41245236860315698</v>
      </c>
      <c r="W458" s="39">
        <f>IF($C458="","",IF(DefaultScenario,IF(OR(AND(Default_Exchange="ALL",NOT(ISERROR(MATCH($C458,$AF$6:$AF$37,0)))),$C458=Default_Exchange),IF($G458&gt;0,-LGD,0),0),IF(OR($J458="SWAP",$J458="FUTURE",$J458="CME FUTURE"),IF('Futures &amp; Perps Shifted'!$AE$31,VLOOKUP($M458,'Futures &amp; Perps Shifted'!$AE$32:$AO$76,MATCH($R458,'Futures &amp; Perps Shifted'!$AE$30:$AO$30,0),FALSE),0),0)))</f>
        <v>0</v>
      </c>
      <c r="X458" s="17">
        <f t="shared" si="102"/>
        <v>0</v>
      </c>
      <c r="Y458" s="14" t="str">
        <f t="shared" si="92"/>
        <v>BINE</v>
      </c>
      <c r="Z458" t="str">
        <f t="shared" si="103"/>
        <v>MANA COIN SHORT</v>
      </c>
      <c r="AA458" t="b">
        <f>IF($C458="","",IF(ISERROR(VLOOKUP($Y458,Mappings!$A:$C,3,FALSE)),FALSE,VLOOKUP($Y458,Mappings!$A:$C,3,FALSE)))</f>
        <v>1</v>
      </c>
    </row>
    <row r="459" spans="1:27" customFormat="1" x14ac:dyDescent="0.25">
      <c r="A459" s="14">
        <v>457</v>
      </c>
      <c r="B459" s="71">
        <v>44939.000002199071</v>
      </c>
      <c r="C459" s="14" t="s">
        <v>11</v>
      </c>
      <c r="D459" s="23" t="s">
        <v>194</v>
      </c>
      <c r="E459" s="23" t="s">
        <v>193</v>
      </c>
      <c r="F459" s="101">
        <v>-100000</v>
      </c>
      <c r="G459" s="153">
        <v>-91628.9114365235</v>
      </c>
      <c r="H459" s="157">
        <v>0.91628911436523497</v>
      </c>
      <c r="I459" s="23">
        <v>0</v>
      </c>
      <c r="J459" s="23" t="s">
        <v>263</v>
      </c>
      <c r="K459" s="24">
        <v>44939.000002199071</v>
      </c>
      <c r="L459" s="23">
        <v>1</v>
      </c>
      <c r="M459" s="23" t="s">
        <v>193</v>
      </c>
      <c r="N459" s="45">
        <f t="shared" si="94"/>
        <v>1</v>
      </c>
      <c r="O459" s="159">
        <f t="shared" si="95"/>
        <v>-100000</v>
      </c>
      <c r="P459" s="47">
        <f t="shared" si="96"/>
        <v>-91628.9114365235</v>
      </c>
      <c r="Q459" s="25">
        <f t="shared" si="97"/>
        <v>0</v>
      </c>
      <c r="R459" s="26" t="str">
        <f t="shared" si="98"/>
        <v>COIN</v>
      </c>
      <c r="S459" s="26" t="str">
        <f t="shared" si="93"/>
        <v>SHORT</v>
      </c>
      <c r="T459" s="26" t="str">
        <f t="shared" si="99"/>
        <v>COIN SHORT</v>
      </c>
      <c r="U459" s="17">
        <f t="shared" si="100"/>
        <v>-91628.9114365235</v>
      </c>
      <c r="V459" s="17">
        <f t="shared" si="101"/>
        <v>0.91628911436523497</v>
      </c>
      <c r="W459" s="39">
        <f>IF($C459="","",IF(DefaultScenario,IF(OR(AND(Default_Exchange="ALL",NOT(ISERROR(MATCH($C459,$AF$6:$AF$37,0)))),$C459=Default_Exchange),IF($G459&gt;0,-LGD,0),0),IF(OR($J459="SWAP",$J459="FUTURE",$J459="CME FUTURE"),IF('Futures &amp; Perps Shifted'!$AE$31,VLOOKUP($M459,'Futures &amp; Perps Shifted'!$AE$32:$AO$76,MATCH($R459,'Futures &amp; Perps Shifted'!$AE$30:$AO$30,0),FALSE),0),0)))</f>
        <v>0</v>
      </c>
      <c r="X459" s="17">
        <f t="shared" si="102"/>
        <v>0</v>
      </c>
      <c r="Y459" s="14" t="str">
        <f t="shared" si="92"/>
        <v>BINE</v>
      </c>
      <c r="Z459" t="str">
        <f t="shared" si="103"/>
        <v>MATIC COIN SHORT</v>
      </c>
      <c r="AA459" t="b">
        <f>IF($C459="","",IF(ISERROR(VLOOKUP($Y459,Mappings!$A:$C,3,FALSE)),FALSE,VLOOKUP($Y459,Mappings!$A:$C,3,FALSE)))</f>
        <v>1</v>
      </c>
    </row>
    <row r="460" spans="1:27" customFormat="1" x14ac:dyDescent="0.25">
      <c r="A460" s="14">
        <v>458</v>
      </c>
      <c r="B460" s="71">
        <v>44939.000002199071</v>
      </c>
      <c r="C460" s="14" t="s">
        <v>11</v>
      </c>
      <c r="D460" s="23" t="s">
        <v>194</v>
      </c>
      <c r="E460" s="23" t="s">
        <v>413</v>
      </c>
      <c r="F460" s="101">
        <v>-14</v>
      </c>
      <c r="G460" s="153">
        <v>-9136.0593104937107</v>
      </c>
      <c r="H460" s="157">
        <v>652.57566503526505</v>
      </c>
      <c r="I460" s="23">
        <v>0</v>
      </c>
      <c r="J460" s="23" t="s">
        <v>263</v>
      </c>
      <c r="K460" s="24">
        <v>44939.000002199071</v>
      </c>
      <c r="L460" s="23">
        <v>1</v>
      </c>
      <c r="M460" s="23" t="s">
        <v>413</v>
      </c>
      <c r="N460" s="45">
        <f t="shared" si="94"/>
        <v>1</v>
      </c>
      <c r="O460" s="159">
        <f t="shared" si="95"/>
        <v>-14</v>
      </c>
      <c r="P460" s="47">
        <f t="shared" si="96"/>
        <v>-9136.0593104937107</v>
      </c>
      <c r="Q460" s="25">
        <f t="shared" si="97"/>
        <v>0</v>
      </c>
      <c r="R460" s="26" t="str">
        <f t="shared" si="98"/>
        <v>COIN</v>
      </c>
      <c r="S460" s="26" t="str">
        <f t="shared" si="93"/>
        <v>SHORT</v>
      </c>
      <c r="T460" s="26" t="str">
        <f t="shared" si="99"/>
        <v>COIN SHORT</v>
      </c>
      <c r="U460" s="17">
        <f t="shared" si="100"/>
        <v>-9136.0593104937107</v>
      </c>
      <c r="V460" s="17">
        <f t="shared" si="101"/>
        <v>652.57566503526505</v>
      </c>
      <c r="W460" s="39">
        <f>IF($C460="","",IF(DefaultScenario,IF(OR(AND(Default_Exchange="ALL",NOT(ISERROR(MATCH($C460,$AF$6:$AF$37,0)))),$C460=Default_Exchange),IF($G460&gt;0,-LGD,0),0),IF(OR($J460="SWAP",$J460="FUTURE",$J460="CME FUTURE"),IF('Futures &amp; Perps Shifted'!$AE$31,VLOOKUP($M460,'Futures &amp; Perps Shifted'!$AE$32:$AO$76,MATCH($R460,'Futures &amp; Perps Shifted'!$AE$30:$AO$30,0),FALSE),0),0)))</f>
        <v>0</v>
      </c>
      <c r="X460" s="17">
        <f t="shared" si="102"/>
        <v>0</v>
      </c>
      <c r="Y460" s="14" t="str">
        <f t="shared" si="92"/>
        <v>BINE</v>
      </c>
      <c r="Z460" t="str">
        <f t="shared" si="103"/>
        <v>MKR COIN SHORT</v>
      </c>
      <c r="AA460" t="b">
        <f>IF($C460="","",IF(ISERROR(VLOOKUP($Y460,Mappings!$A:$C,3,FALSE)),FALSE,VLOOKUP($Y460,Mappings!$A:$C,3,FALSE)))</f>
        <v>1</v>
      </c>
    </row>
    <row r="461" spans="1:27" customFormat="1" x14ac:dyDescent="0.25">
      <c r="A461" s="14">
        <v>459</v>
      </c>
      <c r="B461" s="71">
        <v>44939.000002199071</v>
      </c>
      <c r="C461" s="14" t="s">
        <v>11</v>
      </c>
      <c r="D461" s="23" t="s">
        <v>194</v>
      </c>
      <c r="E461" s="23" t="s">
        <v>37</v>
      </c>
      <c r="F461" s="101">
        <v>-6000000000</v>
      </c>
      <c r="G461" s="153">
        <v>-56828.300043576302</v>
      </c>
      <c r="H461" s="157">
        <v>9.4713833405960602E-6</v>
      </c>
      <c r="I461" s="23">
        <v>0</v>
      </c>
      <c r="J461" s="23" t="s">
        <v>263</v>
      </c>
      <c r="K461" s="24">
        <v>44939.000002199071</v>
      </c>
      <c r="L461" s="23">
        <v>1</v>
      </c>
      <c r="M461" s="23" t="s">
        <v>37</v>
      </c>
      <c r="N461" s="45">
        <f t="shared" si="94"/>
        <v>1</v>
      </c>
      <c r="O461" s="159">
        <f t="shared" si="95"/>
        <v>-6000000000</v>
      </c>
      <c r="P461" s="47">
        <f t="shared" si="96"/>
        <v>-56828.300043576361</v>
      </c>
      <c r="Q461" s="25">
        <f t="shared" si="97"/>
        <v>0</v>
      </c>
      <c r="R461" s="26" t="str">
        <f t="shared" si="98"/>
        <v>COIN</v>
      </c>
      <c r="S461" s="26" t="str">
        <f t="shared" si="93"/>
        <v>SHORT</v>
      </c>
      <c r="T461" s="26" t="str">
        <f t="shared" si="99"/>
        <v>COIN SHORT</v>
      </c>
      <c r="U461" s="17">
        <f t="shared" si="100"/>
        <v>-56828.300043576302</v>
      </c>
      <c r="V461" s="17">
        <f t="shared" si="101"/>
        <v>9.4713833405960602E-6</v>
      </c>
      <c r="W461" s="39">
        <f>IF($C461="","",IF(DefaultScenario,IF(OR(AND(Default_Exchange="ALL",NOT(ISERROR(MATCH($C461,$AF$6:$AF$37,0)))),$C461=Default_Exchange),IF($G461&gt;0,-LGD,0),0),IF(OR($J461="SWAP",$J461="FUTURE",$J461="CME FUTURE"),IF('Futures &amp; Perps Shifted'!$AE$31,VLOOKUP($M461,'Futures &amp; Perps Shifted'!$AE$32:$AO$76,MATCH($R461,'Futures &amp; Perps Shifted'!$AE$30:$AO$30,0),FALSE),0),0)))</f>
        <v>0</v>
      </c>
      <c r="X461" s="17">
        <f t="shared" si="102"/>
        <v>0</v>
      </c>
      <c r="Y461" s="14" t="str">
        <f t="shared" si="92"/>
        <v>BINE</v>
      </c>
      <c r="Z461" t="str">
        <f t="shared" si="103"/>
        <v>SHIB COIN SHORT</v>
      </c>
      <c r="AA461" t="b">
        <f>IF($C461="","",IF(ISERROR(VLOOKUP($Y461,Mappings!$A:$C,3,FALSE)),FALSE,VLOOKUP($Y461,Mappings!$A:$C,3,FALSE)))</f>
        <v>1</v>
      </c>
    </row>
    <row r="462" spans="1:27" customFormat="1" x14ac:dyDescent="0.25">
      <c r="A462" s="14">
        <v>460</v>
      </c>
      <c r="B462" s="71">
        <v>44939.000002199071</v>
      </c>
      <c r="C462" s="14" t="s">
        <v>11</v>
      </c>
      <c r="D462" s="23" t="s">
        <v>194</v>
      </c>
      <c r="E462" s="23" t="s">
        <v>154</v>
      </c>
      <c r="F462" s="101">
        <v>-8500</v>
      </c>
      <c r="G462" s="153">
        <v>-141261.87566910699</v>
      </c>
      <c r="H462" s="157">
        <v>16.6190441963655</v>
      </c>
      <c r="I462" s="23">
        <v>0</v>
      </c>
      <c r="J462" s="23" t="s">
        <v>263</v>
      </c>
      <c r="K462" s="24">
        <v>44939.000002199071</v>
      </c>
      <c r="L462" s="23">
        <v>1</v>
      </c>
      <c r="M462" s="23" t="s">
        <v>154</v>
      </c>
      <c r="N462" s="45">
        <f t="shared" si="94"/>
        <v>1</v>
      </c>
      <c r="O462" s="159">
        <f t="shared" si="95"/>
        <v>-8500</v>
      </c>
      <c r="P462" s="47">
        <f t="shared" si="96"/>
        <v>-141261.87566910675</v>
      </c>
      <c r="Q462" s="25">
        <f t="shared" si="97"/>
        <v>0</v>
      </c>
      <c r="R462" s="26" t="str">
        <f t="shared" si="98"/>
        <v>COIN</v>
      </c>
      <c r="S462" s="26" t="str">
        <f t="shared" si="93"/>
        <v>SHORT</v>
      </c>
      <c r="T462" s="26" t="str">
        <f t="shared" si="99"/>
        <v>COIN SHORT</v>
      </c>
      <c r="U462" s="17">
        <f t="shared" si="100"/>
        <v>-141261.87566910699</v>
      </c>
      <c r="V462" s="17">
        <f t="shared" si="101"/>
        <v>16.6190441963655</v>
      </c>
      <c r="W462" s="39">
        <f>IF($C462="","",IF(DefaultScenario,IF(OR(AND(Default_Exchange="ALL",NOT(ISERROR(MATCH($C462,$AF$6:$AF$37,0)))),$C462=Default_Exchange),IF($G462&gt;0,-LGD,0),0),IF(OR($J462="SWAP",$J462="FUTURE",$J462="CME FUTURE"),IF('Futures &amp; Perps Shifted'!$AE$31,VLOOKUP($M462,'Futures &amp; Perps Shifted'!$AE$32:$AO$76,MATCH($R462,'Futures &amp; Perps Shifted'!$AE$30:$AO$30,0),FALSE),0),0)))</f>
        <v>0</v>
      </c>
      <c r="X462" s="17">
        <f t="shared" si="102"/>
        <v>0</v>
      </c>
      <c r="Y462" s="14" t="str">
        <f t="shared" si="92"/>
        <v>BINE</v>
      </c>
      <c r="Z462" t="str">
        <f t="shared" si="103"/>
        <v>SOL COIN SHORT</v>
      </c>
      <c r="AA462" t="b">
        <f>IF($C462="","",IF(ISERROR(VLOOKUP($Y462,Mappings!$A:$C,3,FALSE)),FALSE,VLOOKUP($Y462,Mappings!$A:$C,3,FALSE)))</f>
        <v>1</v>
      </c>
    </row>
    <row r="463" spans="1:27" customFormat="1" x14ac:dyDescent="0.25">
      <c r="A463" s="14">
        <v>461</v>
      </c>
      <c r="B463" s="71">
        <v>44939.000002199071</v>
      </c>
      <c r="C463" s="14" t="s">
        <v>11</v>
      </c>
      <c r="D463" s="23" t="s">
        <v>194</v>
      </c>
      <c r="E463" s="23" t="s">
        <v>414</v>
      </c>
      <c r="F463" s="101">
        <v>-43200</v>
      </c>
      <c r="G463" s="153">
        <v>-49148.189927110499</v>
      </c>
      <c r="H463" s="157">
        <v>1.1376895816460699</v>
      </c>
      <c r="I463" s="23">
        <v>0</v>
      </c>
      <c r="J463" s="23" t="s">
        <v>263</v>
      </c>
      <c r="K463" s="24">
        <v>44939.000002199071</v>
      </c>
      <c r="L463" s="23">
        <v>1</v>
      </c>
      <c r="M463" s="23" t="s">
        <v>414</v>
      </c>
      <c r="N463" s="45">
        <f t="shared" si="94"/>
        <v>1</v>
      </c>
      <c r="O463" s="159">
        <f t="shared" si="95"/>
        <v>-43200</v>
      </c>
      <c r="P463" s="47">
        <f t="shared" si="96"/>
        <v>-49148.189927110223</v>
      </c>
      <c r="Q463" s="25">
        <f t="shared" si="97"/>
        <v>0</v>
      </c>
      <c r="R463" s="26" t="str">
        <f t="shared" si="98"/>
        <v>COIN</v>
      </c>
      <c r="S463" s="26" t="str">
        <f t="shared" si="93"/>
        <v>SHORT</v>
      </c>
      <c r="T463" s="26" t="str">
        <f t="shared" si="99"/>
        <v>COIN SHORT</v>
      </c>
      <c r="U463" s="17">
        <f t="shared" si="100"/>
        <v>-49148.189927110499</v>
      </c>
      <c r="V463" s="17">
        <f t="shared" si="101"/>
        <v>1.1376895816460699</v>
      </c>
      <c r="W463" s="39">
        <f>IF($C463="","",IF(DefaultScenario,IF(OR(AND(Default_Exchange="ALL",NOT(ISERROR(MATCH($C463,$AF$6:$AF$37,0)))),$C463=Default_Exchange),IF($G463&gt;0,-LGD,0),0),IF(OR($J463="SWAP",$J463="FUTURE",$J463="CME FUTURE"),IF('Futures &amp; Perps Shifted'!$AE$31,VLOOKUP($M463,'Futures &amp; Perps Shifted'!$AE$32:$AO$76,MATCH($R463,'Futures &amp; Perps Shifted'!$AE$30:$AO$30,0),FALSE),0),0)))</f>
        <v>0</v>
      </c>
      <c r="X463" s="17">
        <f t="shared" si="102"/>
        <v>0</v>
      </c>
      <c r="Y463" s="14" t="str">
        <f t="shared" si="92"/>
        <v>BINE</v>
      </c>
      <c r="Z463" t="str">
        <f t="shared" si="103"/>
        <v>SUSHI COIN SHORT</v>
      </c>
      <c r="AA463" t="b">
        <f>IF($C463="","",IF(ISERROR(VLOOKUP($Y463,Mappings!$A:$C,3,FALSE)),FALSE,VLOOKUP($Y463,Mappings!$A:$C,3,FALSE)))</f>
        <v>1</v>
      </c>
    </row>
    <row r="464" spans="1:27" customFormat="1" x14ac:dyDescent="0.25">
      <c r="A464" s="14">
        <v>462</v>
      </c>
      <c r="B464" s="71">
        <v>44939.000002199071</v>
      </c>
      <c r="C464" s="14" t="s">
        <v>11</v>
      </c>
      <c r="D464" s="23" t="s">
        <v>194</v>
      </c>
      <c r="E464" s="23" t="s">
        <v>159</v>
      </c>
      <c r="F464" s="101">
        <v>-12000</v>
      </c>
      <c r="G464" s="153">
        <v>-74080.575384932905</v>
      </c>
      <c r="H464" s="157">
        <v>6.1733812820777398</v>
      </c>
      <c r="I464" s="23">
        <v>0</v>
      </c>
      <c r="J464" s="23" t="s">
        <v>263</v>
      </c>
      <c r="K464" s="24">
        <v>44939.000002199071</v>
      </c>
      <c r="L464" s="23">
        <v>1</v>
      </c>
      <c r="M464" s="23" t="s">
        <v>159</v>
      </c>
      <c r="N464" s="45">
        <f t="shared" si="94"/>
        <v>1</v>
      </c>
      <c r="O464" s="159">
        <f t="shared" si="95"/>
        <v>-12000</v>
      </c>
      <c r="P464" s="47">
        <f t="shared" si="96"/>
        <v>-74080.575384932876</v>
      </c>
      <c r="Q464" s="25">
        <f t="shared" si="97"/>
        <v>0</v>
      </c>
      <c r="R464" s="26" t="str">
        <f t="shared" si="98"/>
        <v>COIN</v>
      </c>
      <c r="S464" s="26" t="str">
        <f t="shared" si="93"/>
        <v>SHORT</v>
      </c>
      <c r="T464" s="26" t="str">
        <f t="shared" si="99"/>
        <v>COIN SHORT</v>
      </c>
      <c r="U464" s="17">
        <f t="shared" si="100"/>
        <v>-74080.575384932905</v>
      </c>
      <c r="V464" s="17">
        <f t="shared" si="101"/>
        <v>6.1733812820777398</v>
      </c>
      <c r="W464" s="39">
        <f>IF($C464="","",IF(DefaultScenario,IF(OR(AND(Default_Exchange="ALL",NOT(ISERROR(MATCH($C464,$AF$6:$AF$37,0)))),$C464=Default_Exchange),IF($G464&gt;0,-LGD,0),0),IF(OR($J464="SWAP",$J464="FUTURE",$J464="CME FUTURE"),IF('Futures &amp; Perps Shifted'!$AE$31,VLOOKUP($M464,'Futures &amp; Perps Shifted'!$AE$32:$AO$76,MATCH($R464,'Futures &amp; Perps Shifted'!$AE$30:$AO$30,0),FALSE),0),0)))</f>
        <v>0</v>
      </c>
      <c r="X464" s="17">
        <f t="shared" si="102"/>
        <v>0</v>
      </c>
      <c r="Y464" s="14" t="str">
        <f t="shared" si="92"/>
        <v>BINE</v>
      </c>
      <c r="Z464" t="str">
        <f t="shared" si="103"/>
        <v>UNI COIN SHORT</v>
      </c>
      <c r="AA464" t="b">
        <f>IF($C464="","",IF(ISERROR(VLOOKUP($Y464,Mappings!$A:$C,3,FALSE)),FALSE,VLOOKUP($Y464,Mappings!$A:$C,3,FALSE)))</f>
        <v>1</v>
      </c>
    </row>
    <row r="465" spans="1:27" customFormat="1" x14ac:dyDescent="0.25">
      <c r="A465" s="14">
        <v>463</v>
      </c>
      <c r="B465" s="71">
        <v>44939.000002199071</v>
      </c>
      <c r="C465" s="14" t="s">
        <v>11</v>
      </c>
      <c r="D465" s="23" t="s">
        <v>194</v>
      </c>
      <c r="E465" s="23" t="s">
        <v>196</v>
      </c>
      <c r="F465" s="101">
        <v>-100</v>
      </c>
      <c r="G465" s="153">
        <v>-1.8842311113447501</v>
      </c>
      <c r="H465" s="157">
        <v>1.8842311113447498E-2</v>
      </c>
      <c r="I465" s="23">
        <v>0</v>
      </c>
      <c r="J465" s="23" t="s">
        <v>263</v>
      </c>
      <c r="K465" s="24">
        <v>44939.000002199071</v>
      </c>
      <c r="L465" s="23">
        <v>1</v>
      </c>
      <c r="M465" s="23" t="s">
        <v>196</v>
      </c>
      <c r="N465" s="45">
        <f t="shared" si="94"/>
        <v>1</v>
      </c>
      <c r="O465" s="159">
        <f t="shared" si="95"/>
        <v>-100</v>
      </c>
      <c r="P465" s="47">
        <f t="shared" si="96"/>
        <v>-1.8842311113447499</v>
      </c>
      <c r="Q465" s="25">
        <f t="shared" si="97"/>
        <v>0</v>
      </c>
      <c r="R465" s="26" t="str">
        <f t="shared" si="98"/>
        <v>COIN</v>
      </c>
      <c r="S465" s="26" t="str">
        <f t="shared" si="93"/>
        <v>SHORT</v>
      </c>
      <c r="T465" s="26" t="str">
        <f t="shared" si="99"/>
        <v>COIN SHORT</v>
      </c>
      <c r="U465" s="17">
        <f t="shared" si="100"/>
        <v>-1.8842311113447501</v>
      </c>
      <c r="V465" s="17">
        <f t="shared" si="101"/>
        <v>1.8842311113447498E-2</v>
      </c>
      <c r="W465" s="39">
        <f>IF($C465="","",IF(DefaultScenario,IF(OR(AND(Default_Exchange="ALL",NOT(ISERROR(MATCH($C465,$AF$6:$AF$37,0)))),$C465=Default_Exchange),IF($G465&gt;0,-LGD,0),0),IF(OR($J465="SWAP",$J465="FUTURE",$J465="CME FUTURE"),IF('Futures &amp; Perps Shifted'!$AE$31,VLOOKUP($M465,'Futures &amp; Perps Shifted'!$AE$32:$AO$76,MATCH($R465,'Futures &amp; Perps Shifted'!$AE$30:$AO$30,0),FALSE),0),0)))</f>
        <v>0</v>
      </c>
      <c r="X465" s="17">
        <f t="shared" si="102"/>
        <v>0</v>
      </c>
      <c r="Y465" s="14" t="str">
        <f t="shared" si="92"/>
        <v>BINE</v>
      </c>
      <c r="Z465" t="str">
        <f t="shared" si="103"/>
        <v>VET COIN SHORT</v>
      </c>
      <c r="AA465" t="b">
        <f>IF($C465="","",IF(ISERROR(VLOOKUP($Y465,Mappings!$A:$C,3,FALSE)),FALSE,VLOOKUP($Y465,Mappings!$A:$C,3,FALSE)))</f>
        <v>1</v>
      </c>
    </row>
    <row r="466" spans="1:27" customFormat="1" x14ac:dyDescent="0.25">
      <c r="A466" s="14">
        <v>464</v>
      </c>
      <c r="B466" s="71">
        <v>44939.000002199071</v>
      </c>
      <c r="C466" s="14" t="s">
        <v>11</v>
      </c>
      <c r="D466" s="23" t="s">
        <v>194</v>
      </c>
      <c r="E466" s="23" t="s">
        <v>163</v>
      </c>
      <c r="F466" s="101">
        <v>-1000000</v>
      </c>
      <c r="G466" s="153">
        <v>-81643.783905093398</v>
      </c>
      <c r="H466" s="157">
        <v>8.1643783905093401E-2</v>
      </c>
      <c r="I466" s="23">
        <v>0</v>
      </c>
      <c r="J466" s="23" t="s">
        <v>263</v>
      </c>
      <c r="K466" s="24">
        <v>44939.000002199071</v>
      </c>
      <c r="L466" s="23">
        <v>1</v>
      </c>
      <c r="M466" s="23" t="s">
        <v>163</v>
      </c>
      <c r="N466" s="45">
        <f t="shared" si="94"/>
        <v>1</v>
      </c>
      <c r="O466" s="159">
        <f t="shared" si="95"/>
        <v>-1000000</v>
      </c>
      <c r="P466" s="47">
        <f t="shared" si="96"/>
        <v>-81643.783905093398</v>
      </c>
      <c r="Q466" s="25">
        <f t="shared" si="97"/>
        <v>0</v>
      </c>
      <c r="R466" s="26" t="str">
        <f t="shared" si="98"/>
        <v>COIN</v>
      </c>
      <c r="S466" s="26" t="str">
        <f t="shared" si="93"/>
        <v>SHORT</v>
      </c>
      <c r="T466" s="26" t="str">
        <f t="shared" si="99"/>
        <v>COIN SHORT</v>
      </c>
      <c r="U466" s="17">
        <f t="shared" si="100"/>
        <v>-81643.783905093398</v>
      </c>
      <c r="V466" s="17">
        <f t="shared" si="101"/>
        <v>8.1643783905093401E-2</v>
      </c>
      <c r="W466" s="39">
        <f>IF($C466="","",IF(DefaultScenario,IF(OR(AND(Default_Exchange="ALL",NOT(ISERROR(MATCH($C466,$AF$6:$AF$37,0)))),$C466=Default_Exchange),IF($G466&gt;0,-LGD,0),0),IF(OR($J466="SWAP",$J466="FUTURE",$J466="CME FUTURE"),IF('Futures &amp; Perps Shifted'!$AE$31,VLOOKUP($M466,'Futures &amp; Perps Shifted'!$AE$32:$AO$76,MATCH($R466,'Futures &amp; Perps Shifted'!$AE$30:$AO$30,0),FALSE),0),0)))</f>
        <v>0</v>
      </c>
      <c r="X466" s="17">
        <f t="shared" si="102"/>
        <v>0</v>
      </c>
      <c r="Y466" s="14" t="str">
        <f t="shared" si="92"/>
        <v>BINE</v>
      </c>
      <c r="Z466" t="str">
        <f t="shared" si="103"/>
        <v>XLM COIN SHORT</v>
      </c>
      <c r="AA466" t="b">
        <f>IF($C466="","",IF(ISERROR(VLOOKUP($Y466,Mappings!$A:$C,3,FALSE)),FALSE,VLOOKUP($Y466,Mappings!$A:$C,3,FALSE)))</f>
        <v>1</v>
      </c>
    </row>
    <row r="467" spans="1:27" customFormat="1" x14ac:dyDescent="0.25">
      <c r="A467" s="14">
        <v>465</v>
      </c>
      <c r="B467" s="71">
        <v>44939.000002199071</v>
      </c>
      <c r="C467" s="14" t="s">
        <v>11</v>
      </c>
      <c r="D467" s="23" t="s">
        <v>194</v>
      </c>
      <c r="E467" s="23" t="s">
        <v>164</v>
      </c>
      <c r="F467" s="101">
        <v>-68160</v>
      </c>
      <c r="G467" s="153">
        <v>-60609.906049069999</v>
      </c>
      <c r="H467" s="157">
        <v>0.88922984226921997</v>
      </c>
      <c r="I467" s="23">
        <v>0</v>
      </c>
      <c r="J467" s="23" t="s">
        <v>263</v>
      </c>
      <c r="K467" s="24">
        <v>44939.000002199071</v>
      </c>
      <c r="L467" s="23">
        <v>1</v>
      </c>
      <c r="M467" s="23" t="s">
        <v>164</v>
      </c>
      <c r="N467" s="45">
        <f t="shared" si="94"/>
        <v>1</v>
      </c>
      <c r="O467" s="159">
        <f t="shared" si="95"/>
        <v>-68160</v>
      </c>
      <c r="P467" s="47">
        <f t="shared" si="96"/>
        <v>-60609.906049070036</v>
      </c>
      <c r="Q467" s="25">
        <f t="shared" si="97"/>
        <v>0</v>
      </c>
      <c r="R467" s="26" t="str">
        <f t="shared" si="98"/>
        <v>COIN</v>
      </c>
      <c r="S467" s="26" t="str">
        <f t="shared" si="93"/>
        <v>SHORT</v>
      </c>
      <c r="T467" s="26" t="str">
        <f t="shared" si="99"/>
        <v>COIN SHORT</v>
      </c>
      <c r="U467" s="17">
        <f t="shared" si="100"/>
        <v>-60609.906049069999</v>
      </c>
      <c r="V467" s="17">
        <f t="shared" si="101"/>
        <v>0.88922984226921997</v>
      </c>
      <c r="W467" s="39">
        <f>IF($C467="","",IF(DefaultScenario,IF(OR(AND(Default_Exchange="ALL",NOT(ISERROR(MATCH($C467,$AF$6:$AF$37,0)))),$C467=Default_Exchange),IF($G467&gt;0,-LGD,0),0),IF(OR($J467="SWAP",$J467="FUTURE",$J467="CME FUTURE"),IF('Futures &amp; Perps Shifted'!$AE$31,VLOOKUP($M467,'Futures &amp; Perps Shifted'!$AE$32:$AO$76,MATCH($R467,'Futures &amp; Perps Shifted'!$AE$30:$AO$30,0),FALSE),0),0)))</f>
        <v>0</v>
      </c>
      <c r="X467" s="17">
        <f t="shared" si="102"/>
        <v>0</v>
      </c>
      <c r="Y467" s="14" t="str">
        <f t="shared" si="92"/>
        <v>BINE</v>
      </c>
      <c r="Z467" t="str">
        <f t="shared" si="103"/>
        <v>XTZ COIN SHORT</v>
      </c>
      <c r="AA467" t="b">
        <f>IF($C467="","",IF(ISERROR(VLOOKUP($Y467,Mappings!$A:$C,3,FALSE)),FALSE,VLOOKUP($Y467,Mappings!$A:$C,3,FALSE)))</f>
        <v>1</v>
      </c>
    </row>
    <row r="468" spans="1:27" customFormat="1" x14ac:dyDescent="0.25">
      <c r="A468" s="14">
        <v>466</v>
      </c>
      <c r="B468" s="71">
        <v>44939.000001585649</v>
      </c>
      <c r="C468" s="14" t="s">
        <v>294</v>
      </c>
      <c r="D468" s="23" t="s">
        <v>865</v>
      </c>
      <c r="E468" s="23" t="s">
        <v>38</v>
      </c>
      <c r="F468" s="101">
        <v>-9993078.3940130007</v>
      </c>
      <c r="G468" s="153">
        <v>-9993998.2487299498</v>
      </c>
      <c r="H468" s="157">
        <v>1.00009204918451</v>
      </c>
      <c r="I468" s="23">
        <v>0</v>
      </c>
      <c r="J468" s="23" t="s">
        <v>263</v>
      </c>
      <c r="K468" s="24">
        <v>44939.000001585649</v>
      </c>
      <c r="L468" s="23">
        <v>1</v>
      </c>
      <c r="M468" s="23" t="s">
        <v>38</v>
      </c>
      <c r="N468" s="45">
        <f t="shared" si="94"/>
        <v>1</v>
      </c>
      <c r="O468" s="159">
        <f t="shared" si="95"/>
        <v>-9993078.3940130007</v>
      </c>
      <c r="P468" s="47">
        <f t="shared" si="96"/>
        <v>-9993998.2487299144</v>
      </c>
      <c r="Q468" s="25">
        <f t="shared" si="97"/>
        <v>0</v>
      </c>
      <c r="R468" s="26" t="str">
        <f t="shared" si="98"/>
        <v>COIN</v>
      </c>
      <c r="S468" s="26" t="str">
        <f t="shared" si="93"/>
        <v>SHORT</v>
      </c>
      <c r="T468" s="26" t="str">
        <f t="shared" si="99"/>
        <v>COIN SHORT</v>
      </c>
      <c r="U468" s="17">
        <f t="shared" si="100"/>
        <v>-9993998.2487299498</v>
      </c>
      <c r="V468" s="17">
        <f t="shared" si="101"/>
        <v>1.00009204918451</v>
      </c>
      <c r="W468" s="39">
        <f>IF($C468="","",IF(DefaultScenario,IF(OR(AND(Default_Exchange="ALL",NOT(ISERROR(MATCH($C468,$AF$6:$AF$37,0)))),$C468=Default_Exchange),IF($G468&gt;0,-LGD,0),0),IF(OR($J468="SWAP",$J468="FUTURE",$J468="CME FUTURE"),IF('Futures &amp; Perps Shifted'!$AE$31,VLOOKUP($M468,'Futures &amp; Perps Shifted'!$AE$32:$AO$76,MATCH($R468,'Futures &amp; Perps Shifted'!$AE$30:$AO$30,0),FALSE),0),0)))</f>
        <v>0</v>
      </c>
      <c r="X468" s="17">
        <f t="shared" si="102"/>
        <v>0</v>
      </c>
      <c r="Y468" s="14" t="str">
        <f t="shared" si="92"/>
        <v>DEFI</v>
      </c>
      <c r="Z468" t="str">
        <f t="shared" si="103"/>
        <v>USDT COIN SHORT</v>
      </c>
      <c r="AA468" t="b">
        <f>IF($C468="","",IF(ISERROR(VLOOKUP($Y468,Mappings!$A:$C,3,FALSE)),FALSE,VLOOKUP($Y468,Mappings!$A:$C,3,FALSE)))</f>
        <v>0</v>
      </c>
    </row>
    <row r="469" spans="1:27" customFormat="1" x14ac:dyDescent="0.25">
      <c r="A469" s="14">
        <v>467</v>
      </c>
      <c r="B469" s="71">
        <v>44938</v>
      </c>
      <c r="C469" s="14" t="s">
        <v>101</v>
      </c>
      <c r="D469" s="23" t="s">
        <v>203</v>
      </c>
      <c r="E469" s="23" t="s">
        <v>14</v>
      </c>
      <c r="F469" s="101">
        <v>-3350</v>
      </c>
      <c r="G469" s="153">
        <v>-63213119.985139698</v>
      </c>
      <c r="H469" s="157">
        <v>18869.5880552655</v>
      </c>
      <c r="I469" s="23">
        <v>0</v>
      </c>
      <c r="J469" s="23" t="s">
        <v>195</v>
      </c>
      <c r="K469" s="24">
        <v>44938</v>
      </c>
      <c r="L469" s="23">
        <v>1</v>
      </c>
      <c r="M469" s="23" t="s">
        <v>14</v>
      </c>
      <c r="N469" s="45">
        <f t="shared" si="94"/>
        <v>1</v>
      </c>
      <c r="O469" s="159">
        <f t="shared" si="95"/>
        <v>-3350</v>
      </c>
      <c r="P469" s="47">
        <f t="shared" si="96"/>
        <v>-63213119.985139422</v>
      </c>
      <c r="Q469" s="25">
        <f t="shared" si="97"/>
        <v>0</v>
      </c>
      <c r="R469" s="26" t="str">
        <f t="shared" si="98"/>
        <v>COIN</v>
      </c>
      <c r="S469" s="26" t="str">
        <f t="shared" si="93"/>
        <v>SHORT</v>
      </c>
      <c r="T469" s="26" t="str">
        <f t="shared" si="99"/>
        <v>COIN SHORT</v>
      </c>
      <c r="U469" s="17">
        <f t="shared" si="100"/>
        <v>-63213119.985139698</v>
      </c>
      <c r="V469" s="17">
        <f t="shared" si="101"/>
        <v>18869.5880552655</v>
      </c>
      <c r="W469" s="39">
        <f>IF($C469="","",IF(DefaultScenario,IF(OR(AND(Default_Exchange="ALL",NOT(ISERROR(MATCH($C469,$AF$6:$AF$37,0)))),$C469=Default_Exchange),IF($G469&gt;0,-LGD,0),0),IF(OR($J469="SWAP",$J469="FUTURE",$J469="CME FUTURE"),IF('Futures &amp; Perps Shifted'!$AE$31,VLOOKUP($M469,'Futures &amp; Perps Shifted'!$AE$32:$AO$76,MATCH($R469,'Futures &amp; Perps Shifted'!$AE$30:$AO$30,0),FALSE),0),0)))</f>
        <v>0</v>
      </c>
      <c r="X469" s="17">
        <f t="shared" si="102"/>
        <v>0</v>
      </c>
      <c r="Y469" s="14" t="str">
        <f t="shared" si="92"/>
        <v>LEND</v>
      </c>
      <c r="Z469" t="str">
        <f t="shared" si="103"/>
        <v>BTC COIN SHORT</v>
      </c>
      <c r="AA469" t="b">
        <f>IF($C469="","",IF(ISERROR(VLOOKUP($Y469,Mappings!$A:$C,3,FALSE)),FALSE,VLOOKUP($Y469,Mappings!$A:$C,3,FALSE)))</f>
        <v>0</v>
      </c>
    </row>
    <row r="470" spans="1:27" customFormat="1" x14ac:dyDescent="0.25">
      <c r="A470" s="14">
        <v>468</v>
      </c>
      <c r="B470" s="71">
        <v>44938</v>
      </c>
      <c r="C470" s="14" t="s">
        <v>101</v>
      </c>
      <c r="D470" s="23" t="s">
        <v>203</v>
      </c>
      <c r="E470" s="23" t="s">
        <v>23</v>
      </c>
      <c r="F470" s="101">
        <v>-4350822.18</v>
      </c>
      <c r="G470" s="153">
        <v>-4308368.9316697801</v>
      </c>
      <c r="H470" s="157">
        <v>0.990242476806943</v>
      </c>
      <c r="I470" s="23">
        <v>0</v>
      </c>
      <c r="J470" s="23" t="s">
        <v>195</v>
      </c>
      <c r="K470" s="24">
        <v>44938</v>
      </c>
      <c r="L470" s="23">
        <v>1</v>
      </c>
      <c r="M470" s="23" t="s">
        <v>23</v>
      </c>
      <c r="N470" s="45">
        <f t="shared" si="94"/>
        <v>1</v>
      </c>
      <c r="O470" s="159">
        <f t="shared" si="95"/>
        <v>-4350822.18</v>
      </c>
      <c r="P470" s="47">
        <f t="shared" si="96"/>
        <v>-4308368.9316697782</v>
      </c>
      <c r="Q470" s="25">
        <f t="shared" si="97"/>
        <v>0</v>
      </c>
      <c r="R470" s="26" t="str">
        <f t="shared" si="98"/>
        <v>COIN</v>
      </c>
      <c r="S470" s="26" t="str">
        <f t="shared" si="93"/>
        <v>SHORT</v>
      </c>
      <c r="T470" s="26" t="str">
        <f t="shared" si="99"/>
        <v>COIN SHORT</v>
      </c>
      <c r="U470" s="17">
        <f t="shared" si="100"/>
        <v>-4308368.9316697801</v>
      </c>
      <c r="V470" s="17">
        <f t="shared" si="101"/>
        <v>0.990242476806943</v>
      </c>
      <c r="W470" s="39">
        <f>IF($C470="","",IF(DefaultScenario,IF(OR(AND(Default_Exchange="ALL",NOT(ISERROR(MATCH($C470,$AF$6:$AF$37,0)))),$C470=Default_Exchange),IF($G470&gt;0,-LGD,0),0),IF(OR($J470="SWAP",$J470="FUTURE",$J470="CME FUTURE"),IF('Futures &amp; Perps Shifted'!$AE$31,VLOOKUP($M470,'Futures &amp; Perps Shifted'!$AE$32:$AO$76,MATCH($R470,'Futures &amp; Perps Shifted'!$AE$30:$AO$30,0),FALSE),0),0)))</f>
        <v>0</v>
      </c>
      <c r="X470" s="17">
        <f t="shared" si="102"/>
        <v>0</v>
      </c>
      <c r="Y470" s="14" t="str">
        <f t="shared" si="92"/>
        <v>LEND</v>
      </c>
      <c r="Z470" t="str">
        <f t="shared" si="103"/>
        <v>EOS COIN SHORT</v>
      </c>
      <c r="AA470" t="b">
        <f>IF($C470="","",IF(ISERROR(VLOOKUP($Y470,Mappings!$A:$C,3,FALSE)),FALSE,VLOOKUP($Y470,Mappings!$A:$C,3,FALSE)))</f>
        <v>0</v>
      </c>
    </row>
    <row r="471" spans="1:27" customFormat="1" x14ac:dyDescent="0.25">
      <c r="A471" s="14">
        <v>469</v>
      </c>
      <c r="B471" s="71">
        <v>44938</v>
      </c>
      <c r="C471" s="14" t="s">
        <v>101</v>
      </c>
      <c r="D471" s="23" t="s">
        <v>203</v>
      </c>
      <c r="E471" s="23" t="s">
        <v>15</v>
      </c>
      <c r="F471" s="101">
        <v>-6499.9949999999999</v>
      </c>
      <c r="G471" s="153">
        <v>-9216593.3105303105</v>
      </c>
      <c r="H471" s="157">
        <v>1417.9385231112101</v>
      </c>
      <c r="I471" s="23">
        <v>0</v>
      </c>
      <c r="J471" s="23" t="s">
        <v>195</v>
      </c>
      <c r="K471" s="24">
        <v>44938</v>
      </c>
      <c r="L471" s="23">
        <v>1</v>
      </c>
      <c r="M471" s="23" t="s">
        <v>15</v>
      </c>
      <c r="N471" s="45">
        <f t="shared" si="94"/>
        <v>1</v>
      </c>
      <c r="O471" s="159">
        <f t="shared" si="95"/>
        <v>-6499.9949999999999</v>
      </c>
      <c r="P471" s="47">
        <f t="shared" si="96"/>
        <v>-9216593.310530249</v>
      </c>
      <c r="Q471" s="25">
        <f t="shared" si="97"/>
        <v>0</v>
      </c>
      <c r="R471" s="26" t="str">
        <f t="shared" si="98"/>
        <v>COIN</v>
      </c>
      <c r="S471" s="26" t="str">
        <f t="shared" si="93"/>
        <v>SHORT</v>
      </c>
      <c r="T471" s="26" t="str">
        <f t="shared" si="99"/>
        <v>COIN SHORT</v>
      </c>
      <c r="U471" s="17">
        <f t="shared" si="100"/>
        <v>-9216593.3105303105</v>
      </c>
      <c r="V471" s="17">
        <f t="shared" si="101"/>
        <v>1417.9385231112101</v>
      </c>
      <c r="W471" s="39">
        <f>IF($C471="","",IF(DefaultScenario,IF(OR(AND(Default_Exchange="ALL",NOT(ISERROR(MATCH($C471,$AF$6:$AF$37,0)))),$C471=Default_Exchange),IF($G471&gt;0,-LGD,0),0),IF(OR($J471="SWAP",$J471="FUTURE",$J471="CME FUTURE"),IF('Futures &amp; Perps Shifted'!$AE$31,VLOOKUP($M471,'Futures &amp; Perps Shifted'!$AE$32:$AO$76,MATCH($R471,'Futures &amp; Perps Shifted'!$AE$30:$AO$30,0),FALSE),0),0)))</f>
        <v>0</v>
      </c>
      <c r="X471" s="17">
        <f t="shared" si="102"/>
        <v>0</v>
      </c>
      <c r="Y471" s="14" t="str">
        <f t="shared" si="92"/>
        <v>LEND</v>
      </c>
      <c r="Z471" t="str">
        <f t="shared" si="103"/>
        <v>ETH COIN SHORT</v>
      </c>
      <c r="AA471" t="b">
        <f>IF($C471="","",IF(ISERROR(VLOOKUP($Y471,Mappings!$A:$C,3,FALSE)),FALSE,VLOOKUP($Y471,Mappings!$A:$C,3,FALSE)))</f>
        <v>0</v>
      </c>
    </row>
    <row r="472" spans="1:27" customFormat="1" x14ac:dyDescent="0.25">
      <c r="A472" s="14">
        <v>470</v>
      </c>
      <c r="B472" s="71">
        <v>44938</v>
      </c>
      <c r="C472" s="14" t="s">
        <v>170</v>
      </c>
      <c r="D472" s="23" t="s">
        <v>168</v>
      </c>
      <c r="E472" s="23" t="s">
        <v>14</v>
      </c>
      <c r="F472" s="101">
        <v>-1340.01684679</v>
      </c>
      <c r="G472" s="153">
        <v>-25285565.886043198</v>
      </c>
      <c r="H472" s="157">
        <v>18869.5880552655</v>
      </c>
      <c r="I472" s="23">
        <v>0</v>
      </c>
      <c r="J472" s="23" t="s">
        <v>169</v>
      </c>
      <c r="K472" s="24">
        <v>44938</v>
      </c>
      <c r="L472" s="23">
        <v>1</v>
      </c>
      <c r="M472" s="23" t="s">
        <v>14</v>
      </c>
      <c r="N472" s="45">
        <f t="shared" si="94"/>
        <v>1</v>
      </c>
      <c r="O472" s="159">
        <f t="shared" si="95"/>
        <v>-1340.01684679</v>
      </c>
      <c r="P472" s="47">
        <f t="shared" si="96"/>
        <v>-25285565.886043124</v>
      </c>
      <c r="Q472" s="25">
        <f t="shared" si="97"/>
        <v>0</v>
      </c>
      <c r="R472" s="26" t="str">
        <f t="shared" si="98"/>
        <v>COIN</v>
      </c>
      <c r="S472" s="26" t="str">
        <f t="shared" si="93"/>
        <v>SHORT</v>
      </c>
      <c r="T472" s="26" t="str">
        <f t="shared" si="99"/>
        <v>COIN SHORT</v>
      </c>
      <c r="U472" s="17">
        <f t="shared" si="100"/>
        <v>-25285565.886043198</v>
      </c>
      <c r="V472" s="17">
        <f t="shared" si="101"/>
        <v>18869.5880552655</v>
      </c>
      <c r="W472" s="39">
        <f>IF($C472="","",IF(DefaultScenario,IF(OR(AND(Default_Exchange="ALL",NOT(ISERROR(MATCH($C472,$AF$6:$AF$37,0)))),$C472=Default_Exchange),IF($G472&gt;0,-LGD,0),0),IF(OR($J472="SWAP",$J472="FUTURE",$J472="CME FUTURE"),IF('Futures &amp; Perps Shifted'!$AE$31,VLOOKUP($M472,'Futures &amp; Perps Shifted'!$AE$32:$AO$76,MATCH($R472,'Futures &amp; Perps Shifted'!$AE$30:$AO$30,0),FALSE),0),0)))</f>
        <v>0</v>
      </c>
      <c r="X472" s="17">
        <f t="shared" si="102"/>
        <v>0</v>
      </c>
      <c r="Y472" s="14" t="str">
        <f t="shared" si="92"/>
        <v>LEND</v>
      </c>
      <c r="Z472" t="str">
        <f t="shared" si="103"/>
        <v>BTC COIN SHORT</v>
      </c>
      <c r="AA472" t="b">
        <f>IF($C472="","",IF(ISERROR(VLOOKUP($Y472,Mappings!$A:$C,3,FALSE)),FALSE,VLOOKUP($Y472,Mappings!$A:$C,3,FALSE)))</f>
        <v>0</v>
      </c>
    </row>
    <row r="473" spans="1:27" customFormat="1" x14ac:dyDescent="0.25">
      <c r="A473" s="14">
        <v>471</v>
      </c>
      <c r="B473" s="71">
        <v>44938</v>
      </c>
      <c r="C473" s="14" t="s">
        <v>170</v>
      </c>
      <c r="D473" s="23" t="s">
        <v>168</v>
      </c>
      <c r="E473" s="23" t="s">
        <v>15</v>
      </c>
      <c r="F473" s="101">
        <v>-25855</v>
      </c>
      <c r="G473" s="153">
        <v>-36660800.515040502</v>
      </c>
      <c r="H473" s="157">
        <v>1417.9385231112101</v>
      </c>
      <c r="I473" s="23">
        <v>0</v>
      </c>
      <c r="J473" s="23" t="s">
        <v>169</v>
      </c>
      <c r="K473" s="24">
        <v>44938</v>
      </c>
      <c r="L473" s="23">
        <v>1</v>
      </c>
      <c r="M473" s="23" t="s">
        <v>15</v>
      </c>
      <c r="N473" s="45">
        <f t="shared" si="94"/>
        <v>1</v>
      </c>
      <c r="O473" s="159">
        <f t="shared" si="95"/>
        <v>-25855</v>
      </c>
      <c r="P473" s="47">
        <f t="shared" si="96"/>
        <v>-36660800.515040338</v>
      </c>
      <c r="Q473" s="25">
        <f t="shared" si="97"/>
        <v>0</v>
      </c>
      <c r="R473" s="26" t="str">
        <f t="shared" si="98"/>
        <v>COIN</v>
      </c>
      <c r="S473" s="26" t="str">
        <f t="shared" si="93"/>
        <v>SHORT</v>
      </c>
      <c r="T473" s="26" t="str">
        <f t="shared" si="99"/>
        <v>COIN SHORT</v>
      </c>
      <c r="U473" s="17">
        <f t="shared" si="100"/>
        <v>-36660800.515040502</v>
      </c>
      <c r="V473" s="17">
        <f t="shared" si="101"/>
        <v>1417.9385231112101</v>
      </c>
      <c r="W473" s="39">
        <f>IF($C473="","",IF(DefaultScenario,IF(OR(AND(Default_Exchange="ALL",NOT(ISERROR(MATCH($C473,$AF$6:$AF$37,0)))),$C473=Default_Exchange),IF($G473&gt;0,-LGD,0),0),IF(OR($J473="SWAP",$J473="FUTURE",$J473="CME FUTURE"),IF('Futures &amp; Perps Shifted'!$AE$31,VLOOKUP($M473,'Futures &amp; Perps Shifted'!$AE$32:$AO$76,MATCH($R473,'Futures &amp; Perps Shifted'!$AE$30:$AO$30,0),FALSE),0),0)))</f>
        <v>0</v>
      </c>
      <c r="X473" s="17">
        <f t="shared" si="102"/>
        <v>0</v>
      </c>
      <c r="Y473" s="14" t="str">
        <f t="shared" si="92"/>
        <v>LEND</v>
      </c>
      <c r="Z473" t="str">
        <f t="shared" si="103"/>
        <v>ETH COIN SHORT</v>
      </c>
      <c r="AA473" t="b">
        <f>IF($C473="","",IF(ISERROR(VLOOKUP($Y473,Mappings!$A:$C,3,FALSE)),FALSE,VLOOKUP($Y473,Mappings!$A:$C,3,FALSE)))</f>
        <v>0</v>
      </c>
    </row>
    <row r="474" spans="1:27" customFormat="1" x14ac:dyDescent="0.25">
      <c r="A474" s="14">
        <v>472</v>
      </c>
      <c r="B474" s="71">
        <v>44938</v>
      </c>
      <c r="C474" s="14" t="s">
        <v>170</v>
      </c>
      <c r="D474" s="23" t="s">
        <v>168</v>
      </c>
      <c r="E474" s="23" t="s">
        <v>258</v>
      </c>
      <c r="F474" s="101">
        <v>-15000000</v>
      </c>
      <c r="G474" s="153">
        <v>-16268445.245292099</v>
      </c>
      <c r="H474" s="157">
        <v>1.0845630163527999</v>
      </c>
      <c r="I474" s="23">
        <v>0</v>
      </c>
      <c r="J474" s="23" t="s">
        <v>169</v>
      </c>
      <c r="K474" s="24">
        <v>44938</v>
      </c>
      <c r="L474" s="23">
        <v>1</v>
      </c>
      <c r="M474" s="23" t="s">
        <v>258</v>
      </c>
      <c r="N474" s="45">
        <f t="shared" si="94"/>
        <v>1</v>
      </c>
      <c r="O474" s="159">
        <f t="shared" si="95"/>
        <v>-15000000</v>
      </c>
      <c r="P474" s="47">
        <f t="shared" si="96"/>
        <v>-16268445.245291999</v>
      </c>
      <c r="Q474" s="25">
        <f t="shared" si="97"/>
        <v>0</v>
      </c>
      <c r="R474" s="26" t="str">
        <f t="shared" si="98"/>
        <v>COIN</v>
      </c>
      <c r="S474" s="26" t="str">
        <f t="shared" si="93"/>
        <v>SHORT</v>
      </c>
      <c r="T474" s="26" t="str">
        <f t="shared" si="99"/>
        <v>COIN SHORT</v>
      </c>
      <c r="U474" s="17">
        <f t="shared" si="100"/>
        <v>-16268445.245292099</v>
      </c>
      <c r="V474" s="17">
        <f t="shared" si="101"/>
        <v>1.0845630163527999</v>
      </c>
      <c r="W474" s="39">
        <f>IF($C474="","",IF(DefaultScenario,IF(OR(AND(Default_Exchange="ALL",NOT(ISERROR(MATCH($C474,$AF$6:$AF$37,0)))),$C474=Default_Exchange),IF($G474&gt;0,-LGD,0),0),IF(OR($J474="SWAP",$J474="FUTURE",$J474="CME FUTURE"),IF('Futures &amp; Perps Shifted'!$AE$31,VLOOKUP($M474,'Futures &amp; Perps Shifted'!$AE$32:$AO$76,MATCH($R474,'Futures &amp; Perps Shifted'!$AE$30:$AO$30,0),FALSE),0),0)))</f>
        <v>0</v>
      </c>
      <c r="X474" s="17">
        <f t="shared" si="102"/>
        <v>0</v>
      </c>
      <c r="Y474" s="14" t="str">
        <f t="shared" si="92"/>
        <v>LEND</v>
      </c>
      <c r="Z474" t="str">
        <f t="shared" si="103"/>
        <v>EUROC COIN SHORT</v>
      </c>
      <c r="AA474" t="b">
        <f>IF($C474="","",IF(ISERROR(VLOOKUP($Y474,Mappings!$A:$C,3,FALSE)),FALSE,VLOOKUP($Y474,Mappings!$A:$C,3,FALSE)))</f>
        <v>0</v>
      </c>
    </row>
    <row r="475" spans="1:27" customFormat="1" x14ac:dyDescent="0.25">
      <c r="A475" s="14">
        <v>473</v>
      </c>
      <c r="B475" s="71">
        <v>44938</v>
      </c>
      <c r="C475" s="14" t="s">
        <v>170</v>
      </c>
      <c r="D475" s="23" t="s">
        <v>168</v>
      </c>
      <c r="E475" s="23" t="s">
        <v>95</v>
      </c>
      <c r="F475" s="101">
        <v>-42800000</v>
      </c>
      <c r="G475" s="153">
        <v>-42800000</v>
      </c>
      <c r="H475" s="157">
        <v>1</v>
      </c>
      <c r="I475" s="23">
        <v>0</v>
      </c>
      <c r="J475" s="23" t="s">
        <v>169</v>
      </c>
      <c r="K475" s="24">
        <v>44938</v>
      </c>
      <c r="L475" s="23">
        <v>1</v>
      </c>
      <c r="M475" s="23" t="s">
        <v>95</v>
      </c>
      <c r="N475" s="45">
        <f t="shared" si="94"/>
        <v>1</v>
      </c>
      <c r="O475" s="159">
        <f t="shared" si="95"/>
        <v>-42800000</v>
      </c>
      <c r="P475" s="47">
        <f t="shared" si="96"/>
        <v>-42800000</v>
      </c>
      <c r="Q475" s="25">
        <f t="shared" si="97"/>
        <v>0</v>
      </c>
      <c r="R475" s="26" t="str">
        <f t="shared" si="98"/>
        <v>CASH</v>
      </c>
      <c r="S475" s="26" t="str">
        <f t="shared" si="93"/>
        <v>SHORT</v>
      </c>
      <c r="T475" s="26" t="str">
        <f t="shared" si="99"/>
        <v>CASH SHORT</v>
      </c>
      <c r="U475" s="17">
        <f t="shared" si="100"/>
        <v>-42800000</v>
      </c>
      <c r="V475" s="17">
        <f t="shared" si="101"/>
        <v>1</v>
      </c>
      <c r="W475" s="39">
        <f>IF($C475="","",IF(DefaultScenario,IF(OR(AND(Default_Exchange="ALL",NOT(ISERROR(MATCH($C475,$AF$6:$AF$37,0)))),$C475=Default_Exchange),IF($G475&gt;0,-LGD,0),0),IF(OR($J475="SWAP",$J475="FUTURE",$J475="CME FUTURE"),IF('Futures &amp; Perps Shifted'!$AE$31,VLOOKUP($M475,'Futures &amp; Perps Shifted'!$AE$32:$AO$76,MATCH($R475,'Futures &amp; Perps Shifted'!$AE$30:$AO$30,0),FALSE),0),0)))</f>
        <v>0</v>
      </c>
      <c r="X475" s="17">
        <f t="shared" si="102"/>
        <v>0</v>
      </c>
      <c r="Y475" s="14" t="str">
        <f t="shared" si="92"/>
        <v>LEND</v>
      </c>
      <c r="Z475" t="str">
        <f t="shared" si="103"/>
        <v>USD CASH SHORT</v>
      </c>
      <c r="AA475" t="b">
        <f>IF($C475="","",IF(ISERROR(VLOOKUP($Y475,Mappings!$A:$C,3,FALSE)),FALSE,VLOOKUP($Y475,Mappings!$A:$C,3,FALSE)))</f>
        <v>0</v>
      </c>
    </row>
    <row r="476" spans="1:27" customFormat="1" x14ac:dyDescent="0.25">
      <c r="A476" s="14">
        <v>474</v>
      </c>
      <c r="B476" s="71">
        <v>44938</v>
      </c>
      <c r="C476" s="14" t="s">
        <v>170</v>
      </c>
      <c r="D476" s="23" t="s">
        <v>168</v>
      </c>
      <c r="E476" s="23" t="s">
        <v>92</v>
      </c>
      <c r="F476" s="101">
        <v>-89706000</v>
      </c>
      <c r="G476" s="153">
        <v>-89712472.254475504</v>
      </c>
      <c r="H476" s="157">
        <v>1.0000721496274001</v>
      </c>
      <c r="I476" s="23">
        <v>0</v>
      </c>
      <c r="J476" s="23" t="s">
        <v>169</v>
      </c>
      <c r="K476" s="24">
        <v>44938</v>
      </c>
      <c r="L476" s="23">
        <v>1</v>
      </c>
      <c r="M476" s="23" t="s">
        <v>92</v>
      </c>
      <c r="N476" s="45">
        <f t="shared" si="94"/>
        <v>1</v>
      </c>
      <c r="O476" s="159">
        <f t="shared" si="95"/>
        <v>-89706000</v>
      </c>
      <c r="P476" s="47">
        <f t="shared" si="96"/>
        <v>-89712472.254475549</v>
      </c>
      <c r="Q476" s="25">
        <f t="shared" si="97"/>
        <v>0</v>
      </c>
      <c r="R476" s="26" t="str">
        <f t="shared" si="98"/>
        <v>COIN</v>
      </c>
      <c r="S476" s="26" t="str">
        <f t="shared" si="93"/>
        <v>SHORT</v>
      </c>
      <c r="T476" s="26" t="str">
        <f t="shared" si="99"/>
        <v>COIN SHORT</v>
      </c>
      <c r="U476" s="17">
        <f t="shared" si="100"/>
        <v>-89712472.254475504</v>
      </c>
      <c r="V476" s="17">
        <f t="shared" si="101"/>
        <v>1.0000721496274001</v>
      </c>
      <c r="W476" s="39">
        <f>IF($C476="","",IF(DefaultScenario,IF(OR(AND(Default_Exchange="ALL",NOT(ISERROR(MATCH($C476,$AF$6:$AF$37,0)))),$C476=Default_Exchange),IF($G476&gt;0,-LGD,0),0),IF(OR($J476="SWAP",$J476="FUTURE",$J476="CME FUTURE"),IF('Futures &amp; Perps Shifted'!$AE$31,VLOOKUP($M476,'Futures &amp; Perps Shifted'!$AE$32:$AO$76,MATCH($R476,'Futures &amp; Perps Shifted'!$AE$30:$AO$30,0),FALSE),0),0)))</f>
        <v>0</v>
      </c>
      <c r="X476" s="17">
        <f t="shared" si="102"/>
        <v>0</v>
      </c>
      <c r="Y476" s="14" t="str">
        <f t="shared" si="92"/>
        <v>LEND</v>
      </c>
      <c r="Z476" t="str">
        <f t="shared" si="103"/>
        <v>USDC COIN SHORT</v>
      </c>
      <c r="AA476" t="b">
        <f>IF($C476="","",IF(ISERROR(VLOOKUP($Y476,Mappings!$A:$C,3,FALSE)),FALSE,VLOOKUP($Y476,Mappings!$A:$C,3,FALSE)))</f>
        <v>0</v>
      </c>
    </row>
    <row r="477" spans="1:27" customFormat="1" x14ac:dyDescent="0.25">
      <c r="A477" s="14">
        <v>475</v>
      </c>
      <c r="B477" s="71">
        <v>44938</v>
      </c>
      <c r="C477" s="14" t="s">
        <v>170</v>
      </c>
      <c r="D477" s="23" t="s">
        <v>168</v>
      </c>
      <c r="E477" s="23" t="s">
        <v>26</v>
      </c>
      <c r="F477" s="101">
        <v>-20000000</v>
      </c>
      <c r="G477" s="153">
        <v>-479489.59814677201</v>
      </c>
      <c r="H477" s="157">
        <v>2.39744799073386E-2</v>
      </c>
      <c r="I477" s="23">
        <v>0</v>
      </c>
      <c r="J477" s="23" t="s">
        <v>169</v>
      </c>
      <c r="K477" s="24">
        <v>44938</v>
      </c>
      <c r="L477" s="23">
        <v>1</v>
      </c>
      <c r="M477" s="23" t="s">
        <v>26</v>
      </c>
      <c r="N477" s="45">
        <f t="shared" si="94"/>
        <v>1</v>
      </c>
      <c r="O477" s="159">
        <f t="shared" si="95"/>
        <v>-20000000</v>
      </c>
      <c r="P477" s="47">
        <f t="shared" si="96"/>
        <v>-479489.59814677201</v>
      </c>
      <c r="Q477" s="25">
        <f t="shared" si="97"/>
        <v>0</v>
      </c>
      <c r="R477" s="26" t="str">
        <f t="shared" si="98"/>
        <v>COIN</v>
      </c>
      <c r="S477" s="26" t="str">
        <f t="shared" si="93"/>
        <v>SHORT</v>
      </c>
      <c r="T477" s="26" t="str">
        <f t="shared" si="99"/>
        <v>COIN SHORT</v>
      </c>
      <c r="U477" s="17">
        <f t="shared" si="100"/>
        <v>-479489.59814677201</v>
      </c>
      <c r="V477" s="17">
        <f t="shared" si="101"/>
        <v>2.39744799073386E-2</v>
      </c>
      <c r="W477" s="39">
        <f>IF($C477="","",IF(DefaultScenario,IF(OR(AND(Default_Exchange="ALL",NOT(ISERROR(MATCH($C477,$AF$6:$AF$37,0)))),$C477=Default_Exchange),IF($G477&gt;0,-LGD,0),0),IF(OR($J477="SWAP",$J477="FUTURE",$J477="CME FUTURE"),IF('Futures &amp; Perps Shifted'!$AE$31,VLOOKUP($M477,'Futures &amp; Perps Shifted'!$AE$32:$AO$76,MATCH($R477,'Futures &amp; Perps Shifted'!$AE$30:$AO$30,0),FALSE),0),0)))</f>
        <v>0</v>
      </c>
      <c r="X477" s="17">
        <f t="shared" si="102"/>
        <v>0</v>
      </c>
      <c r="Y477" s="14" t="str">
        <f t="shared" si="92"/>
        <v>LEND</v>
      </c>
      <c r="Z477" t="str">
        <f t="shared" si="103"/>
        <v>ZIL COIN SHORT</v>
      </c>
      <c r="AA477" t="b">
        <f>IF($C477="","",IF(ISERROR(VLOOKUP($Y477,Mappings!$A:$C,3,FALSE)),FALSE,VLOOKUP($Y477,Mappings!$A:$C,3,FALSE)))</f>
        <v>0</v>
      </c>
    </row>
    <row r="478" spans="1:27" customFormat="1" x14ac:dyDescent="0.25">
      <c r="A478" s="14">
        <v>476</v>
      </c>
      <c r="B478" s="71">
        <v>44938</v>
      </c>
      <c r="C478" s="14" t="s">
        <v>39</v>
      </c>
      <c r="D478" s="23" t="s">
        <v>204</v>
      </c>
      <c r="E478" s="23" t="s">
        <v>20</v>
      </c>
      <c r="F478" s="101">
        <v>-5000</v>
      </c>
      <c r="G478" s="153">
        <v>-598552.33068706002</v>
      </c>
      <c r="H478" s="157">
        <v>119.710466137412</v>
      </c>
      <c r="I478" s="23">
        <v>0</v>
      </c>
      <c r="J478" s="23" t="s">
        <v>195</v>
      </c>
      <c r="K478" s="24">
        <v>44938</v>
      </c>
      <c r="L478" s="23">
        <v>1</v>
      </c>
      <c r="M478" s="23" t="s">
        <v>20</v>
      </c>
      <c r="N478" s="45">
        <f t="shared" si="94"/>
        <v>1</v>
      </c>
      <c r="O478" s="159">
        <f t="shared" si="95"/>
        <v>-5000</v>
      </c>
      <c r="P478" s="47">
        <f t="shared" si="96"/>
        <v>-598552.33068706002</v>
      </c>
      <c r="Q478" s="25">
        <f t="shared" si="97"/>
        <v>0</v>
      </c>
      <c r="R478" s="26" t="str">
        <f t="shared" si="98"/>
        <v>COIN</v>
      </c>
      <c r="S478" s="26" t="str">
        <f t="shared" si="93"/>
        <v>SHORT</v>
      </c>
      <c r="T478" s="26" t="str">
        <f t="shared" si="99"/>
        <v>COIN SHORT</v>
      </c>
      <c r="U478" s="17">
        <f t="shared" si="100"/>
        <v>-598552.33068706002</v>
      </c>
      <c r="V478" s="17">
        <f t="shared" si="101"/>
        <v>119.710466137412</v>
      </c>
      <c r="W478" s="39">
        <f>IF($C478="","",IF(DefaultScenario,IF(OR(AND(Default_Exchange="ALL",NOT(ISERROR(MATCH($C478,$AF$6:$AF$37,0)))),$C478=Default_Exchange),IF($G478&gt;0,-LGD,0),0),IF(OR($J478="SWAP",$J478="FUTURE",$J478="CME FUTURE"),IF('Futures &amp; Perps Shifted'!$AE$31,VLOOKUP($M478,'Futures &amp; Perps Shifted'!$AE$32:$AO$76,MATCH($R478,'Futures &amp; Perps Shifted'!$AE$30:$AO$30,0),FALSE),0),0)))</f>
        <v>0</v>
      </c>
      <c r="X478" s="17">
        <f t="shared" si="102"/>
        <v>0</v>
      </c>
      <c r="Y478" s="14" t="str">
        <f t="shared" si="92"/>
        <v>LEND</v>
      </c>
      <c r="Z478" t="str">
        <f t="shared" si="103"/>
        <v>BCH COIN SHORT</v>
      </c>
      <c r="AA478" t="b">
        <f>IF($C478="","",IF(ISERROR(VLOOKUP($Y478,Mappings!$A:$C,3,FALSE)),FALSE,VLOOKUP($Y478,Mappings!$A:$C,3,FALSE)))</f>
        <v>0</v>
      </c>
    </row>
    <row r="479" spans="1:27" customFormat="1" x14ac:dyDescent="0.25">
      <c r="A479" s="14">
        <v>477</v>
      </c>
      <c r="B479" s="71">
        <v>44938</v>
      </c>
      <c r="C479" s="14" t="s">
        <v>39</v>
      </c>
      <c r="D479" s="23" t="s">
        <v>204</v>
      </c>
      <c r="E479" s="23" t="s">
        <v>22</v>
      </c>
      <c r="F479" s="101">
        <v>-40000</v>
      </c>
      <c r="G479" s="153">
        <v>-209179.11756295999</v>
      </c>
      <c r="H479" s="157">
        <v>5.2294779390740098</v>
      </c>
      <c r="I479" s="23">
        <v>0</v>
      </c>
      <c r="J479" s="23" t="s">
        <v>195</v>
      </c>
      <c r="K479" s="24">
        <v>44938</v>
      </c>
      <c r="L479" s="23">
        <v>1</v>
      </c>
      <c r="M479" s="23" t="s">
        <v>22</v>
      </c>
      <c r="N479" s="45">
        <f t="shared" si="94"/>
        <v>1</v>
      </c>
      <c r="O479" s="159">
        <f t="shared" si="95"/>
        <v>-40000</v>
      </c>
      <c r="P479" s="47">
        <f t="shared" si="96"/>
        <v>-209179.1175629604</v>
      </c>
      <c r="Q479" s="25">
        <f t="shared" si="97"/>
        <v>0</v>
      </c>
      <c r="R479" s="26" t="str">
        <f t="shared" si="98"/>
        <v>COIN</v>
      </c>
      <c r="S479" s="26" t="str">
        <f t="shared" si="93"/>
        <v>SHORT</v>
      </c>
      <c r="T479" s="26" t="str">
        <f t="shared" si="99"/>
        <v>COIN SHORT</v>
      </c>
      <c r="U479" s="17">
        <f t="shared" si="100"/>
        <v>-209179.11756295999</v>
      </c>
      <c r="V479" s="17">
        <f t="shared" si="101"/>
        <v>5.2294779390740098</v>
      </c>
      <c r="W479" s="39">
        <f>IF($C479="","",IF(DefaultScenario,IF(OR(AND(Default_Exchange="ALL",NOT(ISERROR(MATCH($C479,$AF$6:$AF$37,0)))),$C479=Default_Exchange),IF($G479&gt;0,-LGD,0),0),IF(OR($J479="SWAP",$J479="FUTURE",$J479="CME FUTURE"),IF('Futures &amp; Perps Shifted'!$AE$31,VLOOKUP($M479,'Futures &amp; Perps Shifted'!$AE$32:$AO$76,MATCH($R479,'Futures &amp; Perps Shifted'!$AE$30:$AO$30,0),FALSE),0),0)))</f>
        <v>0</v>
      </c>
      <c r="X479" s="17">
        <f t="shared" si="102"/>
        <v>0</v>
      </c>
      <c r="Y479" s="14" t="str">
        <f t="shared" si="92"/>
        <v>LEND</v>
      </c>
      <c r="Z479" t="str">
        <f t="shared" si="103"/>
        <v>DOT COIN SHORT</v>
      </c>
      <c r="AA479" t="b">
        <f>IF($C479="","",IF(ISERROR(VLOOKUP($Y479,Mappings!$A:$C,3,FALSE)),FALSE,VLOOKUP($Y479,Mappings!$A:$C,3,FALSE)))</f>
        <v>0</v>
      </c>
    </row>
    <row r="480" spans="1:27" customFormat="1" x14ac:dyDescent="0.25">
      <c r="A480" s="14">
        <v>478</v>
      </c>
      <c r="B480" s="71">
        <v>44938</v>
      </c>
      <c r="C480" s="14" t="s">
        <v>39</v>
      </c>
      <c r="D480" s="23" t="s">
        <v>204</v>
      </c>
      <c r="E480" s="23" t="s">
        <v>23</v>
      </c>
      <c r="F480" s="101">
        <v>-160000</v>
      </c>
      <c r="G480" s="153">
        <v>-158438.79628911</v>
      </c>
      <c r="H480" s="157">
        <v>0.990242476806942</v>
      </c>
      <c r="I480" s="23">
        <v>0</v>
      </c>
      <c r="J480" s="23" t="s">
        <v>195</v>
      </c>
      <c r="K480" s="24">
        <v>44938</v>
      </c>
      <c r="L480" s="23">
        <v>1</v>
      </c>
      <c r="M480" s="23" t="s">
        <v>23</v>
      </c>
      <c r="N480" s="45">
        <f t="shared" si="94"/>
        <v>1</v>
      </c>
      <c r="O480" s="159">
        <f t="shared" si="95"/>
        <v>-160000</v>
      </c>
      <c r="P480" s="47">
        <f t="shared" si="96"/>
        <v>-158438.79628911073</v>
      </c>
      <c r="Q480" s="25">
        <f t="shared" si="97"/>
        <v>0</v>
      </c>
      <c r="R480" s="26" t="str">
        <f t="shared" si="98"/>
        <v>COIN</v>
      </c>
      <c r="S480" s="26" t="str">
        <f t="shared" si="93"/>
        <v>SHORT</v>
      </c>
      <c r="T480" s="26" t="str">
        <f t="shared" si="99"/>
        <v>COIN SHORT</v>
      </c>
      <c r="U480" s="17">
        <f t="shared" si="100"/>
        <v>-158438.79628911</v>
      </c>
      <c r="V480" s="17">
        <f t="shared" si="101"/>
        <v>0.990242476806942</v>
      </c>
      <c r="W480" s="39">
        <f>IF($C480="","",IF(DefaultScenario,IF(OR(AND(Default_Exchange="ALL",NOT(ISERROR(MATCH($C480,$AF$6:$AF$37,0)))),$C480=Default_Exchange),IF($G480&gt;0,-LGD,0),0),IF(OR($J480="SWAP",$J480="FUTURE",$J480="CME FUTURE"),IF('Futures &amp; Perps Shifted'!$AE$31,VLOOKUP($M480,'Futures &amp; Perps Shifted'!$AE$32:$AO$76,MATCH($R480,'Futures &amp; Perps Shifted'!$AE$30:$AO$30,0),FALSE),0),0)))</f>
        <v>0</v>
      </c>
      <c r="X480" s="17">
        <f t="shared" si="102"/>
        <v>0</v>
      </c>
      <c r="Y480" s="14" t="str">
        <f t="shared" si="92"/>
        <v>LEND</v>
      </c>
      <c r="Z480" t="str">
        <f t="shared" si="103"/>
        <v>EOS COIN SHORT</v>
      </c>
      <c r="AA480" t="b">
        <f>IF($C480="","",IF(ISERROR(VLOOKUP($Y480,Mappings!$A:$C,3,FALSE)),FALSE,VLOOKUP($Y480,Mappings!$A:$C,3,FALSE)))</f>
        <v>0</v>
      </c>
    </row>
    <row r="481" spans="1:27" customFormat="1" x14ac:dyDescent="0.25">
      <c r="A481" s="14">
        <v>479</v>
      </c>
      <c r="B481" s="71">
        <v>44938</v>
      </c>
      <c r="C481" s="14" t="s">
        <v>39</v>
      </c>
      <c r="D481" s="23" t="s">
        <v>204</v>
      </c>
      <c r="E481" s="23" t="s">
        <v>29</v>
      </c>
      <c r="F481" s="101">
        <v>-108000</v>
      </c>
      <c r="G481" s="153">
        <v>-2259117.88751635</v>
      </c>
      <c r="H481" s="157">
        <v>20.917758217744002</v>
      </c>
      <c r="I481" s="23">
        <v>0</v>
      </c>
      <c r="J481" s="23" t="s">
        <v>195</v>
      </c>
      <c r="K481" s="24">
        <v>44938</v>
      </c>
      <c r="L481" s="23">
        <v>1</v>
      </c>
      <c r="M481" s="23" t="s">
        <v>29</v>
      </c>
      <c r="N481" s="45">
        <f t="shared" si="94"/>
        <v>1</v>
      </c>
      <c r="O481" s="159">
        <f t="shared" si="95"/>
        <v>-108000</v>
      </c>
      <c r="P481" s="47">
        <f t="shared" si="96"/>
        <v>-2259117.8875163523</v>
      </c>
      <c r="Q481" s="25">
        <f t="shared" si="97"/>
        <v>0</v>
      </c>
      <c r="R481" s="26" t="str">
        <f t="shared" si="98"/>
        <v>COIN</v>
      </c>
      <c r="S481" s="26" t="str">
        <f t="shared" si="93"/>
        <v>SHORT</v>
      </c>
      <c r="T481" s="26" t="str">
        <f t="shared" si="99"/>
        <v>COIN SHORT</v>
      </c>
      <c r="U481" s="17">
        <f t="shared" si="100"/>
        <v>-2259117.88751635</v>
      </c>
      <c r="V481" s="17">
        <f t="shared" si="101"/>
        <v>20.917758217744002</v>
      </c>
      <c r="W481" s="39">
        <f>IF($C481="","",IF(DefaultScenario,IF(OR(AND(Default_Exchange="ALL",NOT(ISERROR(MATCH($C481,$AF$6:$AF$37,0)))),$C481=Default_Exchange),IF($G481&gt;0,-LGD,0),0),IF(OR($J481="SWAP",$J481="FUTURE",$J481="CME FUTURE"),IF('Futures &amp; Perps Shifted'!$AE$31,VLOOKUP($M481,'Futures &amp; Perps Shifted'!$AE$32:$AO$76,MATCH($R481,'Futures &amp; Perps Shifted'!$AE$30:$AO$30,0),FALSE),0),0)))</f>
        <v>0</v>
      </c>
      <c r="X481" s="17">
        <f t="shared" si="102"/>
        <v>0</v>
      </c>
      <c r="Y481" s="14" t="str">
        <f t="shared" si="92"/>
        <v>LEND</v>
      </c>
      <c r="Z481" t="str">
        <f t="shared" si="103"/>
        <v>ETC COIN SHORT</v>
      </c>
      <c r="AA481" t="b">
        <f>IF($C481="","",IF(ISERROR(VLOOKUP($Y481,Mappings!$A:$C,3,FALSE)),FALSE,VLOOKUP($Y481,Mappings!$A:$C,3,FALSE)))</f>
        <v>0</v>
      </c>
    </row>
    <row r="482" spans="1:27" customFormat="1" x14ac:dyDescent="0.25">
      <c r="A482" s="14">
        <v>480</v>
      </c>
      <c r="B482" s="71">
        <v>44938</v>
      </c>
      <c r="C482" s="14" t="s">
        <v>39</v>
      </c>
      <c r="D482" s="23" t="s">
        <v>204</v>
      </c>
      <c r="E482" s="23" t="s">
        <v>15</v>
      </c>
      <c r="F482" s="101">
        <v>-4600</v>
      </c>
      <c r="G482" s="153">
        <v>-6522517.2063116096</v>
      </c>
      <c r="H482" s="157">
        <v>1417.9385231112101</v>
      </c>
      <c r="I482" s="23">
        <v>0</v>
      </c>
      <c r="J482" s="23" t="s">
        <v>195</v>
      </c>
      <c r="K482" s="24">
        <v>44938</v>
      </c>
      <c r="L482" s="23">
        <v>1</v>
      </c>
      <c r="M482" s="23" t="s">
        <v>15</v>
      </c>
      <c r="N482" s="45">
        <f t="shared" si="94"/>
        <v>1</v>
      </c>
      <c r="O482" s="159">
        <f t="shared" si="95"/>
        <v>-4600</v>
      </c>
      <c r="P482" s="47">
        <f t="shared" si="96"/>
        <v>-6522517.2063115668</v>
      </c>
      <c r="Q482" s="25">
        <f t="shared" si="97"/>
        <v>0</v>
      </c>
      <c r="R482" s="26" t="str">
        <f t="shared" si="98"/>
        <v>COIN</v>
      </c>
      <c r="S482" s="26" t="str">
        <f t="shared" si="93"/>
        <v>SHORT</v>
      </c>
      <c r="T482" s="26" t="str">
        <f t="shared" si="99"/>
        <v>COIN SHORT</v>
      </c>
      <c r="U482" s="17">
        <f t="shared" si="100"/>
        <v>-6522517.2063116096</v>
      </c>
      <c r="V482" s="17">
        <f t="shared" si="101"/>
        <v>1417.9385231112101</v>
      </c>
      <c r="W482" s="39">
        <f>IF($C482="","",IF(DefaultScenario,IF(OR(AND(Default_Exchange="ALL",NOT(ISERROR(MATCH($C482,$AF$6:$AF$37,0)))),$C482=Default_Exchange),IF($G482&gt;0,-LGD,0),0),IF(OR($J482="SWAP",$J482="FUTURE",$J482="CME FUTURE"),IF('Futures &amp; Perps Shifted'!$AE$31,VLOOKUP($M482,'Futures &amp; Perps Shifted'!$AE$32:$AO$76,MATCH($R482,'Futures &amp; Perps Shifted'!$AE$30:$AO$30,0),FALSE),0),0)))</f>
        <v>0</v>
      </c>
      <c r="X482" s="17">
        <f t="shared" si="102"/>
        <v>0</v>
      </c>
      <c r="Y482" s="14" t="str">
        <f t="shared" si="92"/>
        <v>LEND</v>
      </c>
      <c r="Z482" t="str">
        <f t="shared" si="103"/>
        <v>ETH COIN SHORT</v>
      </c>
      <c r="AA482" t="b">
        <f>IF($C482="","",IF(ISERROR(VLOOKUP($Y482,Mappings!$A:$C,3,FALSE)),FALSE,VLOOKUP($Y482,Mappings!$A:$C,3,FALSE)))</f>
        <v>0</v>
      </c>
    </row>
    <row r="483" spans="1:27" customFormat="1" x14ac:dyDescent="0.25">
      <c r="A483" s="14">
        <v>481</v>
      </c>
      <c r="B483" s="71">
        <v>44938</v>
      </c>
      <c r="C483" s="14" t="s">
        <v>39</v>
      </c>
      <c r="D483" s="23" t="s">
        <v>204</v>
      </c>
      <c r="E483" s="23" t="s">
        <v>27</v>
      </c>
      <c r="F483" s="101">
        <v>-17000</v>
      </c>
      <c r="G483" s="153">
        <v>-108482.636391443</v>
      </c>
      <c r="H483" s="157">
        <v>6.38133155243787</v>
      </c>
      <c r="I483" s="23">
        <v>0</v>
      </c>
      <c r="J483" s="23" t="s">
        <v>195</v>
      </c>
      <c r="K483" s="24">
        <v>44938</v>
      </c>
      <c r="L483" s="23">
        <v>1</v>
      </c>
      <c r="M483" s="23" t="s">
        <v>27</v>
      </c>
      <c r="N483" s="45">
        <f t="shared" si="94"/>
        <v>1</v>
      </c>
      <c r="O483" s="159">
        <f t="shared" si="95"/>
        <v>-17000</v>
      </c>
      <c r="P483" s="47">
        <f t="shared" si="96"/>
        <v>-108482.63639144378</v>
      </c>
      <c r="Q483" s="25">
        <f t="shared" si="97"/>
        <v>0</v>
      </c>
      <c r="R483" s="26" t="str">
        <f t="shared" si="98"/>
        <v>COIN</v>
      </c>
      <c r="S483" s="26" t="str">
        <f t="shared" si="93"/>
        <v>SHORT</v>
      </c>
      <c r="T483" s="26" t="str">
        <f t="shared" si="99"/>
        <v>COIN SHORT</v>
      </c>
      <c r="U483" s="17">
        <f t="shared" si="100"/>
        <v>-108482.636391443</v>
      </c>
      <c r="V483" s="17">
        <f t="shared" si="101"/>
        <v>6.38133155243787</v>
      </c>
      <c r="W483" s="39">
        <f>IF($C483="","",IF(DefaultScenario,IF(OR(AND(Default_Exchange="ALL",NOT(ISERROR(MATCH($C483,$AF$6:$AF$37,0)))),$C483=Default_Exchange),IF($G483&gt;0,-LGD,0),0),IF(OR($J483="SWAP",$J483="FUTURE",$J483="CME FUTURE"),IF('Futures &amp; Perps Shifted'!$AE$31,VLOOKUP($M483,'Futures &amp; Perps Shifted'!$AE$32:$AO$76,MATCH($R483,'Futures &amp; Perps Shifted'!$AE$30:$AO$30,0),FALSE),0),0)))</f>
        <v>0</v>
      </c>
      <c r="X483" s="17">
        <f t="shared" si="102"/>
        <v>0</v>
      </c>
      <c r="Y483" s="14" t="str">
        <f t="shared" si="92"/>
        <v>LEND</v>
      </c>
      <c r="Z483" t="str">
        <f t="shared" si="103"/>
        <v>LINK COIN SHORT</v>
      </c>
      <c r="AA483" t="b">
        <f>IF($C483="","",IF(ISERROR(VLOOKUP($Y483,Mappings!$A:$C,3,FALSE)),FALSE,VLOOKUP($Y483,Mappings!$A:$C,3,FALSE)))</f>
        <v>0</v>
      </c>
    </row>
    <row r="484" spans="1:27" customFormat="1" x14ac:dyDescent="0.25">
      <c r="A484" s="14">
        <v>482</v>
      </c>
      <c r="B484" s="71">
        <v>44938</v>
      </c>
      <c r="C484" s="14" t="s">
        <v>39</v>
      </c>
      <c r="D484" s="23" t="s">
        <v>204</v>
      </c>
      <c r="E484" s="23" t="s">
        <v>24</v>
      </c>
      <c r="F484" s="101">
        <v>-11800</v>
      </c>
      <c r="G484" s="153">
        <v>-1014377.90751892</v>
      </c>
      <c r="H484" s="157">
        <v>85.964229450756093</v>
      </c>
      <c r="I484" s="23">
        <v>0</v>
      </c>
      <c r="J484" s="23" t="s">
        <v>195</v>
      </c>
      <c r="K484" s="24">
        <v>44938</v>
      </c>
      <c r="L484" s="23">
        <v>1</v>
      </c>
      <c r="M484" s="23" t="s">
        <v>24</v>
      </c>
      <c r="N484" s="45">
        <f t="shared" si="94"/>
        <v>1</v>
      </c>
      <c r="O484" s="159">
        <f t="shared" si="95"/>
        <v>-11800</v>
      </c>
      <c r="P484" s="47">
        <f t="shared" si="96"/>
        <v>-1014377.9075189219</v>
      </c>
      <c r="Q484" s="25">
        <f t="shared" si="97"/>
        <v>0</v>
      </c>
      <c r="R484" s="26" t="str">
        <f t="shared" si="98"/>
        <v>COIN</v>
      </c>
      <c r="S484" s="26" t="str">
        <f t="shared" si="93"/>
        <v>SHORT</v>
      </c>
      <c r="T484" s="26" t="str">
        <f t="shared" si="99"/>
        <v>COIN SHORT</v>
      </c>
      <c r="U484" s="17">
        <f t="shared" si="100"/>
        <v>-1014377.90751892</v>
      </c>
      <c r="V484" s="17">
        <f t="shared" si="101"/>
        <v>85.964229450756093</v>
      </c>
      <c r="W484" s="39">
        <f>IF($C484="","",IF(DefaultScenario,IF(OR(AND(Default_Exchange="ALL",NOT(ISERROR(MATCH($C484,$AF$6:$AF$37,0)))),$C484=Default_Exchange),IF($G484&gt;0,-LGD,0),0),IF(OR($J484="SWAP",$J484="FUTURE",$J484="CME FUTURE"),IF('Futures &amp; Perps Shifted'!$AE$31,VLOOKUP($M484,'Futures &amp; Perps Shifted'!$AE$32:$AO$76,MATCH($R484,'Futures &amp; Perps Shifted'!$AE$30:$AO$30,0),FALSE),0),0)))</f>
        <v>0</v>
      </c>
      <c r="X484" s="17">
        <f t="shared" si="102"/>
        <v>0</v>
      </c>
      <c r="Y484" s="14" t="str">
        <f t="shared" si="92"/>
        <v>LEND</v>
      </c>
      <c r="Z484" t="str">
        <f t="shared" si="103"/>
        <v>LTC COIN SHORT</v>
      </c>
      <c r="AA484" t="b">
        <f>IF($C484="","",IF(ISERROR(VLOOKUP($Y484,Mappings!$A:$C,3,FALSE)),FALSE,VLOOKUP($Y484,Mappings!$A:$C,3,FALSE)))</f>
        <v>0</v>
      </c>
    </row>
    <row r="485" spans="1:27" customFormat="1" x14ac:dyDescent="0.25">
      <c r="A485" s="14">
        <v>483</v>
      </c>
      <c r="B485" s="71">
        <v>44938</v>
      </c>
      <c r="C485" s="14" t="s">
        <v>209</v>
      </c>
      <c r="D485" s="23" t="s">
        <v>207</v>
      </c>
      <c r="E485" s="23" t="s">
        <v>89</v>
      </c>
      <c r="F485" s="101">
        <v>-2600208</v>
      </c>
      <c r="G485" s="153">
        <v>-190645.51339292701</v>
      </c>
      <c r="H485" s="157">
        <v>7.3319331912265404E-2</v>
      </c>
      <c r="I485" s="23">
        <v>0</v>
      </c>
      <c r="J485" s="23" t="s">
        <v>208</v>
      </c>
      <c r="K485" s="24">
        <v>44938</v>
      </c>
      <c r="L485" s="23">
        <v>1</v>
      </c>
      <c r="M485" s="23" t="s">
        <v>89</v>
      </c>
      <c r="N485" s="45">
        <f t="shared" si="94"/>
        <v>1</v>
      </c>
      <c r="O485" s="159">
        <f t="shared" si="95"/>
        <v>-2600208</v>
      </c>
      <c r="P485" s="47">
        <f t="shared" si="96"/>
        <v>-190645.51339292779</v>
      </c>
      <c r="Q485" s="25">
        <f t="shared" si="97"/>
        <v>0</v>
      </c>
      <c r="R485" s="26" t="str">
        <f t="shared" si="98"/>
        <v>COIN</v>
      </c>
      <c r="S485" s="26" t="str">
        <f t="shared" si="93"/>
        <v>SHORT</v>
      </c>
      <c r="T485" s="26" t="str">
        <f t="shared" si="99"/>
        <v>COIN SHORT</v>
      </c>
      <c r="U485" s="17">
        <f t="shared" si="100"/>
        <v>-190645.51339292701</v>
      </c>
      <c r="V485" s="17">
        <f t="shared" si="101"/>
        <v>7.3319331912265404E-2</v>
      </c>
      <c r="W485" s="39">
        <f>IF($C485="","",IF(DefaultScenario,IF(OR(AND(Default_Exchange="ALL",NOT(ISERROR(MATCH($C485,$AF$6:$AF$37,0)))),$C485=Default_Exchange),IF($G485&gt;0,-LGD,0),0),IF(OR($J485="SWAP",$J485="FUTURE",$J485="CME FUTURE"),IF('Futures &amp; Perps Shifted'!$AE$31,VLOOKUP($M485,'Futures &amp; Perps Shifted'!$AE$32:$AO$76,MATCH($R485,'Futures &amp; Perps Shifted'!$AE$30:$AO$30,0),FALSE),0),0)))</f>
        <v>0</v>
      </c>
      <c r="X485" s="17">
        <f t="shared" si="102"/>
        <v>0</v>
      </c>
      <c r="Y485" s="14" t="str">
        <f t="shared" si="92"/>
        <v>LEND</v>
      </c>
      <c r="Z485" t="str">
        <f t="shared" si="103"/>
        <v>OXT COIN SHORT</v>
      </c>
      <c r="AA485" t="b">
        <f>IF($C485="","",IF(ISERROR(VLOOKUP($Y485,Mappings!$A:$C,3,FALSE)),FALSE,VLOOKUP($Y485,Mappings!$A:$C,3,FALSE)))</f>
        <v>0</v>
      </c>
    </row>
    <row r="486" spans="1:27" customFormat="1" x14ac:dyDescent="0.25">
      <c r="A486" s="14">
        <v>484</v>
      </c>
      <c r="B486" s="71">
        <v>44938</v>
      </c>
      <c r="C486" s="14" t="s">
        <v>209</v>
      </c>
      <c r="D486" s="23" t="s">
        <v>207</v>
      </c>
      <c r="E486" s="23" t="s">
        <v>92</v>
      </c>
      <c r="F486" s="101">
        <v>-1000000</v>
      </c>
      <c r="G486" s="153">
        <v>-1000072.1496274</v>
      </c>
      <c r="H486" s="157">
        <v>1.0000721496274001</v>
      </c>
      <c r="I486" s="23">
        <v>0</v>
      </c>
      <c r="J486" s="23" t="s">
        <v>208</v>
      </c>
      <c r="K486" s="24">
        <v>44938</v>
      </c>
      <c r="L486" s="23">
        <v>1</v>
      </c>
      <c r="M486" s="23" t="s">
        <v>92</v>
      </c>
      <c r="N486" s="45">
        <f t="shared" si="94"/>
        <v>1</v>
      </c>
      <c r="O486" s="159">
        <f t="shared" si="95"/>
        <v>-1000000</v>
      </c>
      <c r="P486" s="47">
        <f t="shared" si="96"/>
        <v>-1000072.1496274001</v>
      </c>
      <c r="Q486" s="25">
        <f t="shared" si="97"/>
        <v>0</v>
      </c>
      <c r="R486" s="26" t="str">
        <f t="shared" si="98"/>
        <v>COIN</v>
      </c>
      <c r="S486" s="26" t="str">
        <f t="shared" si="93"/>
        <v>SHORT</v>
      </c>
      <c r="T486" s="26" t="str">
        <f t="shared" si="99"/>
        <v>COIN SHORT</v>
      </c>
      <c r="U486" s="17">
        <f t="shared" si="100"/>
        <v>-1000072.1496274</v>
      </c>
      <c r="V486" s="17">
        <f t="shared" si="101"/>
        <v>1.0000721496274001</v>
      </c>
      <c r="W486" s="39">
        <f>IF($C486="","",IF(DefaultScenario,IF(OR(AND(Default_Exchange="ALL",NOT(ISERROR(MATCH($C486,$AF$6:$AF$37,0)))),$C486=Default_Exchange),IF($G486&gt;0,-LGD,0),0),IF(OR($J486="SWAP",$J486="FUTURE",$J486="CME FUTURE"),IF('Futures &amp; Perps Shifted'!$AE$31,VLOOKUP($M486,'Futures &amp; Perps Shifted'!$AE$32:$AO$76,MATCH($R486,'Futures &amp; Perps Shifted'!$AE$30:$AO$30,0),FALSE),0),0)))</f>
        <v>0</v>
      </c>
      <c r="X486" s="17">
        <f t="shared" si="102"/>
        <v>0</v>
      </c>
      <c r="Y486" s="14" t="str">
        <f t="shared" si="92"/>
        <v>LEND</v>
      </c>
      <c r="Z486" t="str">
        <f t="shared" si="103"/>
        <v>USDC COIN SHORT</v>
      </c>
      <c r="AA486" t="b">
        <f>IF($C486="","",IF(ISERROR(VLOOKUP($Y486,Mappings!$A:$C,3,FALSE)),FALSE,VLOOKUP($Y486,Mappings!$A:$C,3,FALSE)))</f>
        <v>0</v>
      </c>
    </row>
    <row r="487" spans="1:27" customFormat="1" x14ac:dyDescent="0.25">
      <c r="A487" s="14">
        <v>485</v>
      </c>
      <c r="B487" s="71">
        <v>44938</v>
      </c>
      <c r="C487" s="14" t="s">
        <v>211</v>
      </c>
      <c r="D487" s="23" t="s">
        <v>210</v>
      </c>
      <c r="E487" s="23" t="s">
        <v>99</v>
      </c>
      <c r="F487" s="101">
        <v>-201.17</v>
      </c>
      <c r="G487" s="153">
        <v>-75.478409104803205</v>
      </c>
      <c r="H487" s="157">
        <v>0.37519714224190098</v>
      </c>
      <c r="I487" s="23">
        <v>0</v>
      </c>
      <c r="J487" s="23" t="s">
        <v>208</v>
      </c>
      <c r="K487" s="24">
        <v>44938</v>
      </c>
      <c r="L487" s="23">
        <v>1</v>
      </c>
      <c r="M487" s="23" t="s">
        <v>99</v>
      </c>
      <c r="N487" s="45">
        <f t="shared" si="94"/>
        <v>1</v>
      </c>
      <c r="O487" s="159">
        <f t="shared" si="95"/>
        <v>-201.17</v>
      </c>
      <c r="P487" s="47">
        <f t="shared" si="96"/>
        <v>-75.47840910480322</v>
      </c>
      <c r="Q487" s="25">
        <f t="shared" si="97"/>
        <v>0</v>
      </c>
      <c r="R487" s="26" t="str">
        <f t="shared" si="98"/>
        <v>COIN</v>
      </c>
      <c r="S487" s="26" t="str">
        <f t="shared" si="93"/>
        <v>SHORT</v>
      </c>
      <c r="T487" s="26" t="str">
        <f t="shared" si="99"/>
        <v>COIN SHORT</v>
      </c>
      <c r="U487" s="17">
        <f t="shared" si="100"/>
        <v>-75.478409104803205</v>
      </c>
      <c r="V487" s="17">
        <f t="shared" si="101"/>
        <v>0.37519714224190098</v>
      </c>
      <c r="W487" s="39">
        <f>IF($C487="","",IF(DefaultScenario,IF(OR(AND(Default_Exchange="ALL",NOT(ISERROR(MATCH($C487,$AF$6:$AF$37,0)))),$C487=Default_Exchange),IF($G487&gt;0,-LGD,0),0),IF(OR($J487="SWAP",$J487="FUTURE",$J487="CME FUTURE"),IF('Futures &amp; Perps Shifted'!$AE$31,VLOOKUP($M487,'Futures &amp; Perps Shifted'!$AE$32:$AO$76,MATCH($R487,'Futures &amp; Perps Shifted'!$AE$30:$AO$30,0),FALSE),0),0)))</f>
        <v>0</v>
      </c>
      <c r="X487" s="17">
        <f t="shared" si="102"/>
        <v>0</v>
      </c>
      <c r="Y487" s="14" t="str">
        <f t="shared" si="92"/>
        <v>LEND</v>
      </c>
      <c r="Z487" t="str">
        <f t="shared" si="103"/>
        <v>XRP COIN SHORT</v>
      </c>
      <c r="AA487" t="b">
        <f>IF($C487="","",IF(ISERROR(VLOOKUP($Y487,Mappings!$A:$C,3,FALSE)),FALSE,VLOOKUP($Y487,Mappings!$A:$C,3,FALSE)))</f>
        <v>0</v>
      </c>
    </row>
    <row r="488" spans="1:27" customFormat="1" x14ac:dyDescent="0.25">
      <c r="A488" s="14">
        <v>486</v>
      </c>
      <c r="B488" s="71">
        <v>44939.000005208334</v>
      </c>
      <c r="C488" s="14" t="s">
        <v>45</v>
      </c>
      <c r="D488" s="23" t="s">
        <v>213</v>
      </c>
      <c r="E488" s="23" t="s">
        <v>20</v>
      </c>
      <c r="F488" s="101">
        <v>-12.89958137</v>
      </c>
      <c r="G488" s="153">
        <v>-1544.21489878017</v>
      </c>
      <c r="H488" s="157">
        <v>119.710466137412</v>
      </c>
      <c r="I488" s="23">
        <v>0</v>
      </c>
      <c r="J488" s="23" t="s">
        <v>263</v>
      </c>
      <c r="K488" s="24">
        <v>44939.000005208334</v>
      </c>
      <c r="L488" s="23">
        <v>1</v>
      </c>
      <c r="M488" s="23" t="s">
        <v>20</v>
      </c>
      <c r="N488" s="45">
        <f t="shared" si="94"/>
        <v>1</v>
      </c>
      <c r="O488" s="159">
        <f t="shared" si="95"/>
        <v>-12.89958137</v>
      </c>
      <c r="P488" s="47">
        <f t="shared" si="96"/>
        <v>-1544.2148987801756</v>
      </c>
      <c r="Q488" s="25">
        <f t="shared" si="97"/>
        <v>0</v>
      </c>
      <c r="R488" s="26" t="str">
        <f t="shared" si="98"/>
        <v>COIN</v>
      </c>
      <c r="S488" s="26" t="str">
        <f t="shared" si="93"/>
        <v>SHORT</v>
      </c>
      <c r="T488" s="26" t="str">
        <f t="shared" si="99"/>
        <v>COIN SHORT</v>
      </c>
      <c r="U488" s="17">
        <f t="shared" si="100"/>
        <v>-1544.21489878017</v>
      </c>
      <c r="V488" s="17">
        <f t="shared" si="101"/>
        <v>119.710466137412</v>
      </c>
      <c r="W488" s="39">
        <f>IF($C488="","",IF(DefaultScenario,IF(OR(AND(Default_Exchange="ALL",NOT(ISERROR(MATCH($C488,$AF$6:$AF$37,0)))),$C488=Default_Exchange),IF($G488&gt;0,-LGD,0),0),IF(OR($J488="SWAP",$J488="FUTURE",$J488="CME FUTURE"),IF('Futures &amp; Perps Shifted'!$AE$31,VLOOKUP($M488,'Futures &amp; Perps Shifted'!$AE$32:$AO$76,MATCH($R488,'Futures &amp; Perps Shifted'!$AE$30:$AO$30,0),FALSE),0),0)))</f>
        <v>0</v>
      </c>
      <c r="X488" s="17">
        <f t="shared" si="102"/>
        <v>0</v>
      </c>
      <c r="Y488" s="14" t="str">
        <f t="shared" si="92"/>
        <v>OKEX</v>
      </c>
      <c r="Z488" t="str">
        <f t="shared" si="103"/>
        <v>BCH COIN SHORT</v>
      </c>
      <c r="AA488" t="b">
        <f>IF($C488="","",IF(ISERROR(VLOOKUP($Y488,Mappings!$A:$C,3,FALSE)),FALSE,VLOOKUP($Y488,Mappings!$A:$C,3,FALSE)))</f>
        <v>1</v>
      </c>
    </row>
    <row r="489" spans="1:27" customFormat="1" x14ac:dyDescent="0.25">
      <c r="A489" s="14">
        <v>487</v>
      </c>
      <c r="B489" s="71">
        <v>44939.000005208334</v>
      </c>
      <c r="C489" s="14" t="s">
        <v>45</v>
      </c>
      <c r="D489" s="23" t="s">
        <v>213</v>
      </c>
      <c r="E489" s="23" t="s">
        <v>23</v>
      </c>
      <c r="F489" s="101">
        <v>-22178.1698817</v>
      </c>
      <c r="G489" s="153">
        <v>-21961.7658746997</v>
      </c>
      <c r="H489" s="157">
        <v>0.990242476806942</v>
      </c>
      <c r="I489" s="23">
        <v>0</v>
      </c>
      <c r="J489" s="23" t="s">
        <v>263</v>
      </c>
      <c r="K489" s="24">
        <v>44939.000005208334</v>
      </c>
      <c r="L489" s="23">
        <v>1</v>
      </c>
      <c r="M489" s="23" t="s">
        <v>23</v>
      </c>
      <c r="N489" s="45">
        <f t="shared" si="94"/>
        <v>1</v>
      </c>
      <c r="O489" s="159">
        <f t="shared" si="95"/>
        <v>-22178.1698817</v>
      </c>
      <c r="P489" s="47">
        <f t="shared" si="96"/>
        <v>-21961.765874699733</v>
      </c>
      <c r="Q489" s="25">
        <f t="shared" si="97"/>
        <v>0</v>
      </c>
      <c r="R489" s="26" t="str">
        <f t="shared" si="98"/>
        <v>COIN</v>
      </c>
      <c r="S489" s="26" t="str">
        <f t="shared" si="93"/>
        <v>SHORT</v>
      </c>
      <c r="T489" s="26" t="str">
        <f t="shared" si="99"/>
        <v>COIN SHORT</v>
      </c>
      <c r="U489" s="17">
        <f t="shared" si="100"/>
        <v>-21961.7658746997</v>
      </c>
      <c r="V489" s="17">
        <f t="shared" si="101"/>
        <v>0.990242476806942</v>
      </c>
      <c r="W489" s="39">
        <f>IF($C489="","",IF(DefaultScenario,IF(OR(AND(Default_Exchange="ALL",NOT(ISERROR(MATCH($C489,$AF$6:$AF$37,0)))),$C489=Default_Exchange),IF($G489&gt;0,-LGD,0),0),IF(OR($J489="SWAP",$J489="FUTURE",$J489="CME FUTURE"),IF('Futures &amp; Perps Shifted'!$AE$31,VLOOKUP($M489,'Futures &amp; Perps Shifted'!$AE$32:$AO$76,MATCH($R489,'Futures &amp; Perps Shifted'!$AE$30:$AO$30,0),FALSE),0),0)))</f>
        <v>0</v>
      </c>
      <c r="X489" s="17">
        <f t="shared" si="102"/>
        <v>0</v>
      </c>
      <c r="Y489" s="14" t="str">
        <f t="shared" si="92"/>
        <v>OKEX</v>
      </c>
      <c r="Z489" t="str">
        <f t="shared" si="103"/>
        <v>EOS COIN SHORT</v>
      </c>
      <c r="AA489" t="b">
        <f>IF($C489="","",IF(ISERROR(VLOOKUP($Y489,Mappings!$A:$C,3,FALSE)),FALSE,VLOOKUP($Y489,Mappings!$A:$C,3,FALSE)))</f>
        <v>1</v>
      </c>
    </row>
    <row r="490" spans="1:27" customFormat="1" x14ac:dyDescent="0.25">
      <c r="A490" s="14">
        <v>488</v>
      </c>
      <c r="B490" s="71">
        <v>44939.000005208334</v>
      </c>
      <c r="C490" s="14" t="s">
        <v>45</v>
      </c>
      <c r="D490" s="23" t="s">
        <v>213</v>
      </c>
      <c r="E490" s="23" t="s">
        <v>30</v>
      </c>
      <c r="F490" s="101">
        <v>-3.6961340000000002E-2</v>
      </c>
      <c r="G490" s="153">
        <v>-0.142421836203701</v>
      </c>
      <c r="H490" s="157">
        <v>3.8532649574853499</v>
      </c>
      <c r="I490" s="23">
        <v>0</v>
      </c>
      <c r="J490" s="23" t="s">
        <v>263</v>
      </c>
      <c r="K490" s="24">
        <v>44939.000005208334</v>
      </c>
      <c r="L490" s="23">
        <v>1</v>
      </c>
      <c r="M490" s="23" t="s">
        <v>30</v>
      </c>
      <c r="N490" s="45">
        <f t="shared" si="94"/>
        <v>1</v>
      </c>
      <c r="O490" s="159">
        <f t="shared" si="95"/>
        <v>-3.6961340000000002E-2</v>
      </c>
      <c r="P490" s="47">
        <f t="shared" si="96"/>
        <v>-0.14242183620370158</v>
      </c>
      <c r="Q490" s="25">
        <f t="shared" si="97"/>
        <v>0</v>
      </c>
      <c r="R490" s="26" t="str">
        <f t="shared" si="98"/>
        <v>COIN</v>
      </c>
      <c r="S490" s="26" t="str">
        <f t="shared" si="93"/>
        <v>SHORT</v>
      </c>
      <c r="T490" s="26" t="str">
        <f t="shared" si="99"/>
        <v>COIN SHORT</v>
      </c>
      <c r="U490" s="17">
        <f t="shared" si="100"/>
        <v>-0.142421836203701</v>
      </c>
      <c r="V490" s="17">
        <f t="shared" si="101"/>
        <v>3.8532649574853499</v>
      </c>
      <c r="W490" s="39">
        <f>IF($C490="","",IF(DefaultScenario,IF(OR(AND(Default_Exchange="ALL",NOT(ISERROR(MATCH($C490,$AF$6:$AF$37,0)))),$C490=Default_Exchange),IF($G490&gt;0,-LGD,0),0),IF(OR($J490="SWAP",$J490="FUTURE",$J490="CME FUTURE"),IF('Futures &amp; Perps Shifted'!$AE$31,VLOOKUP($M490,'Futures &amp; Perps Shifted'!$AE$32:$AO$76,MATCH($R490,'Futures &amp; Perps Shifted'!$AE$30:$AO$30,0),FALSE),0),0)))</f>
        <v>0</v>
      </c>
      <c r="X490" s="17">
        <f t="shared" si="102"/>
        <v>0</v>
      </c>
      <c r="Y490" s="14" t="str">
        <f t="shared" si="92"/>
        <v>OKEX</v>
      </c>
      <c r="Z490" t="str">
        <f t="shared" si="103"/>
        <v>FIL COIN SHORT</v>
      </c>
      <c r="AA490" t="b">
        <f>IF($C490="","",IF(ISERROR(VLOOKUP($Y490,Mappings!$A:$C,3,FALSE)),FALSE,VLOOKUP($Y490,Mappings!$A:$C,3,FALSE)))</f>
        <v>1</v>
      </c>
    </row>
    <row r="491" spans="1:27" customFormat="1" x14ac:dyDescent="0.25">
      <c r="A491" s="14">
        <v>489</v>
      </c>
      <c r="B491" s="71">
        <v>44939.000005208334</v>
      </c>
      <c r="C491" s="14" t="s">
        <v>45</v>
      </c>
      <c r="D491" s="23" t="s">
        <v>213</v>
      </c>
      <c r="E491" s="23" t="s">
        <v>24</v>
      </c>
      <c r="F491" s="101">
        <v>-304.03511947999999</v>
      </c>
      <c r="G491" s="153">
        <v>-26136.144772066698</v>
      </c>
      <c r="H491" s="157">
        <v>85.964229450756093</v>
      </c>
      <c r="I491" s="23">
        <v>0</v>
      </c>
      <c r="J491" s="23" t="s">
        <v>263</v>
      </c>
      <c r="K491" s="24">
        <v>44939.000005208334</v>
      </c>
      <c r="L491" s="23">
        <v>1</v>
      </c>
      <c r="M491" s="23" t="s">
        <v>24</v>
      </c>
      <c r="N491" s="45">
        <f t="shared" si="94"/>
        <v>1</v>
      </c>
      <c r="O491" s="159">
        <f t="shared" si="95"/>
        <v>-304.03511947999999</v>
      </c>
      <c r="P491" s="47">
        <f t="shared" si="96"/>
        <v>-26136.144772066764</v>
      </c>
      <c r="Q491" s="25">
        <f t="shared" si="97"/>
        <v>0</v>
      </c>
      <c r="R491" s="26" t="str">
        <f t="shared" si="98"/>
        <v>COIN</v>
      </c>
      <c r="S491" s="26" t="str">
        <f t="shared" si="93"/>
        <v>SHORT</v>
      </c>
      <c r="T491" s="26" t="str">
        <f t="shared" si="99"/>
        <v>COIN SHORT</v>
      </c>
      <c r="U491" s="17">
        <f t="shared" si="100"/>
        <v>-26136.144772066698</v>
      </c>
      <c r="V491" s="17">
        <f t="shared" si="101"/>
        <v>85.964229450756093</v>
      </c>
      <c r="W491" s="39">
        <f>IF($C491="","",IF(DefaultScenario,IF(OR(AND(Default_Exchange="ALL",NOT(ISERROR(MATCH($C491,$AF$6:$AF$37,0)))),$C491=Default_Exchange),IF($G491&gt;0,-LGD,0),0),IF(OR($J491="SWAP",$J491="FUTURE",$J491="CME FUTURE"),IF('Futures &amp; Perps Shifted'!$AE$31,VLOOKUP($M491,'Futures &amp; Perps Shifted'!$AE$32:$AO$76,MATCH($R491,'Futures &amp; Perps Shifted'!$AE$30:$AO$30,0),FALSE),0),0)))</f>
        <v>0</v>
      </c>
      <c r="X491" s="17">
        <f t="shared" si="102"/>
        <v>0</v>
      </c>
      <c r="Y491" s="14" t="str">
        <f t="shared" si="92"/>
        <v>OKEX</v>
      </c>
      <c r="Z491" t="str">
        <f t="shared" si="103"/>
        <v>LTC COIN SHORT</v>
      </c>
      <c r="AA491" t="b">
        <f>IF($C491="","",IF(ISERROR(VLOOKUP($Y491,Mappings!$A:$C,3,FALSE)),FALSE,VLOOKUP($Y491,Mappings!$A:$C,3,FALSE)))</f>
        <v>1</v>
      </c>
    </row>
    <row r="492" spans="1:27" customFormat="1" x14ac:dyDescent="0.25">
      <c r="A492" s="14">
        <v>490</v>
      </c>
      <c r="B492" s="71">
        <v>44939.000005208334</v>
      </c>
      <c r="C492" s="14" t="s">
        <v>45</v>
      </c>
      <c r="D492" s="23" t="s">
        <v>213</v>
      </c>
      <c r="E492" s="23" t="s">
        <v>99</v>
      </c>
      <c r="F492" s="101">
        <v>-1352.6511590499999</v>
      </c>
      <c r="G492" s="153">
        <v>-507.51084932575498</v>
      </c>
      <c r="H492" s="157">
        <v>0.37519714224190098</v>
      </c>
      <c r="I492" s="23">
        <v>0</v>
      </c>
      <c r="J492" s="23" t="s">
        <v>263</v>
      </c>
      <c r="K492" s="24">
        <v>44939.000005208334</v>
      </c>
      <c r="L492" s="23">
        <v>1</v>
      </c>
      <c r="M492" s="23" t="s">
        <v>99</v>
      </c>
      <c r="N492" s="45">
        <f t="shared" si="94"/>
        <v>1</v>
      </c>
      <c r="O492" s="159">
        <f t="shared" si="95"/>
        <v>-1352.6511590499999</v>
      </c>
      <c r="P492" s="47">
        <f t="shared" si="96"/>
        <v>-507.51084932575503</v>
      </c>
      <c r="Q492" s="25">
        <f t="shared" si="97"/>
        <v>0</v>
      </c>
      <c r="R492" s="26" t="str">
        <f t="shared" si="98"/>
        <v>COIN</v>
      </c>
      <c r="S492" s="26" t="str">
        <f t="shared" si="93"/>
        <v>SHORT</v>
      </c>
      <c r="T492" s="26" t="str">
        <f t="shared" si="99"/>
        <v>COIN SHORT</v>
      </c>
      <c r="U492" s="17">
        <f t="shared" si="100"/>
        <v>-507.51084932575498</v>
      </c>
      <c r="V492" s="17">
        <f t="shared" si="101"/>
        <v>0.37519714224190098</v>
      </c>
      <c r="W492" s="39">
        <f>IF($C492="","",IF(DefaultScenario,IF(OR(AND(Default_Exchange="ALL",NOT(ISERROR(MATCH($C492,$AF$6:$AF$37,0)))),$C492=Default_Exchange),IF($G492&gt;0,-LGD,0),0),IF(OR($J492="SWAP",$J492="FUTURE",$J492="CME FUTURE"),IF('Futures &amp; Perps Shifted'!$AE$31,VLOOKUP($M492,'Futures &amp; Perps Shifted'!$AE$32:$AO$76,MATCH($R492,'Futures &amp; Perps Shifted'!$AE$30:$AO$30,0),FALSE),0),0)))</f>
        <v>0</v>
      </c>
      <c r="X492" s="17">
        <f t="shared" si="102"/>
        <v>0</v>
      </c>
      <c r="Y492" s="14" t="str">
        <f t="shared" si="92"/>
        <v>OKEX</v>
      </c>
      <c r="Z492" t="str">
        <f t="shared" si="103"/>
        <v>XRP COIN SHORT</v>
      </c>
      <c r="AA492" t="b">
        <f>IF($C492="","",IF(ISERROR(VLOOKUP($Y492,Mappings!$A:$C,3,FALSE)),FALSE,VLOOKUP($Y492,Mappings!$A:$C,3,FALSE)))</f>
        <v>1</v>
      </c>
    </row>
    <row r="493" spans="1:27" customFormat="1" x14ac:dyDescent="0.25">
      <c r="A493" s="14">
        <v>491</v>
      </c>
      <c r="B493" s="71">
        <v>44939.000000775464</v>
      </c>
      <c r="C493" s="14" t="s">
        <v>184</v>
      </c>
      <c r="D493" s="23" t="s">
        <v>214</v>
      </c>
      <c r="E493" s="23" t="s">
        <v>38</v>
      </c>
      <c r="F493" s="101">
        <v>-2376627.8714167802</v>
      </c>
      <c r="G493" s="153">
        <v>-2376846.6380742299</v>
      </c>
      <c r="H493" s="157">
        <v>1.00009204918451</v>
      </c>
      <c r="I493" s="23">
        <v>0</v>
      </c>
      <c r="J493" s="23" t="s">
        <v>263</v>
      </c>
      <c r="K493" s="24">
        <v>44939.000000775464</v>
      </c>
      <c r="L493" s="23">
        <v>1</v>
      </c>
      <c r="M493" s="23" t="s">
        <v>38</v>
      </c>
      <c r="N493" s="45">
        <f t="shared" si="94"/>
        <v>1</v>
      </c>
      <c r="O493" s="159">
        <f t="shared" si="95"/>
        <v>-2376627.8714167802</v>
      </c>
      <c r="P493" s="47">
        <f t="shared" si="96"/>
        <v>-2376846.6380742276</v>
      </c>
      <c r="Q493" s="25">
        <f t="shared" si="97"/>
        <v>0</v>
      </c>
      <c r="R493" s="26" t="str">
        <f t="shared" si="98"/>
        <v>COIN</v>
      </c>
      <c r="S493" s="26" t="str">
        <f t="shared" si="93"/>
        <v>SHORT</v>
      </c>
      <c r="T493" s="26" t="str">
        <f t="shared" si="99"/>
        <v>COIN SHORT</v>
      </c>
      <c r="U493" s="17">
        <f t="shared" si="100"/>
        <v>-2376846.6380742299</v>
      </c>
      <c r="V493" s="17">
        <f t="shared" si="101"/>
        <v>1.00009204918451</v>
      </c>
      <c r="W493" s="39">
        <f>IF($C493="","",IF(DefaultScenario,IF(OR(AND(Default_Exchange="ALL",NOT(ISERROR(MATCH($C493,$AF$6:$AF$37,0)))),$C493=Default_Exchange),IF($G493&gt;0,-LGD,0),0),IF(OR($J493="SWAP",$J493="FUTURE",$J493="CME FUTURE"),IF('Futures &amp; Perps Shifted'!$AE$31,VLOOKUP($M493,'Futures &amp; Perps Shifted'!$AE$32:$AO$76,MATCH($R493,'Futures &amp; Perps Shifted'!$AE$30:$AO$30,0),FALSE),0),0)))</f>
        <v>0</v>
      </c>
      <c r="X493" s="17">
        <f t="shared" si="102"/>
        <v>0</v>
      </c>
      <c r="Y493" s="14" t="str">
        <f t="shared" si="92"/>
        <v>WOOX</v>
      </c>
      <c r="Z493" t="str">
        <f t="shared" si="103"/>
        <v>USDT COIN SHORT</v>
      </c>
      <c r="AA493" t="b">
        <f>IF($C493="","",IF(ISERROR(VLOOKUP($Y493,Mappings!$A:$C,3,FALSE)),FALSE,VLOOKUP($Y493,Mappings!$A:$C,3,FALSE)))</f>
        <v>1</v>
      </c>
    </row>
    <row r="494" spans="1:27" customFormat="1" x14ac:dyDescent="0.25">
      <c r="A494" s="14">
        <v>492</v>
      </c>
      <c r="B494" s="71">
        <v>44939.000003356479</v>
      </c>
      <c r="C494" s="14" t="s">
        <v>427</v>
      </c>
      <c r="D494" s="23" t="s">
        <v>427</v>
      </c>
      <c r="E494" s="23" t="s">
        <v>95</v>
      </c>
      <c r="F494" s="101">
        <v>79941.919999999998</v>
      </c>
      <c r="G494" s="153">
        <v>79941.919999999998</v>
      </c>
      <c r="H494" s="157">
        <v>1</v>
      </c>
      <c r="I494" s="23">
        <v>0</v>
      </c>
      <c r="J494" s="23" t="s">
        <v>309</v>
      </c>
      <c r="K494" s="24">
        <v>44939.000003356479</v>
      </c>
      <c r="L494" s="23">
        <v>1</v>
      </c>
      <c r="M494" s="23" t="s">
        <v>95</v>
      </c>
      <c r="N494" s="45">
        <f t="shared" si="94"/>
        <v>1</v>
      </c>
      <c r="O494" s="159">
        <f t="shared" si="95"/>
        <v>79941.919999999998</v>
      </c>
      <c r="P494" s="47">
        <f t="shared" si="96"/>
        <v>79941.919999999998</v>
      </c>
      <c r="Q494" s="25">
        <f t="shared" si="97"/>
        <v>0</v>
      </c>
      <c r="R494" s="26" t="str">
        <f t="shared" si="98"/>
        <v>CASH</v>
      </c>
      <c r="S494" s="26" t="str">
        <f t="shared" si="93"/>
        <v>LONG</v>
      </c>
      <c r="T494" s="26" t="str">
        <f t="shared" si="99"/>
        <v>CASH LONG</v>
      </c>
      <c r="U494" s="17">
        <f t="shared" si="100"/>
        <v>79941.919999999998</v>
      </c>
      <c r="V494" s="17">
        <f t="shared" si="101"/>
        <v>1</v>
      </c>
      <c r="W494" s="39">
        <f>IF($C494="","",IF(DefaultScenario,IF(OR(AND(Default_Exchange="ALL",NOT(ISERROR(MATCH($C494,$AF$6:$AF$37,0)))),$C494=Default_Exchange),IF($G494&gt;0,-LGD,0),0),IF(OR($J494="SWAP",$J494="FUTURE",$J494="CME FUTURE"),IF('Futures &amp; Perps Shifted'!$AE$31,VLOOKUP($M494,'Futures &amp; Perps Shifted'!$AE$32:$AO$76,MATCH($R494,'Futures &amp; Perps Shifted'!$AE$30:$AO$30,0),FALSE),0),0)))</f>
        <v>0</v>
      </c>
      <c r="X494" s="17">
        <f t="shared" si="102"/>
        <v>0</v>
      </c>
      <c r="Y494" s="14" t="str">
        <f t="shared" si="92"/>
        <v>WEDBUSH</v>
      </c>
      <c r="Z494" t="str">
        <f t="shared" si="103"/>
        <v>USD CASH LONG</v>
      </c>
      <c r="AA494" t="b">
        <f>IF($C494="","",IF(ISERROR(VLOOKUP($Y494,Mappings!$A:$C,3,FALSE)),FALSE,VLOOKUP($Y494,Mappings!$A:$C,3,FALSE)))</f>
        <v>0</v>
      </c>
    </row>
    <row r="495" spans="1:27" customFormat="1" x14ac:dyDescent="0.25">
      <c r="A495" s="14">
        <v>493</v>
      </c>
      <c r="B495" s="71">
        <v>44939.000003356479</v>
      </c>
      <c r="C495" s="14" t="s">
        <v>259</v>
      </c>
      <c r="D495" s="23" t="s">
        <v>259</v>
      </c>
      <c r="E495" s="23" t="s">
        <v>95</v>
      </c>
      <c r="F495" s="101">
        <v>830007.48</v>
      </c>
      <c r="G495" s="153">
        <v>830007.48</v>
      </c>
      <c r="H495" s="157">
        <v>1</v>
      </c>
      <c r="I495" s="23">
        <v>0</v>
      </c>
      <c r="J495" s="23" t="s">
        <v>85</v>
      </c>
      <c r="K495" s="24">
        <v>44939.000003356479</v>
      </c>
      <c r="L495" s="23">
        <v>1</v>
      </c>
      <c r="M495" s="23" t="s">
        <v>95</v>
      </c>
      <c r="N495" s="45">
        <f t="shared" si="94"/>
        <v>1</v>
      </c>
      <c r="O495" s="159">
        <f t="shared" si="95"/>
        <v>830007.48</v>
      </c>
      <c r="P495" s="47">
        <f t="shared" si="96"/>
        <v>830007.48</v>
      </c>
      <c r="Q495" s="25">
        <f t="shared" si="97"/>
        <v>0</v>
      </c>
      <c r="R495" s="26" t="str">
        <f t="shared" si="98"/>
        <v>CASH</v>
      </c>
      <c r="S495" s="26" t="str">
        <f t="shared" si="93"/>
        <v>LONG</v>
      </c>
      <c r="T495" s="26" t="str">
        <f t="shared" si="99"/>
        <v>CASH LONG</v>
      </c>
      <c r="U495" s="17">
        <f t="shared" si="100"/>
        <v>830007.48</v>
      </c>
      <c r="V495" s="17">
        <f t="shared" si="101"/>
        <v>1</v>
      </c>
      <c r="W495" s="39">
        <f>IF($C495="","",IF(DefaultScenario,IF(OR(AND(Default_Exchange="ALL",NOT(ISERROR(MATCH($C495,$AF$6:$AF$37,0)))),$C495=Default_Exchange),IF($G495&gt;0,-LGD,0),0),IF(OR($J495="SWAP",$J495="FUTURE",$J495="CME FUTURE"),IF('Futures &amp; Perps Shifted'!$AE$31,VLOOKUP($M495,'Futures &amp; Perps Shifted'!$AE$32:$AO$76,MATCH($R495,'Futures &amp; Perps Shifted'!$AE$30:$AO$30,0),FALSE),0),0)))</f>
        <v>0</v>
      </c>
      <c r="X495" s="17">
        <f t="shared" si="102"/>
        <v>0</v>
      </c>
      <c r="Y495" s="14" t="str">
        <f t="shared" si="92"/>
        <v>CASH</v>
      </c>
      <c r="Z495" t="str">
        <f t="shared" si="103"/>
        <v>USD CASH LONG</v>
      </c>
      <c r="AA495" t="b">
        <f>IF($C495="","",IF(ISERROR(VLOOKUP($Y495,Mappings!$A:$C,3,FALSE)),FALSE,VLOOKUP($Y495,Mappings!$A:$C,3,FALSE)))</f>
        <v>0</v>
      </c>
    </row>
    <row r="496" spans="1:27" customFormat="1" x14ac:dyDescent="0.25">
      <c r="A496" s="14">
        <v>494</v>
      </c>
      <c r="B496" s="71">
        <v>44939.000003356479</v>
      </c>
      <c r="C496" s="14" t="s">
        <v>265</v>
      </c>
      <c r="D496" s="23" t="s">
        <v>237</v>
      </c>
      <c r="E496" s="23" t="s">
        <v>95</v>
      </c>
      <c r="F496" s="101">
        <v>27324183.52</v>
      </c>
      <c r="G496" s="153">
        <v>27324183.52</v>
      </c>
      <c r="H496" s="157">
        <v>1</v>
      </c>
      <c r="I496" s="23">
        <v>0</v>
      </c>
      <c r="J496" s="23" t="s">
        <v>309</v>
      </c>
      <c r="K496" s="24">
        <v>44939.000003356479</v>
      </c>
      <c r="L496" s="23">
        <v>1</v>
      </c>
      <c r="M496" s="23" t="s">
        <v>95</v>
      </c>
      <c r="N496" s="45">
        <f t="shared" si="94"/>
        <v>1</v>
      </c>
      <c r="O496" s="159">
        <f t="shared" si="95"/>
        <v>27324183.52</v>
      </c>
      <c r="P496" s="47">
        <f t="shared" si="96"/>
        <v>27324183.52</v>
      </c>
      <c r="Q496" s="25">
        <f t="shared" si="97"/>
        <v>0</v>
      </c>
      <c r="R496" s="26" t="str">
        <f t="shared" si="98"/>
        <v>CASH</v>
      </c>
      <c r="S496" s="26" t="str">
        <f t="shared" si="93"/>
        <v>LONG</v>
      </c>
      <c r="T496" s="26" t="str">
        <f t="shared" si="99"/>
        <v>CASH LONG</v>
      </c>
      <c r="U496" s="17">
        <f t="shared" si="100"/>
        <v>27324183.52</v>
      </c>
      <c r="V496" s="17">
        <f t="shared" si="101"/>
        <v>1</v>
      </c>
      <c r="W496" s="39">
        <f>IF($C496="","",IF(DefaultScenario,IF(OR(AND(Default_Exchange="ALL",NOT(ISERROR(MATCH($C496,$AF$6:$AF$37,0)))),$C496=Default_Exchange),IF($G496&gt;0,-LGD,0),0),IF(OR($J496="SWAP",$J496="FUTURE",$J496="CME FUTURE"),IF('Futures &amp; Perps Shifted'!$AE$31,VLOOKUP($M496,'Futures &amp; Perps Shifted'!$AE$32:$AO$76,MATCH($R496,'Futures &amp; Perps Shifted'!$AE$30:$AO$30,0),FALSE),0),0)))</f>
        <v>0</v>
      </c>
      <c r="X496" s="17">
        <f t="shared" si="102"/>
        <v>0</v>
      </c>
      <c r="Y496" s="14" t="str">
        <f t="shared" si="92"/>
        <v>ED&amp;F</v>
      </c>
      <c r="Z496" t="str">
        <f t="shared" si="103"/>
        <v>USD CASH LONG</v>
      </c>
      <c r="AA496" t="b">
        <f>IF($C496="","",IF(ISERROR(VLOOKUP($Y496,Mappings!$A:$C,3,FALSE)),FALSE,VLOOKUP($Y496,Mappings!$A:$C,3,FALSE)))</f>
        <v>1</v>
      </c>
    </row>
    <row r="497" spans="1:27" customFormat="1" x14ac:dyDescent="0.25">
      <c r="A497" s="14"/>
      <c r="B497" s="71"/>
      <c r="C497" s="14"/>
      <c r="D497" s="23"/>
      <c r="E497" s="23"/>
      <c r="F497" s="101"/>
      <c r="G497" s="153"/>
      <c r="H497" s="157"/>
      <c r="I497" s="23"/>
      <c r="J497" s="23"/>
      <c r="K497" s="24"/>
      <c r="L497" s="23"/>
      <c r="M497" s="23"/>
      <c r="N497" s="45" t="str">
        <f t="shared" si="94"/>
        <v/>
      </c>
      <c r="O497" s="159" t="str">
        <f t="shared" si="95"/>
        <v/>
      </c>
      <c r="P497" s="47" t="str">
        <f t="shared" si="96"/>
        <v/>
      </c>
      <c r="Q497" s="25" t="str">
        <f t="shared" si="97"/>
        <v/>
      </c>
      <c r="R497" s="26" t="str">
        <f t="shared" si="98"/>
        <v/>
      </c>
      <c r="S497" s="26" t="str">
        <f t="shared" si="93"/>
        <v/>
      </c>
      <c r="T497" s="26" t="str">
        <f t="shared" si="99"/>
        <v/>
      </c>
      <c r="U497" s="17" t="str">
        <f t="shared" si="100"/>
        <v/>
      </c>
      <c r="V497" s="17" t="str">
        <f t="shared" si="101"/>
        <v/>
      </c>
      <c r="W497" s="39" t="str">
        <f>IF($C497="","",IF(DefaultScenario,IF(OR(AND(Default_Exchange="ALL",NOT(ISERROR(MATCH($C497,$AF$6:$AF$37,0)))),$C497=Default_Exchange),IF($G497&gt;0,-LGD,0),0),IF(OR($J497="SWAP",$J497="FUTURE",$J497="CME FUTURE"),IF('Futures &amp; Perps Shifted'!$AE$31,VLOOKUP($M497,'Futures &amp; Perps Shifted'!$AE$32:$AO$76,MATCH($R497,'Futures &amp; Perps Shifted'!$AE$30:$AO$30,0),FALSE),0),0)))</f>
        <v/>
      </c>
      <c r="X497" s="17" t="str">
        <f t="shared" si="102"/>
        <v/>
      </c>
      <c r="Y497" s="14" t="str">
        <f t="shared" ref="Y497:Y554" si="104">IF($C497="","",IF(ISERROR(SEARCH("-",$D497)),$C497,LEFT($D497,SEARCH("-",$D497)-1)))</f>
        <v/>
      </c>
      <c r="Z497" t="str">
        <f t="shared" si="103"/>
        <v/>
      </c>
      <c r="AA497" t="str">
        <f>IF($C497="","",IF(ISERROR(VLOOKUP($Y497,Mappings!$A:$C,3,FALSE)),FALSE,VLOOKUP($Y497,Mappings!$A:$C,3,FALSE)))</f>
        <v/>
      </c>
    </row>
    <row r="498" spans="1:27" customFormat="1" x14ac:dyDescent="0.25">
      <c r="A498" s="14"/>
      <c r="B498" s="71"/>
      <c r="C498" s="14"/>
      <c r="D498" s="23"/>
      <c r="E498" s="23"/>
      <c r="F498" s="101"/>
      <c r="G498" s="153"/>
      <c r="H498" s="157"/>
      <c r="I498" s="23"/>
      <c r="J498" s="23"/>
      <c r="K498" s="24"/>
      <c r="L498" s="23"/>
      <c r="M498" s="23"/>
      <c r="N498" s="45" t="str">
        <f t="shared" si="94"/>
        <v/>
      </c>
      <c r="O498" s="159" t="str">
        <f t="shared" si="95"/>
        <v/>
      </c>
      <c r="P498" s="47" t="str">
        <f t="shared" si="96"/>
        <v/>
      </c>
      <c r="Q498" s="25" t="str">
        <f t="shared" si="97"/>
        <v/>
      </c>
      <c r="R498" s="26" t="str">
        <f t="shared" si="98"/>
        <v/>
      </c>
      <c r="S498" s="26" t="str">
        <f t="shared" si="93"/>
        <v/>
      </c>
      <c r="T498" s="26" t="str">
        <f t="shared" si="99"/>
        <v/>
      </c>
      <c r="U498" s="17" t="str">
        <f t="shared" si="100"/>
        <v/>
      </c>
      <c r="V498" s="17" t="str">
        <f t="shared" si="101"/>
        <v/>
      </c>
      <c r="W498" s="39" t="str">
        <f>IF($C498="","",IF(DefaultScenario,IF(OR(AND(Default_Exchange="ALL",NOT(ISERROR(MATCH($C498,$AF$6:$AF$37,0)))),$C498=Default_Exchange),IF($G498&gt;0,-LGD,0),0),IF(OR($J498="SWAP",$J498="FUTURE",$J498="CME FUTURE"),IF('Futures &amp; Perps Shifted'!$AE$31,VLOOKUP($M498,'Futures &amp; Perps Shifted'!$AE$32:$AO$76,MATCH($R498,'Futures &amp; Perps Shifted'!$AE$30:$AO$30,0),FALSE),0),0)))</f>
        <v/>
      </c>
      <c r="X498" s="17" t="str">
        <f t="shared" si="102"/>
        <v/>
      </c>
      <c r="Y498" s="14" t="str">
        <f t="shared" si="104"/>
        <v/>
      </c>
      <c r="Z498" t="str">
        <f t="shared" si="103"/>
        <v/>
      </c>
      <c r="AA498" t="str">
        <f>IF($C498="","",IF(ISERROR(VLOOKUP($Y498,Mappings!$A:$C,3,FALSE)),FALSE,VLOOKUP($Y498,Mappings!$A:$C,3,FALSE)))</f>
        <v/>
      </c>
    </row>
    <row r="499" spans="1:27" customFormat="1" x14ac:dyDescent="0.25">
      <c r="A499" s="14"/>
      <c r="B499" s="71"/>
      <c r="C499" s="14"/>
      <c r="D499" s="23"/>
      <c r="E499" s="23"/>
      <c r="F499" s="101"/>
      <c r="G499" s="153"/>
      <c r="H499" s="157"/>
      <c r="I499" s="23"/>
      <c r="J499" s="23"/>
      <c r="K499" s="24"/>
      <c r="L499" s="23"/>
      <c r="M499" s="23"/>
      <c r="N499" s="45" t="str">
        <f t="shared" si="94"/>
        <v/>
      </c>
      <c r="O499" s="159" t="str">
        <f t="shared" si="95"/>
        <v/>
      </c>
      <c r="P499" s="47" t="str">
        <f t="shared" si="96"/>
        <v/>
      </c>
      <c r="Q499" s="25" t="str">
        <f t="shared" si="97"/>
        <v/>
      </c>
      <c r="R499" s="26" t="str">
        <f t="shared" si="98"/>
        <v/>
      </c>
      <c r="S499" s="26" t="str">
        <f t="shared" si="93"/>
        <v/>
      </c>
      <c r="T499" s="26" t="str">
        <f t="shared" si="99"/>
        <v/>
      </c>
      <c r="U499" s="17" t="str">
        <f t="shared" si="100"/>
        <v/>
      </c>
      <c r="V499" s="17" t="str">
        <f t="shared" si="101"/>
        <v/>
      </c>
      <c r="W499" s="39" t="str">
        <f>IF($C499="","",IF(DefaultScenario,IF(OR(AND(Default_Exchange="ALL",NOT(ISERROR(MATCH($C499,$AF$6:$AF$37,0)))),$C499=Default_Exchange),IF($G499&gt;0,-LGD,0),0),IF(OR($J499="SWAP",$J499="FUTURE",$J499="CME FUTURE"),IF('Futures &amp; Perps Shifted'!$AE$31,VLOOKUP($M499,'Futures &amp; Perps Shifted'!$AE$32:$AO$76,MATCH($R499,'Futures &amp; Perps Shifted'!$AE$30:$AO$30,0),FALSE),0),0)))</f>
        <v/>
      </c>
      <c r="X499" s="17" t="str">
        <f t="shared" si="102"/>
        <v/>
      </c>
      <c r="Y499" s="14" t="str">
        <f t="shared" si="104"/>
        <v/>
      </c>
      <c r="Z499" t="str">
        <f t="shared" si="103"/>
        <v/>
      </c>
      <c r="AA499" t="str">
        <f>IF($C499="","",IF(ISERROR(VLOOKUP($Y499,Mappings!$A:$C,3,FALSE)),FALSE,VLOOKUP($Y499,Mappings!$A:$C,3,FALSE)))</f>
        <v/>
      </c>
    </row>
    <row r="500" spans="1:27" customFormat="1" x14ac:dyDescent="0.25">
      <c r="A500" s="14"/>
      <c r="B500" s="71"/>
      <c r="C500" s="14"/>
      <c r="D500" s="14"/>
      <c r="E500" s="14"/>
      <c r="F500" s="100"/>
      <c r="G500" s="152"/>
      <c r="H500" s="156"/>
      <c r="I500" s="14"/>
      <c r="J500" s="14"/>
      <c r="K500" s="24"/>
      <c r="L500" s="14"/>
      <c r="M500" s="14"/>
      <c r="N500" s="45" t="str">
        <f t="shared" si="94"/>
        <v/>
      </c>
      <c r="O500" s="159" t="str">
        <f t="shared" si="95"/>
        <v/>
      </c>
      <c r="P500" s="47" t="str">
        <f t="shared" si="96"/>
        <v/>
      </c>
      <c r="Q500" s="25" t="str">
        <f t="shared" si="97"/>
        <v/>
      </c>
      <c r="R500" s="26" t="str">
        <f t="shared" si="98"/>
        <v/>
      </c>
      <c r="S500" s="26" t="str">
        <f t="shared" si="93"/>
        <v/>
      </c>
      <c r="T500" s="26" t="str">
        <f t="shared" si="99"/>
        <v/>
      </c>
      <c r="U500" s="17" t="str">
        <f t="shared" si="100"/>
        <v/>
      </c>
      <c r="V500" s="17" t="str">
        <f t="shared" si="101"/>
        <v/>
      </c>
      <c r="W500" s="39" t="str">
        <f>IF($C500="","",IF(DefaultScenario,IF(OR(AND(Default_Exchange="ALL",NOT(ISERROR(MATCH($C500,$AF$6:$AF$37,0)))),$C500=Default_Exchange),IF($G500&gt;0,-LGD,0),0),IF(OR($J500="SWAP",$J500="FUTURE",$J500="CME FUTURE"),IF('Futures &amp; Perps Shifted'!$AE$31,VLOOKUP($M500,'Futures &amp; Perps Shifted'!$AE$32:$AO$76,MATCH($R500,'Futures &amp; Perps Shifted'!$AE$30:$AO$30,0),FALSE),0),0)))</f>
        <v/>
      </c>
      <c r="X500" s="17" t="str">
        <f t="shared" si="102"/>
        <v/>
      </c>
      <c r="Y500" s="14" t="str">
        <f t="shared" si="104"/>
        <v/>
      </c>
      <c r="Z500" t="str">
        <f t="shared" si="103"/>
        <v/>
      </c>
      <c r="AA500" t="str">
        <f>IF($C500="","",IF(ISERROR(VLOOKUP($Y500,Mappings!$A:$C,3,FALSE)),FALSE,VLOOKUP($Y500,Mappings!$A:$C,3,FALSE)))</f>
        <v/>
      </c>
    </row>
    <row r="501" spans="1:27" customFormat="1" x14ac:dyDescent="0.25">
      <c r="A501" s="14"/>
      <c r="B501" s="71"/>
      <c r="C501" s="14"/>
      <c r="D501" s="14"/>
      <c r="E501" s="14"/>
      <c r="F501" s="100"/>
      <c r="G501" s="152"/>
      <c r="H501" s="156"/>
      <c r="I501" s="14"/>
      <c r="J501" s="14"/>
      <c r="K501" s="24"/>
      <c r="L501" s="14"/>
      <c r="M501" s="14"/>
      <c r="N501" s="45" t="str">
        <f t="shared" si="94"/>
        <v/>
      </c>
      <c r="O501" s="159" t="str">
        <f t="shared" si="95"/>
        <v/>
      </c>
      <c r="P501" s="47" t="str">
        <f t="shared" si="96"/>
        <v/>
      </c>
      <c r="Q501" s="25" t="str">
        <f t="shared" si="97"/>
        <v/>
      </c>
      <c r="R501" s="26" t="str">
        <f t="shared" si="98"/>
        <v/>
      </c>
      <c r="S501" s="26" t="str">
        <f t="shared" si="93"/>
        <v/>
      </c>
      <c r="T501" s="26" t="str">
        <f t="shared" si="99"/>
        <v/>
      </c>
      <c r="U501" s="17" t="str">
        <f t="shared" si="100"/>
        <v/>
      </c>
      <c r="V501" s="17" t="str">
        <f t="shared" si="101"/>
        <v/>
      </c>
      <c r="W501" s="39" t="str">
        <f>IF($C501="","",IF(DefaultScenario,IF(OR(AND(Default_Exchange="ALL",NOT(ISERROR(MATCH($C501,$AF$6:$AF$37,0)))),$C501=Default_Exchange),IF($G501&gt;0,-LGD,0),0),IF(OR($J501="SWAP",$J501="FUTURE",$J501="CME FUTURE"),IF('Futures &amp; Perps Shifted'!$AE$31,VLOOKUP($M501,'Futures &amp; Perps Shifted'!$AE$32:$AO$76,MATCH($R501,'Futures &amp; Perps Shifted'!$AE$30:$AO$30,0),FALSE),0),0)))</f>
        <v/>
      </c>
      <c r="X501" s="17" t="str">
        <f t="shared" si="102"/>
        <v/>
      </c>
      <c r="Y501" s="14" t="str">
        <f t="shared" si="104"/>
        <v/>
      </c>
      <c r="Z501" t="str">
        <f t="shared" si="103"/>
        <v/>
      </c>
      <c r="AA501" t="str">
        <f>IF($C501="","",IF(ISERROR(VLOOKUP($Y501,Mappings!$A:$C,3,FALSE)),FALSE,VLOOKUP($Y501,Mappings!$A:$C,3,FALSE)))</f>
        <v/>
      </c>
    </row>
    <row r="502" spans="1:27" customFormat="1" x14ac:dyDescent="0.25">
      <c r="A502" s="14"/>
      <c r="B502" s="71"/>
      <c r="C502" s="14"/>
      <c r="D502" s="14"/>
      <c r="E502" s="14"/>
      <c r="F502" s="100"/>
      <c r="G502" s="152"/>
      <c r="H502" s="156"/>
      <c r="I502" s="14"/>
      <c r="J502" s="14"/>
      <c r="K502" s="24"/>
      <c r="L502" s="14"/>
      <c r="M502" s="14"/>
      <c r="N502" s="45" t="str">
        <f t="shared" si="94"/>
        <v/>
      </c>
      <c r="O502" s="159" t="str">
        <f t="shared" si="95"/>
        <v/>
      </c>
      <c r="P502" s="47" t="str">
        <f t="shared" si="96"/>
        <v/>
      </c>
      <c r="Q502" s="25" t="str">
        <f t="shared" si="97"/>
        <v/>
      </c>
      <c r="R502" s="26" t="str">
        <f t="shared" si="98"/>
        <v/>
      </c>
      <c r="S502" s="26" t="str">
        <f t="shared" si="93"/>
        <v/>
      </c>
      <c r="T502" s="26" t="str">
        <f t="shared" si="99"/>
        <v/>
      </c>
      <c r="U502" s="17" t="str">
        <f t="shared" si="100"/>
        <v/>
      </c>
      <c r="V502" s="17" t="str">
        <f t="shared" si="101"/>
        <v/>
      </c>
      <c r="W502" s="39" t="str">
        <f>IF($C502="","",IF(DefaultScenario,IF(OR(AND(Default_Exchange="ALL",NOT(ISERROR(MATCH($C502,$AF$6:$AF$37,0)))),$C502=Default_Exchange),IF($G502&gt;0,-LGD,0),0),IF(OR($J502="SWAP",$J502="FUTURE",$J502="CME FUTURE"),IF('Futures &amp; Perps Shifted'!$AE$31,VLOOKUP($M502,'Futures &amp; Perps Shifted'!$AE$32:$AO$76,MATCH($R502,'Futures &amp; Perps Shifted'!$AE$30:$AO$30,0),FALSE),0),0)))</f>
        <v/>
      </c>
      <c r="X502" s="17" t="str">
        <f t="shared" si="102"/>
        <v/>
      </c>
      <c r="Y502" s="14" t="str">
        <f t="shared" si="104"/>
        <v/>
      </c>
      <c r="Z502" t="str">
        <f t="shared" si="103"/>
        <v/>
      </c>
      <c r="AA502" t="str">
        <f>IF($C502="","",IF(ISERROR(VLOOKUP($Y502,Mappings!$A:$C,3,FALSE)),FALSE,VLOOKUP($Y502,Mappings!$A:$C,3,FALSE)))</f>
        <v/>
      </c>
    </row>
    <row r="503" spans="1:27" customFormat="1" x14ac:dyDescent="0.25">
      <c r="A503" s="14"/>
      <c r="B503" s="71"/>
      <c r="C503" s="14"/>
      <c r="D503" s="14"/>
      <c r="E503" s="14"/>
      <c r="F503" s="100"/>
      <c r="G503" s="152"/>
      <c r="H503" s="156"/>
      <c r="I503" s="14"/>
      <c r="J503" s="14"/>
      <c r="K503" s="24"/>
      <c r="L503" s="14"/>
      <c r="M503" s="14"/>
      <c r="N503" s="45" t="str">
        <f t="shared" si="94"/>
        <v/>
      </c>
      <c r="O503" s="159" t="str">
        <f t="shared" si="95"/>
        <v/>
      </c>
      <c r="P503" s="47" t="str">
        <f t="shared" si="96"/>
        <v/>
      </c>
      <c r="Q503" s="25" t="str">
        <f t="shared" si="97"/>
        <v/>
      </c>
      <c r="R503" s="26" t="str">
        <f t="shared" si="98"/>
        <v/>
      </c>
      <c r="S503" s="26" t="str">
        <f t="shared" si="93"/>
        <v/>
      </c>
      <c r="T503" s="26" t="str">
        <f t="shared" si="99"/>
        <v/>
      </c>
      <c r="U503" s="17" t="str">
        <f t="shared" si="100"/>
        <v/>
      </c>
      <c r="V503" s="17" t="str">
        <f t="shared" si="101"/>
        <v/>
      </c>
      <c r="W503" s="39" t="str">
        <f>IF($C503="","",IF(DefaultScenario,IF(OR(AND(Default_Exchange="ALL",NOT(ISERROR(MATCH($C503,$AF$6:$AF$37,0)))),$C503=Default_Exchange),IF($G503&gt;0,-LGD,0),0),IF(OR($J503="SWAP",$J503="FUTURE",$J503="CME FUTURE"),IF('Futures &amp; Perps Shifted'!$AE$31,VLOOKUP($M503,'Futures &amp; Perps Shifted'!$AE$32:$AO$76,MATCH($R503,'Futures &amp; Perps Shifted'!$AE$30:$AO$30,0),FALSE),0),0)))</f>
        <v/>
      </c>
      <c r="X503" s="17" t="str">
        <f t="shared" si="102"/>
        <v/>
      </c>
      <c r="Y503" s="14" t="str">
        <f t="shared" si="104"/>
        <v/>
      </c>
      <c r="Z503" t="str">
        <f t="shared" si="103"/>
        <v/>
      </c>
      <c r="AA503" t="str">
        <f>IF($C503="","",IF(ISERROR(VLOOKUP($Y503,Mappings!$A:$C,3,FALSE)),FALSE,VLOOKUP($Y503,Mappings!$A:$C,3,FALSE)))</f>
        <v/>
      </c>
    </row>
    <row r="504" spans="1:27" customFormat="1" x14ac:dyDescent="0.25">
      <c r="A504" s="14"/>
      <c r="B504" s="71"/>
      <c r="C504" s="14"/>
      <c r="D504" s="14"/>
      <c r="E504" s="14"/>
      <c r="F504" s="100"/>
      <c r="G504" s="152"/>
      <c r="H504" s="156"/>
      <c r="I504" s="14"/>
      <c r="J504" s="14"/>
      <c r="K504" s="24"/>
      <c r="L504" s="14"/>
      <c r="M504" s="14"/>
      <c r="N504" s="45" t="str">
        <f t="shared" si="94"/>
        <v/>
      </c>
      <c r="O504" s="159" t="str">
        <f t="shared" si="95"/>
        <v/>
      </c>
      <c r="P504" s="47" t="str">
        <f t="shared" si="96"/>
        <v/>
      </c>
      <c r="Q504" s="25" t="str">
        <f t="shared" si="97"/>
        <v/>
      </c>
      <c r="R504" s="26" t="str">
        <f t="shared" si="98"/>
        <v/>
      </c>
      <c r="S504" s="26" t="str">
        <f t="shared" si="93"/>
        <v/>
      </c>
      <c r="T504" s="26" t="str">
        <f t="shared" si="99"/>
        <v/>
      </c>
      <c r="U504" s="17" t="str">
        <f t="shared" si="100"/>
        <v/>
      </c>
      <c r="V504" s="17" t="str">
        <f t="shared" si="101"/>
        <v/>
      </c>
      <c r="W504" s="39" t="str">
        <f>IF($C504="","",IF(DefaultScenario,IF(OR(AND(Default_Exchange="ALL",NOT(ISERROR(MATCH($C504,$AF$6:$AF$37,0)))),$C504=Default_Exchange),IF($G504&gt;0,-LGD,0),0),IF(OR($J504="SWAP",$J504="FUTURE",$J504="CME FUTURE"),IF('Futures &amp; Perps Shifted'!$AE$31,VLOOKUP($M504,'Futures &amp; Perps Shifted'!$AE$32:$AO$76,MATCH($R504,'Futures &amp; Perps Shifted'!$AE$30:$AO$30,0),FALSE),0),0)))</f>
        <v/>
      </c>
      <c r="X504" s="17" t="str">
        <f t="shared" si="102"/>
        <v/>
      </c>
      <c r="Y504" s="14" t="str">
        <f t="shared" si="104"/>
        <v/>
      </c>
      <c r="Z504" t="str">
        <f t="shared" si="103"/>
        <v/>
      </c>
      <c r="AA504" t="str">
        <f>IF($C504="","",IF(ISERROR(VLOOKUP($Y504,Mappings!$A:$C,3,FALSE)),FALSE,VLOOKUP($Y504,Mappings!$A:$C,3,FALSE)))</f>
        <v/>
      </c>
    </row>
    <row r="505" spans="1:27" customFormat="1" x14ac:dyDescent="0.25">
      <c r="A505" s="14"/>
      <c r="B505" s="71"/>
      <c r="C505" s="14"/>
      <c r="D505" s="14"/>
      <c r="E505" s="14"/>
      <c r="F505" s="100"/>
      <c r="G505" s="152"/>
      <c r="H505" s="156"/>
      <c r="I505" s="14"/>
      <c r="J505" s="14"/>
      <c r="K505" s="24"/>
      <c r="L505" s="14"/>
      <c r="M505" s="14"/>
      <c r="N505" s="45" t="str">
        <f t="shared" si="94"/>
        <v/>
      </c>
      <c r="O505" s="159" t="str">
        <f t="shared" si="95"/>
        <v/>
      </c>
      <c r="P505" s="47" t="str">
        <f t="shared" si="96"/>
        <v/>
      </c>
      <c r="Q505" s="25" t="str">
        <f t="shared" si="97"/>
        <v/>
      </c>
      <c r="R505" s="26" t="str">
        <f t="shared" si="98"/>
        <v/>
      </c>
      <c r="S505" s="26" t="str">
        <f t="shared" ref="S505:S554" si="105">IF($C505="","",IF($J505="CME FUTURE",IF($G505&gt;0,"LONG","SHORT"),IF($G505&gt;0,"LONG","SHORT")))</f>
        <v/>
      </c>
      <c r="T505" s="26" t="str">
        <f t="shared" si="99"/>
        <v/>
      </c>
      <c r="U505" s="17" t="str">
        <f t="shared" si="100"/>
        <v/>
      </c>
      <c r="V505" s="17" t="str">
        <f t="shared" si="101"/>
        <v/>
      </c>
      <c r="W505" s="39" t="str">
        <f>IF($C505="","",IF(DefaultScenario,IF(OR(AND(Default_Exchange="ALL",NOT(ISERROR(MATCH($C505,$AF$6:$AF$37,0)))),$C505=Default_Exchange),IF($G505&gt;0,-LGD,0),0),IF(OR($J505="SWAP",$J505="FUTURE",$J505="CME FUTURE"),IF('Futures &amp; Perps Shifted'!$AE$31,VLOOKUP($M505,'Futures &amp; Perps Shifted'!$AE$32:$AO$76,MATCH($R505,'Futures &amp; Perps Shifted'!$AE$30:$AO$30,0),FALSE),0),0)))</f>
        <v/>
      </c>
      <c r="X505" s="17" t="str">
        <f t="shared" si="102"/>
        <v/>
      </c>
      <c r="Y505" s="14" t="str">
        <f t="shared" si="104"/>
        <v/>
      </c>
      <c r="Z505" t="str">
        <f t="shared" si="103"/>
        <v/>
      </c>
      <c r="AA505" t="str">
        <f>IF($C505="","",IF(ISERROR(VLOOKUP($Y505,Mappings!$A:$C,3,FALSE)),FALSE,VLOOKUP($Y505,Mappings!$A:$C,3,FALSE)))</f>
        <v/>
      </c>
    </row>
    <row r="506" spans="1:27" customFormat="1" x14ac:dyDescent="0.25">
      <c r="A506" s="14"/>
      <c r="B506" s="71"/>
      <c r="C506" s="14"/>
      <c r="D506" s="14"/>
      <c r="E506" s="14"/>
      <c r="F506" s="100"/>
      <c r="G506" s="152"/>
      <c r="H506" s="156"/>
      <c r="I506" s="14"/>
      <c r="J506" s="14"/>
      <c r="K506" s="24"/>
      <c r="L506" s="14"/>
      <c r="M506" s="14"/>
      <c r="N506" s="45" t="str">
        <f t="shared" si="94"/>
        <v/>
      </c>
      <c r="O506" s="159" t="str">
        <f t="shared" si="95"/>
        <v/>
      </c>
      <c r="P506" s="47" t="str">
        <f t="shared" si="96"/>
        <v/>
      </c>
      <c r="Q506" s="25" t="str">
        <f t="shared" si="97"/>
        <v/>
      </c>
      <c r="R506" s="26" t="str">
        <f t="shared" si="98"/>
        <v/>
      </c>
      <c r="S506" s="26" t="str">
        <f t="shared" si="105"/>
        <v/>
      </c>
      <c r="T506" s="26" t="str">
        <f t="shared" si="99"/>
        <v/>
      </c>
      <c r="U506" s="17" t="str">
        <f t="shared" si="100"/>
        <v/>
      </c>
      <c r="V506" s="17" t="str">
        <f t="shared" si="101"/>
        <v/>
      </c>
      <c r="W506" s="39" t="str">
        <f>IF($C506="","",IF(DefaultScenario,IF(OR(AND(Default_Exchange="ALL",NOT(ISERROR(MATCH($C506,$AF$6:$AF$37,0)))),$C506=Default_Exchange),IF($G506&gt;0,-LGD,0),0),IF(OR($J506="SWAP",$J506="FUTURE",$J506="CME FUTURE"),IF('Futures &amp; Perps Shifted'!$AE$31,VLOOKUP($M506,'Futures &amp; Perps Shifted'!$AE$32:$AO$76,MATCH($R506,'Futures &amp; Perps Shifted'!$AE$30:$AO$30,0),FALSE),0),0)))</f>
        <v/>
      </c>
      <c r="X506" s="17" t="str">
        <f t="shared" si="102"/>
        <v/>
      </c>
      <c r="Y506" s="14" t="str">
        <f t="shared" si="104"/>
        <v/>
      </c>
      <c r="Z506" t="str">
        <f t="shared" si="103"/>
        <v/>
      </c>
      <c r="AA506" t="str">
        <f>IF($C506="","",IF(ISERROR(VLOOKUP($Y506,Mappings!$A:$C,3,FALSE)),FALSE,VLOOKUP($Y506,Mappings!$A:$C,3,FALSE)))</f>
        <v/>
      </c>
    </row>
    <row r="507" spans="1:27" customFormat="1" x14ac:dyDescent="0.25">
      <c r="A507" s="14"/>
      <c r="B507" s="71"/>
      <c r="C507" s="14"/>
      <c r="D507" s="14"/>
      <c r="E507" s="14"/>
      <c r="F507" s="100"/>
      <c r="G507" s="152"/>
      <c r="H507" s="156"/>
      <c r="I507" s="14"/>
      <c r="J507" s="14"/>
      <c r="K507" s="24"/>
      <c r="L507" s="14"/>
      <c r="M507" s="14"/>
      <c r="N507" s="45" t="str">
        <f t="shared" ref="N507:N554" si="106">IF($C507="","",IF(OR($J507="SWAP",$J507="FUTURE",$J507="CME FUTURE"),IF($L507=1,ROUND($G507/$H507/$F507,3),POWER(10,ROUND(LOG($G507/$F507),1))),1))</f>
        <v/>
      </c>
      <c r="O507" s="159" t="str">
        <f t="shared" si="95"/>
        <v/>
      </c>
      <c r="P507" s="47" t="str">
        <f t="shared" si="96"/>
        <v/>
      </c>
      <c r="Q507" s="25" t="str">
        <f t="shared" si="97"/>
        <v/>
      </c>
      <c r="R507" s="26" t="str">
        <f t="shared" si="98"/>
        <v/>
      </c>
      <c r="S507" s="26" t="str">
        <f t="shared" si="105"/>
        <v/>
      </c>
      <c r="T507" s="26" t="str">
        <f t="shared" si="99"/>
        <v/>
      </c>
      <c r="U507" s="17" t="str">
        <f t="shared" si="100"/>
        <v/>
      </c>
      <c r="V507" s="17" t="str">
        <f t="shared" si="101"/>
        <v/>
      </c>
      <c r="W507" s="39" t="str">
        <f>IF($C507="","",IF(DefaultScenario,IF(OR(AND(Default_Exchange="ALL",NOT(ISERROR(MATCH($C507,$AF$6:$AF$37,0)))),$C507=Default_Exchange),IF($G507&gt;0,-LGD,0),0),IF(OR($J507="SWAP",$J507="FUTURE",$J507="CME FUTURE"),IF('Futures &amp; Perps Shifted'!$AE$31,VLOOKUP($M507,'Futures &amp; Perps Shifted'!$AE$32:$AO$76,MATCH($R507,'Futures &amp; Perps Shifted'!$AE$30:$AO$30,0),FALSE),0),0)))</f>
        <v/>
      </c>
      <c r="X507" s="17" t="str">
        <f t="shared" si="102"/>
        <v/>
      </c>
      <c r="Y507" s="14" t="str">
        <f t="shared" si="104"/>
        <v/>
      </c>
      <c r="Z507" t="str">
        <f t="shared" si="103"/>
        <v/>
      </c>
      <c r="AA507" t="str">
        <f>IF($C507="","",IF(ISERROR(VLOOKUP($Y507,Mappings!$A:$C,3,FALSE)),FALSE,VLOOKUP($Y507,Mappings!$A:$C,3,FALSE)))</f>
        <v/>
      </c>
    </row>
    <row r="508" spans="1:27" customFormat="1" x14ac:dyDescent="0.25">
      <c r="A508" s="14"/>
      <c r="B508" s="71"/>
      <c r="C508" s="14"/>
      <c r="D508" s="14"/>
      <c r="E508" s="14"/>
      <c r="F508" s="100"/>
      <c r="G508" s="152"/>
      <c r="H508" s="156"/>
      <c r="I508" s="14"/>
      <c r="J508" s="14"/>
      <c r="K508" s="24"/>
      <c r="L508" s="14"/>
      <c r="M508" s="14"/>
      <c r="N508" s="45" t="str">
        <f t="shared" si="106"/>
        <v/>
      </c>
      <c r="O508" s="159" t="str">
        <f t="shared" ref="O508:O554" si="107">IF($C508="","",IF(OR($J508="SWAP",$J508="FUTURE",$J508="CME FUTURE"),IF($L508=1,$F508*$N508,$AB$2*$F508*$N508/$H508),F508))</f>
        <v/>
      </c>
      <c r="P508" s="47" t="str">
        <f t="shared" si="96"/>
        <v/>
      </c>
      <c r="Q508" s="25" t="str">
        <f t="shared" si="97"/>
        <v/>
      </c>
      <c r="R508" s="26" t="str">
        <f t="shared" si="98"/>
        <v/>
      </c>
      <c r="S508" s="26" t="str">
        <f t="shared" si="105"/>
        <v/>
      </c>
      <c r="T508" s="26" t="str">
        <f t="shared" si="99"/>
        <v/>
      </c>
      <c r="U508" s="17" t="str">
        <f t="shared" si="100"/>
        <v/>
      </c>
      <c r="V508" s="17" t="str">
        <f t="shared" si="101"/>
        <v/>
      </c>
      <c r="W508" s="39" t="str">
        <f>IF($C508="","",IF(DefaultScenario,IF(OR(AND(Default_Exchange="ALL",NOT(ISERROR(MATCH($C508,$AF$6:$AF$37,0)))),$C508=Default_Exchange),IF($G508&gt;0,-LGD,0),0),IF(OR($J508="SWAP",$J508="FUTURE",$J508="CME FUTURE"),IF('Futures &amp; Perps Shifted'!$AE$31,VLOOKUP($M508,'Futures &amp; Perps Shifted'!$AE$32:$AO$76,MATCH($R508,'Futures &amp; Perps Shifted'!$AE$30:$AO$30,0),FALSE),0),0)))</f>
        <v/>
      </c>
      <c r="X508" s="17" t="str">
        <f t="shared" si="102"/>
        <v/>
      </c>
      <c r="Y508" s="14" t="str">
        <f t="shared" si="104"/>
        <v/>
      </c>
      <c r="Z508" t="str">
        <f t="shared" si="103"/>
        <v/>
      </c>
      <c r="AA508" t="str">
        <f>IF($C508="","",IF(ISERROR(VLOOKUP($Y508,Mappings!$A:$C,3,FALSE)),FALSE,VLOOKUP($Y508,Mappings!$A:$C,3,FALSE)))</f>
        <v/>
      </c>
    </row>
    <row r="509" spans="1:27" customFormat="1" x14ac:dyDescent="0.25">
      <c r="A509" s="14"/>
      <c r="B509" s="71"/>
      <c r="C509" s="14"/>
      <c r="D509" s="14"/>
      <c r="E509" s="14"/>
      <c r="F509" s="100"/>
      <c r="G509" s="152"/>
      <c r="H509" s="156"/>
      <c r="I509" s="14"/>
      <c r="J509" s="14"/>
      <c r="K509" s="24"/>
      <c r="L509" s="14"/>
      <c r="M509" s="14"/>
      <c r="N509" s="45" t="str">
        <f t="shared" si="106"/>
        <v/>
      </c>
      <c r="O509" s="159" t="str">
        <f t="shared" si="107"/>
        <v/>
      </c>
      <c r="P509" s="47" t="str">
        <f t="shared" si="96"/>
        <v/>
      </c>
      <c r="Q509" s="25" t="str">
        <f t="shared" si="97"/>
        <v/>
      </c>
      <c r="R509" s="26" t="str">
        <f t="shared" si="98"/>
        <v/>
      </c>
      <c r="S509" s="26" t="str">
        <f t="shared" si="105"/>
        <v/>
      </c>
      <c r="T509" s="26" t="str">
        <f t="shared" si="99"/>
        <v/>
      </c>
      <c r="U509" s="17" t="str">
        <f t="shared" si="100"/>
        <v/>
      </c>
      <c r="V509" s="17" t="str">
        <f t="shared" si="101"/>
        <v/>
      </c>
      <c r="W509" s="39" t="str">
        <f>IF($C509="","",IF(DefaultScenario,IF(OR(AND(Default_Exchange="ALL",NOT(ISERROR(MATCH($C509,$AF$6:$AF$37,0)))),$C509=Default_Exchange),IF($G509&gt;0,-LGD,0),0),IF(OR($J509="SWAP",$J509="FUTURE",$J509="CME FUTURE"),IF('Futures &amp; Perps Shifted'!$AE$31,VLOOKUP($M509,'Futures &amp; Perps Shifted'!$AE$32:$AO$76,MATCH($R509,'Futures &amp; Perps Shifted'!$AE$30:$AO$30,0),FALSE),0),0)))</f>
        <v/>
      </c>
      <c r="X509" s="17" t="str">
        <f t="shared" si="102"/>
        <v/>
      </c>
      <c r="Y509" s="14" t="str">
        <f t="shared" si="104"/>
        <v/>
      </c>
      <c r="Z509" t="str">
        <f t="shared" si="103"/>
        <v/>
      </c>
      <c r="AA509" t="str">
        <f>IF($C509="","",IF(ISERROR(VLOOKUP($Y509,Mappings!$A:$C,3,FALSE)),FALSE,VLOOKUP($Y509,Mappings!$A:$C,3,FALSE)))</f>
        <v/>
      </c>
    </row>
    <row r="510" spans="1:27" customFormat="1" x14ac:dyDescent="0.25">
      <c r="A510" s="14"/>
      <c r="B510" s="71"/>
      <c r="C510" s="14"/>
      <c r="D510" s="14"/>
      <c r="E510" s="14"/>
      <c r="F510" s="100"/>
      <c r="G510" s="152"/>
      <c r="H510" s="156"/>
      <c r="I510" s="14"/>
      <c r="J510" s="14"/>
      <c r="K510" s="24"/>
      <c r="L510" s="14"/>
      <c r="M510" s="14"/>
      <c r="N510" s="45" t="str">
        <f t="shared" si="106"/>
        <v/>
      </c>
      <c r="O510" s="159" t="str">
        <f t="shared" si="107"/>
        <v/>
      </c>
      <c r="P510" s="47" t="str">
        <f t="shared" si="96"/>
        <v/>
      </c>
      <c r="Q510" s="25" t="str">
        <f t="shared" si="97"/>
        <v/>
      </c>
      <c r="R510" s="26" t="str">
        <f t="shared" si="98"/>
        <v/>
      </c>
      <c r="S510" s="26" t="str">
        <f t="shared" si="105"/>
        <v/>
      </c>
      <c r="T510" s="26" t="str">
        <f t="shared" si="99"/>
        <v/>
      </c>
      <c r="U510" s="17" t="str">
        <f t="shared" si="100"/>
        <v/>
      </c>
      <c r="V510" s="17" t="str">
        <f t="shared" si="101"/>
        <v/>
      </c>
      <c r="W510" s="39" t="str">
        <f>IF($C510="","",IF(DefaultScenario,IF(OR(AND(Default_Exchange="ALL",NOT(ISERROR(MATCH($C510,$AF$6:$AF$37,0)))),$C510=Default_Exchange),IF($G510&gt;0,-LGD,0),0),IF(OR($J510="SWAP",$J510="FUTURE",$J510="CME FUTURE"),IF('Futures &amp; Perps Shifted'!$AE$31,VLOOKUP($M510,'Futures &amp; Perps Shifted'!$AE$32:$AO$76,MATCH($R510,'Futures &amp; Perps Shifted'!$AE$30:$AO$30,0),FALSE),0),0)))</f>
        <v/>
      </c>
      <c r="X510" s="17" t="str">
        <f t="shared" si="102"/>
        <v/>
      </c>
      <c r="Y510" s="14" t="str">
        <f t="shared" si="104"/>
        <v/>
      </c>
      <c r="Z510" t="str">
        <f t="shared" si="103"/>
        <v/>
      </c>
      <c r="AA510" t="str">
        <f>IF($C510="","",IF(ISERROR(VLOOKUP($Y510,Mappings!$A:$C,3,FALSE)),FALSE,VLOOKUP($Y510,Mappings!$A:$C,3,FALSE)))</f>
        <v/>
      </c>
    </row>
    <row r="511" spans="1:27" customFormat="1" x14ac:dyDescent="0.25">
      <c r="A511" s="14"/>
      <c r="B511" s="71"/>
      <c r="C511" s="14"/>
      <c r="D511" s="14"/>
      <c r="E511" s="14"/>
      <c r="F511" s="100"/>
      <c r="G511" s="152"/>
      <c r="H511" s="156"/>
      <c r="I511" s="14"/>
      <c r="J511" s="14"/>
      <c r="K511" s="24"/>
      <c r="L511" s="14"/>
      <c r="M511" s="14"/>
      <c r="N511" s="45" t="str">
        <f t="shared" si="106"/>
        <v/>
      </c>
      <c r="O511" s="159" t="str">
        <f t="shared" si="107"/>
        <v/>
      </c>
      <c r="P511" s="47" t="str">
        <f t="shared" si="96"/>
        <v/>
      </c>
      <c r="Q511" s="25" t="str">
        <f t="shared" si="97"/>
        <v/>
      </c>
      <c r="R511" s="26" t="str">
        <f t="shared" si="98"/>
        <v/>
      </c>
      <c r="S511" s="26" t="str">
        <f t="shared" si="105"/>
        <v/>
      </c>
      <c r="T511" s="26" t="str">
        <f t="shared" si="99"/>
        <v/>
      </c>
      <c r="U511" s="17" t="str">
        <f t="shared" si="100"/>
        <v/>
      </c>
      <c r="V511" s="17" t="str">
        <f t="shared" si="101"/>
        <v/>
      </c>
      <c r="W511" s="39" t="str">
        <f>IF($C511="","",IF(DefaultScenario,IF(OR(AND(Default_Exchange="ALL",NOT(ISERROR(MATCH($C511,$AF$6:$AF$37,0)))),$C511=Default_Exchange),IF($G511&gt;0,-LGD,0),0),IF(OR($J511="SWAP",$J511="FUTURE",$J511="CME FUTURE"),IF('Futures &amp; Perps Shifted'!$AE$31,VLOOKUP($M511,'Futures &amp; Perps Shifted'!$AE$32:$AO$76,MATCH($R511,'Futures &amp; Perps Shifted'!$AE$30:$AO$30,0),FALSE),0),0)))</f>
        <v/>
      </c>
      <c r="X511" s="17" t="str">
        <f t="shared" si="102"/>
        <v/>
      </c>
      <c r="Y511" s="14" t="str">
        <f t="shared" si="104"/>
        <v/>
      </c>
      <c r="Z511" t="str">
        <f t="shared" si="103"/>
        <v/>
      </c>
      <c r="AA511" t="str">
        <f>IF($C511="","",IF(ISERROR(VLOOKUP($Y511,Mappings!$A:$C,3,FALSE)),FALSE,VLOOKUP($Y511,Mappings!$A:$C,3,FALSE)))</f>
        <v/>
      </c>
    </row>
    <row r="512" spans="1:27" customFormat="1" x14ac:dyDescent="0.25">
      <c r="A512" s="14"/>
      <c r="B512" s="71"/>
      <c r="C512" s="14"/>
      <c r="D512" s="14"/>
      <c r="E512" s="14"/>
      <c r="F512" s="100"/>
      <c r="G512" s="152"/>
      <c r="H512" s="156"/>
      <c r="I512" s="14"/>
      <c r="J512" s="14"/>
      <c r="K512" s="24"/>
      <c r="L512" s="14"/>
      <c r="M512" s="14"/>
      <c r="N512" s="45" t="str">
        <f t="shared" si="106"/>
        <v/>
      </c>
      <c r="O512" s="159" t="str">
        <f t="shared" si="107"/>
        <v/>
      </c>
      <c r="P512" s="47" t="str">
        <f t="shared" si="96"/>
        <v/>
      </c>
      <c r="Q512" s="25" t="str">
        <f t="shared" si="97"/>
        <v/>
      </c>
      <c r="R512" s="26" t="str">
        <f t="shared" si="98"/>
        <v/>
      </c>
      <c r="S512" s="26" t="str">
        <f t="shared" si="105"/>
        <v/>
      </c>
      <c r="T512" s="26" t="str">
        <f t="shared" si="99"/>
        <v/>
      </c>
      <c r="U512" s="17" t="str">
        <f t="shared" si="100"/>
        <v/>
      </c>
      <c r="V512" s="17" t="str">
        <f t="shared" si="101"/>
        <v/>
      </c>
      <c r="W512" s="39" t="str">
        <f>IF($C512="","",IF(DefaultScenario,IF(OR(AND(Default_Exchange="ALL",NOT(ISERROR(MATCH($C512,$AF$6:$AF$37,0)))),$C512=Default_Exchange),IF($G512&gt;0,-LGD,0),0),IF(OR($J512="SWAP",$J512="FUTURE",$J512="CME FUTURE"),IF('Futures &amp; Perps Shifted'!$AE$31,VLOOKUP($M512,'Futures &amp; Perps Shifted'!$AE$32:$AO$76,MATCH($R512,'Futures &amp; Perps Shifted'!$AE$30:$AO$30,0),FALSE),0),0)))</f>
        <v/>
      </c>
      <c r="X512" s="17" t="str">
        <f t="shared" si="102"/>
        <v/>
      </c>
      <c r="Y512" s="14" t="str">
        <f t="shared" si="104"/>
        <v/>
      </c>
      <c r="Z512" t="str">
        <f t="shared" si="103"/>
        <v/>
      </c>
      <c r="AA512" t="str">
        <f>IF($C512="","",IF(ISERROR(VLOOKUP($Y512,Mappings!$A:$C,3,FALSE)),FALSE,VLOOKUP($Y512,Mappings!$A:$C,3,FALSE)))</f>
        <v/>
      </c>
    </row>
    <row r="513" spans="1:27" customFormat="1" x14ac:dyDescent="0.25">
      <c r="A513" s="14"/>
      <c r="B513" s="71"/>
      <c r="C513" s="14"/>
      <c r="D513" s="14"/>
      <c r="E513" s="14"/>
      <c r="F513" s="100"/>
      <c r="G513" s="152"/>
      <c r="H513" s="156"/>
      <c r="I513" s="14"/>
      <c r="J513" s="14"/>
      <c r="K513" s="24"/>
      <c r="L513" s="14"/>
      <c r="M513" s="14"/>
      <c r="N513" s="45" t="str">
        <f t="shared" si="106"/>
        <v/>
      </c>
      <c r="O513" s="159" t="str">
        <f t="shared" si="107"/>
        <v/>
      </c>
      <c r="P513" s="47" t="str">
        <f t="shared" si="96"/>
        <v/>
      </c>
      <c r="Q513" s="25" t="str">
        <f t="shared" si="97"/>
        <v/>
      </c>
      <c r="R513" s="26" t="str">
        <f t="shared" si="98"/>
        <v/>
      </c>
      <c r="S513" s="26" t="str">
        <f t="shared" si="105"/>
        <v/>
      </c>
      <c r="T513" s="26" t="str">
        <f t="shared" si="99"/>
        <v/>
      </c>
      <c r="U513" s="17" t="str">
        <f t="shared" si="100"/>
        <v/>
      </c>
      <c r="V513" s="17" t="str">
        <f t="shared" si="101"/>
        <v/>
      </c>
      <c r="W513" s="39" t="str">
        <f>IF($C513="","",IF(DefaultScenario,IF(OR(AND(Default_Exchange="ALL",NOT(ISERROR(MATCH($C513,$AF$6:$AF$37,0)))),$C513=Default_Exchange),IF($G513&gt;0,-LGD,0),0),IF(OR($J513="SWAP",$J513="FUTURE",$J513="CME FUTURE"),IF('Futures &amp; Perps Shifted'!$AE$31,VLOOKUP($M513,'Futures &amp; Perps Shifted'!$AE$32:$AO$76,MATCH($R513,'Futures &amp; Perps Shifted'!$AE$30:$AO$30,0),FALSE),0),0)))</f>
        <v/>
      </c>
      <c r="X513" s="17" t="str">
        <f t="shared" si="102"/>
        <v/>
      </c>
      <c r="Y513" s="14" t="str">
        <f t="shared" si="104"/>
        <v/>
      </c>
      <c r="Z513" t="str">
        <f t="shared" si="103"/>
        <v/>
      </c>
      <c r="AA513" t="str">
        <f>IF($C513="","",IF(ISERROR(VLOOKUP($Y513,Mappings!$A:$C,3,FALSE)),FALSE,VLOOKUP($Y513,Mappings!$A:$C,3,FALSE)))</f>
        <v/>
      </c>
    </row>
    <row r="514" spans="1:27" customFormat="1" x14ac:dyDescent="0.25">
      <c r="A514" s="14"/>
      <c r="B514" s="71"/>
      <c r="C514" s="14"/>
      <c r="D514" s="14"/>
      <c r="E514" s="14"/>
      <c r="F514" s="100"/>
      <c r="G514" s="152"/>
      <c r="H514" s="156"/>
      <c r="I514" s="14"/>
      <c r="J514" s="14"/>
      <c r="K514" s="24"/>
      <c r="L514" s="14"/>
      <c r="M514" s="14"/>
      <c r="N514" s="45" t="str">
        <f t="shared" si="106"/>
        <v/>
      </c>
      <c r="O514" s="159" t="str">
        <f t="shared" si="107"/>
        <v/>
      </c>
      <c r="P514" s="47" t="str">
        <f t="shared" ref="P514:P554" si="108">IF($C514="","",IF(OR($J514="SWAP",$J514="FUTURE",$J514="CME FUTURE"),IF(NOT(ISERROR(VLOOKUP($M514,SpotUSDRateTable,2,FALSE))),VLOOKUP($M514,SpotUSDRateTable,2,FALSE),$H514)*O514,VLOOKUP($M514,SpotUSDRateTable,2,FALSE)*O514))</f>
        <v/>
      </c>
      <c r="Q514" s="25" t="str">
        <f t="shared" si="97"/>
        <v/>
      </c>
      <c r="R514" s="26" t="str">
        <f t="shared" si="98"/>
        <v/>
      </c>
      <c r="S514" s="26" t="str">
        <f t="shared" si="105"/>
        <v/>
      </c>
      <c r="T514" s="26" t="str">
        <f t="shared" si="99"/>
        <v/>
      </c>
      <c r="U514" s="17" t="str">
        <f t="shared" si="100"/>
        <v/>
      </c>
      <c r="V514" s="17" t="str">
        <f t="shared" si="101"/>
        <v/>
      </c>
      <c r="W514" s="39" t="str">
        <f>IF($C514="","",IF(DefaultScenario,IF(OR(AND(Default_Exchange="ALL",NOT(ISERROR(MATCH($C514,$AF$6:$AF$37,0)))),$C514=Default_Exchange),IF($G514&gt;0,-LGD,0),0),IF(OR($J514="SWAP",$J514="FUTURE",$J514="CME FUTURE"),IF('Futures &amp; Perps Shifted'!$AE$31,VLOOKUP($M514,'Futures &amp; Perps Shifted'!$AE$32:$AO$76,MATCH($R514,'Futures &amp; Perps Shifted'!$AE$30:$AO$30,0),FALSE),0),0)))</f>
        <v/>
      </c>
      <c r="X514" s="17" t="str">
        <f t="shared" si="102"/>
        <v/>
      </c>
      <c r="Y514" s="14" t="str">
        <f t="shared" si="104"/>
        <v/>
      </c>
      <c r="Z514" t="str">
        <f t="shared" si="103"/>
        <v/>
      </c>
      <c r="AA514" t="str">
        <f>IF($C514="","",IF(ISERROR(VLOOKUP($Y514,Mappings!$A:$C,3,FALSE)),FALSE,VLOOKUP($Y514,Mappings!$A:$C,3,FALSE)))</f>
        <v/>
      </c>
    </row>
    <row r="515" spans="1:27" customFormat="1" x14ac:dyDescent="0.25">
      <c r="A515" s="14"/>
      <c r="B515" s="71"/>
      <c r="C515" s="14"/>
      <c r="D515" s="14"/>
      <c r="E515" s="14"/>
      <c r="F515" s="100"/>
      <c r="G515" s="152"/>
      <c r="H515" s="156"/>
      <c r="I515" s="14"/>
      <c r="J515" s="14"/>
      <c r="K515" s="24"/>
      <c r="L515" s="14"/>
      <c r="M515" s="14"/>
      <c r="N515" s="45" t="str">
        <f t="shared" si="106"/>
        <v/>
      </c>
      <c r="O515" s="159" t="str">
        <f t="shared" si="107"/>
        <v/>
      </c>
      <c r="P515" s="47" t="str">
        <f t="shared" si="108"/>
        <v/>
      </c>
      <c r="Q515" s="25" t="str">
        <f t="shared" ref="Q515:Q554" si="109">IF($C515="","",IF(OR($J515="SWAP",$J515="FUTURE",$J515="CME FUTURE"),INT($K515-$B515),0))</f>
        <v/>
      </c>
      <c r="R515" s="26" t="str">
        <f t="shared" ref="R515:R554" si="110">IF($C515="","",IF(OR($E515="USD",$E515="EUR"),"CASH",IF($Q515=0,"COIN",IF($Q515&gt;720,"PERP",IF($J515="FUTURE",TEXT($K515-1,"mmm yy"),"CME "&amp;TEXT($K515-1,"mmm yy"))))))</f>
        <v/>
      </c>
      <c r="S515" s="26" t="str">
        <f t="shared" si="105"/>
        <v/>
      </c>
      <c r="T515" s="26" t="str">
        <f t="shared" ref="T515:T554" si="111">IF($C515="","",$R515&amp;" "&amp;$S515)</f>
        <v/>
      </c>
      <c r="U515" s="17" t="str">
        <f t="shared" ref="U515:U554" si="112">IF($C515="","",$G515*(1+$W515))</f>
        <v/>
      </c>
      <c r="V515" s="17" t="str">
        <f t="shared" ref="V515:V554" si="113">IF($C515="","",$H515*(1+$W515))</f>
        <v/>
      </c>
      <c r="W515" s="39" t="str">
        <f>IF($C515="","",IF(DefaultScenario,IF(OR(AND(Default_Exchange="ALL",NOT(ISERROR(MATCH($C515,$AF$6:$AF$37,0)))),$C515=Default_Exchange),IF($G515&gt;0,-LGD,0),0),IF(OR($J515="SWAP",$J515="FUTURE",$J515="CME FUTURE"),IF('Futures &amp; Perps Shifted'!$AE$31,VLOOKUP($M515,'Futures &amp; Perps Shifted'!$AE$32:$AO$76,MATCH($R515,'Futures &amp; Perps Shifted'!$AE$30:$AO$30,0),FALSE),0),0)))</f>
        <v/>
      </c>
      <c r="X515" s="17" t="str">
        <f t="shared" ref="X515:X554" si="114">IF($C515="","",$U515-$G515)</f>
        <v/>
      </c>
      <c r="Y515" s="14" t="str">
        <f t="shared" si="104"/>
        <v/>
      </c>
      <c r="Z515" t="str">
        <f t="shared" ref="Z515:Z554" si="115">IF($C515="","",$M515&amp;" "&amp;$T515)</f>
        <v/>
      </c>
      <c r="AA515" t="str">
        <f>IF($C515="","",IF(ISERROR(VLOOKUP($Y515,Mappings!$A:$C,3,FALSE)),FALSE,VLOOKUP($Y515,Mappings!$A:$C,3,FALSE)))</f>
        <v/>
      </c>
    </row>
    <row r="516" spans="1:27" customFormat="1" x14ac:dyDescent="0.25">
      <c r="A516" s="14"/>
      <c r="B516" s="71"/>
      <c r="C516" s="14"/>
      <c r="D516" s="14"/>
      <c r="E516" s="14"/>
      <c r="F516" s="100"/>
      <c r="G516" s="152"/>
      <c r="H516" s="156"/>
      <c r="I516" s="14"/>
      <c r="J516" s="14"/>
      <c r="K516" s="24"/>
      <c r="L516" s="14"/>
      <c r="M516" s="14"/>
      <c r="N516" s="45" t="str">
        <f t="shared" si="106"/>
        <v/>
      </c>
      <c r="O516" s="159" t="str">
        <f t="shared" si="107"/>
        <v/>
      </c>
      <c r="P516" s="47" t="str">
        <f t="shared" si="108"/>
        <v/>
      </c>
      <c r="Q516" s="25" t="str">
        <f t="shared" si="109"/>
        <v/>
      </c>
      <c r="R516" s="26" t="str">
        <f t="shared" si="110"/>
        <v/>
      </c>
      <c r="S516" s="26" t="str">
        <f t="shared" si="105"/>
        <v/>
      </c>
      <c r="T516" s="26" t="str">
        <f t="shared" si="111"/>
        <v/>
      </c>
      <c r="U516" s="17" t="str">
        <f t="shared" si="112"/>
        <v/>
      </c>
      <c r="V516" s="17" t="str">
        <f t="shared" si="113"/>
        <v/>
      </c>
      <c r="W516" s="39" t="str">
        <f>IF($C516="","",IF(DefaultScenario,IF(OR(AND(Default_Exchange="ALL",NOT(ISERROR(MATCH($C516,$AF$6:$AF$37,0)))),$C516=Default_Exchange),IF($G516&gt;0,-LGD,0),0),IF(OR($J516="SWAP",$J516="FUTURE",$J516="CME FUTURE"),IF('Futures &amp; Perps Shifted'!$AE$31,VLOOKUP($M516,'Futures &amp; Perps Shifted'!$AE$32:$AO$76,MATCH($R516,'Futures &amp; Perps Shifted'!$AE$30:$AO$30,0),FALSE),0),0)))</f>
        <v/>
      </c>
      <c r="X516" s="17" t="str">
        <f t="shared" si="114"/>
        <v/>
      </c>
      <c r="Y516" s="14" t="str">
        <f t="shared" si="104"/>
        <v/>
      </c>
      <c r="Z516" t="str">
        <f t="shared" si="115"/>
        <v/>
      </c>
      <c r="AA516" t="str">
        <f>IF($C516="","",IF(ISERROR(VLOOKUP($Y516,Mappings!$A:$C,3,FALSE)),FALSE,VLOOKUP($Y516,Mappings!$A:$C,3,FALSE)))</f>
        <v/>
      </c>
    </row>
    <row r="517" spans="1:27" customFormat="1" x14ac:dyDescent="0.25">
      <c r="A517" s="14"/>
      <c r="B517" s="71"/>
      <c r="C517" s="14"/>
      <c r="D517" s="14"/>
      <c r="E517" s="14"/>
      <c r="F517" s="100"/>
      <c r="G517" s="152"/>
      <c r="H517" s="156"/>
      <c r="I517" s="14"/>
      <c r="J517" s="14"/>
      <c r="K517" s="24"/>
      <c r="L517" s="14"/>
      <c r="M517" s="14"/>
      <c r="N517" s="45" t="str">
        <f t="shared" si="106"/>
        <v/>
      </c>
      <c r="O517" s="159" t="str">
        <f t="shared" si="107"/>
        <v/>
      </c>
      <c r="P517" s="47" t="str">
        <f t="shared" si="108"/>
        <v/>
      </c>
      <c r="Q517" s="25" t="str">
        <f t="shared" si="109"/>
        <v/>
      </c>
      <c r="R517" s="26" t="str">
        <f t="shared" si="110"/>
        <v/>
      </c>
      <c r="S517" s="26" t="str">
        <f t="shared" si="105"/>
        <v/>
      </c>
      <c r="T517" s="26" t="str">
        <f t="shared" si="111"/>
        <v/>
      </c>
      <c r="U517" s="17" t="str">
        <f t="shared" si="112"/>
        <v/>
      </c>
      <c r="V517" s="17" t="str">
        <f t="shared" si="113"/>
        <v/>
      </c>
      <c r="W517" s="39" t="str">
        <f>IF($C517="","",IF(DefaultScenario,IF(OR(AND(Default_Exchange="ALL",NOT(ISERROR(MATCH($C517,$AF$6:$AF$37,0)))),$C517=Default_Exchange),IF($G517&gt;0,-LGD,0),0),IF(OR($J517="SWAP",$J517="FUTURE",$J517="CME FUTURE"),IF('Futures &amp; Perps Shifted'!$AE$31,VLOOKUP($M517,'Futures &amp; Perps Shifted'!$AE$32:$AO$76,MATCH($R517,'Futures &amp; Perps Shifted'!$AE$30:$AO$30,0),FALSE),0),0)))</f>
        <v/>
      </c>
      <c r="X517" s="17" t="str">
        <f t="shared" si="114"/>
        <v/>
      </c>
      <c r="Y517" s="14" t="str">
        <f t="shared" si="104"/>
        <v/>
      </c>
      <c r="Z517" t="str">
        <f t="shared" si="115"/>
        <v/>
      </c>
      <c r="AA517" t="str">
        <f>IF($C517="","",IF(ISERROR(VLOOKUP($Y517,Mappings!$A:$C,3,FALSE)),FALSE,VLOOKUP($Y517,Mappings!$A:$C,3,FALSE)))</f>
        <v/>
      </c>
    </row>
    <row r="518" spans="1:27" customFormat="1" x14ac:dyDescent="0.25">
      <c r="A518" s="14"/>
      <c r="B518" s="71"/>
      <c r="C518" s="14"/>
      <c r="D518" s="14"/>
      <c r="E518" s="14"/>
      <c r="F518" s="100"/>
      <c r="G518" s="152"/>
      <c r="H518" s="156"/>
      <c r="I518" s="14"/>
      <c r="J518" s="14"/>
      <c r="K518" s="24"/>
      <c r="L518" s="14"/>
      <c r="M518" s="14"/>
      <c r="N518" s="45" t="str">
        <f t="shared" si="106"/>
        <v/>
      </c>
      <c r="O518" s="159" t="str">
        <f t="shared" si="107"/>
        <v/>
      </c>
      <c r="P518" s="47" t="str">
        <f t="shared" si="108"/>
        <v/>
      </c>
      <c r="Q518" s="25" t="str">
        <f t="shared" si="109"/>
        <v/>
      </c>
      <c r="R518" s="26" t="str">
        <f t="shared" si="110"/>
        <v/>
      </c>
      <c r="S518" s="26" t="str">
        <f t="shared" si="105"/>
        <v/>
      </c>
      <c r="T518" s="26" t="str">
        <f t="shared" si="111"/>
        <v/>
      </c>
      <c r="U518" s="17" t="str">
        <f t="shared" si="112"/>
        <v/>
      </c>
      <c r="V518" s="17" t="str">
        <f t="shared" si="113"/>
        <v/>
      </c>
      <c r="W518" s="39" t="str">
        <f>IF($C518="","",IF(DefaultScenario,IF(OR(AND(Default_Exchange="ALL",NOT(ISERROR(MATCH($C518,$AF$6:$AF$37,0)))),$C518=Default_Exchange),IF($G518&gt;0,-LGD,0),0),IF(OR($J518="SWAP",$J518="FUTURE",$J518="CME FUTURE"),IF('Futures &amp; Perps Shifted'!$AE$31,VLOOKUP($M518,'Futures &amp; Perps Shifted'!$AE$32:$AO$76,MATCH($R518,'Futures &amp; Perps Shifted'!$AE$30:$AO$30,0),FALSE),0),0)))</f>
        <v/>
      </c>
      <c r="X518" s="17" t="str">
        <f t="shared" si="114"/>
        <v/>
      </c>
      <c r="Y518" s="14" t="str">
        <f t="shared" si="104"/>
        <v/>
      </c>
      <c r="Z518" t="str">
        <f t="shared" si="115"/>
        <v/>
      </c>
      <c r="AA518" t="str">
        <f>IF($C518="","",IF(ISERROR(VLOOKUP($Y518,Mappings!$A:$C,3,FALSE)),FALSE,VLOOKUP($Y518,Mappings!$A:$C,3,FALSE)))</f>
        <v/>
      </c>
    </row>
    <row r="519" spans="1:27" customFormat="1" x14ac:dyDescent="0.25">
      <c r="A519" s="14"/>
      <c r="B519" s="71"/>
      <c r="C519" s="14"/>
      <c r="D519" s="14"/>
      <c r="E519" s="14"/>
      <c r="F519" s="100"/>
      <c r="G519" s="152"/>
      <c r="H519" s="156"/>
      <c r="I519" s="14"/>
      <c r="J519" s="14"/>
      <c r="K519" s="24"/>
      <c r="L519" s="14"/>
      <c r="M519" s="14"/>
      <c r="N519" s="45" t="str">
        <f t="shared" si="106"/>
        <v/>
      </c>
      <c r="O519" s="159" t="str">
        <f t="shared" si="107"/>
        <v/>
      </c>
      <c r="P519" s="47" t="str">
        <f t="shared" si="108"/>
        <v/>
      </c>
      <c r="Q519" s="25" t="str">
        <f t="shared" si="109"/>
        <v/>
      </c>
      <c r="R519" s="26" t="str">
        <f t="shared" si="110"/>
        <v/>
      </c>
      <c r="S519" s="26" t="str">
        <f t="shared" si="105"/>
        <v/>
      </c>
      <c r="T519" s="26" t="str">
        <f t="shared" si="111"/>
        <v/>
      </c>
      <c r="U519" s="17" t="str">
        <f t="shared" si="112"/>
        <v/>
      </c>
      <c r="V519" s="17" t="str">
        <f t="shared" si="113"/>
        <v/>
      </c>
      <c r="W519" s="39" t="str">
        <f>IF($C519="","",IF(DefaultScenario,IF(OR(AND(Default_Exchange="ALL",NOT(ISERROR(MATCH($C519,$AF$6:$AF$37,0)))),$C519=Default_Exchange),IF($G519&gt;0,-LGD,0),0),IF(OR($J519="SWAP",$J519="FUTURE",$J519="CME FUTURE"),IF('Futures &amp; Perps Shifted'!$AE$31,VLOOKUP($M519,'Futures &amp; Perps Shifted'!$AE$32:$AO$76,MATCH($R519,'Futures &amp; Perps Shifted'!$AE$30:$AO$30,0),FALSE),0),0)))</f>
        <v/>
      </c>
      <c r="X519" s="17" t="str">
        <f t="shared" si="114"/>
        <v/>
      </c>
      <c r="Y519" s="14" t="str">
        <f t="shared" si="104"/>
        <v/>
      </c>
      <c r="Z519" t="str">
        <f t="shared" si="115"/>
        <v/>
      </c>
      <c r="AA519" t="str">
        <f>IF($C519="","",IF(ISERROR(VLOOKUP($Y519,Mappings!$A:$C,3,FALSE)),FALSE,VLOOKUP($Y519,Mappings!$A:$C,3,FALSE)))</f>
        <v/>
      </c>
    </row>
    <row r="520" spans="1:27" customFormat="1" x14ac:dyDescent="0.25">
      <c r="A520" s="14"/>
      <c r="B520" s="71"/>
      <c r="C520" s="14"/>
      <c r="D520" s="14"/>
      <c r="E520" s="14"/>
      <c r="F520" s="100"/>
      <c r="G520" s="152"/>
      <c r="H520" s="156"/>
      <c r="I520" s="14"/>
      <c r="J520" s="14"/>
      <c r="K520" s="24"/>
      <c r="L520" s="14"/>
      <c r="M520" s="14"/>
      <c r="N520" s="45" t="str">
        <f t="shared" si="106"/>
        <v/>
      </c>
      <c r="O520" s="159" t="str">
        <f t="shared" si="107"/>
        <v/>
      </c>
      <c r="P520" s="47" t="str">
        <f t="shared" si="108"/>
        <v/>
      </c>
      <c r="Q520" s="25" t="str">
        <f t="shared" si="109"/>
        <v/>
      </c>
      <c r="R520" s="26" t="str">
        <f t="shared" si="110"/>
        <v/>
      </c>
      <c r="S520" s="26" t="str">
        <f t="shared" si="105"/>
        <v/>
      </c>
      <c r="T520" s="26" t="str">
        <f t="shared" si="111"/>
        <v/>
      </c>
      <c r="U520" s="17" t="str">
        <f t="shared" si="112"/>
        <v/>
      </c>
      <c r="V520" s="17" t="str">
        <f t="shared" si="113"/>
        <v/>
      </c>
      <c r="W520" s="39" t="str">
        <f>IF($C520="","",IF(DefaultScenario,IF(OR(AND(Default_Exchange="ALL",NOT(ISERROR(MATCH($C520,$AF$6:$AF$37,0)))),$C520=Default_Exchange),IF($G520&gt;0,-LGD,0),0),IF(OR($J520="SWAP",$J520="FUTURE",$J520="CME FUTURE"),IF('Futures &amp; Perps Shifted'!$AE$31,VLOOKUP($M520,'Futures &amp; Perps Shifted'!$AE$32:$AO$76,MATCH($R520,'Futures &amp; Perps Shifted'!$AE$30:$AO$30,0),FALSE),0),0)))</f>
        <v/>
      </c>
      <c r="X520" s="17" t="str">
        <f t="shared" si="114"/>
        <v/>
      </c>
      <c r="Y520" s="14" t="str">
        <f t="shared" si="104"/>
        <v/>
      </c>
      <c r="Z520" t="str">
        <f t="shared" si="115"/>
        <v/>
      </c>
      <c r="AA520" t="str">
        <f>IF($C520="","",IF(ISERROR(VLOOKUP($Y520,Mappings!$A:$C,3,FALSE)),FALSE,VLOOKUP($Y520,Mappings!$A:$C,3,FALSE)))</f>
        <v/>
      </c>
    </row>
    <row r="521" spans="1:27" customFormat="1" x14ac:dyDescent="0.25">
      <c r="A521" s="14"/>
      <c r="B521" s="71"/>
      <c r="C521" s="14"/>
      <c r="D521" s="14"/>
      <c r="E521" s="14"/>
      <c r="F521" s="100"/>
      <c r="G521" s="152"/>
      <c r="H521" s="156"/>
      <c r="I521" s="14"/>
      <c r="J521" s="14"/>
      <c r="K521" s="24"/>
      <c r="L521" s="14"/>
      <c r="M521" s="14"/>
      <c r="N521" s="45" t="str">
        <f t="shared" si="106"/>
        <v/>
      </c>
      <c r="O521" s="159" t="str">
        <f t="shared" si="107"/>
        <v/>
      </c>
      <c r="P521" s="47" t="str">
        <f t="shared" si="108"/>
        <v/>
      </c>
      <c r="Q521" s="25" t="str">
        <f t="shared" si="109"/>
        <v/>
      </c>
      <c r="R521" s="26" t="str">
        <f t="shared" si="110"/>
        <v/>
      </c>
      <c r="S521" s="26" t="str">
        <f t="shared" si="105"/>
        <v/>
      </c>
      <c r="T521" s="26" t="str">
        <f t="shared" si="111"/>
        <v/>
      </c>
      <c r="U521" s="17" t="str">
        <f t="shared" si="112"/>
        <v/>
      </c>
      <c r="V521" s="17" t="str">
        <f t="shared" si="113"/>
        <v/>
      </c>
      <c r="W521" s="39" t="str">
        <f>IF($C521="","",IF(DefaultScenario,IF(OR(AND(Default_Exchange="ALL",NOT(ISERROR(MATCH($C521,$AF$6:$AF$37,0)))),$C521=Default_Exchange),IF($G521&gt;0,-LGD,0),0),IF(OR($J521="SWAP",$J521="FUTURE",$J521="CME FUTURE"),IF('Futures &amp; Perps Shifted'!$AE$31,VLOOKUP($M521,'Futures &amp; Perps Shifted'!$AE$32:$AO$76,MATCH($R521,'Futures &amp; Perps Shifted'!$AE$30:$AO$30,0),FALSE),0),0)))</f>
        <v/>
      </c>
      <c r="X521" s="17" t="str">
        <f t="shared" si="114"/>
        <v/>
      </c>
      <c r="Y521" s="14" t="str">
        <f t="shared" si="104"/>
        <v/>
      </c>
      <c r="Z521" t="str">
        <f t="shared" si="115"/>
        <v/>
      </c>
      <c r="AA521" t="str">
        <f>IF($C521="","",IF(ISERROR(VLOOKUP($Y521,Mappings!$A:$C,3,FALSE)),FALSE,VLOOKUP($Y521,Mappings!$A:$C,3,FALSE)))</f>
        <v/>
      </c>
    </row>
    <row r="522" spans="1:27" customFormat="1" x14ac:dyDescent="0.25">
      <c r="A522" s="14"/>
      <c r="B522" s="71"/>
      <c r="C522" s="14"/>
      <c r="D522" s="14"/>
      <c r="E522" s="14"/>
      <c r="F522" s="100"/>
      <c r="G522" s="152"/>
      <c r="H522" s="156"/>
      <c r="I522" s="14"/>
      <c r="J522" s="14"/>
      <c r="K522" s="24"/>
      <c r="L522" s="14"/>
      <c r="M522" s="14"/>
      <c r="N522" s="45" t="str">
        <f t="shared" si="106"/>
        <v/>
      </c>
      <c r="O522" s="159" t="str">
        <f t="shared" si="107"/>
        <v/>
      </c>
      <c r="P522" s="47" t="str">
        <f t="shared" si="108"/>
        <v/>
      </c>
      <c r="Q522" s="25" t="str">
        <f t="shared" si="109"/>
        <v/>
      </c>
      <c r="R522" s="26" t="str">
        <f t="shared" si="110"/>
        <v/>
      </c>
      <c r="S522" s="26" t="str">
        <f t="shared" si="105"/>
        <v/>
      </c>
      <c r="T522" s="26" t="str">
        <f t="shared" si="111"/>
        <v/>
      </c>
      <c r="U522" s="17" t="str">
        <f t="shared" si="112"/>
        <v/>
      </c>
      <c r="V522" s="17" t="str">
        <f t="shared" si="113"/>
        <v/>
      </c>
      <c r="W522" s="39" t="str">
        <f>IF($C522="","",IF(DefaultScenario,IF(OR(AND(Default_Exchange="ALL",NOT(ISERROR(MATCH($C522,$AF$6:$AF$37,0)))),$C522=Default_Exchange),IF($G522&gt;0,-LGD,0),0),IF(OR($J522="SWAP",$J522="FUTURE",$J522="CME FUTURE"),IF('Futures &amp; Perps Shifted'!$AE$31,VLOOKUP($M522,'Futures &amp; Perps Shifted'!$AE$32:$AO$76,MATCH($R522,'Futures &amp; Perps Shifted'!$AE$30:$AO$30,0),FALSE),0),0)))</f>
        <v/>
      </c>
      <c r="X522" s="17" t="str">
        <f t="shared" si="114"/>
        <v/>
      </c>
      <c r="Y522" s="14" t="str">
        <f t="shared" si="104"/>
        <v/>
      </c>
      <c r="Z522" t="str">
        <f t="shared" si="115"/>
        <v/>
      </c>
      <c r="AA522" t="str">
        <f>IF($C522="","",IF(ISERROR(VLOOKUP($Y522,Mappings!$A:$C,3,FALSE)),FALSE,VLOOKUP($Y522,Mappings!$A:$C,3,FALSE)))</f>
        <v/>
      </c>
    </row>
    <row r="523" spans="1:27" customFormat="1" x14ac:dyDescent="0.25">
      <c r="A523" s="14"/>
      <c r="B523" s="71"/>
      <c r="C523" s="14"/>
      <c r="D523" s="14"/>
      <c r="E523" s="14"/>
      <c r="F523" s="100"/>
      <c r="G523" s="152"/>
      <c r="H523" s="156"/>
      <c r="I523" s="14"/>
      <c r="J523" s="14"/>
      <c r="K523" s="24"/>
      <c r="L523" s="14"/>
      <c r="M523" s="14"/>
      <c r="N523" s="45" t="str">
        <f t="shared" si="106"/>
        <v/>
      </c>
      <c r="O523" s="159" t="str">
        <f t="shared" si="107"/>
        <v/>
      </c>
      <c r="P523" s="47" t="str">
        <f t="shared" si="108"/>
        <v/>
      </c>
      <c r="Q523" s="25" t="str">
        <f t="shared" si="109"/>
        <v/>
      </c>
      <c r="R523" s="26" t="str">
        <f t="shared" si="110"/>
        <v/>
      </c>
      <c r="S523" s="26" t="str">
        <f t="shared" si="105"/>
        <v/>
      </c>
      <c r="T523" s="26" t="str">
        <f t="shared" si="111"/>
        <v/>
      </c>
      <c r="U523" s="17" t="str">
        <f t="shared" si="112"/>
        <v/>
      </c>
      <c r="V523" s="17" t="str">
        <f t="shared" si="113"/>
        <v/>
      </c>
      <c r="W523" s="39" t="str">
        <f>IF($C523="","",IF(DefaultScenario,IF(OR(AND(Default_Exchange="ALL",NOT(ISERROR(MATCH($C523,$AF$6:$AF$37,0)))),$C523=Default_Exchange),IF($G523&gt;0,-LGD,0),0),IF(OR($J523="SWAP",$J523="FUTURE",$J523="CME FUTURE"),IF('Futures &amp; Perps Shifted'!$AE$31,VLOOKUP($M523,'Futures &amp; Perps Shifted'!$AE$32:$AO$76,MATCH($R523,'Futures &amp; Perps Shifted'!$AE$30:$AO$30,0),FALSE),0),0)))</f>
        <v/>
      </c>
      <c r="X523" s="17" t="str">
        <f t="shared" si="114"/>
        <v/>
      </c>
      <c r="Y523" s="14" t="str">
        <f t="shared" si="104"/>
        <v/>
      </c>
      <c r="Z523" t="str">
        <f t="shared" si="115"/>
        <v/>
      </c>
      <c r="AA523" t="str">
        <f>IF($C523="","",IF(ISERROR(VLOOKUP($Y523,Mappings!$A:$C,3,FALSE)),FALSE,VLOOKUP($Y523,Mappings!$A:$C,3,FALSE)))</f>
        <v/>
      </c>
    </row>
    <row r="524" spans="1:27" customFormat="1" x14ac:dyDescent="0.25">
      <c r="A524" s="14"/>
      <c r="B524" s="71"/>
      <c r="C524" s="14"/>
      <c r="D524" s="14"/>
      <c r="E524" s="14"/>
      <c r="F524" s="100"/>
      <c r="G524" s="152"/>
      <c r="H524" s="156"/>
      <c r="I524" s="14"/>
      <c r="J524" s="14"/>
      <c r="K524" s="24"/>
      <c r="L524" s="14"/>
      <c r="M524" s="14"/>
      <c r="N524" s="45" t="str">
        <f t="shared" si="106"/>
        <v/>
      </c>
      <c r="O524" s="159" t="str">
        <f t="shared" si="107"/>
        <v/>
      </c>
      <c r="P524" s="47" t="str">
        <f t="shared" si="108"/>
        <v/>
      </c>
      <c r="Q524" s="25" t="str">
        <f t="shared" si="109"/>
        <v/>
      </c>
      <c r="R524" s="26" t="str">
        <f t="shared" si="110"/>
        <v/>
      </c>
      <c r="S524" s="26" t="str">
        <f t="shared" si="105"/>
        <v/>
      </c>
      <c r="T524" s="26" t="str">
        <f t="shared" si="111"/>
        <v/>
      </c>
      <c r="U524" s="17" t="str">
        <f t="shared" si="112"/>
        <v/>
      </c>
      <c r="V524" s="17" t="str">
        <f t="shared" si="113"/>
        <v/>
      </c>
      <c r="W524" s="39" t="str">
        <f>IF($C524="","",IF(DefaultScenario,IF(OR(AND(Default_Exchange="ALL",NOT(ISERROR(MATCH($C524,$AF$6:$AF$37,0)))),$C524=Default_Exchange),IF($G524&gt;0,-LGD,0),0),IF(OR($J524="SWAP",$J524="FUTURE",$J524="CME FUTURE"),IF('Futures &amp; Perps Shifted'!$AE$31,VLOOKUP($M524,'Futures &amp; Perps Shifted'!$AE$32:$AO$76,MATCH($R524,'Futures &amp; Perps Shifted'!$AE$30:$AO$30,0),FALSE),0),0)))</f>
        <v/>
      </c>
      <c r="X524" s="17" t="str">
        <f t="shared" si="114"/>
        <v/>
      </c>
      <c r="Y524" s="14" t="str">
        <f t="shared" si="104"/>
        <v/>
      </c>
      <c r="Z524" t="str">
        <f t="shared" si="115"/>
        <v/>
      </c>
      <c r="AA524" t="str">
        <f>IF($C524="","",IF(ISERROR(VLOOKUP($Y524,Mappings!$A:$C,3,FALSE)),FALSE,VLOOKUP($Y524,Mappings!$A:$C,3,FALSE)))</f>
        <v/>
      </c>
    </row>
    <row r="525" spans="1:27" customFormat="1" x14ac:dyDescent="0.25">
      <c r="A525" s="14"/>
      <c r="B525" s="71"/>
      <c r="C525" s="14"/>
      <c r="D525" s="14"/>
      <c r="E525" s="14"/>
      <c r="F525" s="100"/>
      <c r="G525" s="152"/>
      <c r="H525" s="156"/>
      <c r="I525" s="14"/>
      <c r="J525" s="14"/>
      <c r="K525" s="24"/>
      <c r="L525" s="14"/>
      <c r="M525" s="14"/>
      <c r="N525" s="45" t="str">
        <f t="shared" si="106"/>
        <v/>
      </c>
      <c r="O525" s="159" t="str">
        <f t="shared" si="107"/>
        <v/>
      </c>
      <c r="P525" s="47" t="str">
        <f t="shared" si="108"/>
        <v/>
      </c>
      <c r="Q525" s="25" t="str">
        <f t="shared" si="109"/>
        <v/>
      </c>
      <c r="R525" s="26" t="str">
        <f t="shared" si="110"/>
        <v/>
      </c>
      <c r="S525" s="26" t="str">
        <f t="shared" si="105"/>
        <v/>
      </c>
      <c r="T525" s="26" t="str">
        <f t="shared" si="111"/>
        <v/>
      </c>
      <c r="U525" s="17" t="str">
        <f t="shared" si="112"/>
        <v/>
      </c>
      <c r="V525" s="17" t="str">
        <f t="shared" si="113"/>
        <v/>
      </c>
      <c r="W525" s="39" t="str">
        <f>IF($C525="","",IF(DefaultScenario,IF(OR(AND(Default_Exchange="ALL",NOT(ISERROR(MATCH($C525,$AF$6:$AF$37,0)))),$C525=Default_Exchange),IF($G525&gt;0,-LGD,0),0),IF(OR($J525="SWAP",$J525="FUTURE",$J525="CME FUTURE"),IF('Futures &amp; Perps Shifted'!$AE$31,VLOOKUP($M525,'Futures &amp; Perps Shifted'!$AE$32:$AO$76,MATCH($R525,'Futures &amp; Perps Shifted'!$AE$30:$AO$30,0),FALSE),0),0)))</f>
        <v/>
      </c>
      <c r="X525" s="17" t="str">
        <f t="shared" si="114"/>
        <v/>
      </c>
      <c r="Y525" s="14" t="str">
        <f t="shared" si="104"/>
        <v/>
      </c>
      <c r="Z525" t="str">
        <f t="shared" si="115"/>
        <v/>
      </c>
      <c r="AA525" t="str">
        <f>IF($C525="","",IF(ISERROR(VLOOKUP($Y525,Mappings!$A:$C,3,FALSE)),FALSE,VLOOKUP($Y525,Mappings!$A:$C,3,FALSE)))</f>
        <v/>
      </c>
    </row>
    <row r="526" spans="1:27" customFormat="1" x14ac:dyDescent="0.25">
      <c r="A526" s="14"/>
      <c r="B526" s="71"/>
      <c r="C526" s="14"/>
      <c r="D526" s="14"/>
      <c r="E526" s="14"/>
      <c r="F526" s="100"/>
      <c r="G526" s="152"/>
      <c r="H526" s="156"/>
      <c r="I526" s="14"/>
      <c r="J526" s="14"/>
      <c r="K526" s="24"/>
      <c r="L526" s="14"/>
      <c r="M526" s="14"/>
      <c r="N526" s="45" t="str">
        <f t="shared" si="106"/>
        <v/>
      </c>
      <c r="O526" s="159" t="str">
        <f t="shared" si="107"/>
        <v/>
      </c>
      <c r="P526" s="47" t="str">
        <f t="shared" si="108"/>
        <v/>
      </c>
      <c r="Q526" s="25" t="str">
        <f t="shared" si="109"/>
        <v/>
      </c>
      <c r="R526" s="26" t="str">
        <f t="shared" si="110"/>
        <v/>
      </c>
      <c r="S526" s="26" t="str">
        <f t="shared" si="105"/>
        <v/>
      </c>
      <c r="T526" s="26" t="str">
        <f t="shared" si="111"/>
        <v/>
      </c>
      <c r="U526" s="17" t="str">
        <f t="shared" si="112"/>
        <v/>
      </c>
      <c r="V526" s="17" t="str">
        <f t="shared" si="113"/>
        <v/>
      </c>
      <c r="W526" s="39" t="str">
        <f>IF($C526="","",IF(DefaultScenario,IF(OR(AND(Default_Exchange="ALL",NOT(ISERROR(MATCH($C526,$AF$6:$AF$37,0)))),$C526=Default_Exchange),IF($G526&gt;0,-LGD,0),0),IF(OR($J526="SWAP",$J526="FUTURE",$J526="CME FUTURE"),IF('Futures &amp; Perps Shifted'!$AE$31,VLOOKUP($M526,'Futures &amp; Perps Shifted'!$AE$32:$AO$76,MATCH($R526,'Futures &amp; Perps Shifted'!$AE$30:$AO$30,0),FALSE),0),0)))</f>
        <v/>
      </c>
      <c r="X526" s="17" t="str">
        <f t="shared" si="114"/>
        <v/>
      </c>
      <c r="Y526" s="14" t="str">
        <f t="shared" si="104"/>
        <v/>
      </c>
      <c r="Z526" t="str">
        <f t="shared" si="115"/>
        <v/>
      </c>
      <c r="AA526" t="str">
        <f>IF($C526="","",IF(ISERROR(VLOOKUP($Y526,Mappings!$A:$C,3,FALSE)),FALSE,VLOOKUP($Y526,Mappings!$A:$C,3,FALSE)))</f>
        <v/>
      </c>
    </row>
    <row r="527" spans="1:27" customFormat="1" x14ac:dyDescent="0.25">
      <c r="A527" s="14"/>
      <c r="B527" s="71"/>
      <c r="C527" s="14"/>
      <c r="D527" s="14"/>
      <c r="E527" s="14"/>
      <c r="F527" s="100"/>
      <c r="G527" s="152"/>
      <c r="H527" s="156"/>
      <c r="I527" s="14"/>
      <c r="J527" s="14"/>
      <c r="K527" s="24"/>
      <c r="L527" s="14"/>
      <c r="M527" s="14"/>
      <c r="N527" s="45" t="str">
        <f t="shared" si="106"/>
        <v/>
      </c>
      <c r="O527" s="159" t="str">
        <f t="shared" si="107"/>
        <v/>
      </c>
      <c r="P527" s="47" t="str">
        <f t="shared" si="108"/>
        <v/>
      </c>
      <c r="Q527" s="25" t="str">
        <f t="shared" si="109"/>
        <v/>
      </c>
      <c r="R527" s="26" t="str">
        <f t="shared" si="110"/>
        <v/>
      </c>
      <c r="S527" s="26" t="str">
        <f t="shared" si="105"/>
        <v/>
      </c>
      <c r="T527" s="26" t="str">
        <f t="shared" si="111"/>
        <v/>
      </c>
      <c r="U527" s="17" t="str">
        <f t="shared" si="112"/>
        <v/>
      </c>
      <c r="V527" s="17" t="str">
        <f t="shared" si="113"/>
        <v/>
      </c>
      <c r="W527" s="39" t="str">
        <f>IF($C527="","",IF(DefaultScenario,IF(OR(AND(Default_Exchange="ALL",NOT(ISERROR(MATCH($C527,$AF$6:$AF$37,0)))),$C527=Default_Exchange),IF($G527&gt;0,-LGD,0),0),IF(OR($J527="SWAP",$J527="FUTURE",$J527="CME FUTURE"),IF('Futures &amp; Perps Shifted'!$AE$31,VLOOKUP($M527,'Futures &amp; Perps Shifted'!$AE$32:$AO$76,MATCH($R527,'Futures &amp; Perps Shifted'!$AE$30:$AO$30,0),FALSE),0),0)))</f>
        <v/>
      </c>
      <c r="X527" s="17" t="str">
        <f t="shared" si="114"/>
        <v/>
      </c>
      <c r="Y527" s="14" t="str">
        <f t="shared" si="104"/>
        <v/>
      </c>
      <c r="Z527" t="str">
        <f t="shared" si="115"/>
        <v/>
      </c>
      <c r="AA527" t="str">
        <f>IF($C527="","",IF(ISERROR(VLOOKUP($Y527,Mappings!$A:$C,3,FALSE)),FALSE,VLOOKUP($Y527,Mappings!$A:$C,3,FALSE)))</f>
        <v/>
      </c>
    </row>
    <row r="528" spans="1:27" customFormat="1" x14ac:dyDescent="0.25">
      <c r="A528" s="14"/>
      <c r="B528" s="71"/>
      <c r="C528" s="14"/>
      <c r="D528" s="14"/>
      <c r="E528" s="14"/>
      <c r="F528" s="100"/>
      <c r="G528" s="152"/>
      <c r="H528" s="156"/>
      <c r="I528" s="14"/>
      <c r="J528" s="14"/>
      <c r="K528" s="24"/>
      <c r="L528" s="14"/>
      <c r="M528" s="14"/>
      <c r="N528" s="45" t="str">
        <f t="shared" si="106"/>
        <v/>
      </c>
      <c r="O528" s="159" t="str">
        <f t="shared" si="107"/>
        <v/>
      </c>
      <c r="P528" s="47" t="str">
        <f t="shared" si="108"/>
        <v/>
      </c>
      <c r="Q528" s="25" t="str">
        <f t="shared" si="109"/>
        <v/>
      </c>
      <c r="R528" s="26" t="str">
        <f t="shared" si="110"/>
        <v/>
      </c>
      <c r="S528" s="26" t="str">
        <f t="shared" si="105"/>
        <v/>
      </c>
      <c r="T528" s="26" t="str">
        <f t="shared" si="111"/>
        <v/>
      </c>
      <c r="U528" s="17" t="str">
        <f t="shared" si="112"/>
        <v/>
      </c>
      <c r="V528" s="17" t="str">
        <f t="shared" si="113"/>
        <v/>
      </c>
      <c r="W528" s="39" t="str">
        <f>IF($C528="","",IF(DefaultScenario,IF(OR(AND(Default_Exchange="ALL",NOT(ISERROR(MATCH($C528,$AF$6:$AF$37,0)))),$C528=Default_Exchange),IF($G528&gt;0,-LGD,0),0),IF(OR($J528="SWAP",$J528="FUTURE",$J528="CME FUTURE"),IF('Futures &amp; Perps Shifted'!$AE$31,VLOOKUP($M528,'Futures &amp; Perps Shifted'!$AE$32:$AO$76,MATCH($R528,'Futures &amp; Perps Shifted'!$AE$30:$AO$30,0),FALSE),0),0)))</f>
        <v/>
      </c>
      <c r="X528" s="17" t="str">
        <f t="shared" si="114"/>
        <v/>
      </c>
      <c r="Y528" s="14" t="str">
        <f t="shared" si="104"/>
        <v/>
      </c>
      <c r="Z528" t="str">
        <f t="shared" si="115"/>
        <v/>
      </c>
      <c r="AA528" t="str">
        <f>IF($C528="","",IF(ISERROR(VLOOKUP($Y528,Mappings!$A:$C,3,FALSE)),FALSE,VLOOKUP($Y528,Mappings!$A:$C,3,FALSE)))</f>
        <v/>
      </c>
    </row>
    <row r="529" spans="1:27" customFormat="1" x14ac:dyDescent="0.25">
      <c r="A529" s="14"/>
      <c r="B529" s="71"/>
      <c r="C529" s="14"/>
      <c r="D529" s="14"/>
      <c r="E529" s="14"/>
      <c r="F529" s="100"/>
      <c r="G529" s="152"/>
      <c r="H529" s="156"/>
      <c r="I529" s="14"/>
      <c r="J529" s="14"/>
      <c r="K529" s="24"/>
      <c r="L529" s="14"/>
      <c r="M529" s="14"/>
      <c r="N529" s="45" t="str">
        <f t="shared" si="106"/>
        <v/>
      </c>
      <c r="O529" s="159" t="str">
        <f t="shared" si="107"/>
        <v/>
      </c>
      <c r="P529" s="47" t="str">
        <f t="shared" si="108"/>
        <v/>
      </c>
      <c r="Q529" s="25" t="str">
        <f t="shared" si="109"/>
        <v/>
      </c>
      <c r="R529" s="26" t="str">
        <f t="shared" si="110"/>
        <v/>
      </c>
      <c r="S529" s="26" t="str">
        <f t="shared" si="105"/>
        <v/>
      </c>
      <c r="T529" s="26" t="str">
        <f t="shared" si="111"/>
        <v/>
      </c>
      <c r="U529" s="17" t="str">
        <f t="shared" si="112"/>
        <v/>
      </c>
      <c r="V529" s="17" t="str">
        <f t="shared" si="113"/>
        <v/>
      </c>
      <c r="W529" s="39" t="str">
        <f>IF($C529="","",IF(DefaultScenario,IF(OR(AND(Default_Exchange="ALL",NOT(ISERROR(MATCH($C529,$AF$6:$AF$37,0)))),$C529=Default_Exchange),IF($G529&gt;0,-LGD,0),0),IF(OR($J529="SWAP",$J529="FUTURE",$J529="CME FUTURE"),IF('Futures &amp; Perps Shifted'!$AE$31,VLOOKUP($M529,'Futures &amp; Perps Shifted'!$AE$32:$AO$76,MATCH($R529,'Futures &amp; Perps Shifted'!$AE$30:$AO$30,0),FALSE),0),0)))</f>
        <v/>
      </c>
      <c r="X529" s="17" t="str">
        <f t="shared" si="114"/>
        <v/>
      </c>
      <c r="Y529" s="14" t="str">
        <f t="shared" si="104"/>
        <v/>
      </c>
      <c r="Z529" t="str">
        <f t="shared" si="115"/>
        <v/>
      </c>
      <c r="AA529" t="str">
        <f>IF($C529="","",IF(ISERROR(VLOOKUP($Y529,Mappings!$A:$C,3,FALSE)),FALSE,VLOOKUP($Y529,Mappings!$A:$C,3,FALSE)))</f>
        <v/>
      </c>
    </row>
    <row r="530" spans="1:27" customFormat="1" x14ac:dyDescent="0.25">
      <c r="A530" s="14"/>
      <c r="B530" s="71"/>
      <c r="C530" s="14"/>
      <c r="D530" s="14"/>
      <c r="E530" s="14"/>
      <c r="F530" s="100"/>
      <c r="G530" s="152"/>
      <c r="H530" s="156"/>
      <c r="I530" s="14"/>
      <c r="J530" s="14"/>
      <c r="K530" s="24"/>
      <c r="L530" s="14"/>
      <c r="M530" s="14"/>
      <c r="N530" s="45" t="str">
        <f t="shared" si="106"/>
        <v/>
      </c>
      <c r="O530" s="159" t="str">
        <f t="shared" si="107"/>
        <v/>
      </c>
      <c r="P530" s="47" t="str">
        <f t="shared" si="108"/>
        <v/>
      </c>
      <c r="Q530" s="25" t="str">
        <f t="shared" si="109"/>
        <v/>
      </c>
      <c r="R530" s="26" t="str">
        <f t="shared" si="110"/>
        <v/>
      </c>
      <c r="S530" s="26" t="str">
        <f t="shared" si="105"/>
        <v/>
      </c>
      <c r="T530" s="26" t="str">
        <f t="shared" si="111"/>
        <v/>
      </c>
      <c r="U530" s="17" t="str">
        <f t="shared" si="112"/>
        <v/>
      </c>
      <c r="V530" s="17" t="str">
        <f t="shared" si="113"/>
        <v/>
      </c>
      <c r="W530" s="39" t="str">
        <f>IF($C530="","",IF(DefaultScenario,IF(OR(AND(Default_Exchange="ALL",NOT(ISERROR(MATCH($C530,$AF$6:$AF$37,0)))),$C530=Default_Exchange),IF($G530&gt;0,-LGD,0),0),IF(OR($J530="SWAP",$J530="FUTURE",$J530="CME FUTURE"),IF('Futures &amp; Perps Shifted'!$AE$31,VLOOKUP($M530,'Futures &amp; Perps Shifted'!$AE$32:$AO$76,MATCH($R530,'Futures &amp; Perps Shifted'!$AE$30:$AO$30,0),FALSE),0),0)))</f>
        <v/>
      </c>
      <c r="X530" s="17" t="str">
        <f t="shared" si="114"/>
        <v/>
      </c>
      <c r="Y530" s="14" t="str">
        <f t="shared" si="104"/>
        <v/>
      </c>
      <c r="Z530" t="str">
        <f t="shared" si="115"/>
        <v/>
      </c>
      <c r="AA530" t="str">
        <f>IF($C530="","",IF(ISERROR(VLOOKUP($Y530,Mappings!$A:$C,3,FALSE)),FALSE,VLOOKUP($Y530,Mappings!$A:$C,3,FALSE)))</f>
        <v/>
      </c>
    </row>
    <row r="531" spans="1:27" customFormat="1" x14ac:dyDescent="0.25">
      <c r="A531" s="14"/>
      <c r="B531" s="71"/>
      <c r="C531" s="14"/>
      <c r="D531" s="14"/>
      <c r="E531" s="14"/>
      <c r="F531" s="100"/>
      <c r="G531" s="152"/>
      <c r="H531" s="156"/>
      <c r="I531" s="14"/>
      <c r="J531" s="14"/>
      <c r="K531" s="24"/>
      <c r="L531" s="14"/>
      <c r="M531" s="14"/>
      <c r="N531" s="45" t="str">
        <f t="shared" si="106"/>
        <v/>
      </c>
      <c r="O531" s="159" t="str">
        <f t="shared" si="107"/>
        <v/>
      </c>
      <c r="P531" s="47" t="str">
        <f t="shared" si="108"/>
        <v/>
      </c>
      <c r="Q531" s="25" t="str">
        <f t="shared" si="109"/>
        <v/>
      </c>
      <c r="R531" s="26" t="str">
        <f t="shared" si="110"/>
        <v/>
      </c>
      <c r="S531" s="26" t="str">
        <f t="shared" si="105"/>
        <v/>
      </c>
      <c r="T531" s="26" t="str">
        <f t="shared" si="111"/>
        <v/>
      </c>
      <c r="U531" s="17" t="str">
        <f t="shared" si="112"/>
        <v/>
      </c>
      <c r="V531" s="17" t="str">
        <f t="shared" si="113"/>
        <v/>
      </c>
      <c r="W531" s="39" t="str">
        <f>IF($C531="","",IF(DefaultScenario,IF(OR(AND(Default_Exchange="ALL",NOT(ISERROR(MATCH($C531,$AF$6:$AF$37,0)))),$C531=Default_Exchange),IF($G531&gt;0,-LGD,0),0),IF(OR($J531="SWAP",$J531="FUTURE",$J531="CME FUTURE"),IF('Futures &amp; Perps Shifted'!$AE$31,VLOOKUP($M531,'Futures &amp; Perps Shifted'!$AE$32:$AO$76,MATCH($R531,'Futures &amp; Perps Shifted'!$AE$30:$AO$30,0),FALSE),0),0)))</f>
        <v/>
      </c>
      <c r="X531" s="17" t="str">
        <f t="shared" si="114"/>
        <v/>
      </c>
      <c r="Y531" s="14" t="str">
        <f t="shared" si="104"/>
        <v/>
      </c>
      <c r="Z531" t="str">
        <f t="shared" si="115"/>
        <v/>
      </c>
      <c r="AA531" t="str">
        <f>IF($C531="","",IF(ISERROR(VLOOKUP($Y531,Mappings!$A:$C,3,FALSE)),FALSE,VLOOKUP($Y531,Mappings!$A:$C,3,FALSE)))</f>
        <v/>
      </c>
    </row>
    <row r="532" spans="1:27" customFormat="1" x14ac:dyDescent="0.25">
      <c r="A532" s="14"/>
      <c r="B532" s="71"/>
      <c r="C532" s="14"/>
      <c r="D532" s="14"/>
      <c r="E532" s="14"/>
      <c r="F532" s="100"/>
      <c r="G532" s="152"/>
      <c r="H532" s="156"/>
      <c r="I532" s="14"/>
      <c r="J532" s="14"/>
      <c r="K532" s="24"/>
      <c r="L532" s="14"/>
      <c r="M532" s="14"/>
      <c r="N532" s="45" t="str">
        <f t="shared" si="106"/>
        <v/>
      </c>
      <c r="O532" s="159" t="str">
        <f t="shared" si="107"/>
        <v/>
      </c>
      <c r="P532" s="47" t="str">
        <f t="shared" si="108"/>
        <v/>
      </c>
      <c r="Q532" s="25" t="str">
        <f t="shared" si="109"/>
        <v/>
      </c>
      <c r="R532" s="26" t="str">
        <f t="shared" si="110"/>
        <v/>
      </c>
      <c r="S532" s="26" t="str">
        <f t="shared" si="105"/>
        <v/>
      </c>
      <c r="T532" s="26" t="str">
        <f t="shared" si="111"/>
        <v/>
      </c>
      <c r="U532" s="17" t="str">
        <f t="shared" si="112"/>
        <v/>
      </c>
      <c r="V532" s="17" t="str">
        <f t="shared" si="113"/>
        <v/>
      </c>
      <c r="W532" s="39" t="str">
        <f>IF($C532="","",IF(DefaultScenario,IF(OR(AND(Default_Exchange="ALL",NOT(ISERROR(MATCH($C532,$AF$6:$AF$37,0)))),$C532=Default_Exchange),IF($G532&gt;0,-LGD,0),0),IF(OR($J532="SWAP",$J532="FUTURE",$J532="CME FUTURE"),IF('Futures &amp; Perps Shifted'!$AE$31,VLOOKUP($M532,'Futures &amp; Perps Shifted'!$AE$32:$AO$76,MATCH($R532,'Futures &amp; Perps Shifted'!$AE$30:$AO$30,0),FALSE),0),0)))</f>
        <v/>
      </c>
      <c r="X532" s="17" t="str">
        <f t="shared" si="114"/>
        <v/>
      </c>
      <c r="Y532" s="14" t="str">
        <f t="shared" si="104"/>
        <v/>
      </c>
      <c r="Z532" t="str">
        <f t="shared" si="115"/>
        <v/>
      </c>
      <c r="AA532" t="str">
        <f>IF($C532="","",IF(ISERROR(VLOOKUP($Y532,Mappings!$A:$C,3,FALSE)),FALSE,VLOOKUP($Y532,Mappings!$A:$C,3,FALSE)))</f>
        <v/>
      </c>
    </row>
    <row r="533" spans="1:27" customFormat="1" x14ac:dyDescent="0.25">
      <c r="A533" s="14"/>
      <c r="B533" s="71"/>
      <c r="C533" s="14"/>
      <c r="D533" s="14"/>
      <c r="E533" s="14"/>
      <c r="F533" s="100"/>
      <c r="G533" s="152"/>
      <c r="H533" s="156"/>
      <c r="I533" s="14"/>
      <c r="J533" s="14"/>
      <c r="K533" s="24"/>
      <c r="L533" s="14"/>
      <c r="M533" s="14"/>
      <c r="N533" s="45" t="str">
        <f t="shared" si="106"/>
        <v/>
      </c>
      <c r="O533" s="159" t="str">
        <f t="shared" si="107"/>
        <v/>
      </c>
      <c r="P533" s="47" t="str">
        <f t="shared" si="108"/>
        <v/>
      </c>
      <c r="Q533" s="25" t="str">
        <f t="shared" si="109"/>
        <v/>
      </c>
      <c r="R533" s="26" t="str">
        <f t="shared" si="110"/>
        <v/>
      </c>
      <c r="S533" s="26" t="str">
        <f t="shared" si="105"/>
        <v/>
      </c>
      <c r="T533" s="26" t="str">
        <f t="shared" si="111"/>
        <v/>
      </c>
      <c r="U533" s="17" t="str">
        <f t="shared" si="112"/>
        <v/>
      </c>
      <c r="V533" s="17" t="str">
        <f t="shared" si="113"/>
        <v/>
      </c>
      <c r="W533" s="39" t="str">
        <f>IF($C533="","",IF(DefaultScenario,IF(OR(AND(Default_Exchange="ALL",NOT(ISERROR(MATCH($C533,$AF$6:$AF$37,0)))),$C533=Default_Exchange),IF($G533&gt;0,-LGD,0),0),IF(OR($J533="SWAP",$J533="FUTURE",$J533="CME FUTURE"),IF('Futures &amp; Perps Shifted'!$AE$31,VLOOKUP($M533,'Futures &amp; Perps Shifted'!$AE$32:$AO$76,MATCH($R533,'Futures &amp; Perps Shifted'!$AE$30:$AO$30,0),FALSE),0),0)))</f>
        <v/>
      </c>
      <c r="X533" s="17" t="str">
        <f t="shared" si="114"/>
        <v/>
      </c>
      <c r="Y533" s="14" t="str">
        <f t="shared" si="104"/>
        <v/>
      </c>
      <c r="Z533" t="str">
        <f t="shared" si="115"/>
        <v/>
      </c>
      <c r="AA533" t="str">
        <f>IF($C533="","",IF(ISERROR(VLOOKUP($Y533,Mappings!$A:$C,3,FALSE)),FALSE,VLOOKUP($Y533,Mappings!$A:$C,3,FALSE)))</f>
        <v/>
      </c>
    </row>
    <row r="534" spans="1:27" customFormat="1" x14ac:dyDescent="0.25">
      <c r="A534" s="14"/>
      <c r="B534" s="71"/>
      <c r="C534" s="14"/>
      <c r="D534" s="14"/>
      <c r="E534" s="14"/>
      <c r="F534" s="100"/>
      <c r="G534" s="152"/>
      <c r="H534" s="156"/>
      <c r="I534" s="14"/>
      <c r="J534" s="14"/>
      <c r="K534" s="24"/>
      <c r="L534" s="14"/>
      <c r="M534" s="14"/>
      <c r="N534" s="45" t="str">
        <f t="shared" si="106"/>
        <v/>
      </c>
      <c r="O534" s="159" t="str">
        <f t="shared" si="107"/>
        <v/>
      </c>
      <c r="P534" s="47" t="str">
        <f t="shared" si="108"/>
        <v/>
      </c>
      <c r="Q534" s="25" t="str">
        <f t="shared" si="109"/>
        <v/>
      </c>
      <c r="R534" s="26" t="str">
        <f t="shared" si="110"/>
        <v/>
      </c>
      <c r="S534" s="26" t="str">
        <f t="shared" si="105"/>
        <v/>
      </c>
      <c r="T534" s="26" t="str">
        <f t="shared" si="111"/>
        <v/>
      </c>
      <c r="U534" s="17" t="str">
        <f t="shared" si="112"/>
        <v/>
      </c>
      <c r="V534" s="17" t="str">
        <f t="shared" si="113"/>
        <v/>
      </c>
      <c r="W534" s="39" t="str">
        <f>IF($C534="","",IF(DefaultScenario,IF(OR(AND(Default_Exchange="ALL",NOT(ISERROR(MATCH($C534,$AF$6:$AF$37,0)))),$C534=Default_Exchange),IF($G534&gt;0,-LGD,0),0),IF(OR($J534="SWAP",$J534="FUTURE",$J534="CME FUTURE"),IF('Futures &amp; Perps Shifted'!$AE$31,VLOOKUP($M534,'Futures &amp; Perps Shifted'!$AE$32:$AO$76,MATCH($R534,'Futures &amp; Perps Shifted'!$AE$30:$AO$30,0),FALSE),0),0)))</f>
        <v/>
      </c>
      <c r="X534" s="17" t="str">
        <f t="shared" si="114"/>
        <v/>
      </c>
      <c r="Y534" s="14" t="str">
        <f t="shared" si="104"/>
        <v/>
      </c>
      <c r="Z534" t="str">
        <f t="shared" si="115"/>
        <v/>
      </c>
      <c r="AA534" t="str">
        <f>IF($C534="","",IF(ISERROR(VLOOKUP($Y534,Mappings!$A:$C,3,FALSE)),FALSE,VLOOKUP($Y534,Mappings!$A:$C,3,FALSE)))</f>
        <v/>
      </c>
    </row>
    <row r="535" spans="1:27" customFormat="1" x14ac:dyDescent="0.25">
      <c r="A535" s="14"/>
      <c r="B535" s="71"/>
      <c r="C535" s="14"/>
      <c r="D535" s="14"/>
      <c r="E535" s="14"/>
      <c r="F535" s="100"/>
      <c r="G535" s="152"/>
      <c r="H535" s="156"/>
      <c r="I535" s="14"/>
      <c r="J535" s="14"/>
      <c r="K535" s="24"/>
      <c r="L535" s="14"/>
      <c r="M535" s="14"/>
      <c r="N535" s="45" t="str">
        <f t="shared" si="106"/>
        <v/>
      </c>
      <c r="O535" s="159" t="str">
        <f t="shared" si="107"/>
        <v/>
      </c>
      <c r="P535" s="47" t="str">
        <f t="shared" si="108"/>
        <v/>
      </c>
      <c r="Q535" s="25" t="str">
        <f t="shared" si="109"/>
        <v/>
      </c>
      <c r="R535" s="26" t="str">
        <f t="shared" si="110"/>
        <v/>
      </c>
      <c r="S535" s="26" t="str">
        <f t="shared" si="105"/>
        <v/>
      </c>
      <c r="T535" s="26" t="str">
        <f t="shared" si="111"/>
        <v/>
      </c>
      <c r="U535" s="17" t="str">
        <f t="shared" si="112"/>
        <v/>
      </c>
      <c r="V535" s="17" t="str">
        <f t="shared" si="113"/>
        <v/>
      </c>
      <c r="W535" s="39" t="str">
        <f>IF($C535="","",IF(DefaultScenario,IF(OR(AND(Default_Exchange="ALL",NOT(ISERROR(MATCH($C535,$AF$6:$AF$37,0)))),$C535=Default_Exchange),IF($G535&gt;0,-LGD,0),0),IF(OR($J535="SWAP",$J535="FUTURE",$J535="CME FUTURE"),IF('Futures &amp; Perps Shifted'!$AE$31,VLOOKUP($M535,'Futures &amp; Perps Shifted'!$AE$32:$AO$76,MATCH($R535,'Futures &amp; Perps Shifted'!$AE$30:$AO$30,0),FALSE),0),0)))</f>
        <v/>
      </c>
      <c r="X535" s="17" t="str">
        <f t="shared" si="114"/>
        <v/>
      </c>
      <c r="Y535" s="14" t="str">
        <f t="shared" si="104"/>
        <v/>
      </c>
      <c r="Z535" t="str">
        <f t="shared" si="115"/>
        <v/>
      </c>
      <c r="AA535" t="str">
        <f>IF($C535="","",IF(ISERROR(VLOOKUP($Y535,Mappings!$A:$C,3,FALSE)),FALSE,VLOOKUP($Y535,Mappings!$A:$C,3,FALSE)))</f>
        <v/>
      </c>
    </row>
    <row r="536" spans="1:27" customFormat="1" x14ac:dyDescent="0.25">
      <c r="A536" s="14"/>
      <c r="B536" s="71"/>
      <c r="C536" s="14"/>
      <c r="D536" s="14"/>
      <c r="E536" s="14"/>
      <c r="F536" s="100"/>
      <c r="G536" s="152"/>
      <c r="H536" s="156"/>
      <c r="I536" s="14"/>
      <c r="J536" s="14"/>
      <c r="K536" s="24"/>
      <c r="L536" s="14"/>
      <c r="M536" s="14"/>
      <c r="N536" s="45" t="str">
        <f t="shared" si="106"/>
        <v/>
      </c>
      <c r="O536" s="159" t="str">
        <f t="shared" si="107"/>
        <v/>
      </c>
      <c r="P536" s="47" t="str">
        <f t="shared" si="108"/>
        <v/>
      </c>
      <c r="Q536" s="25" t="str">
        <f t="shared" si="109"/>
        <v/>
      </c>
      <c r="R536" s="26" t="str">
        <f t="shared" si="110"/>
        <v/>
      </c>
      <c r="S536" s="26" t="str">
        <f t="shared" si="105"/>
        <v/>
      </c>
      <c r="T536" s="26" t="str">
        <f t="shared" si="111"/>
        <v/>
      </c>
      <c r="U536" s="17" t="str">
        <f t="shared" si="112"/>
        <v/>
      </c>
      <c r="V536" s="17" t="str">
        <f t="shared" si="113"/>
        <v/>
      </c>
      <c r="W536" s="39" t="str">
        <f>IF($C536="","",IF(DefaultScenario,IF(OR(AND(Default_Exchange="ALL",NOT(ISERROR(MATCH($C536,$AF$6:$AF$37,0)))),$C536=Default_Exchange),IF($G536&gt;0,-LGD,0),0),IF(OR($J536="SWAP",$J536="FUTURE",$J536="CME FUTURE"),IF('Futures &amp; Perps Shifted'!$AE$31,VLOOKUP($M536,'Futures &amp; Perps Shifted'!$AE$32:$AO$76,MATCH($R536,'Futures &amp; Perps Shifted'!$AE$30:$AO$30,0),FALSE),0),0)))</f>
        <v/>
      </c>
      <c r="X536" s="17" t="str">
        <f t="shared" si="114"/>
        <v/>
      </c>
      <c r="Y536" s="14" t="str">
        <f t="shared" si="104"/>
        <v/>
      </c>
      <c r="Z536" t="str">
        <f t="shared" si="115"/>
        <v/>
      </c>
      <c r="AA536" t="str">
        <f>IF($C536="","",IF(ISERROR(VLOOKUP($Y536,Mappings!$A:$C,3,FALSE)),FALSE,VLOOKUP($Y536,Mappings!$A:$C,3,FALSE)))</f>
        <v/>
      </c>
    </row>
    <row r="537" spans="1:27" customFormat="1" x14ac:dyDescent="0.25">
      <c r="A537" s="14"/>
      <c r="B537" s="71"/>
      <c r="C537" s="14"/>
      <c r="D537" s="14"/>
      <c r="E537" s="14"/>
      <c r="F537" s="100"/>
      <c r="G537" s="152"/>
      <c r="H537" s="156"/>
      <c r="I537" s="14"/>
      <c r="J537" s="14"/>
      <c r="K537" s="24"/>
      <c r="L537" s="14"/>
      <c r="M537" s="14"/>
      <c r="N537" s="45" t="str">
        <f t="shared" si="106"/>
        <v/>
      </c>
      <c r="O537" s="159" t="str">
        <f t="shared" si="107"/>
        <v/>
      </c>
      <c r="P537" s="47" t="str">
        <f t="shared" si="108"/>
        <v/>
      </c>
      <c r="Q537" s="25" t="str">
        <f t="shared" si="109"/>
        <v/>
      </c>
      <c r="R537" s="26" t="str">
        <f t="shared" si="110"/>
        <v/>
      </c>
      <c r="S537" s="26" t="str">
        <f t="shared" si="105"/>
        <v/>
      </c>
      <c r="T537" s="26" t="str">
        <f t="shared" si="111"/>
        <v/>
      </c>
      <c r="U537" s="17" t="str">
        <f t="shared" si="112"/>
        <v/>
      </c>
      <c r="V537" s="17" t="str">
        <f t="shared" si="113"/>
        <v/>
      </c>
      <c r="W537" s="39" t="str">
        <f>IF($C537="","",IF(DefaultScenario,IF(OR(AND(Default_Exchange="ALL",NOT(ISERROR(MATCH($C537,$AF$6:$AF$37,0)))),$C537=Default_Exchange),IF($G537&gt;0,-LGD,0),0),IF(OR($J537="SWAP",$J537="FUTURE",$J537="CME FUTURE"),IF('Futures &amp; Perps Shifted'!$AE$31,VLOOKUP($M537,'Futures &amp; Perps Shifted'!$AE$32:$AO$76,MATCH($R537,'Futures &amp; Perps Shifted'!$AE$30:$AO$30,0),FALSE),0),0)))</f>
        <v/>
      </c>
      <c r="X537" s="17" t="str">
        <f t="shared" si="114"/>
        <v/>
      </c>
      <c r="Y537" s="14" t="str">
        <f t="shared" si="104"/>
        <v/>
      </c>
      <c r="Z537" t="str">
        <f t="shared" si="115"/>
        <v/>
      </c>
      <c r="AA537" t="str">
        <f>IF($C537="","",IF(ISERROR(VLOOKUP($Y537,Mappings!$A:$C,3,FALSE)),FALSE,VLOOKUP($Y537,Mappings!$A:$C,3,FALSE)))</f>
        <v/>
      </c>
    </row>
    <row r="538" spans="1:27" customFormat="1" x14ac:dyDescent="0.25">
      <c r="A538" s="14"/>
      <c r="B538" s="71"/>
      <c r="C538" s="14"/>
      <c r="D538" s="14"/>
      <c r="E538" s="14"/>
      <c r="F538" s="100"/>
      <c r="G538" s="152"/>
      <c r="H538" s="156"/>
      <c r="I538" s="14"/>
      <c r="J538" s="14"/>
      <c r="K538" s="24"/>
      <c r="L538" s="14"/>
      <c r="M538" s="14"/>
      <c r="N538" s="45" t="str">
        <f t="shared" si="106"/>
        <v/>
      </c>
      <c r="O538" s="159" t="str">
        <f t="shared" si="107"/>
        <v/>
      </c>
      <c r="P538" s="47" t="str">
        <f t="shared" si="108"/>
        <v/>
      </c>
      <c r="Q538" s="25" t="str">
        <f t="shared" si="109"/>
        <v/>
      </c>
      <c r="R538" s="26" t="str">
        <f t="shared" si="110"/>
        <v/>
      </c>
      <c r="S538" s="26" t="str">
        <f t="shared" si="105"/>
        <v/>
      </c>
      <c r="T538" s="26" t="str">
        <f t="shared" si="111"/>
        <v/>
      </c>
      <c r="U538" s="17" t="str">
        <f t="shared" si="112"/>
        <v/>
      </c>
      <c r="V538" s="17" t="str">
        <f t="shared" si="113"/>
        <v/>
      </c>
      <c r="W538" s="39" t="str">
        <f>IF($C538="","",IF(DefaultScenario,IF(OR(AND(Default_Exchange="ALL",NOT(ISERROR(MATCH($C538,$AF$6:$AF$37,0)))),$C538=Default_Exchange),IF($G538&gt;0,-LGD,0),0),IF(OR($J538="SWAP",$J538="FUTURE",$J538="CME FUTURE"),IF('Futures &amp; Perps Shifted'!$AE$31,VLOOKUP($M538,'Futures &amp; Perps Shifted'!$AE$32:$AO$76,MATCH($R538,'Futures &amp; Perps Shifted'!$AE$30:$AO$30,0),FALSE),0),0)))</f>
        <v/>
      </c>
      <c r="X538" s="17" t="str">
        <f t="shared" si="114"/>
        <v/>
      </c>
      <c r="Y538" s="14" t="str">
        <f t="shared" si="104"/>
        <v/>
      </c>
      <c r="Z538" t="str">
        <f t="shared" si="115"/>
        <v/>
      </c>
      <c r="AA538" t="str">
        <f>IF($C538="","",IF(ISERROR(VLOOKUP($Y538,Mappings!$A:$C,3,FALSE)),FALSE,VLOOKUP($Y538,Mappings!$A:$C,3,FALSE)))</f>
        <v/>
      </c>
    </row>
    <row r="539" spans="1:27" customFormat="1" x14ac:dyDescent="0.25">
      <c r="A539" s="14"/>
      <c r="B539" s="71"/>
      <c r="C539" s="14"/>
      <c r="D539" s="14"/>
      <c r="E539" s="14"/>
      <c r="F539" s="100"/>
      <c r="G539" s="152"/>
      <c r="H539" s="156"/>
      <c r="I539" s="14"/>
      <c r="J539" s="14"/>
      <c r="K539" s="24"/>
      <c r="L539" s="14"/>
      <c r="M539" s="14"/>
      <c r="N539" s="45" t="str">
        <f t="shared" si="106"/>
        <v/>
      </c>
      <c r="O539" s="159" t="str">
        <f t="shared" si="107"/>
        <v/>
      </c>
      <c r="P539" s="47" t="str">
        <f t="shared" si="108"/>
        <v/>
      </c>
      <c r="Q539" s="25" t="str">
        <f t="shared" si="109"/>
        <v/>
      </c>
      <c r="R539" s="26" t="str">
        <f t="shared" si="110"/>
        <v/>
      </c>
      <c r="S539" s="26" t="str">
        <f t="shared" si="105"/>
        <v/>
      </c>
      <c r="T539" s="26" t="str">
        <f t="shared" si="111"/>
        <v/>
      </c>
      <c r="U539" s="17" t="str">
        <f t="shared" si="112"/>
        <v/>
      </c>
      <c r="V539" s="17" t="str">
        <f t="shared" si="113"/>
        <v/>
      </c>
      <c r="W539" s="39" t="str">
        <f>IF($C539="","",IF(DefaultScenario,IF(OR(AND(Default_Exchange="ALL",NOT(ISERROR(MATCH($C539,$AF$6:$AF$37,0)))),$C539=Default_Exchange),IF($G539&gt;0,-LGD,0),0),IF(OR($J539="SWAP",$J539="FUTURE",$J539="CME FUTURE"),IF('Futures &amp; Perps Shifted'!$AE$31,VLOOKUP($M539,'Futures &amp; Perps Shifted'!$AE$32:$AO$76,MATCH($R539,'Futures &amp; Perps Shifted'!$AE$30:$AO$30,0),FALSE),0),0)))</f>
        <v/>
      </c>
      <c r="X539" s="17" t="str">
        <f t="shared" si="114"/>
        <v/>
      </c>
      <c r="Y539" s="14" t="str">
        <f t="shared" si="104"/>
        <v/>
      </c>
      <c r="Z539" t="str">
        <f t="shared" si="115"/>
        <v/>
      </c>
      <c r="AA539" t="str">
        <f>IF($C539="","",IF(ISERROR(VLOOKUP($Y539,Mappings!$A:$C,3,FALSE)),FALSE,VLOOKUP($Y539,Mappings!$A:$C,3,FALSE)))</f>
        <v/>
      </c>
    </row>
    <row r="540" spans="1:27" customFormat="1" x14ac:dyDescent="0.25">
      <c r="A540" s="14"/>
      <c r="B540" s="71"/>
      <c r="C540" s="14"/>
      <c r="D540" s="14"/>
      <c r="E540" s="14"/>
      <c r="F540" s="100"/>
      <c r="G540" s="152"/>
      <c r="H540" s="156"/>
      <c r="I540" s="14"/>
      <c r="J540" s="14"/>
      <c r="K540" s="24"/>
      <c r="L540" s="14"/>
      <c r="M540" s="14"/>
      <c r="N540" s="45" t="str">
        <f t="shared" si="106"/>
        <v/>
      </c>
      <c r="O540" s="159" t="str">
        <f t="shared" si="107"/>
        <v/>
      </c>
      <c r="P540" s="47" t="str">
        <f t="shared" si="108"/>
        <v/>
      </c>
      <c r="Q540" s="25" t="str">
        <f t="shared" si="109"/>
        <v/>
      </c>
      <c r="R540" s="26" t="str">
        <f t="shared" si="110"/>
        <v/>
      </c>
      <c r="S540" s="26" t="str">
        <f t="shared" si="105"/>
        <v/>
      </c>
      <c r="T540" s="26" t="str">
        <f t="shared" si="111"/>
        <v/>
      </c>
      <c r="U540" s="17" t="str">
        <f t="shared" si="112"/>
        <v/>
      </c>
      <c r="V540" s="17" t="str">
        <f t="shared" si="113"/>
        <v/>
      </c>
      <c r="W540" s="39" t="str">
        <f>IF($C540="","",IF(DefaultScenario,IF(OR(AND(Default_Exchange="ALL",NOT(ISERROR(MATCH($C540,$AF$6:$AF$37,0)))),$C540=Default_Exchange),IF($G540&gt;0,-LGD,0),0),IF(OR($J540="SWAP",$J540="FUTURE",$J540="CME FUTURE"),IF('Futures &amp; Perps Shifted'!$AE$31,VLOOKUP($M540,'Futures &amp; Perps Shifted'!$AE$32:$AO$76,MATCH($R540,'Futures &amp; Perps Shifted'!$AE$30:$AO$30,0),FALSE),0),0)))</f>
        <v/>
      </c>
      <c r="X540" s="17" t="str">
        <f t="shared" si="114"/>
        <v/>
      </c>
      <c r="Y540" s="14" t="str">
        <f t="shared" si="104"/>
        <v/>
      </c>
      <c r="Z540" t="str">
        <f t="shared" si="115"/>
        <v/>
      </c>
      <c r="AA540" t="str">
        <f>IF($C540="","",IF(ISERROR(VLOOKUP($Y540,Mappings!$A:$C,3,FALSE)),FALSE,VLOOKUP($Y540,Mappings!$A:$C,3,FALSE)))</f>
        <v/>
      </c>
    </row>
    <row r="541" spans="1:27" customFormat="1" x14ac:dyDescent="0.25">
      <c r="A541" s="14"/>
      <c r="B541" s="71"/>
      <c r="C541" s="14"/>
      <c r="D541" s="14"/>
      <c r="E541" s="14"/>
      <c r="F541" s="100"/>
      <c r="G541" s="152"/>
      <c r="H541" s="156"/>
      <c r="I541" s="14"/>
      <c r="J541" s="14"/>
      <c r="K541" s="24"/>
      <c r="L541" s="14"/>
      <c r="M541" s="14"/>
      <c r="N541" s="45" t="str">
        <f t="shared" si="106"/>
        <v/>
      </c>
      <c r="O541" s="159" t="str">
        <f t="shared" si="107"/>
        <v/>
      </c>
      <c r="P541" s="47" t="str">
        <f t="shared" si="108"/>
        <v/>
      </c>
      <c r="Q541" s="25" t="str">
        <f t="shared" si="109"/>
        <v/>
      </c>
      <c r="R541" s="26" t="str">
        <f t="shared" si="110"/>
        <v/>
      </c>
      <c r="S541" s="26" t="str">
        <f t="shared" si="105"/>
        <v/>
      </c>
      <c r="T541" s="26" t="str">
        <f t="shared" si="111"/>
        <v/>
      </c>
      <c r="U541" s="17" t="str">
        <f t="shared" si="112"/>
        <v/>
      </c>
      <c r="V541" s="17" t="str">
        <f t="shared" si="113"/>
        <v/>
      </c>
      <c r="W541" s="39" t="str">
        <f>IF($C541="","",IF(DefaultScenario,IF(OR(AND(Default_Exchange="ALL",NOT(ISERROR(MATCH($C541,$AF$6:$AF$37,0)))),$C541=Default_Exchange),IF($G541&gt;0,-LGD,0),0),IF(OR($J541="SWAP",$J541="FUTURE",$J541="CME FUTURE"),IF('Futures &amp; Perps Shifted'!$AE$31,VLOOKUP($M541,'Futures &amp; Perps Shifted'!$AE$32:$AO$76,MATCH($R541,'Futures &amp; Perps Shifted'!$AE$30:$AO$30,0),FALSE),0),0)))</f>
        <v/>
      </c>
      <c r="X541" s="17" t="str">
        <f t="shared" si="114"/>
        <v/>
      </c>
      <c r="Y541" s="14" t="str">
        <f t="shared" si="104"/>
        <v/>
      </c>
      <c r="Z541" t="str">
        <f t="shared" si="115"/>
        <v/>
      </c>
      <c r="AA541" t="str">
        <f>IF($C541="","",IF(ISERROR(VLOOKUP($Y541,Mappings!$A:$C,3,FALSE)),FALSE,VLOOKUP($Y541,Mappings!$A:$C,3,FALSE)))</f>
        <v/>
      </c>
    </row>
    <row r="542" spans="1:27" customFormat="1" x14ac:dyDescent="0.25">
      <c r="A542" s="14"/>
      <c r="B542" s="71"/>
      <c r="C542" s="14"/>
      <c r="D542" s="14"/>
      <c r="E542" s="14"/>
      <c r="F542" s="100"/>
      <c r="G542" s="152"/>
      <c r="H542" s="156"/>
      <c r="I542" s="14"/>
      <c r="J542" s="14"/>
      <c r="K542" s="24"/>
      <c r="L542" s="14"/>
      <c r="M542" s="14"/>
      <c r="N542" s="45" t="str">
        <f t="shared" si="106"/>
        <v/>
      </c>
      <c r="O542" s="159" t="str">
        <f t="shared" si="107"/>
        <v/>
      </c>
      <c r="P542" s="47" t="str">
        <f t="shared" si="108"/>
        <v/>
      </c>
      <c r="Q542" s="25" t="str">
        <f t="shared" si="109"/>
        <v/>
      </c>
      <c r="R542" s="26" t="str">
        <f t="shared" si="110"/>
        <v/>
      </c>
      <c r="S542" s="26" t="str">
        <f t="shared" si="105"/>
        <v/>
      </c>
      <c r="T542" s="26" t="str">
        <f t="shared" si="111"/>
        <v/>
      </c>
      <c r="U542" s="17" t="str">
        <f t="shared" si="112"/>
        <v/>
      </c>
      <c r="V542" s="17" t="str">
        <f t="shared" si="113"/>
        <v/>
      </c>
      <c r="W542" s="39" t="str">
        <f>IF($C542="","",IF(DefaultScenario,IF(OR(AND(Default_Exchange="ALL",NOT(ISERROR(MATCH($C542,$AF$6:$AF$37,0)))),$C542=Default_Exchange),IF($G542&gt;0,-LGD,0),0),IF(OR($J542="SWAP",$J542="FUTURE",$J542="CME FUTURE"),IF('Futures &amp; Perps Shifted'!$AE$31,VLOOKUP($M542,'Futures &amp; Perps Shifted'!$AE$32:$AO$76,MATCH($R542,'Futures &amp; Perps Shifted'!$AE$30:$AO$30,0),FALSE),0),0)))</f>
        <v/>
      </c>
      <c r="X542" s="17" t="str">
        <f t="shared" si="114"/>
        <v/>
      </c>
      <c r="Y542" s="14" t="str">
        <f t="shared" si="104"/>
        <v/>
      </c>
      <c r="Z542" t="str">
        <f t="shared" si="115"/>
        <v/>
      </c>
      <c r="AA542" t="str">
        <f>IF($C542="","",IF(ISERROR(VLOOKUP($Y542,Mappings!$A:$C,3,FALSE)),FALSE,VLOOKUP($Y542,Mappings!$A:$C,3,FALSE)))</f>
        <v/>
      </c>
    </row>
    <row r="543" spans="1:27" customFormat="1" x14ac:dyDescent="0.25">
      <c r="A543" s="14"/>
      <c r="B543" s="71"/>
      <c r="C543" s="14"/>
      <c r="D543" s="14"/>
      <c r="E543" s="14"/>
      <c r="F543" s="100"/>
      <c r="G543" s="152"/>
      <c r="H543" s="156"/>
      <c r="I543" s="14"/>
      <c r="J543" s="14"/>
      <c r="K543" s="24"/>
      <c r="L543" s="14"/>
      <c r="M543" s="14"/>
      <c r="N543" s="45" t="str">
        <f t="shared" si="106"/>
        <v/>
      </c>
      <c r="O543" s="159" t="str">
        <f t="shared" si="107"/>
        <v/>
      </c>
      <c r="P543" s="47" t="str">
        <f t="shared" si="108"/>
        <v/>
      </c>
      <c r="Q543" s="25" t="str">
        <f t="shared" si="109"/>
        <v/>
      </c>
      <c r="R543" s="26" t="str">
        <f t="shared" si="110"/>
        <v/>
      </c>
      <c r="S543" s="26" t="str">
        <f t="shared" si="105"/>
        <v/>
      </c>
      <c r="T543" s="26" t="str">
        <f t="shared" si="111"/>
        <v/>
      </c>
      <c r="U543" s="17" t="str">
        <f t="shared" si="112"/>
        <v/>
      </c>
      <c r="V543" s="17" t="str">
        <f t="shared" si="113"/>
        <v/>
      </c>
      <c r="W543" s="39" t="str">
        <f>IF($C543="","",IF(DefaultScenario,IF(OR(AND(Default_Exchange="ALL",NOT(ISERROR(MATCH($C543,$AF$6:$AF$37,0)))),$C543=Default_Exchange),IF($G543&gt;0,-LGD,0),0),IF(OR($J543="SWAP",$J543="FUTURE",$J543="CME FUTURE"),IF('Futures &amp; Perps Shifted'!$AE$31,VLOOKUP($M543,'Futures &amp; Perps Shifted'!$AE$32:$AO$76,MATCH($R543,'Futures &amp; Perps Shifted'!$AE$30:$AO$30,0),FALSE),0),0)))</f>
        <v/>
      </c>
      <c r="X543" s="17" t="str">
        <f t="shared" si="114"/>
        <v/>
      </c>
      <c r="Y543" s="14" t="str">
        <f t="shared" si="104"/>
        <v/>
      </c>
      <c r="Z543" t="str">
        <f t="shared" si="115"/>
        <v/>
      </c>
      <c r="AA543" t="str">
        <f>IF($C543="","",IF(ISERROR(VLOOKUP($Y543,Mappings!$A:$C,3,FALSE)),FALSE,VLOOKUP($Y543,Mappings!$A:$C,3,FALSE)))</f>
        <v/>
      </c>
    </row>
    <row r="544" spans="1:27" customFormat="1" x14ac:dyDescent="0.25">
      <c r="A544" s="14"/>
      <c r="B544" s="71"/>
      <c r="C544" s="14"/>
      <c r="D544" s="14"/>
      <c r="E544" s="14"/>
      <c r="F544" s="100"/>
      <c r="G544" s="152"/>
      <c r="H544" s="156"/>
      <c r="I544" s="14"/>
      <c r="J544" s="14"/>
      <c r="K544" s="24"/>
      <c r="L544" s="14"/>
      <c r="M544" s="14"/>
      <c r="N544" s="45" t="str">
        <f t="shared" si="106"/>
        <v/>
      </c>
      <c r="O544" s="159" t="str">
        <f t="shared" si="107"/>
        <v/>
      </c>
      <c r="P544" s="47" t="str">
        <f t="shared" si="108"/>
        <v/>
      </c>
      <c r="Q544" s="25" t="str">
        <f t="shared" si="109"/>
        <v/>
      </c>
      <c r="R544" s="26" t="str">
        <f t="shared" si="110"/>
        <v/>
      </c>
      <c r="S544" s="26" t="str">
        <f t="shared" si="105"/>
        <v/>
      </c>
      <c r="T544" s="26" t="str">
        <f t="shared" si="111"/>
        <v/>
      </c>
      <c r="U544" s="17" t="str">
        <f t="shared" si="112"/>
        <v/>
      </c>
      <c r="V544" s="17" t="str">
        <f t="shared" si="113"/>
        <v/>
      </c>
      <c r="W544" s="39" t="str">
        <f>IF($C544="","",IF(DefaultScenario,IF(OR(AND(Default_Exchange="ALL",NOT(ISERROR(MATCH($C544,$AF$6:$AF$37,0)))),$C544=Default_Exchange),IF($G544&gt;0,-LGD,0),0),IF(OR($J544="SWAP",$J544="FUTURE",$J544="CME FUTURE"),IF('Futures &amp; Perps Shifted'!$AE$31,VLOOKUP($M544,'Futures &amp; Perps Shifted'!$AE$32:$AO$76,MATCH($R544,'Futures &amp; Perps Shifted'!$AE$30:$AO$30,0),FALSE),0),0)))</f>
        <v/>
      </c>
      <c r="X544" s="17" t="str">
        <f t="shared" si="114"/>
        <v/>
      </c>
      <c r="Y544" s="14" t="str">
        <f t="shared" si="104"/>
        <v/>
      </c>
      <c r="Z544" t="str">
        <f t="shared" si="115"/>
        <v/>
      </c>
      <c r="AA544" t="str">
        <f>IF($C544="","",IF(ISERROR(VLOOKUP($Y544,Mappings!$A:$C,3,FALSE)),FALSE,VLOOKUP($Y544,Mappings!$A:$C,3,FALSE)))</f>
        <v/>
      </c>
    </row>
    <row r="545" spans="1:27" customFormat="1" x14ac:dyDescent="0.25">
      <c r="A545" s="14"/>
      <c r="B545" s="71"/>
      <c r="C545" s="14"/>
      <c r="D545" s="14"/>
      <c r="E545" s="14"/>
      <c r="F545" s="100"/>
      <c r="G545" s="152"/>
      <c r="H545" s="156"/>
      <c r="I545" s="14"/>
      <c r="J545" s="14"/>
      <c r="K545" s="24"/>
      <c r="L545" s="14"/>
      <c r="M545" s="14"/>
      <c r="N545" s="45" t="str">
        <f t="shared" si="106"/>
        <v/>
      </c>
      <c r="O545" s="159" t="str">
        <f t="shared" si="107"/>
        <v/>
      </c>
      <c r="P545" s="47" t="str">
        <f t="shared" si="108"/>
        <v/>
      </c>
      <c r="Q545" s="25" t="str">
        <f t="shared" si="109"/>
        <v/>
      </c>
      <c r="R545" s="26" t="str">
        <f t="shared" si="110"/>
        <v/>
      </c>
      <c r="S545" s="26" t="str">
        <f t="shared" si="105"/>
        <v/>
      </c>
      <c r="T545" s="26" t="str">
        <f t="shared" si="111"/>
        <v/>
      </c>
      <c r="U545" s="17" t="str">
        <f t="shared" si="112"/>
        <v/>
      </c>
      <c r="V545" s="17" t="str">
        <f t="shared" si="113"/>
        <v/>
      </c>
      <c r="W545" s="39" t="str">
        <f>IF($C545="","",IF(DefaultScenario,IF(OR(AND(Default_Exchange="ALL",NOT(ISERROR(MATCH($C545,$AF$6:$AF$37,0)))),$C545=Default_Exchange),IF($G545&gt;0,-LGD,0),0),IF(OR($J545="SWAP",$J545="FUTURE",$J545="CME FUTURE"),IF('Futures &amp; Perps Shifted'!$AE$31,VLOOKUP($M545,'Futures &amp; Perps Shifted'!$AE$32:$AO$76,MATCH($R545,'Futures &amp; Perps Shifted'!$AE$30:$AO$30,0),FALSE),0),0)))</f>
        <v/>
      </c>
      <c r="X545" s="17" t="str">
        <f t="shared" si="114"/>
        <v/>
      </c>
      <c r="Y545" s="14" t="str">
        <f t="shared" si="104"/>
        <v/>
      </c>
      <c r="Z545" t="str">
        <f t="shared" si="115"/>
        <v/>
      </c>
      <c r="AA545" t="str">
        <f>IF($C545="","",IF(ISERROR(VLOOKUP($Y545,Mappings!$A:$C,3,FALSE)),FALSE,VLOOKUP($Y545,Mappings!$A:$C,3,FALSE)))</f>
        <v/>
      </c>
    </row>
    <row r="546" spans="1:27" customFormat="1" x14ac:dyDescent="0.25">
      <c r="A546" s="14"/>
      <c r="B546" s="71"/>
      <c r="C546" s="14"/>
      <c r="D546" s="14"/>
      <c r="E546" s="14"/>
      <c r="F546" s="100"/>
      <c r="G546" s="152"/>
      <c r="H546" s="156"/>
      <c r="I546" s="14"/>
      <c r="J546" s="14"/>
      <c r="K546" s="24"/>
      <c r="L546" s="14"/>
      <c r="M546" s="14"/>
      <c r="N546" s="45" t="str">
        <f t="shared" si="106"/>
        <v/>
      </c>
      <c r="O546" s="159" t="str">
        <f t="shared" si="107"/>
        <v/>
      </c>
      <c r="P546" s="47" t="str">
        <f t="shared" si="108"/>
        <v/>
      </c>
      <c r="Q546" s="25" t="str">
        <f t="shared" si="109"/>
        <v/>
      </c>
      <c r="R546" s="26" t="str">
        <f t="shared" si="110"/>
        <v/>
      </c>
      <c r="S546" s="26" t="str">
        <f t="shared" si="105"/>
        <v/>
      </c>
      <c r="T546" s="26" t="str">
        <f t="shared" si="111"/>
        <v/>
      </c>
      <c r="U546" s="17" t="str">
        <f t="shared" si="112"/>
        <v/>
      </c>
      <c r="V546" s="17" t="str">
        <f t="shared" si="113"/>
        <v/>
      </c>
      <c r="W546" s="39" t="str">
        <f>IF($C546="","",IF(DefaultScenario,IF(OR(AND(Default_Exchange="ALL",NOT(ISERROR(MATCH($C546,$AF$6:$AF$37,0)))),$C546=Default_Exchange),IF($G546&gt;0,-LGD,0),0),IF(OR($J546="SWAP",$J546="FUTURE",$J546="CME FUTURE"),IF('Futures &amp; Perps Shifted'!$AE$31,VLOOKUP($M546,'Futures &amp; Perps Shifted'!$AE$32:$AO$76,MATCH($R546,'Futures &amp; Perps Shifted'!$AE$30:$AO$30,0),FALSE),0),0)))</f>
        <v/>
      </c>
      <c r="X546" s="17" t="str">
        <f t="shared" si="114"/>
        <v/>
      </c>
      <c r="Y546" s="14" t="str">
        <f t="shared" si="104"/>
        <v/>
      </c>
      <c r="Z546" t="str">
        <f t="shared" si="115"/>
        <v/>
      </c>
      <c r="AA546" t="str">
        <f>IF($C546="","",IF(ISERROR(VLOOKUP($Y546,Mappings!$A:$C,3,FALSE)),FALSE,VLOOKUP($Y546,Mappings!$A:$C,3,FALSE)))</f>
        <v/>
      </c>
    </row>
    <row r="547" spans="1:27" customFormat="1" x14ac:dyDescent="0.25">
      <c r="A547" s="14"/>
      <c r="B547" s="71"/>
      <c r="C547" s="14"/>
      <c r="D547" s="14"/>
      <c r="E547" s="14"/>
      <c r="F547" s="100"/>
      <c r="G547" s="152"/>
      <c r="H547" s="156"/>
      <c r="I547" s="14"/>
      <c r="J547" s="14"/>
      <c r="K547" s="24"/>
      <c r="L547" s="14"/>
      <c r="M547" s="14"/>
      <c r="N547" s="45" t="str">
        <f t="shared" si="106"/>
        <v/>
      </c>
      <c r="O547" s="159" t="str">
        <f t="shared" si="107"/>
        <v/>
      </c>
      <c r="P547" s="47" t="str">
        <f t="shared" si="108"/>
        <v/>
      </c>
      <c r="Q547" s="25" t="str">
        <f t="shared" si="109"/>
        <v/>
      </c>
      <c r="R547" s="26" t="str">
        <f t="shared" si="110"/>
        <v/>
      </c>
      <c r="S547" s="26" t="str">
        <f t="shared" si="105"/>
        <v/>
      </c>
      <c r="T547" s="26" t="str">
        <f t="shared" si="111"/>
        <v/>
      </c>
      <c r="U547" s="17" t="str">
        <f t="shared" si="112"/>
        <v/>
      </c>
      <c r="V547" s="17" t="str">
        <f t="shared" si="113"/>
        <v/>
      </c>
      <c r="W547" s="39" t="str">
        <f>IF($C547="","",IF(DefaultScenario,IF(OR(AND(Default_Exchange="ALL",NOT(ISERROR(MATCH($C547,$AF$6:$AF$37,0)))),$C547=Default_Exchange),IF($G547&gt;0,-LGD,0),0),IF(OR($J547="SWAP",$J547="FUTURE",$J547="CME FUTURE"),IF('Futures &amp; Perps Shifted'!$AE$31,VLOOKUP($M547,'Futures &amp; Perps Shifted'!$AE$32:$AO$76,MATCH($R547,'Futures &amp; Perps Shifted'!$AE$30:$AO$30,0),FALSE),0),0)))</f>
        <v/>
      </c>
      <c r="X547" s="17" t="str">
        <f t="shared" si="114"/>
        <v/>
      </c>
      <c r="Y547" s="14" t="str">
        <f t="shared" si="104"/>
        <v/>
      </c>
      <c r="Z547" t="str">
        <f t="shared" si="115"/>
        <v/>
      </c>
      <c r="AA547" t="str">
        <f>IF($C547="","",IF(ISERROR(VLOOKUP($Y547,Mappings!$A:$C,3,FALSE)),FALSE,VLOOKUP($Y547,Mappings!$A:$C,3,FALSE)))</f>
        <v/>
      </c>
    </row>
    <row r="548" spans="1:27" customFormat="1" x14ac:dyDescent="0.25">
      <c r="A548" s="14"/>
      <c r="B548" s="71"/>
      <c r="C548" s="14"/>
      <c r="D548" s="14"/>
      <c r="E548" s="14"/>
      <c r="F548" s="100"/>
      <c r="G548" s="152"/>
      <c r="H548" s="156"/>
      <c r="I548" s="14"/>
      <c r="J548" s="14"/>
      <c r="K548" s="24"/>
      <c r="L548" s="14"/>
      <c r="M548" s="14"/>
      <c r="N548" s="45" t="str">
        <f t="shared" si="106"/>
        <v/>
      </c>
      <c r="O548" s="159" t="str">
        <f t="shared" si="107"/>
        <v/>
      </c>
      <c r="P548" s="47" t="str">
        <f t="shared" si="108"/>
        <v/>
      </c>
      <c r="Q548" s="25" t="str">
        <f t="shared" si="109"/>
        <v/>
      </c>
      <c r="R548" s="26" t="str">
        <f t="shared" si="110"/>
        <v/>
      </c>
      <c r="S548" s="26" t="str">
        <f t="shared" si="105"/>
        <v/>
      </c>
      <c r="T548" s="26" t="str">
        <f t="shared" si="111"/>
        <v/>
      </c>
      <c r="U548" s="17" t="str">
        <f t="shared" si="112"/>
        <v/>
      </c>
      <c r="V548" s="17" t="str">
        <f t="shared" si="113"/>
        <v/>
      </c>
      <c r="W548" s="39" t="str">
        <f>IF($C548="","",IF(DefaultScenario,IF(OR(AND(Default_Exchange="ALL",NOT(ISERROR(MATCH($C548,$AF$6:$AF$37,0)))),$C548=Default_Exchange),IF($G548&gt;0,-LGD,0),0),IF(OR($J548="SWAP",$J548="FUTURE",$J548="CME FUTURE"),IF('Futures &amp; Perps Shifted'!$AE$31,VLOOKUP($M548,'Futures &amp; Perps Shifted'!$AE$32:$AO$76,MATCH($R548,'Futures &amp; Perps Shifted'!$AE$30:$AO$30,0),FALSE),0),0)))</f>
        <v/>
      </c>
      <c r="X548" s="17" t="str">
        <f t="shared" si="114"/>
        <v/>
      </c>
      <c r="Y548" s="14" t="str">
        <f t="shared" si="104"/>
        <v/>
      </c>
      <c r="Z548" t="str">
        <f t="shared" si="115"/>
        <v/>
      </c>
      <c r="AA548" t="str">
        <f>IF($C548="","",IF(ISERROR(VLOOKUP($Y548,Mappings!$A:$C,3,FALSE)),FALSE,VLOOKUP($Y548,Mappings!$A:$C,3,FALSE)))</f>
        <v/>
      </c>
    </row>
    <row r="549" spans="1:27" customFormat="1" x14ac:dyDescent="0.25">
      <c r="A549" s="14"/>
      <c r="B549" s="71"/>
      <c r="C549" s="14"/>
      <c r="D549" s="14"/>
      <c r="E549" s="14"/>
      <c r="F549" s="100"/>
      <c r="G549" s="152"/>
      <c r="H549" s="156"/>
      <c r="I549" s="14"/>
      <c r="J549" s="14"/>
      <c r="K549" s="24"/>
      <c r="L549" s="14"/>
      <c r="M549" s="14"/>
      <c r="N549" s="45" t="str">
        <f t="shared" si="106"/>
        <v/>
      </c>
      <c r="O549" s="159" t="str">
        <f t="shared" si="107"/>
        <v/>
      </c>
      <c r="P549" s="47" t="str">
        <f t="shared" si="108"/>
        <v/>
      </c>
      <c r="Q549" s="25" t="str">
        <f t="shared" si="109"/>
        <v/>
      </c>
      <c r="R549" s="26" t="str">
        <f t="shared" si="110"/>
        <v/>
      </c>
      <c r="S549" s="26" t="str">
        <f t="shared" si="105"/>
        <v/>
      </c>
      <c r="T549" s="26" t="str">
        <f t="shared" si="111"/>
        <v/>
      </c>
      <c r="U549" s="17" t="str">
        <f t="shared" si="112"/>
        <v/>
      </c>
      <c r="V549" s="17" t="str">
        <f t="shared" si="113"/>
        <v/>
      </c>
      <c r="W549" s="39" t="str">
        <f>IF($C549="","",IF(DefaultScenario,IF(OR(AND(Default_Exchange="ALL",NOT(ISERROR(MATCH($C549,$AF$6:$AF$37,0)))),$C549=Default_Exchange),IF($G549&gt;0,-LGD,0),0),IF(OR($J549="SWAP",$J549="FUTURE",$J549="CME FUTURE"),IF('Futures &amp; Perps Shifted'!$AE$31,VLOOKUP($M549,'Futures &amp; Perps Shifted'!$AE$32:$AO$76,MATCH($R549,'Futures &amp; Perps Shifted'!$AE$30:$AO$30,0),FALSE),0),0)))</f>
        <v/>
      </c>
      <c r="X549" s="17" t="str">
        <f t="shared" si="114"/>
        <v/>
      </c>
      <c r="Y549" s="14" t="str">
        <f t="shared" si="104"/>
        <v/>
      </c>
      <c r="Z549" t="str">
        <f t="shared" si="115"/>
        <v/>
      </c>
      <c r="AA549" t="str">
        <f>IF($C549="","",IF(ISERROR(VLOOKUP($Y549,Mappings!$A:$C,3,FALSE)),FALSE,VLOOKUP($Y549,Mappings!$A:$C,3,FALSE)))</f>
        <v/>
      </c>
    </row>
    <row r="550" spans="1:27" customFormat="1" x14ac:dyDescent="0.25">
      <c r="A550" s="14"/>
      <c r="B550" s="71"/>
      <c r="C550" s="14"/>
      <c r="D550" s="14"/>
      <c r="E550" s="14"/>
      <c r="F550" s="100"/>
      <c r="G550" s="152"/>
      <c r="H550" s="156"/>
      <c r="I550" s="14"/>
      <c r="J550" s="14"/>
      <c r="K550" s="24"/>
      <c r="L550" s="14"/>
      <c r="M550" s="14"/>
      <c r="N550" s="45" t="str">
        <f t="shared" si="106"/>
        <v/>
      </c>
      <c r="O550" s="159" t="str">
        <f t="shared" si="107"/>
        <v/>
      </c>
      <c r="P550" s="47" t="str">
        <f t="shared" si="108"/>
        <v/>
      </c>
      <c r="Q550" s="25" t="str">
        <f t="shared" si="109"/>
        <v/>
      </c>
      <c r="R550" s="26" t="str">
        <f t="shared" si="110"/>
        <v/>
      </c>
      <c r="S550" s="26" t="str">
        <f t="shared" si="105"/>
        <v/>
      </c>
      <c r="T550" s="26" t="str">
        <f t="shared" si="111"/>
        <v/>
      </c>
      <c r="U550" s="17" t="str">
        <f t="shared" si="112"/>
        <v/>
      </c>
      <c r="V550" s="17" t="str">
        <f t="shared" si="113"/>
        <v/>
      </c>
      <c r="W550" s="39" t="str">
        <f>IF($C550="","",IF(DefaultScenario,IF(OR(AND(Default_Exchange="ALL",NOT(ISERROR(MATCH($C550,$AF$6:$AF$37,0)))),$C550=Default_Exchange),IF($G550&gt;0,-LGD,0),0),IF(OR($J550="SWAP",$J550="FUTURE",$J550="CME FUTURE"),IF('Futures &amp; Perps Shifted'!$AE$31,VLOOKUP($M550,'Futures &amp; Perps Shifted'!$AE$32:$AO$76,MATCH($R550,'Futures &amp; Perps Shifted'!$AE$30:$AO$30,0),FALSE),0),0)))</f>
        <v/>
      </c>
      <c r="X550" s="17" t="str">
        <f t="shared" si="114"/>
        <v/>
      </c>
      <c r="Y550" s="14" t="str">
        <f t="shared" si="104"/>
        <v/>
      </c>
      <c r="Z550" t="str">
        <f t="shared" si="115"/>
        <v/>
      </c>
      <c r="AA550" t="str">
        <f>IF($C550="","",IF(ISERROR(VLOOKUP($Y550,Mappings!$A:$C,3,FALSE)),FALSE,VLOOKUP($Y550,Mappings!$A:$C,3,FALSE)))</f>
        <v/>
      </c>
    </row>
    <row r="551" spans="1:27" customFormat="1" x14ac:dyDescent="0.25">
      <c r="A551" s="14"/>
      <c r="B551" s="71"/>
      <c r="C551" s="14"/>
      <c r="D551" s="14"/>
      <c r="E551" s="14"/>
      <c r="F551" s="100"/>
      <c r="G551" s="152"/>
      <c r="H551" s="156"/>
      <c r="I551" s="14"/>
      <c r="J551" s="14"/>
      <c r="K551" s="24"/>
      <c r="L551" s="14"/>
      <c r="M551" s="14"/>
      <c r="N551" s="45" t="str">
        <f t="shared" si="106"/>
        <v/>
      </c>
      <c r="O551" s="159" t="str">
        <f t="shared" si="107"/>
        <v/>
      </c>
      <c r="P551" s="47" t="str">
        <f t="shared" si="108"/>
        <v/>
      </c>
      <c r="Q551" s="25" t="str">
        <f t="shared" si="109"/>
        <v/>
      </c>
      <c r="R551" s="26" t="str">
        <f t="shared" si="110"/>
        <v/>
      </c>
      <c r="S551" s="26" t="str">
        <f t="shared" si="105"/>
        <v/>
      </c>
      <c r="T551" s="26" t="str">
        <f t="shared" si="111"/>
        <v/>
      </c>
      <c r="U551" s="17" t="str">
        <f t="shared" si="112"/>
        <v/>
      </c>
      <c r="V551" s="17" t="str">
        <f t="shared" si="113"/>
        <v/>
      </c>
      <c r="W551" s="39" t="str">
        <f>IF($C551="","",IF(DefaultScenario,IF(OR(AND(Default_Exchange="ALL",NOT(ISERROR(MATCH($C551,$AF$6:$AF$37,0)))),$C551=Default_Exchange),IF($G551&gt;0,-LGD,0),0),IF(OR($J551="SWAP",$J551="FUTURE",$J551="CME FUTURE"),IF('Futures &amp; Perps Shifted'!$AE$31,VLOOKUP($M551,'Futures &amp; Perps Shifted'!$AE$32:$AO$76,MATCH($R551,'Futures &amp; Perps Shifted'!$AE$30:$AO$30,0),FALSE),0),0)))</f>
        <v/>
      </c>
      <c r="X551" s="17" t="str">
        <f t="shared" si="114"/>
        <v/>
      </c>
      <c r="Y551" s="14" t="str">
        <f t="shared" si="104"/>
        <v/>
      </c>
      <c r="Z551" t="str">
        <f t="shared" si="115"/>
        <v/>
      </c>
      <c r="AA551" t="str">
        <f>IF($C551="","",IF(ISERROR(VLOOKUP($Y551,Mappings!$A:$C,3,FALSE)),FALSE,VLOOKUP($Y551,Mappings!$A:$C,3,FALSE)))</f>
        <v/>
      </c>
    </row>
    <row r="552" spans="1:27" customFormat="1" x14ac:dyDescent="0.25">
      <c r="A552" s="14"/>
      <c r="B552" s="71"/>
      <c r="C552" s="14"/>
      <c r="D552" s="14"/>
      <c r="E552" s="14"/>
      <c r="F552" s="100"/>
      <c r="G552" s="152"/>
      <c r="H552" s="156"/>
      <c r="I552" s="14"/>
      <c r="J552" s="14"/>
      <c r="K552" s="24"/>
      <c r="L552" s="14"/>
      <c r="M552" s="14"/>
      <c r="N552" s="45" t="str">
        <f t="shared" si="106"/>
        <v/>
      </c>
      <c r="O552" s="159" t="str">
        <f t="shared" si="107"/>
        <v/>
      </c>
      <c r="P552" s="47" t="str">
        <f t="shared" si="108"/>
        <v/>
      </c>
      <c r="Q552" s="25" t="str">
        <f t="shared" si="109"/>
        <v/>
      </c>
      <c r="R552" s="26" t="str">
        <f t="shared" si="110"/>
        <v/>
      </c>
      <c r="S552" s="26" t="str">
        <f t="shared" si="105"/>
        <v/>
      </c>
      <c r="T552" s="26" t="str">
        <f t="shared" si="111"/>
        <v/>
      </c>
      <c r="U552" s="17" t="str">
        <f t="shared" si="112"/>
        <v/>
      </c>
      <c r="V552" s="17" t="str">
        <f t="shared" si="113"/>
        <v/>
      </c>
      <c r="W552" s="39" t="str">
        <f>IF($C552="","",IF(DefaultScenario,IF(OR(AND(Default_Exchange="ALL",NOT(ISERROR(MATCH($C552,$AF$6:$AF$37,0)))),$C552=Default_Exchange),IF($G552&gt;0,-LGD,0),0),IF(OR($J552="SWAP",$J552="FUTURE",$J552="CME FUTURE"),IF('Futures &amp; Perps Shifted'!$AE$31,VLOOKUP($M552,'Futures &amp; Perps Shifted'!$AE$32:$AO$76,MATCH($R552,'Futures &amp; Perps Shifted'!$AE$30:$AO$30,0),FALSE),0),0)))</f>
        <v/>
      </c>
      <c r="X552" s="17" t="str">
        <f t="shared" si="114"/>
        <v/>
      </c>
      <c r="Y552" s="14" t="str">
        <f t="shared" si="104"/>
        <v/>
      </c>
      <c r="Z552" t="str">
        <f t="shared" si="115"/>
        <v/>
      </c>
      <c r="AA552" t="str">
        <f>IF($C552="","",IF(ISERROR(VLOOKUP($Y552,Mappings!$A:$C,3,FALSE)),FALSE,VLOOKUP($Y552,Mappings!$A:$C,3,FALSE)))</f>
        <v/>
      </c>
    </row>
    <row r="553" spans="1:27" customFormat="1" x14ac:dyDescent="0.25">
      <c r="A553" s="14"/>
      <c r="B553" s="71"/>
      <c r="C553" s="14"/>
      <c r="D553" s="14"/>
      <c r="E553" s="14"/>
      <c r="F553" s="100"/>
      <c r="G553" s="152"/>
      <c r="H553" s="156"/>
      <c r="I553" s="14"/>
      <c r="J553" s="14"/>
      <c r="K553" s="24"/>
      <c r="L553" s="14"/>
      <c r="M553" s="14"/>
      <c r="N553" s="45" t="str">
        <f t="shared" si="106"/>
        <v/>
      </c>
      <c r="O553" s="159" t="str">
        <f t="shared" si="107"/>
        <v/>
      </c>
      <c r="P553" s="47" t="str">
        <f t="shared" si="108"/>
        <v/>
      </c>
      <c r="Q553" s="25" t="str">
        <f t="shared" si="109"/>
        <v/>
      </c>
      <c r="R553" s="26" t="str">
        <f t="shared" si="110"/>
        <v/>
      </c>
      <c r="S553" s="26" t="str">
        <f t="shared" si="105"/>
        <v/>
      </c>
      <c r="T553" s="26" t="str">
        <f t="shared" si="111"/>
        <v/>
      </c>
      <c r="U553" s="17" t="str">
        <f t="shared" si="112"/>
        <v/>
      </c>
      <c r="V553" s="17" t="str">
        <f t="shared" si="113"/>
        <v/>
      </c>
      <c r="W553" s="39" t="str">
        <f>IF($C553="","",IF(DefaultScenario,IF(OR(AND(Default_Exchange="ALL",NOT(ISERROR(MATCH($C553,$AF$6:$AF$37,0)))),$C553=Default_Exchange),IF($G553&gt;0,-LGD,0),0),IF(OR($J553="SWAP",$J553="FUTURE",$J553="CME FUTURE"),IF('Futures &amp; Perps Shifted'!$AE$31,VLOOKUP($M553,'Futures &amp; Perps Shifted'!$AE$32:$AO$76,MATCH($R553,'Futures &amp; Perps Shifted'!$AE$30:$AO$30,0),FALSE),0),0)))</f>
        <v/>
      </c>
      <c r="X553" s="17" t="str">
        <f t="shared" si="114"/>
        <v/>
      </c>
      <c r="Y553" s="14" t="str">
        <f t="shared" si="104"/>
        <v/>
      </c>
      <c r="Z553" t="str">
        <f t="shared" si="115"/>
        <v/>
      </c>
      <c r="AA553" t="str">
        <f>IF($C553="","",IF(ISERROR(VLOOKUP($Y553,Mappings!$A:$C,3,FALSE)),FALSE,VLOOKUP($Y553,Mappings!$A:$C,3,FALSE)))</f>
        <v/>
      </c>
    </row>
    <row r="554" spans="1:27" customFormat="1" x14ac:dyDescent="0.25">
      <c r="A554" s="14"/>
      <c r="B554" s="71"/>
      <c r="C554" s="14"/>
      <c r="D554" s="14"/>
      <c r="E554" s="14"/>
      <c r="F554" s="100"/>
      <c r="G554" s="152"/>
      <c r="H554" s="156"/>
      <c r="I554" s="14"/>
      <c r="J554" s="14"/>
      <c r="K554" s="24"/>
      <c r="L554" s="14"/>
      <c r="M554" s="14"/>
      <c r="N554" s="45" t="str">
        <f t="shared" si="106"/>
        <v/>
      </c>
      <c r="O554" s="159" t="str">
        <f t="shared" si="107"/>
        <v/>
      </c>
      <c r="P554" s="47" t="str">
        <f t="shared" si="108"/>
        <v/>
      </c>
      <c r="Q554" s="25" t="str">
        <f t="shared" si="109"/>
        <v/>
      </c>
      <c r="R554" s="26" t="str">
        <f t="shared" si="110"/>
        <v/>
      </c>
      <c r="S554" s="26" t="str">
        <f t="shared" si="105"/>
        <v/>
      </c>
      <c r="T554" s="26" t="str">
        <f t="shared" si="111"/>
        <v/>
      </c>
      <c r="U554" s="17" t="str">
        <f t="shared" si="112"/>
        <v/>
      </c>
      <c r="V554" s="17" t="str">
        <f t="shared" si="113"/>
        <v/>
      </c>
      <c r="W554" s="39" t="str">
        <f>IF($C554="","",IF(DefaultScenario,IF(OR(AND(Default_Exchange="ALL",NOT(ISERROR(MATCH($C554,$AF$6:$AF$37,0)))),$C554=Default_Exchange),IF($G554&gt;0,-LGD,0),0),IF(OR($J554="SWAP",$J554="FUTURE",$J554="CME FUTURE"),IF('Futures &amp; Perps Shifted'!$AE$31,VLOOKUP($M554,'Futures &amp; Perps Shifted'!$AE$32:$AO$76,MATCH($R554,'Futures &amp; Perps Shifted'!$AE$30:$AO$30,0),FALSE),0),0)))</f>
        <v/>
      </c>
      <c r="X554" s="17" t="str">
        <f t="shared" si="114"/>
        <v/>
      </c>
      <c r="Y554" s="14" t="str">
        <f t="shared" si="104"/>
        <v/>
      </c>
      <c r="Z554" t="str">
        <f t="shared" si="115"/>
        <v/>
      </c>
      <c r="AA554" t="str">
        <f>IF($C554="","",IF(ISERROR(VLOOKUP($Y554,Mappings!$A:$C,3,FALSE)),FALSE,VLOOKUP($Y554,Mappings!$A:$C,3,FALSE)))</f>
        <v/>
      </c>
    </row>
  </sheetData>
  <autoFilter ref="A1:Y554" xr:uid="{00000000-0001-0000-0800-000000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DDC5-7D07-4F43-8FDC-F8BB31AED075}">
  <sheetPr codeName="Sheet8"/>
  <dimension ref="A1:BA554"/>
  <sheetViews>
    <sheetView zoomScale="82" zoomScaleNormal="82" workbookViewId="0">
      <pane xSplit="16" ySplit="1" topLeftCell="Q2" activePane="bottomRight" state="frozenSplit"/>
      <selection pane="topRight" activeCell="P1" sqref="P1"/>
      <selection pane="bottomLeft" activeCell="A2" sqref="A2"/>
      <selection pane="bottomRight" activeCell="K1" sqref="K1"/>
    </sheetView>
  </sheetViews>
  <sheetFormatPr defaultRowHeight="15" x14ac:dyDescent="0.25"/>
  <cols>
    <col min="1" max="1" width="8.140625" customWidth="1"/>
    <col min="2" max="2" width="19.140625" bestFit="1" customWidth="1"/>
    <col min="3" max="3" width="12" bestFit="1" customWidth="1"/>
    <col min="4" max="4" width="13" bestFit="1" customWidth="1"/>
    <col min="5" max="5" width="28.7109375" customWidth="1"/>
    <col min="6" max="6" width="18" bestFit="1" customWidth="1"/>
    <col min="7" max="7" width="15.140625" bestFit="1" customWidth="1"/>
    <col min="8" max="8" width="17.140625" customWidth="1"/>
    <col min="9" max="9" width="17.140625" bestFit="1" customWidth="1"/>
    <col min="10" max="10" width="18.42578125" bestFit="1" customWidth="1"/>
    <col min="11" max="11" width="17.7109375" bestFit="1" customWidth="1"/>
    <col min="12" max="12" width="10.28515625" bestFit="1" customWidth="1"/>
    <col min="13" max="13" width="12.42578125" bestFit="1" customWidth="1"/>
    <col min="14" max="14" width="14.42578125" customWidth="1"/>
    <col min="15" max="15" width="20.140625" customWidth="1"/>
    <col min="16" max="16" width="17.85546875" customWidth="1"/>
    <col min="17" max="17" width="17.5703125" bestFit="1" customWidth="1"/>
    <col min="18" max="18" width="11.5703125" bestFit="1" customWidth="1"/>
    <col min="19" max="19" width="13.42578125" bestFit="1" customWidth="1"/>
    <col min="20" max="20" width="21.5703125" bestFit="1" customWidth="1"/>
    <col min="21" max="21" width="18.5703125" bestFit="1" customWidth="1"/>
    <col min="22" max="22" width="15.140625" bestFit="1" customWidth="1"/>
    <col min="23" max="23" width="8" bestFit="1" customWidth="1"/>
    <col min="24" max="24" width="13.42578125" customWidth="1"/>
    <col min="25" max="25" width="10.7109375" bestFit="1" customWidth="1"/>
    <col min="26" max="26" width="20.7109375" bestFit="1" customWidth="1"/>
    <col min="27" max="27" width="13" customWidth="1"/>
    <col min="28" max="28" width="12" bestFit="1" customWidth="1"/>
    <col min="29" max="29" width="12" customWidth="1"/>
    <col min="30" max="31" width="10.140625" bestFit="1" customWidth="1"/>
    <col min="32" max="32" width="13.28515625" bestFit="1" customWidth="1"/>
    <col min="33" max="33" width="12.85546875" bestFit="1" customWidth="1"/>
    <col min="34" max="34" width="12" bestFit="1" customWidth="1"/>
    <col min="35" max="35" width="8.7109375" bestFit="1" customWidth="1"/>
    <col min="36" max="36" width="9.28515625" bestFit="1" customWidth="1"/>
    <col min="43" max="44" width="22.42578125" bestFit="1" customWidth="1"/>
    <col min="45" max="46" width="15.42578125" bestFit="1" customWidth="1"/>
    <col min="48" max="48" width="15.42578125" bestFit="1" customWidth="1"/>
    <col min="52" max="52" width="12.42578125" bestFit="1" customWidth="1"/>
  </cols>
  <sheetData>
    <row r="1" spans="1:53" s="10" customFormat="1" x14ac:dyDescent="0.25">
      <c r="A1" s="10" t="s">
        <v>433</v>
      </c>
      <c r="B1" s="10" t="s">
        <v>76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3" t="s">
        <v>10</v>
      </c>
      <c r="N1" s="13" t="s">
        <v>282</v>
      </c>
      <c r="O1" s="13" t="s">
        <v>283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67</v>
      </c>
      <c r="V1" s="13" t="s">
        <v>68</v>
      </c>
      <c r="W1" s="13" t="s">
        <v>69</v>
      </c>
      <c r="X1" s="13" t="s">
        <v>70</v>
      </c>
      <c r="Y1" s="12" t="s">
        <v>216</v>
      </c>
      <c r="Z1" s="11" t="s">
        <v>254</v>
      </c>
      <c r="AA1" s="11"/>
      <c r="AB1" s="11" t="s">
        <v>284</v>
      </c>
      <c r="AC1" s="11"/>
      <c r="AD1" s="11"/>
      <c r="AQ1" s="67">
        <v>10</v>
      </c>
      <c r="AR1" s="10">
        <v>0</v>
      </c>
      <c r="AS1" s="68">
        <v>1E-4</v>
      </c>
      <c r="AT1" s="69">
        <v>1E-3</v>
      </c>
      <c r="AV1" s="10" t="s">
        <v>281</v>
      </c>
      <c r="AW1" s="68">
        <v>0.1</v>
      </c>
      <c r="AZ1" s="10" t="s">
        <v>297</v>
      </c>
      <c r="BA1" s="68">
        <v>1E-3</v>
      </c>
    </row>
    <row r="2" spans="1:53" x14ac:dyDescent="0.25">
      <c r="A2">
        <v>0</v>
      </c>
      <c r="B2" s="72">
        <v>44938.916666666664</v>
      </c>
      <c r="C2" t="s">
        <v>11</v>
      </c>
      <c r="D2" t="s">
        <v>12</v>
      </c>
      <c r="E2" t="s">
        <v>16</v>
      </c>
      <c r="F2">
        <v>147376</v>
      </c>
      <c r="G2" s="1">
        <v>14737600</v>
      </c>
      <c r="H2">
        <v>18094.104153970002</v>
      </c>
      <c r="I2">
        <v>8.05923838</v>
      </c>
      <c r="J2" t="s">
        <v>17</v>
      </c>
      <c r="K2" s="28">
        <v>73050.333333333328</v>
      </c>
      <c r="L2">
        <v>0</v>
      </c>
      <c r="M2" t="s">
        <v>14</v>
      </c>
      <c r="N2" s="48">
        <f t="shared" ref="N2:N65" si="0">IF($C2="","",IF($A2="",0,IF($L2=1,ROUND($G2/$H2/$F2,3),POWER(10,ROUND(LOG($G2/$F2),1)))))</f>
        <v>100</v>
      </c>
      <c r="O2" s="46">
        <f t="shared" ref="O2:O33" si="1">IF($C2="","",IF($A2="",0,IF($L2=1,$F2*$N2,$AA$6*$F2*$N2/$H2)))</f>
        <v>814.49735640912866</v>
      </c>
      <c r="P2" s="47">
        <f t="shared" ref="P2:P33" si="2">IF($C2="","",IF($A2="",0,IF(NOT(ISERROR(VLOOKUP($M2,SpotUSDRateTable,2,FALSE))),VLOOKUP($M2,SpotUSDRateTable,2,FALSE),$H2)*O2))</f>
        <v>15369229.58754302</v>
      </c>
      <c r="Q2" s="25">
        <f>IF($C2="","",IF(OR($J2="SWAP",$J2="FUTURE",$J2="CME FUTURE"),$K2-$B2,0))</f>
        <v>28111.416666666664</v>
      </c>
      <c r="R2" s="26" t="str">
        <f t="shared" ref="R2:R61" si="3">IF($C2="","",IF(OR($E2="USD",$E2="EUR"),"CASH",IF($Q2=0,"COIN",IF($Q2&gt;720,"PERP",IF($J2="FUTURE",TEXT($K2-1,"mmm yy"),"CME "&amp;TEXT($K2-1,"mmm yy"))))))</f>
        <v>PERP</v>
      </c>
      <c r="S2" s="26" t="str">
        <f>IF($C2="","",IF($J2="CME FUTURE",IF($G2&gt;0,"LONG","SHORT"),IF($G2&gt;0,"LONG","SHORT")))</f>
        <v>LONG</v>
      </c>
      <c r="T2" s="26" t="str">
        <f t="shared" ref="T2:T61" si="4">IF($C2="","",$R2&amp;" "&amp;$S2)</f>
        <v>PERP LONG</v>
      </c>
      <c r="U2" s="26">
        <f t="shared" ref="U2:U61" si="5">IF($C2="","",$G2*(1+$W2))</f>
        <v>14737600</v>
      </c>
      <c r="V2" s="26">
        <f t="shared" ref="V2:V61" si="6">IF($C2="","",$H2*(1+$W2))</f>
        <v>18094.104153970002</v>
      </c>
      <c r="W2" s="26">
        <f>IF($C2="","",IF(DefaultScenario,IF(OR(AND(Default_Exchange="ALL",NOT(ISERROR(MATCH($C2,$AE$6:$AE$37,0)))),$C2=Default_Exchange),IF($G2&gt;0,-LGD,0),0),IF(OR($J2="SWAP",$J2="FUTURE",$J2="CME FUTURE"),IF('Futures &amp; Perps Shifted'!$AE$31,VLOOKUP($M2,'Futures &amp; Perps Shifted'!$AE$32:$AO$76,MATCH($R2,'Futures &amp; Perps Shifted'!$AE$30:$AO$30,0),FALSE),0),0)))</f>
        <v>0</v>
      </c>
      <c r="X2" s="26">
        <f t="shared" ref="X2:X61" si="7">IF($C2="","",$U2-$G2)</f>
        <v>0</v>
      </c>
      <c r="Y2" s="26" t="str">
        <f t="shared" ref="Y2:Y61" si="8">IF($C2="","",IF(ISERROR(SEARCH("-",$D2)),$D2,LEFT($D2,SEARCH("-",$D2)-1)))</f>
        <v>BINE</v>
      </c>
      <c r="Z2" s="26" t="str">
        <f t="shared" ref="Z2:Z61" si="9">IF($C2="","",IF(OR($E2="USD",$E2="EUR"),"CASH",IF($Q2=0,"COIN",IF($Q2&gt;720,"PERP",IF($Q2&lt;24,"W"&amp;ROUND($Q2/7,0),"M"&amp;ROUND($Q2/30,0))))))</f>
        <v>PERP</v>
      </c>
      <c r="AA2" s="30"/>
      <c r="AB2" s="36" t="str">
        <f t="shared" ref="AB2:AB33" si="10">IF($C62="","",(O62*H62-G62)/G62)</f>
        <v/>
      </c>
      <c r="AC2" s="42" t="str">
        <f t="shared" ref="AC2:AC20" si="11">IF($C62="","",IF($A62="",0,IF($L62=1,($G62/$H62)/$F62,-1)))</f>
        <v/>
      </c>
      <c r="AD2" s="36"/>
      <c r="AN2" t="str">
        <f t="shared" ref="AN2:AN61" si="12">IF($C2="","",IF($J2="CME FUTURE","USD",IF(ISNUMBER(VALUE(MID($E2,SEARCH($M2,$E2)+LEN($M2)+IF(OR(MID($E2,SEARCH($M2,$E2)+LEN($M2),1)="-",MID($E2,SEARCH($M2,$E2)+LEN($M2),1)="_"),1,0),3))),"USD",MID($E2,SEARCH($M2,$E2)+LEN($M2)+IF(OR(MID($E2,SEARCH($M2,$E2)+LEN($M2),1)="-",MID($E2,SEARCH($M2,$E2)+LEN($M2),1)="_"),1,0),IF(OR(LEN($E2)&lt;SEARCH($M2,$E2)+LEN($M2)+3,MID($E2,SEARCH($M2,$E2)+LEN($M2)+4,1)="_",MID($E2,SEARCH($M2,$E2)+LEN($M2)+4,1)="-"),3,4)))))</f>
        <v>USD</v>
      </c>
      <c r="AO2">
        <f t="shared" ref="AO2:AO33" si="13">VLOOKUP($AN2,SpotUSDRateTable,2,FALSE)</f>
        <v>1</v>
      </c>
      <c r="AP2">
        <f t="shared" ref="AP2:AP33" si="14">VLOOKUP($M2,SpotUSDRateTable,2,FALSE)</f>
        <v>18869.5880552655</v>
      </c>
      <c r="AQ2">
        <f t="shared" ref="AQ2:AR21" si="15">IF($C2="","",IF($A2="",0,IF($L2=1,(($H2+AQ$1)-$H2)*$N2*$F2/$AO2,$F2*$N2*(1/($H2)-1/($H2+AQ$1))*$AP2)))</f>
        <v>8489.3621119460076</v>
      </c>
      <c r="AR2">
        <f t="shared" si="15"/>
        <v>0</v>
      </c>
      <c r="AS2">
        <f t="shared" ref="AS2:AT21" si="16">IF($C2="","",IF($A2="",0,IF($L2=1,($H2*(1+AS$1)-$H2)*$N2*$F2/$AO2,$F2*$N2*(1/($H2)-1/($H2*(1+AS$1)))*$AP2)))</f>
        <v>1536.7692818269747</v>
      </c>
      <c r="AT2">
        <f t="shared" si="16"/>
        <v>15353.875711827313</v>
      </c>
      <c r="AV2" s="31">
        <f>AW2*G2</f>
        <v>13972026.897766378</v>
      </c>
      <c r="AW2" s="36">
        <f t="shared" ref="AW2:AW61" si="17">IF($C2="","",IF($A2="",0,IF($L2=1,(($H2*(1+AW$1))-$H2)*$N2*$F2/$AO2,$F2*$N2*(1/($H2)-1/($H2*(1+AW$1)))*$AP2)/$G2/AW$1))</f>
        <v>0.94805306819064017</v>
      </c>
      <c r="AZ2">
        <f>IF($C2="","",IF($A2="",0,IF($L2=1,($H2*IF(OR($J2="FUTURE",$J2="CME FUTURE"),1+BA$1,1)-$H2)*$N2*$F2/$AO2,$F2*$N2*(1/($H2)-1/(IF(OR($J2="FUTURE",$J2="CME FUTURE"),1+BA$1,1)*$H2))*$AP2)))</f>
        <v>0</v>
      </c>
    </row>
    <row r="3" spans="1:53" x14ac:dyDescent="0.25">
      <c r="A3">
        <v>1</v>
      </c>
      <c r="B3" s="72">
        <v>44938.916666666664</v>
      </c>
      <c r="C3" t="s">
        <v>11</v>
      </c>
      <c r="D3" t="s">
        <v>12</v>
      </c>
      <c r="E3" t="s">
        <v>463</v>
      </c>
      <c r="F3">
        <v>625634</v>
      </c>
      <c r="G3" s="1">
        <v>6256340</v>
      </c>
      <c r="H3">
        <v>1385.94</v>
      </c>
      <c r="I3">
        <v>-13.973289210000001</v>
      </c>
      <c r="J3" t="s">
        <v>17</v>
      </c>
      <c r="K3" s="28">
        <v>73050.333333333328</v>
      </c>
      <c r="L3">
        <v>0</v>
      </c>
      <c r="M3" t="s">
        <v>15</v>
      </c>
      <c r="N3" s="48">
        <f t="shared" si="0"/>
        <v>10</v>
      </c>
      <c r="O3" s="46">
        <f t="shared" si="1"/>
        <v>4514.149241669913</v>
      </c>
      <c r="P3" s="47">
        <f t="shared" si="2"/>
        <v>6400786.1088370252</v>
      </c>
      <c r="Q3" s="25">
        <f t="shared" ref="Q3:Q66" si="18">IF($C3="","",IF(OR($J3="SWAP",$J3="FUTURE",$J3="CME FUTURE"),$K3-$B3,0))</f>
        <v>28111.416666666664</v>
      </c>
      <c r="R3" s="26" t="str">
        <f t="shared" si="3"/>
        <v>PERP</v>
      </c>
      <c r="S3" s="26" t="str">
        <f t="shared" ref="S3:S66" si="19">IF($C3="","",IF($J3="CME FUTURE",IF($G3&gt;0,"LONG","SHORT"),IF($G3&gt;0,"LONG","SHORT")))</f>
        <v>LONG</v>
      </c>
      <c r="T3" s="26" t="str">
        <f t="shared" si="4"/>
        <v>PERP LONG</v>
      </c>
      <c r="U3" s="26">
        <f t="shared" si="5"/>
        <v>6256340</v>
      </c>
      <c r="V3" s="26">
        <f t="shared" si="6"/>
        <v>1385.94</v>
      </c>
      <c r="W3" s="26">
        <f>IF($C3="","",IF(DefaultScenario,IF(OR(AND(Default_Exchange="ALL",NOT(ISERROR(MATCH($C3,$AE$6:$AE$37,0)))),$C3=Default_Exchange),IF($G3&gt;0,-LGD,0),0),IF(OR($J3="SWAP",$J3="FUTURE",$J3="CME FUTURE"),IF('Futures &amp; Perps Shifted'!$AE$31,VLOOKUP($M3,'Futures &amp; Perps Shifted'!$AE$32:$AO$76,MATCH($R3,'Futures &amp; Perps Shifted'!$AE$30:$AO$30,0),FALSE),0),0)))</f>
        <v>0</v>
      </c>
      <c r="X3" s="26">
        <f t="shared" si="7"/>
        <v>0</v>
      </c>
      <c r="Y3" s="26" t="str">
        <f t="shared" si="8"/>
        <v>BINE</v>
      </c>
      <c r="Z3" s="26" t="str">
        <f t="shared" si="9"/>
        <v>PERP</v>
      </c>
      <c r="AA3" s="9"/>
      <c r="AB3" s="36" t="str">
        <f t="shared" si="10"/>
        <v/>
      </c>
      <c r="AC3" s="42" t="str">
        <f t="shared" si="11"/>
        <v/>
      </c>
      <c r="AD3" s="36"/>
      <c r="AF3" s="42"/>
      <c r="AN3" t="str">
        <f t="shared" si="12"/>
        <v>USD</v>
      </c>
      <c r="AO3">
        <f t="shared" si="13"/>
        <v>1</v>
      </c>
      <c r="AP3">
        <f t="shared" si="14"/>
        <v>1417.9385231112101</v>
      </c>
      <c r="AQ3">
        <f t="shared" si="15"/>
        <v>45852.874112332924</v>
      </c>
      <c r="AR3">
        <f t="shared" si="15"/>
        <v>0</v>
      </c>
      <c r="AS3">
        <f t="shared" si="16"/>
        <v>640.01460942259689</v>
      </c>
      <c r="AT3">
        <f t="shared" si="16"/>
        <v>6394.3917171191943</v>
      </c>
      <c r="AV3" s="31">
        <f>AW3*G3</f>
        <v>5818896.46257912</v>
      </c>
      <c r="AW3" s="36">
        <f t="shared" si="17"/>
        <v>0.93007996090032197</v>
      </c>
      <c r="AZ3">
        <f>IF($C3="","",IF($A3="",0,IF($L3=1,($H3*IF(OR($J3="FUTURE",$J3="CME FUTURE"),1+BA$1,1)-$H3)*$N3*$F3/$AO3,$F3*$N3*(1/($H3)-1/(IF(OR($J3="FUTURE",$J3="CME FUTURE"),1+BA$1,1)*$H3))*$AP3)))</f>
        <v>0</v>
      </c>
    </row>
    <row r="4" spans="1:53" x14ac:dyDescent="0.25">
      <c r="A4">
        <v>2</v>
      </c>
      <c r="B4" s="72">
        <v>44938.916666666664</v>
      </c>
      <c r="C4" t="s">
        <v>11</v>
      </c>
      <c r="D4" t="s">
        <v>12</v>
      </c>
      <c r="E4" t="s">
        <v>938</v>
      </c>
      <c r="F4">
        <v>-104512</v>
      </c>
      <c r="G4" s="1">
        <v>-10451200</v>
      </c>
      <c r="H4">
        <v>18207.291577249998</v>
      </c>
      <c r="I4">
        <v>-30.56990704</v>
      </c>
      <c r="J4" t="s">
        <v>13</v>
      </c>
      <c r="K4" s="28">
        <v>45016.333333333336</v>
      </c>
      <c r="L4">
        <v>0</v>
      </c>
      <c r="M4" t="s">
        <v>14</v>
      </c>
      <c r="N4" s="48">
        <f t="shared" si="0"/>
        <v>100</v>
      </c>
      <c r="O4" s="46">
        <f t="shared" si="1"/>
        <v>-574.01178839024965</v>
      </c>
      <c r="P4" s="47">
        <f t="shared" si="2"/>
        <v>-10831365.985790243</v>
      </c>
      <c r="Q4" s="25">
        <f t="shared" si="18"/>
        <v>77.416666666671517</v>
      </c>
      <c r="R4" s="26" t="str">
        <f t="shared" si="3"/>
        <v>Mar 23</v>
      </c>
      <c r="S4" s="26" t="str">
        <f t="shared" si="19"/>
        <v>SHORT</v>
      </c>
      <c r="T4" s="26" t="str">
        <f t="shared" si="4"/>
        <v>Mar 23 SHORT</v>
      </c>
      <c r="U4" s="26">
        <f t="shared" si="5"/>
        <v>-10555712</v>
      </c>
      <c r="V4" s="26">
        <f t="shared" si="6"/>
        <v>18389.364493022498</v>
      </c>
      <c r="W4" s="26">
        <f>IF($C4="","",IF(DefaultScenario,IF(OR(AND(Default_Exchange="ALL",NOT(ISERROR(MATCH($C4,$AE$6:$AE$37,0)))),$C4=Default_Exchange),IF($G4&gt;0,-LGD,0),0),IF(OR($J4="SWAP",$J4="FUTURE",$J4="CME FUTURE"),IF('Futures &amp; Perps Shifted'!$AE$31,VLOOKUP($M4,'Futures &amp; Perps Shifted'!$AE$32:$AO$76,MATCH($R4,'Futures &amp; Perps Shifted'!$AE$30:$AO$30,0),FALSE),0),0)))</f>
        <v>0.01</v>
      </c>
      <c r="X4" s="26">
        <f t="shared" si="7"/>
        <v>-104512</v>
      </c>
      <c r="Y4" s="26" t="str">
        <f t="shared" si="8"/>
        <v>BINE</v>
      </c>
      <c r="Z4" s="26" t="str">
        <f t="shared" si="9"/>
        <v>M3</v>
      </c>
      <c r="AB4" s="36" t="str">
        <f>IF($D64="","",(O64*I64-H64)/H64)</f>
        <v/>
      </c>
      <c r="AC4" s="42" t="str">
        <f>IF($D64="","",IF($C64="",0,IF($M64=1,($H64/$I64)/$G64,-1)))</f>
        <v/>
      </c>
      <c r="AD4" s="36"/>
      <c r="AF4" t="s">
        <v>60</v>
      </c>
      <c r="AG4" t="s">
        <v>61</v>
      </c>
      <c r="AN4" t="str">
        <f t="shared" si="12"/>
        <v>USD</v>
      </c>
      <c r="AO4">
        <f t="shared" si="13"/>
        <v>1</v>
      </c>
      <c r="AP4">
        <f t="shared" si="14"/>
        <v>18869.5880552655</v>
      </c>
      <c r="AQ4">
        <f t="shared" si="15"/>
        <v>-5945.6511083767527</v>
      </c>
      <c r="AR4">
        <f t="shared" si="15"/>
        <v>0</v>
      </c>
      <c r="AS4">
        <f t="shared" si="16"/>
        <v>-1083.0282957482955</v>
      </c>
      <c r="AT4">
        <f t="shared" si="16"/>
        <v>-10820.545440349217</v>
      </c>
      <c r="AV4" s="31">
        <f t="shared" ref="AV4:AV61" si="20">AW4*G4</f>
        <v>-9846696.3507184014</v>
      </c>
      <c r="AW4" s="36">
        <f t="shared" si="17"/>
        <v>0.94215940281674848</v>
      </c>
      <c r="AZ4">
        <f t="shared" ref="AZ4:AZ61" si="21">IF($C4="","",IF($A4="",0,IF($L4=1,($H4*IF(OR($J4="FUTURE",$J4="CME FUTURE"),1+BA$1,1)-$H4)*$N4*$F4/$AO4,$F4*$N4*(1/($H4)-1/(IF(OR($J4="FUTURE",$J4="CME FUTURE"),1+BA$1,1)*$H4))*$AP4)))</f>
        <v>-10820.545440349217</v>
      </c>
    </row>
    <row r="5" spans="1:53" x14ac:dyDescent="0.25">
      <c r="A5">
        <v>3</v>
      </c>
      <c r="B5" s="72">
        <v>44938.916666666664</v>
      </c>
      <c r="C5" t="s">
        <v>11</v>
      </c>
      <c r="D5" t="s">
        <v>12</v>
      </c>
      <c r="E5" t="s">
        <v>939</v>
      </c>
      <c r="F5">
        <v>-4149</v>
      </c>
      <c r="G5" s="1">
        <v>-414900</v>
      </c>
      <c r="H5">
        <v>18286.597918250001</v>
      </c>
      <c r="I5">
        <v>-1.2599456499999999</v>
      </c>
      <c r="J5" t="s">
        <v>13</v>
      </c>
      <c r="K5" s="28">
        <v>45107.333333333336</v>
      </c>
      <c r="L5">
        <v>0</v>
      </c>
      <c r="M5" t="s">
        <v>14</v>
      </c>
      <c r="N5" s="48">
        <f t="shared" si="0"/>
        <v>100</v>
      </c>
      <c r="O5" s="46">
        <f t="shared" si="1"/>
        <v>-22.688747346816783</v>
      </c>
      <c r="P5" s="47">
        <f t="shared" si="2"/>
        <v>-428127.31592443079</v>
      </c>
      <c r="Q5" s="25">
        <f t="shared" si="18"/>
        <v>168.41666666667152</v>
      </c>
      <c r="R5" s="26" t="str">
        <f t="shared" si="3"/>
        <v>Jun 23</v>
      </c>
      <c r="S5" s="26" t="str">
        <f t="shared" si="19"/>
        <v>SHORT</v>
      </c>
      <c r="T5" s="26" t="str">
        <f t="shared" si="4"/>
        <v>Jun 23 SHORT</v>
      </c>
      <c r="U5" s="26">
        <f t="shared" si="5"/>
        <v>-419049</v>
      </c>
      <c r="V5" s="26">
        <f t="shared" si="6"/>
        <v>18469.463897432503</v>
      </c>
      <c r="W5" s="26">
        <f>IF($C5="","",IF(DefaultScenario,IF(OR(AND(Default_Exchange="ALL",NOT(ISERROR(MATCH($C5,$AE$6:$AE$37,0)))),$C5=Default_Exchange),IF($G5&gt;0,-LGD,0),0),IF(OR($J5="SWAP",$J5="FUTURE",$J5="CME FUTURE"),IF('Futures &amp; Perps Shifted'!$AE$31,VLOOKUP($M5,'Futures &amp; Perps Shifted'!$AE$32:$AO$76,MATCH($R5,'Futures &amp; Perps Shifted'!$AE$30:$AO$30,0),FALSE),0),0)))</f>
        <v>0.01</v>
      </c>
      <c r="X5" s="26">
        <f t="shared" si="7"/>
        <v>-4149</v>
      </c>
      <c r="Y5" s="26" t="str">
        <f t="shared" si="8"/>
        <v>BINE</v>
      </c>
      <c r="Z5" s="26" t="str">
        <f t="shared" si="9"/>
        <v>M6</v>
      </c>
      <c r="AA5" t="s">
        <v>313</v>
      </c>
      <c r="AB5" s="36" t="str">
        <f>IF($D65="","",(O65*I65-H65)/H65)</f>
        <v/>
      </c>
      <c r="AC5" s="42" t="str">
        <f>IF($D65="","",IF($C65="",0,IF($M65=1,($H65/$I65)/$G65,-1)))</f>
        <v/>
      </c>
      <c r="AD5" s="36"/>
      <c r="AE5" t="s">
        <v>14</v>
      </c>
      <c r="AF5" s="44">
        <f>SUMIFS($O$62:$O$123,$M$62:$M$123,"="&amp;$AE5,$O$62:$O$123,"&gt;0")</f>
        <v>0</v>
      </c>
      <c r="AG5" s="44">
        <f>SUMIFS($O$62:$O$123,$M$62:$M$123,"="&amp;$AE5,$O$62:$O$123,"&lt;=0")</f>
        <v>0</v>
      </c>
      <c r="AH5" s="31">
        <f>AG5+AF5</f>
        <v>0</v>
      </c>
      <c r="AN5" t="str">
        <f t="shared" si="12"/>
        <v>USD</v>
      </c>
      <c r="AO5">
        <f t="shared" si="13"/>
        <v>1</v>
      </c>
      <c r="AP5">
        <f t="shared" si="14"/>
        <v>18869.5880552655</v>
      </c>
      <c r="AQ5">
        <f t="shared" si="15"/>
        <v>-233.99285366456022</v>
      </c>
      <c r="AR5">
        <f t="shared" si="15"/>
        <v>0</v>
      </c>
      <c r="AS5">
        <f t="shared" si="16"/>
        <v>-42.808450747324891</v>
      </c>
      <c r="AT5">
        <f t="shared" si="16"/>
        <v>-427.69961630809479</v>
      </c>
      <c r="AV5" s="31">
        <f t="shared" si="20"/>
        <v>-389206.65084039181</v>
      </c>
      <c r="AW5" s="36">
        <f t="shared" si="17"/>
        <v>0.93807339320412586</v>
      </c>
      <c r="AZ5">
        <f t="shared" si="21"/>
        <v>-427.69961630809479</v>
      </c>
    </row>
    <row r="6" spans="1:53" x14ac:dyDescent="0.25">
      <c r="A6">
        <v>4</v>
      </c>
      <c r="B6" s="72">
        <v>44938.916666666664</v>
      </c>
      <c r="C6" t="s">
        <v>11</v>
      </c>
      <c r="D6" t="s">
        <v>12</v>
      </c>
      <c r="E6" t="s">
        <v>940</v>
      </c>
      <c r="F6">
        <v>-479349</v>
      </c>
      <c r="G6" s="1">
        <v>-4793490</v>
      </c>
      <c r="H6">
        <v>1393.8903773100001</v>
      </c>
      <c r="I6">
        <v>-146.20890825999999</v>
      </c>
      <c r="J6" t="s">
        <v>13</v>
      </c>
      <c r="K6" s="28">
        <v>45016.333333333336</v>
      </c>
      <c r="L6">
        <v>0</v>
      </c>
      <c r="M6" t="s">
        <v>15</v>
      </c>
      <c r="N6" s="48">
        <f t="shared" si="0"/>
        <v>10</v>
      </c>
      <c r="O6" s="46">
        <f t="shared" si="1"/>
        <v>-3438.9289703331756</v>
      </c>
      <c r="P6" s="47">
        <f t="shared" si="2"/>
        <v>-4876189.8652785774</v>
      </c>
      <c r="Q6" s="25">
        <f t="shared" si="18"/>
        <v>77.416666666671517</v>
      </c>
      <c r="R6" s="26" t="str">
        <f t="shared" si="3"/>
        <v>Mar 23</v>
      </c>
      <c r="S6" s="26" t="str">
        <f t="shared" si="19"/>
        <v>SHORT</v>
      </c>
      <c r="T6" s="26" t="str">
        <f t="shared" si="4"/>
        <v>Mar 23 SHORT</v>
      </c>
      <c r="U6" s="26">
        <f t="shared" si="5"/>
        <v>-4841424.9000000004</v>
      </c>
      <c r="V6" s="26">
        <f t="shared" si="6"/>
        <v>1407.8292810831001</v>
      </c>
      <c r="W6" s="26">
        <f>IF($C6="","",IF(DefaultScenario,IF(OR(AND(Default_Exchange="ALL",NOT(ISERROR(MATCH($C6,$AE$6:$AE$37,0)))),$C6=Default_Exchange),IF($G6&gt;0,-LGD,0),0),IF(OR($J6="SWAP",$J6="FUTURE",$J6="CME FUTURE"),IF('Futures &amp; Perps Shifted'!$AE$31,VLOOKUP($M6,'Futures &amp; Perps Shifted'!$AE$32:$AO$76,MATCH($R6,'Futures &amp; Perps Shifted'!$AE$30:$AO$30,0),FALSE),0),0)))</f>
        <v>0.01</v>
      </c>
      <c r="X6" s="26">
        <f t="shared" si="7"/>
        <v>-47934.900000000373</v>
      </c>
      <c r="Y6" s="26" t="str">
        <f t="shared" si="8"/>
        <v>BINE</v>
      </c>
      <c r="Z6" s="26" t="str">
        <f t="shared" si="9"/>
        <v>M3</v>
      </c>
      <c r="AA6" s="44">
        <v>1</v>
      </c>
      <c r="AB6" s="36" t="str">
        <f>IF($D66="","",(O66*I66-H66)/H66)</f>
        <v/>
      </c>
      <c r="AC6" s="42" t="str">
        <f>IF($D66="","",IF($C66="",0,IF($M66=1,($H66/$I66)/$G66,-1)))</f>
        <v/>
      </c>
      <c r="AD6" s="42" t="e">
        <f>G66*I66*AC6</f>
        <v>#VALUE!</v>
      </c>
      <c r="AE6" t="s">
        <v>78</v>
      </c>
      <c r="AF6" s="32">
        <f>AF5*VLOOKUP($AE5,AE32:AH50,2,FALSE)</f>
        <v>0</v>
      </c>
      <c r="AG6" s="32">
        <f>AG5*VLOOKUP($AE5,AE32:AH50,2,FALSE)</f>
        <v>0</v>
      </c>
      <c r="AH6" s="31">
        <f>AG6+AF6</f>
        <v>0</v>
      </c>
      <c r="AN6" t="str">
        <f t="shared" si="12"/>
        <v>USD</v>
      </c>
      <c r="AO6">
        <f t="shared" si="13"/>
        <v>1</v>
      </c>
      <c r="AP6">
        <f t="shared" si="14"/>
        <v>1417.9385231112101</v>
      </c>
      <c r="AQ6">
        <f t="shared" si="15"/>
        <v>-34733.408990393204</v>
      </c>
      <c r="AR6">
        <f t="shared" si="15"/>
        <v>0</v>
      </c>
      <c r="AS6">
        <f t="shared" si="16"/>
        <v>-487.57022950494553</v>
      </c>
      <c r="AT6">
        <f t="shared" si="16"/>
        <v>-4871.3185467317635</v>
      </c>
      <c r="AV6" s="31">
        <f t="shared" si="20"/>
        <v>-4432899.8775259852</v>
      </c>
      <c r="AW6" s="36">
        <f t="shared" si="17"/>
        <v>0.92477503395771876</v>
      </c>
      <c r="AZ6">
        <f t="shared" si="21"/>
        <v>-4871.3185467317635</v>
      </c>
    </row>
    <row r="7" spans="1:53" x14ac:dyDescent="0.25">
      <c r="A7">
        <v>5</v>
      </c>
      <c r="B7" s="72">
        <v>44938.916666666664</v>
      </c>
      <c r="C7" t="s">
        <v>11</v>
      </c>
      <c r="D7" t="s">
        <v>18</v>
      </c>
      <c r="E7" t="s">
        <v>464</v>
      </c>
      <c r="F7">
        <v>6000</v>
      </c>
      <c r="G7" s="1">
        <v>46674</v>
      </c>
      <c r="H7">
        <v>7.7789999999999999</v>
      </c>
      <c r="I7">
        <v>-19982.307659999999</v>
      </c>
      <c r="J7" t="s">
        <v>17</v>
      </c>
      <c r="K7" s="28">
        <v>73050.333333333328</v>
      </c>
      <c r="L7">
        <v>1</v>
      </c>
      <c r="M7" t="s">
        <v>19</v>
      </c>
      <c r="N7" s="48">
        <f t="shared" si="0"/>
        <v>1</v>
      </c>
      <c r="O7" s="46">
        <f t="shared" si="1"/>
        <v>6000</v>
      </c>
      <c r="P7" s="47">
        <f t="shared" si="2"/>
        <v>46674</v>
      </c>
      <c r="Q7" s="25">
        <f t="shared" si="18"/>
        <v>28111.416666666664</v>
      </c>
      <c r="R7" s="26" t="str">
        <f t="shared" si="3"/>
        <v>PERP</v>
      </c>
      <c r="S7" s="26" t="str">
        <f t="shared" si="19"/>
        <v>LONG</v>
      </c>
      <c r="T7" s="26" t="str">
        <f t="shared" si="4"/>
        <v>PERP LONG</v>
      </c>
      <c r="U7" s="26">
        <f t="shared" si="5"/>
        <v>46674</v>
      </c>
      <c r="V7" s="26">
        <f t="shared" si="6"/>
        <v>7.7789999999999999</v>
      </c>
      <c r="W7" s="26">
        <f>IF($C7="","",IF(DefaultScenario,IF(OR(AND(Default_Exchange="ALL",NOT(ISERROR(MATCH($C7,$AE$6:$AE$37,0)))),$C7=Default_Exchange),IF($G7&gt;0,-LGD,0),0),IF(OR($J7="SWAP",$J7="FUTURE",$J7="CME FUTURE"),IF('Futures &amp; Perps Shifted'!$AE$31,VLOOKUP($M7,'Futures &amp; Perps Shifted'!$AE$32:$AO$76,MATCH($R7,'Futures &amp; Perps Shifted'!$AE$30:$AO$30,0),FALSE),0),0)))</f>
        <v>0</v>
      </c>
      <c r="X7" s="26">
        <f t="shared" si="7"/>
        <v>0</v>
      </c>
      <c r="Y7" s="26" t="str">
        <f t="shared" si="8"/>
        <v>BINE</v>
      </c>
      <c r="Z7" s="26" t="str">
        <f t="shared" si="9"/>
        <v>PERP</v>
      </c>
      <c r="AB7" s="36" t="str">
        <f>IF($D67="","",(O67*I67-H67)/H67)</f>
        <v/>
      </c>
      <c r="AC7" s="42" t="str">
        <f>IF($D67="","",IF($C67="",0,IF($M67=1,($H67/$I67)/$G67,-1)))</f>
        <v/>
      </c>
      <c r="AD7" s="36"/>
      <c r="AE7" t="s">
        <v>271</v>
      </c>
      <c r="AF7" s="5">
        <f>SUMIFS($P$62:$P$123,$M$62:$M$123,"="&amp;$AE5,$P$62:$P$123,"&gt;0")</f>
        <v>0</v>
      </c>
      <c r="AG7" s="5">
        <f>SUMIFS($P$62:$P$123,$M$62:$M$123,"="&amp;$AE5,$P$62:$P$123,"&lt;0")</f>
        <v>0</v>
      </c>
      <c r="AH7" s="31">
        <f>AG7+AF7</f>
        <v>0</v>
      </c>
      <c r="AN7" t="str">
        <f t="shared" si="12"/>
        <v>USDT</v>
      </c>
      <c r="AO7">
        <f t="shared" si="13"/>
        <v>1.00009204918451</v>
      </c>
      <c r="AP7" t="e">
        <f t="shared" si="14"/>
        <v>#N/A</v>
      </c>
      <c r="AQ7">
        <f t="shared" si="15"/>
        <v>59994.477557265753</v>
      </c>
      <c r="AR7">
        <f t="shared" si="15"/>
        <v>0</v>
      </c>
      <c r="AS7">
        <f t="shared" si="16"/>
        <v>4.6669704091803572</v>
      </c>
      <c r="AT7">
        <f t="shared" si="16"/>
        <v>46.669704091792916</v>
      </c>
      <c r="AV7" s="31">
        <f t="shared" si="20"/>
        <v>46669.704091797066</v>
      </c>
      <c r="AW7" s="36">
        <f t="shared" si="17"/>
        <v>0.99990795928776333</v>
      </c>
      <c r="AZ7">
        <f t="shared" si="21"/>
        <v>0</v>
      </c>
    </row>
    <row r="8" spans="1:53" x14ac:dyDescent="0.25">
      <c r="A8">
        <v>6</v>
      </c>
      <c r="B8" s="72">
        <v>44938.916666666664</v>
      </c>
      <c r="C8" t="s">
        <v>11</v>
      </c>
      <c r="D8" t="s">
        <v>18</v>
      </c>
      <c r="E8" t="s">
        <v>21</v>
      </c>
      <c r="F8">
        <v>3173.0729999999999</v>
      </c>
      <c r="G8" s="1">
        <v>57410092.481700003</v>
      </c>
      <c r="H8">
        <v>18092.900000000001</v>
      </c>
      <c r="I8">
        <v>509661.76956808998</v>
      </c>
      <c r="J8" t="s">
        <v>17</v>
      </c>
      <c r="K8" s="28">
        <v>73050.333333333328</v>
      </c>
      <c r="L8">
        <v>1</v>
      </c>
      <c r="M8" t="s">
        <v>14</v>
      </c>
      <c r="N8" s="48">
        <f t="shared" si="0"/>
        <v>1</v>
      </c>
      <c r="O8" s="46">
        <f t="shared" si="1"/>
        <v>3173.0729999999999</v>
      </c>
      <c r="P8" s="47">
        <f t="shared" si="2"/>
        <v>59874580.379285462</v>
      </c>
      <c r="Q8" s="25">
        <f t="shared" si="18"/>
        <v>28111.416666666664</v>
      </c>
      <c r="R8" s="26" t="str">
        <f t="shared" si="3"/>
        <v>PERP</v>
      </c>
      <c r="S8" s="26" t="str">
        <f t="shared" si="19"/>
        <v>LONG</v>
      </c>
      <c r="T8" s="26" t="str">
        <f t="shared" si="4"/>
        <v>PERP LONG</v>
      </c>
      <c r="U8" s="26">
        <f t="shared" si="5"/>
        <v>57410092.481700003</v>
      </c>
      <c r="V8" s="26">
        <f t="shared" si="6"/>
        <v>18092.900000000001</v>
      </c>
      <c r="W8" s="26">
        <f>IF($C8="","",IF(DefaultScenario,IF(OR(AND(Default_Exchange="ALL",NOT(ISERROR(MATCH($C8,$AE$6:$AE$37,0)))),$C8=Default_Exchange),IF($G8&gt;0,-LGD,0),0),IF(OR($J8="SWAP",$J8="FUTURE",$J8="CME FUTURE"),IF('Futures &amp; Perps Shifted'!$AE$31,VLOOKUP($M8,'Futures &amp; Perps Shifted'!$AE$32:$AO$76,MATCH($R8,'Futures &amp; Perps Shifted'!$AE$30:$AO$30,0),FALSE),0),0)))</f>
        <v>0</v>
      </c>
      <c r="X8" s="26">
        <f t="shared" si="7"/>
        <v>0</v>
      </c>
      <c r="Y8" s="26" t="str">
        <f t="shared" si="8"/>
        <v>BINE</v>
      </c>
      <c r="Z8" s="26" t="str">
        <f t="shared" si="9"/>
        <v>PERP</v>
      </c>
      <c r="AB8" s="36" t="str">
        <f t="shared" si="10"/>
        <v/>
      </c>
      <c r="AC8" s="42" t="str">
        <f t="shared" si="11"/>
        <v/>
      </c>
      <c r="AD8" s="36"/>
      <c r="AN8" t="str">
        <f t="shared" si="12"/>
        <v>USDT</v>
      </c>
      <c r="AO8">
        <f t="shared" si="13"/>
        <v>1.00009204918451</v>
      </c>
      <c r="AP8">
        <f t="shared" si="14"/>
        <v>18869.5880552655</v>
      </c>
      <c r="AQ8">
        <f t="shared" si="15"/>
        <v>31727.809481010983</v>
      </c>
      <c r="AR8">
        <f t="shared" si="15"/>
        <v>0</v>
      </c>
      <c r="AS8">
        <f t="shared" si="16"/>
        <v>5740.4808415931857</v>
      </c>
      <c r="AT8">
        <f t="shared" si="16"/>
        <v>57404.808415897234</v>
      </c>
      <c r="AV8" s="31">
        <f t="shared" si="20"/>
        <v>57404808.41589839</v>
      </c>
      <c r="AW8" s="36">
        <f t="shared" si="17"/>
        <v>0.99990795928776288</v>
      </c>
      <c r="AZ8">
        <f t="shared" si="21"/>
        <v>0</v>
      </c>
    </row>
    <row r="9" spans="1:53" x14ac:dyDescent="0.25">
      <c r="A9">
        <v>7</v>
      </c>
      <c r="B9" s="72">
        <v>44938.916666666664</v>
      </c>
      <c r="C9" t="s">
        <v>11</v>
      </c>
      <c r="D9" t="s">
        <v>18</v>
      </c>
      <c r="E9" t="s">
        <v>466</v>
      </c>
      <c r="F9">
        <v>-913.74099999999999</v>
      </c>
      <c r="G9" s="1">
        <v>-106367.432730634</v>
      </c>
      <c r="H9">
        <v>116.40873369000001</v>
      </c>
      <c r="I9">
        <v>-12761.84731121</v>
      </c>
      <c r="J9" t="s">
        <v>17</v>
      </c>
      <c r="K9" s="28">
        <v>73050.333333333328</v>
      </c>
      <c r="L9">
        <v>1</v>
      </c>
      <c r="M9" t="s">
        <v>20</v>
      </c>
      <c r="N9" s="48">
        <f t="shared" si="0"/>
        <v>1</v>
      </c>
      <c r="O9" s="46">
        <f t="shared" si="1"/>
        <v>-913.74099999999999</v>
      </c>
      <c r="P9" s="47">
        <f t="shared" si="2"/>
        <v>-109384.36103886497</v>
      </c>
      <c r="Q9" s="25">
        <f t="shared" si="18"/>
        <v>28111.416666666664</v>
      </c>
      <c r="R9" s="26" t="str">
        <f t="shared" si="3"/>
        <v>PERP</v>
      </c>
      <c r="S9" s="26" t="str">
        <f t="shared" si="19"/>
        <v>SHORT</v>
      </c>
      <c r="T9" s="26" t="str">
        <f t="shared" si="4"/>
        <v>PERP SHORT</v>
      </c>
      <c r="U9" s="26">
        <f t="shared" si="5"/>
        <v>-106367.432730634</v>
      </c>
      <c r="V9" s="26">
        <f t="shared" si="6"/>
        <v>116.40873369000001</v>
      </c>
      <c r="W9" s="26">
        <f>IF($C9="","",IF(DefaultScenario,IF(OR(AND(Default_Exchange="ALL",NOT(ISERROR(MATCH($C9,$AE$6:$AE$37,0)))),$C9=Default_Exchange),IF($G9&gt;0,-LGD,0),0),IF(OR($J9="SWAP",$J9="FUTURE",$J9="CME FUTURE"),IF('Futures &amp; Perps Shifted'!$AE$31,VLOOKUP($M9,'Futures &amp; Perps Shifted'!$AE$32:$AO$76,MATCH($R9,'Futures &amp; Perps Shifted'!$AE$30:$AO$30,0),FALSE),0),0)))</f>
        <v>0</v>
      </c>
      <c r="X9" s="26">
        <f t="shared" si="7"/>
        <v>0</v>
      </c>
      <c r="Y9" s="26" t="str">
        <f t="shared" si="8"/>
        <v>BINE</v>
      </c>
      <c r="Z9" s="26" t="str">
        <f t="shared" si="9"/>
        <v>PERP</v>
      </c>
      <c r="AB9" s="36" t="str">
        <f t="shared" si="10"/>
        <v/>
      </c>
      <c r="AC9" s="42" t="str">
        <f t="shared" si="11"/>
        <v/>
      </c>
      <c r="AD9" s="36"/>
      <c r="AE9" t="s">
        <v>15</v>
      </c>
      <c r="AF9" s="44">
        <f>SUMIFS($O$62:$O$123,$M$62:$M$123,"="&amp;$AE9,$O$62:$O$123,"&gt;0")</f>
        <v>0</v>
      </c>
      <c r="AG9" s="44">
        <f>SUMIFS($O$62:$O$123,$M$62:$M$123,"="&amp;$AE9,$O$62:$O$123,"&lt;=0")</f>
        <v>0</v>
      </c>
      <c r="AH9" s="31">
        <f>AG9+AF9</f>
        <v>0</v>
      </c>
      <c r="AN9" t="str">
        <f t="shared" si="12"/>
        <v>USDT</v>
      </c>
      <c r="AO9">
        <f t="shared" si="13"/>
        <v>1.00009204918451</v>
      </c>
      <c r="AP9">
        <f t="shared" si="14"/>
        <v>119.710466137412</v>
      </c>
      <c r="AQ9">
        <f t="shared" si="15"/>
        <v>-9136.5689862755935</v>
      </c>
      <c r="AR9">
        <f t="shared" si="15"/>
        <v>0</v>
      </c>
      <c r="AS9">
        <f t="shared" si="16"/>
        <v>-10.63576425964003</v>
      </c>
      <c r="AT9">
        <f t="shared" si="16"/>
        <v>-106.35764259636134</v>
      </c>
      <c r="AV9" s="31">
        <f t="shared" si="20"/>
        <v>-106357.64259636692</v>
      </c>
      <c r="AW9" s="36">
        <f t="shared" si="17"/>
        <v>0.99990795928776555</v>
      </c>
      <c r="AZ9">
        <f t="shared" si="21"/>
        <v>0</v>
      </c>
    </row>
    <row r="10" spans="1:53" x14ac:dyDescent="0.25">
      <c r="A10">
        <v>8</v>
      </c>
      <c r="B10" s="72">
        <v>44938.916666666664</v>
      </c>
      <c r="C10" t="s">
        <v>11</v>
      </c>
      <c r="D10" t="s">
        <v>18</v>
      </c>
      <c r="E10" t="s">
        <v>465</v>
      </c>
      <c r="F10">
        <v>-528044.5</v>
      </c>
      <c r="G10" s="1">
        <v>-505167.59513000998</v>
      </c>
      <c r="H10">
        <v>0.95667617999999999</v>
      </c>
      <c r="I10">
        <v>3559.7063878499998</v>
      </c>
      <c r="J10" t="s">
        <v>17</v>
      </c>
      <c r="K10" s="28">
        <v>73050.333333333328</v>
      </c>
      <c r="L10">
        <v>1</v>
      </c>
      <c r="M10" t="s">
        <v>23</v>
      </c>
      <c r="N10" s="48">
        <f t="shared" si="0"/>
        <v>1</v>
      </c>
      <c r="O10" s="46">
        <f t="shared" si="1"/>
        <v>-528044.5</v>
      </c>
      <c r="P10" s="47">
        <f t="shared" si="2"/>
        <v>-522892.0935442833</v>
      </c>
      <c r="Q10" s="25">
        <f t="shared" si="18"/>
        <v>28111.416666666664</v>
      </c>
      <c r="R10" s="26" t="str">
        <f t="shared" si="3"/>
        <v>PERP</v>
      </c>
      <c r="S10" s="26" t="str">
        <f t="shared" si="19"/>
        <v>SHORT</v>
      </c>
      <c r="T10" s="26" t="str">
        <f t="shared" si="4"/>
        <v>PERP SHORT</v>
      </c>
      <c r="U10" s="26">
        <f t="shared" si="5"/>
        <v>-505167.59513000998</v>
      </c>
      <c r="V10" s="26">
        <f t="shared" si="6"/>
        <v>0.95667617999999999</v>
      </c>
      <c r="W10" s="26">
        <f>IF($C10="","",IF(DefaultScenario,IF(OR(AND(Default_Exchange="ALL",NOT(ISERROR(MATCH($C10,$AE$6:$AE$37,0)))),$C10=Default_Exchange),IF($G10&gt;0,-LGD,0),0),IF(OR($J10="SWAP",$J10="FUTURE",$J10="CME FUTURE"),IF('Futures &amp; Perps Shifted'!$AE$31,VLOOKUP($M10,'Futures &amp; Perps Shifted'!$AE$32:$AO$76,MATCH($R10,'Futures &amp; Perps Shifted'!$AE$30:$AO$30,0),FALSE),0),0)))</f>
        <v>0</v>
      </c>
      <c r="X10" s="26">
        <f t="shared" si="7"/>
        <v>0</v>
      </c>
      <c r="Y10" s="26" t="str">
        <f t="shared" si="8"/>
        <v>BINE</v>
      </c>
      <c r="Z10" s="26" t="str">
        <f t="shared" si="9"/>
        <v>PERP</v>
      </c>
      <c r="AB10" s="36" t="str">
        <f t="shared" si="10"/>
        <v/>
      </c>
      <c r="AC10" s="42" t="str">
        <f t="shared" si="11"/>
        <v/>
      </c>
      <c r="AD10" s="36"/>
      <c r="AE10" t="s">
        <v>78</v>
      </c>
      <c r="AF10" s="32">
        <f>AF9*VLOOKUP($AE9,AE36:AH54,2,FALSE)</f>
        <v>0</v>
      </c>
      <c r="AG10" s="32">
        <f>AG9*VLOOKUP($AE9,AE36:AH54,2,FALSE)</f>
        <v>0</v>
      </c>
      <c r="AH10" s="31">
        <f>AG10+AF10</f>
        <v>0</v>
      </c>
      <c r="AN10" t="str">
        <f t="shared" si="12"/>
        <v>USDT</v>
      </c>
      <c r="AO10">
        <f t="shared" si="13"/>
        <v>1.00009204918451</v>
      </c>
      <c r="AP10">
        <f t="shared" si="14"/>
        <v>0.990242476806942</v>
      </c>
      <c r="AQ10">
        <f t="shared" si="15"/>
        <v>-5279958.9840812692</v>
      </c>
      <c r="AR10">
        <f t="shared" si="15"/>
        <v>0</v>
      </c>
      <c r="AS10">
        <f t="shared" si="16"/>
        <v>-50.512109914449354</v>
      </c>
      <c r="AT10">
        <f t="shared" si="16"/>
        <v>-505.12109914472802</v>
      </c>
      <c r="AV10" s="31">
        <f t="shared" si="20"/>
        <v>-505121.09914475557</v>
      </c>
      <c r="AW10" s="36">
        <f t="shared" si="17"/>
        <v>0.99990795928776377</v>
      </c>
      <c r="AZ10">
        <f t="shared" si="21"/>
        <v>0</v>
      </c>
    </row>
    <row r="11" spans="1:53" x14ac:dyDescent="0.25">
      <c r="A11">
        <v>9</v>
      </c>
      <c r="B11" s="72">
        <v>44938.916666666664</v>
      </c>
      <c r="C11" t="s">
        <v>11</v>
      </c>
      <c r="D11" t="s">
        <v>18</v>
      </c>
      <c r="E11" t="s">
        <v>467</v>
      </c>
      <c r="F11">
        <v>-1426.922</v>
      </c>
      <c r="G11" s="1">
        <v>-1978555.7759799999</v>
      </c>
      <c r="H11">
        <v>1386.59</v>
      </c>
      <c r="I11">
        <v>2827.5681731300001</v>
      </c>
      <c r="J11" t="s">
        <v>17</v>
      </c>
      <c r="K11" s="28">
        <v>73050.333333333328</v>
      </c>
      <c r="L11">
        <v>1</v>
      </c>
      <c r="M11" t="s">
        <v>15</v>
      </c>
      <c r="N11" s="48">
        <f t="shared" si="0"/>
        <v>1</v>
      </c>
      <c r="O11" s="46">
        <f t="shared" si="1"/>
        <v>-1426.922</v>
      </c>
      <c r="P11" s="47">
        <f t="shared" si="2"/>
        <v>-2023287.6732748942</v>
      </c>
      <c r="Q11" s="25">
        <f t="shared" si="18"/>
        <v>28111.416666666664</v>
      </c>
      <c r="R11" s="26" t="str">
        <f t="shared" si="3"/>
        <v>PERP</v>
      </c>
      <c r="S11" s="26" t="str">
        <f t="shared" si="19"/>
        <v>SHORT</v>
      </c>
      <c r="T11" s="26" t="str">
        <f t="shared" si="4"/>
        <v>PERP SHORT</v>
      </c>
      <c r="U11" s="26">
        <f t="shared" si="5"/>
        <v>-1978555.7759799999</v>
      </c>
      <c r="V11" s="26">
        <f t="shared" si="6"/>
        <v>1386.59</v>
      </c>
      <c r="W11" s="26">
        <f>IF($C11="","",IF(DefaultScenario,IF(OR(AND(Default_Exchange="ALL",NOT(ISERROR(MATCH($C11,$AE$6:$AE$37,0)))),$C11=Default_Exchange),IF($G11&gt;0,-LGD,0),0),IF(OR($J11="SWAP",$J11="FUTURE",$J11="CME FUTURE"),IF('Futures &amp; Perps Shifted'!$AE$31,VLOOKUP($M11,'Futures &amp; Perps Shifted'!$AE$32:$AO$76,MATCH($R11,'Futures &amp; Perps Shifted'!$AE$30:$AO$30,0),FALSE),0),0)))</f>
        <v>0</v>
      </c>
      <c r="X11" s="26">
        <f t="shared" si="7"/>
        <v>0</v>
      </c>
      <c r="Y11" s="26" t="str">
        <f t="shared" si="8"/>
        <v>BINE</v>
      </c>
      <c r="Z11" s="26" t="str">
        <f t="shared" si="9"/>
        <v>PERP</v>
      </c>
      <c r="AB11" s="36" t="str">
        <f t="shared" si="10"/>
        <v/>
      </c>
      <c r="AC11" s="42" t="str">
        <f t="shared" si="11"/>
        <v/>
      </c>
      <c r="AD11" s="36"/>
      <c r="AE11" t="s">
        <v>271</v>
      </c>
      <c r="AF11" s="5">
        <f>SUMIFS($P$62:$P$123,$M$62:$M$123,"="&amp;$AE9,$P$62:$P$123,"&gt;0")</f>
        <v>0</v>
      </c>
      <c r="AG11" s="5">
        <f>SUMIFS($P$62:$P$123,$M$62:$M$123,"="&amp;$AE9,$P$62:$P$123,"&lt;0")</f>
        <v>0</v>
      </c>
      <c r="AH11" s="31">
        <f>AG11+AF11</f>
        <v>0</v>
      </c>
      <c r="AN11" t="str">
        <f t="shared" si="12"/>
        <v>USDT</v>
      </c>
      <c r="AO11">
        <f t="shared" si="13"/>
        <v>1.00009204918451</v>
      </c>
      <c r="AP11">
        <f t="shared" si="14"/>
        <v>1417.9385231112101</v>
      </c>
      <c r="AQ11">
        <f t="shared" si="15"/>
        <v>-14267.906650828128</v>
      </c>
      <c r="AR11">
        <f t="shared" si="15"/>
        <v>0</v>
      </c>
      <c r="AS11">
        <f t="shared" si="16"/>
        <v>-197.83736682966273</v>
      </c>
      <c r="AT11">
        <f t="shared" si="16"/>
        <v>-1978.3736682969516</v>
      </c>
      <c r="AV11" s="31">
        <f t="shared" si="20"/>
        <v>-1978373.6682971788</v>
      </c>
      <c r="AW11" s="36">
        <f t="shared" si="17"/>
        <v>0.99990795928776333</v>
      </c>
      <c r="AZ11">
        <f t="shared" si="21"/>
        <v>0</v>
      </c>
    </row>
    <row r="12" spans="1:53" x14ac:dyDescent="0.25">
      <c r="A12">
        <v>10</v>
      </c>
      <c r="B12" s="72">
        <v>44938.916666666664</v>
      </c>
      <c r="C12" t="s">
        <v>11</v>
      </c>
      <c r="D12" t="s">
        <v>18</v>
      </c>
      <c r="E12" t="s">
        <v>468</v>
      </c>
      <c r="F12">
        <v>-2444.4380000000001</v>
      </c>
      <c r="G12" s="1">
        <v>-203475.01912000001</v>
      </c>
      <c r="H12">
        <v>83.24</v>
      </c>
      <c r="I12">
        <v>796.80756375999999</v>
      </c>
      <c r="J12" t="s">
        <v>17</v>
      </c>
      <c r="K12" s="28">
        <v>73050.333333333328</v>
      </c>
      <c r="L12">
        <v>1</v>
      </c>
      <c r="M12" t="s">
        <v>24</v>
      </c>
      <c r="N12" s="48">
        <f t="shared" si="0"/>
        <v>1</v>
      </c>
      <c r="O12" s="46">
        <f t="shared" si="1"/>
        <v>-2444.4380000000001</v>
      </c>
      <c r="P12" s="47">
        <f t="shared" si="2"/>
        <v>-210134.22911014734</v>
      </c>
      <c r="Q12" s="25">
        <f t="shared" si="18"/>
        <v>28111.416666666664</v>
      </c>
      <c r="R12" s="26" t="str">
        <f t="shared" si="3"/>
        <v>PERP</v>
      </c>
      <c r="S12" s="26" t="str">
        <f t="shared" si="19"/>
        <v>SHORT</v>
      </c>
      <c r="T12" s="26" t="str">
        <f t="shared" si="4"/>
        <v>PERP SHORT</v>
      </c>
      <c r="U12" s="26">
        <f t="shared" si="5"/>
        <v>-203475.01912000001</v>
      </c>
      <c r="V12" s="26">
        <f t="shared" si="6"/>
        <v>83.24</v>
      </c>
      <c r="W12" s="26">
        <f>IF($C12="","",IF(DefaultScenario,IF(OR(AND(Default_Exchange="ALL",NOT(ISERROR(MATCH($C12,$AE$6:$AE$37,0)))),$C12=Default_Exchange),IF($G12&gt;0,-LGD,0),0),IF(OR($J12="SWAP",$J12="FUTURE",$J12="CME FUTURE"),IF('Futures &amp; Perps Shifted'!$AE$31,VLOOKUP($M12,'Futures &amp; Perps Shifted'!$AE$32:$AO$76,MATCH($R12,'Futures &amp; Perps Shifted'!$AE$30:$AO$30,0),FALSE),0),0)))</f>
        <v>0</v>
      </c>
      <c r="X12" s="26">
        <f t="shared" si="7"/>
        <v>0</v>
      </c>
      <c r="Y12" s="26" t="str">
        <f t="shared" si="8"/>
        <v>BINE</v>
      </c>
      <c r="Z12" s="26" t="str">
        <f t="shared" si="9"/>
        <v>PERP</v>
      </c>
      <c r="AB12" s="36" t="str">
        <f t="shared" si="10"/>
        <v/>
      </c>
      <c r="AC12" s="42" t="str">
        <f t="shared" si="11"/>
        <v/>
      </c>
      <c r="AD12" s="36"/>
      <c r="AN12" t="str">
        <f t="shared" si="12"/>
        <v>USDT</v>
      </c>
      <c r="AO12">
        <f t="shared" si="13"/>
        <v>1.00009204918451</v>
      </c>
      <c r="AP12">
        <f t="shared" si="14"/>
        <v>85.964229450756093</v>
      </c>
      <c r="AQ12">
        <f t="shared" si="15"/>
        <v>-24442.130121854596</v>
      </c>
      <c r="AR12">
        <f t="shared" si="15"/>
        <v>0</v>
      </c>
      <c r="AS12">
        <f t="shared" si="16"/>
        <v>-20.345629113436104</v>
      </c>
      <c r="AT12">
        <f t="shared" si="16"/>
        <v>-203.45629113429158</v>
      </c>
      <c r="AV12" s="31">
        <f t="shared" si="20"/>
        <v>-203456.29113431796</v>
      </c>
      <c r="AW12" s="36">
        <f t="shared" si="17"/>
        <v>0.99990795928776399</v>
      </c>
      <c r="AZ12">
        <f t="shared" si="21"/>
        <v>0</v>
      </c>
    </row>
    <row r="13" spans="1:53" x14ac:dyDescent="0.25">
      <c r="A13">
        <v>11</v>
      </c>
      <c r="B13" s="72">
        <v>44938.916666666664</v>
      </c>
      <c r="C13" t="s">
        <v>11</v>
      </c>
      <c r="D13" t="s">
        <v>18</v>
      </c>
      <c r="E13" t="s">
        <v>859</v>
      </c>
      <c r="F13">
        <v>-24000</v>
      </c>
      <c r="G13" s="1">
        <v>-28512</v>
      </c>
      <c r="H13">
        <v>1.1879999999999999</v>
      </c>
      <c r="I13">
        <v>-648.70007999999996</v>
      </c>
      <c r="J13" t="s">
        <v>17</v>
      </c>
      <c r="K13" s="28">
        <v>73050.333333333328</v>
      </c>
      <c r="L13">
        <v>1</v>
      </c>
      <c r="M13" t="s">
        <v>150</v>
      </c>
      <c r="N13" s="48">
        <f t="shared" si="0"/>
        <v>1</v>
      </c>
      <c r="O13" s="46">
        <f t="shared" si="1"/>
        <v>-24000</v>
      </c>
      <c r="P13" s="47">
        <f t="shared" si="2"/>
        <v>-29094.527941029119</v>
      </c>
      <c r="Q13" s="25">
        <f t="shared" si="18"/>
        <v>28111.416666666664</v>
      </c>
      <c r="R13" s="26" t="str">
        <f t="shared" si="3"/>
        <v>PERP</v>
      </c>
      <c r="S13" s="26" t="str">
        <f t="shared" si="19"/>
        <v>SHORT</v>
      </c>
      <c r="T13" s="26" t="str">
        <f t="shared" si="4"/>
        <v>PERP SHORT</v>
      </c>
      <c r="U13" s="26">
        <f t="shared" si="5"/>
        <v>-28512</v>
      </c>
      <c r="V13" s="26">
        <f t="shared" si="6"/>
        <v>1.1879999999999999</v>
      </c>
      <c r="W13" s="26">
        <f>IF($C13="","",IF(DefaultScenario,IF(OR(AND(Default_Exchange="ALL",NOT(ISERROR(MATCH($C13,$AE$6:$AE$37,0)))),$C13=Default_Exchange),IF($G13&gt;0,-LGD,0),0),IF(OR($J13="SWAP",$J13="FUTURE",$J13="CME FUTURE"),IF('Futures &amp; Perps Shifted'!$AE$31,VLOOKUP($M13,'Futures &amp; Perps Shifted'!$AE$32:$AO$76,MATCH($R13,'Futures &amp; Perps Shifted'!$AE$30:$AO$30,0),FALSE),0),0)))</f>
        <v>0</v>
      </c>
      <c r="X13" s="26">
        <f t="shared" si="7"/>
        <v>0</v>
      </c>
      <c r="Y13" s="26" t="str">
        <f t="shared" si="8"/>
        <v>BINE</v>
      </c>
      <c r="Z13" s="26" t="str">
        <f t="shared" si="9"/>
        <v>PERP</v>
      </c>
      <c r="AB13" s="36" t="str">
        <f t="shared" si="10"/>
        <v/>
      </c>
      <c r="AC13" s="42" t="str">
        <f t="shared" si="11"/>
        <v/>
      </c>
      <c r="AD13" s="36"/>
      <c r="AE13" t="s">
        <v>23</v>
      </c>
      <c r="AF13" s="44">
        <f>SUMIFS($O$62:$O$123,$M$62:$M$123,"="&amp;$AE13,$O$62:$O$123,"&gt;0")</f>
        <v>0</v>
      </c>
      <c r="AG13" s="44">
        <f>SUMIFS($O$62:$O$123,$M$62:$M$123,"="&amp;$AE13,$O$62:$O$123,"&lt;=0")</f>
        <v>0</v>
      </c>
      <c r="AH13" s="31">
        <f>AG13+AF13</f>
        <v>0</v>
      </c>
      <c r="AN13" t="str">
        <f t="shared" si="12"/>
        <v>USDT</v>
      </c>
      <c r="AO13">
        <f t="shared" si="13"/>
        <v>1.00009204918451</v>
      </c>
      <c r="AP13">
        <f t="shared" si="14"/>
        <v>1.21227199754288</v>
      </c>
      <c r="AQ13">
        <f t="shared" si="15"/>
        <v>-239977.91022906301</v>
      </c>
      <c r="AR13">
        <f t="shared" si="15"/>
        <v>0</v>
      </c>
      <c r="AS13">
        <f t="shared" si="16"/>
        <v>-2.8509375735233204</v>
      </c>
      <c r="AT13">
        <f t="shared" si="16"/>
        <v>-28.50937573521189</v>
      </c>
      <c r="AV13" s="31">
        <f t="shared" si="20"/>
        <v>-28509.375735212689</v>
      </c>
      <c r="AW13" s="36">
        <f t="shared" si="17"/>
        <v>0.99990795928776266</v>
      </c>
      <c r="AZ13">
        <f t="shared" si="21"/>
        <v>0</v>
      </c>
    </row>
    <row r="14" spans="1:53" x14ac:dyDescent="0.25">
      <c r="A14">
        <v>12</v>
      </c>
      <c r="B14" s="72">
        <v>44938.916666666664</v>
      </c>
      <c r="C14" t="s">
        <v>11</v>
      </c>
      <c r="D14" t="s">
        <v>18</v>
      </c>
      <c r="E14" t="s">
        <v>469</v>
      </c>
      <c r="F14">
        <v>-3884601</v>
      </c>
      <c r="G14" s="1">
        <v>-88413.518760000006</v>
      </c>
      <c r="H14">
        <v>2.2759999999999999E-2</v>
      </c>
      <c r="I14">
        <v>7934.49177255</v>
      </c>
      <c r="J14" t="s">
        <v>17</v>
      </c>
      <c r="K14" s="28">
        <v>73050.333333333328</v>
      </c>
      <c r="L14">
        <v>1</v>
      </c>
      <c r="M14" t="s">
        <v>26</v>
      </c>
      <c r="N14" s="48">
        <f t="shared" si="0"/>
        <v>1</v>
      </c>
      <c r="O14" s="46">
        <f t="shared" si="1"/>
        <v>-3884601</v>
      </c>
      <c r="P14" s="47">
        <f t="shared" si="2"/>
        <v>-93131.288622527427</v>
      </c>
      <c r="Q14" s="25">
        <f t="shared" si="18"/>
        <v>28111.416666666664</v>
      </c>
      <c r="R14" s="26" t="str">
        <f t="shared" si="3"/>
        <v>PERP</v>
      </c>
      <c r="S14" s="26" t="str">
        <f t="shared" si="19"/>
        <v>SHORT</v>
      </c>
      <c r="T14" s="26" t="str">
        <f t="shared" si="4"/>
        <v>PERP SHORT</v>
      </c>
      <c r="U14" s="26">
        <f t="shared" si="5"/>
        <v>-88413.518760000006</v>
      </c>
      <c r="V14" s="26">
        <f t="shared" si="6"/>
        <v>2.2759999999999999E-2</v>
      </c>
      <c r="W14" s="26">
        <f>IF($C14="","",IF(DefaultScenario,IF(OR(AND(Default_Exchange="ALL",NOT(ISERROR(MATCH($C14,$AE$6:$AE$37,0)))),$C14=Default_Exchange),IF($G14&gt;0,-LGD,0),0),IF(OR($J14="SWAP",$J14="FUTURE",$J14="CME FUTURE"),IF('Futures &amp; Perps Shifted'!$AE$31,VLOOKUP($M14,'Futures &amp; Perps Shifted'!$AE$32:$AO$76,MATCH($R14,'Futures &amp; Perps Shifted'!$AE$30:$AO$30,0),FALSE),0),0)))</f>
        <v>0</v>
      </c>
      <c r="X14" s="26">
        <f t="shared" si="7"/>
        <v>0</v>
      </c>
      <c r="Y14" s="26" t="str">
        <f t="shared" si="8"/>
        <v>BINE</v>
      </c>
      <c r="Z14" s="26" t="str">
        <f t="shared" si="9"/>
        <v>PERP</v>
      </c>
      <c r="AB14" s="36" t="str">
        <f t="shared" si="10"/>
        <v/>
      </c>
      <c r="AC14" s="42" t="str">
        <f t="shared" si="11"/>
        <v/>
      </c>
      <c r="AD14" s="36"/>
      <c r="AE14" t="s">
        <v>78</v>
      </c>
      <c r="AF14" s="32">
        <f>AF13*VLOOKUP($AE13,AE40:AH58,2,FALSE)</f>
        <v>0</v>
      </c>
      <c r="AG14" s="32">
        <f>AG13*VLOOKUP($AE13,AE40:AH58,2,FALSE)</f>
        <v>0</v>
      </c>
      <c r="AH14" s="31">
        <f>AG14+AF14</f>
        <v>0</v>
      </c>
      <c r="AN14" t="str">
        <f t="shared" si="12"/>
        <v>USDT</v>
      </c>
      <c r="AO14">
        <f t="shared" si="13"/>
        <v>1.00009204918451</v>
      </c>
      <c r="AP14">
        <f t="shared" si="14"/>
        <v>2.39744799073386E-2</v>
      </c>
      <c r="AQ14">
        <f t="shared" si="15"/>
        <v>-38842434.585572012</v>
      </c>
      <c r="AR14">
        <f t="shared" si="15"/>
        <v>0</v>
      </c>
      <c r="AS14">
        <f t="shared" si="16"/>
        <v>-8.8405381116722026</v>
      </c>
      <c r="AT14">
        <f t="shared" si="16"/>
        <v>-88.405381116748984</v>
      </c>
      <c r="AV14" s="31">
        <f t="shared" si="20"/>
        <v>-88405.381116761913</v>
      </c>
      <c r="AW14" s="36">
        <f t="shared" si="17"/>
        <v>0.99990795928776244</v>
      </c>
      <c r="AZ14">
        <f t="shared" si="21"/>
        <v>0</v>
      </c>
    </row>
    <row r="15" spans="1:53" x14ac:dyDescent="0.25">
      <c r="A15">
        <v>13</v>
      </c>
      <c r="B15" s="72">
        <v>44938.916666666664</v>
      </c>
      <c r="C15" t="s">
        <v>11</v>
      </c>
      <c r="D15" t="s">
        <v>18</v>
      </c>
      <c r="E15" t="s">
        <v>470</v>
      </c>
      <c r="F15">
        <v>-200.97900000000001</v>
      </c>
      <c r="G15" s="1">
        <v>-7406.0761499999999</v>
      </c>
      <c r="H15">
        <v>36.85</v>
      </c>
      <c r="I15">
        <v>2554.9602190099999</v>
      </c>
      <c r="J15" t="s">
        <v>17</v>
      </c>
      <c r="K15" s="28">
        <v>73050.333333333328</v>
      </c>
      <c r="L15">
        <v>1</v>
      </c>
      <c r="M15" t="s">
        <v>31</v>
      </c>
      <c r="N15" s="48">
        <f t="shared" si="0"/>
        <v>1</v>
      </c>
      <c r="O15" s="46">
        <f t="shared" si="1"/>
        <v>-200.97900000000001</v>
      </c>
      <c r="P15" s="47">
        <f t="shared" si="2"/>
        <v>-7578.1982253313827</v>
      </c>
      <c r="Q15" s="25">
        <f t="shared" si="18"/>
        <v>28111.416666666664</v>
      </c>
      <c r="R15" s="26" t="str">
        <f t="shared" si="3"/>
        <v>PERP</v>
      </c>
      <c r="S15" s="26" t="str">
        <f t="shared" si="19"/>
        <v>SHORT</v>
      </c>
      <c r="T15" s="26" t="str">
        <f t="shared" si="4"/>
        <v>PERP SHORT</v>
      </c>
      <c r="U15" s="26">
        <f t="shared" si="5"/>
        <v>-7406.0761499999999</v>
      </c>
      <c r="V15" s="26">
        <f t="shared" si="6"/>
        <v>36.85</v>
      </c>
      <c r="W15" s="26">
        <f>IF($C15="","",IF(DefaultScenario,IF(OR(AND(Default_Exchange="ALL",NOT(ISERROR(MATCH($C15,$AE$6:$AE$37,0)))),$C15=Default_Exchange),IF($G15&gt;0,-LGD,0),0),IF(OR($J15="SWAP",$J15="FUTURE",$J15="CME FUTURE"),IF('Futures &amp; Perps Shifted'!$AE$31,VLOOKUP($M15,'Futures &amp; Perps Shifted'!$AE$32:$AO$76,MATCH($R15,'Futures &amp; Perps Shifted'!$AE$30:$AO$30,0),FALSE),0),0)))</f>
        <v>0</v>
      </c>
      <c r="X15" s="26">
        <f t="shared" si="7"/>
        <v>0</v>
      </c>
      <c r="Y15" s="26" t="str">
        <f t="shared" si="8"/>
        <v>BINE</v>
      </c>
      <c r="Z15" s="26" t="str">
        <f t="shared" si="9"/>
        <v>PERP</v>
      </c>
      <c r="AB15" s="36" t="str">
        <f t="shared" si="10"/>
        <v/>
      </c>
      <c r="AC15" s="42" t="str">
        <f t="shared" si="11"/>
        <v/>
      </c>
      <c r="AD15" s="36"/>
      <c r="AE15" t="s">
        <v>271</v>
      </c>
      <c r="AF15" s="5">
        <f>SUMIFS($P$62:$P$123,$M$62:$M$123,"="&amp;$AE13,$P$62:$P$123,"&gt;0")</f>
        <v>0</v>
      </c>
      <c r="AG15" s="5">
        <f>SUMIFS($P$62:$P$123,$M$62:$M$123,"="&amp;$AE13,$P$62:$P$123,"&lt;0")</f>
        <v>0</v>
      </c>
      <c r="AH15" s="31">
        <f>AG15+AF15</f>
        <v>0</v>
      </c>
      <c r="AN15" t="str">
        <f t="shared" si="12"/>
        <v>USDT</v>
      </c>
      <c r="AO15">
        <f t="shared" si="13"/>
        <v>1.00009204918451</v>
      </c>
      <c r="AP15">
        <f t="shared" si="14"/>
        <v>37.706418209521303</v>
      </c>
      <c r="AQ15">
        <f t="shared" si="15"/>
        <v>-2009.6050174969523</v>
      </c>
      <c r="AR15">
        <f t="shared" si="15"/>
        <v>0</v>
      </c>
      <c r="AS15">
        <f t="shared" si="16"/>
        <v>-0.74053944894707913</v>
      </c>
      <c r="AT15">
        <f t="shared" si="16"/>
        <v>-7.4053944894750749</v>
      </c>
      <c r="AV15" s="31">
        <f t="shared" si="20"/>
        <v>-7405.3944894762735</v>
      </c>
      <c r="AW15" s="36">
        <f t="shared" si="17"/>
        <v>0.9999079592877631</v>
      </c>
      <c r="AZ15">
        <f t="shared" si="21"/>
        <v>0</v>
      </c>
    </row>
    <row r="16" spans="1:53" x14ac:dyDescent="0.25">
      <c r="A16">
        <v>14</v>
      </c>
      <c r="B16" s="72">
        <v>44938.916666666664</v>
      </c>
      <c r="C16" t="s">
        <v>11</v>
      </c>
      <c r="D16" t="s">
        <v>18</v>
      </c>
      <c r="E16" t="s">
        <v>471</v>
      </c>
      <c r="F16">
        <v>-48333.69</v>
      </c>
      <c r="G16" s="1">
        <v>-299592.34933527501</v>
      </c>
      <c r="H16">
        <v>6.1984166600000004</v>
      </c>
      <c r="I16">
        <v>-435.06459378</v>
      </c>
      <c r="J16" t="s">
        <v>17</v>
      </c>
      <c r="K16" s="28">
        <v>73050.333333333328</v>
      </c>
      <c r="L16">
        <v>1</v>
      </c>
      <c r="M16" t="s">
        <v>27</v>
      </c>
      <c r="N16" s="48">
        <f t="shared" si="0"/>
        <v>1</v>
      </c>
      <c r="O16" s="46">
        <f t="shared" si="1"/>
        <v>-48333.69</v>
      </c>
      <c r="P16" s="47">
        <f t="shared" si="2"/>
        <v>-308433.30104275077</v>
      </c>
      <c r="Q16" s="25">
        <f t="shared" si="18"/>
        <v>28111.416666666664</v>
      </c>
      <c r="R16" s="26" t="str">
        <f t="shared" si="3"/>
        <v>PERP</v>
      </c>
      <c r="S16" s="26" t="str">
        <f t="shared" si="19"/>
        <v>SHORT</v>
      </c>
      <c r="T16" s="26" t="str">
        <f t="shared" si="4"/>
        <v>PERP SHORT</v>
      </c>
      <c r="U16" s="26">
        <f t="shared" si="5"/>
        <v>-299592.34933527501</v>
      </c>
      <c r="V16" s="26">
        <f t="shared" si="6"/>
        <v>6.1984166600000004</v>
      </c>
      <c r="W16" s="26">
        <f>IF($C16="","",IF(DefaultScenario,IF(OR(AND(Default_Exchange="ALL",NOT(ISERROR(MATCH($C16,$AE$6:$AE$37,0)))),$C16=Default_Exchange),IF($G16&gt;0,-LGD,0),0),IF(OR($J16="SWAP",$J16="FUTURE",$J16="CME FUTURE"),IF('Futures &amp; Perps Shifted'!$AE$31,VLOOKUP($M16,'Futures &amp; Perps Shifted'!$AE$32:$AO$76,MATCH($R16,'Futures &amp; Perps Shifted'!$AE$30:$AO$30,0),FALSE),0),0)))</f>
        <v>0</v>
      </c>
      <c r="X16" s="26">
        <f t="shared" si="7"/>
        <v>0</v>
      </c>
      <c r="Y16" s="26" t="str">
        <f t="shared" si="8"/>
        <v>BINE</v>
      </c>
      <c r="Z16" s="26" t="str">
        <f t="shared" si="9"/>
        <v>PERP</v>
      </c>
      <c r="AB16" s="36" t="str">
        <f t="shared" si="10"/>
        <v/>
      </c>
      <c r="AC16" s="42" t="str">
        <f t="shared" si="11"/>
        <v/>
      </c>
      <c r="AD16" s="36"/>
      <c r="AN16" t="str">
        <f t="shared" si="12"/>
        <v>USDT</v>
      </c>
      <c r="AO16">
        <f t="shared" si="13"/>
        <v>1.00009204918451</v>
      </c>
      <c r="AP16">
        <f t="shared" si="14"/>
        <v>6.38133155243787</v>
      </c>
      <c r="AQ16">
        <f t="shared" si="15"/>
        <v>-483292.41332747333</v>
      </c>
      <c r="AR16">
        <f t="shared" si="15"/>
        <v>0</v>
      </c>
      <c r="AS16">
        <f t="shared" si="16"/>
        <v>-29.956477464224331</v>
      </c>
      <c r="AT16">
        <f t="shared" si="16"/>
        <v>-299.56477464202874</v>
      </c>
      <c r="AV16" s="31">
        <f t="shared" si="20"/>
        <v>-299564.77464206214</v>
      </c>
      <c r="AW16" s="36">
        <f t="shared" si="17"/>
        <v>0.99990795928776544</v>
      </c>
      <c r="AZ16">
        <f t="shared" si="21"/>
        <v>0</v>
      </c>
    </row>
    <row r="17" spans="1:52" x14ac:dyDescent="0.25">
      <c r="A17">
        <v>15</v>
      </c>
      <c r="B17" s="72">
        <v>44938.916666666664</v>
      </c>
      <c r="C17" t="s">
        <v>11</v>
      </c>
      <c r="D17" t="s">
        <v>18</v>
      </c>
      <c r="E17" t="s">
        <v>941</v>
      </c>
      <c r="F17">
        <v>-266.39499999999998</v>
      </c>
      <c r="G17" s="1">
        <v>-4850799.5077376002</v>
      </c>
      <c r="H17">
        <v>18209.048622300001</v>
      </c>
      <c r="I17">
        <v>-251374.41690672</v>
      </c>
      <c r="J17" t="s">
        <v>13</v>
      </c>
      <c r="K17" s="28">
        <v>45016.333333333336</v>
      </c>
      <c r="L17">
        <v>1</v>
      </c>
      <c r="M17" t="s">
        <v>14</v>
      </c>
      <c r="N17" s="48">
        <f t="shared" si="0"/>
        <v>1</v>
      </c>
      <c r="O17" s="46">
        <f t="shared" si="1"/>
        <v>-266.39499999999998</v>
      </c>
      <c r="P17" s="47">
        <f t="shared" si="2"/>
        <v>-5026763.9099824522</v>
      </c>
      <c r="Q17" s="25">
        <f t="shared" si="18"/>
        <v>77.416666666671517</v>
      </c>
      <c r="R17" s="26" t="str">
        <f t="shared" si="3"/>
        <v>Mar 23</v>
      </c>
      <c r="S17" s="26" t="str">
        <f t="shared" si="19"/>
        <v>SHORT</v>
      </c>
      <c r="T17" s="26" t="str">
        <f t="shared" si="4"/>
        <v>Mar 23 SHORT</v>
      </c>
      <c r="U17" s="26">
        <f t="shared" si="5"/>
        <v>-4899307.5028149765</v>
      </c>
      <c r="V17" s="26">
        <f t="shared" si="6"/>
        <v>18391.139108523003</v>
      </c>
      <c r="W17" s="26">
        <f>IF($C17="","",IF(DefaultScenario,IF(OR(AND(Default_Exchange="ALL",NOT(ISERROR(MATCH($C17,$AE$6:$AE$37,0)))),$C17=Default_Exchange),IF($G17&gt;0,-LGD,0),0),IF(OR($J17="SWAP",$J17="FUTURE",$J17="CME FUTURE"),IF('Futures &amp; Perps Shifted'!$AE$31,VLOOKUP($M17,'Futures &amp; Perps Shifted'!$AE$32:$AO$76,MATCH($R17,'Futures &amp; Perps Shifted'!$AE$30:$AO$30,0),FALSE),0),0)))</f>
        <v>0.01</v>
      </c>
      <c r="X17" s="26">
        <f t="shared" si="7"/>
        <v>-48507.995077376254</v>
      </c>
      <c r="Y17" s="26" t="str">
        <f t="shared" si="8"/>
        <v>BINE</v>
      </c>
      <c r="Z17" s="26" t="str">
        <f t="shared" si="9"/>
        <v>M3</v>
      </c>
      <c r="AB17" s="36" t="str">
        <f t="shared" si="10"/>
        <v/>
      </c>
      <c r="AC17" s="42" t="str">
        <f t="shared" si="11"/>
        <v/>
      </c>
      <c r="AD17" s="36"/>
      <c r="AN17" t="str">
        <f t="shared" si="12"/>
        <v>USDT</v>
      </c>
      <c r="AO17">
        <f t="shared" si="13"/>
        <v>1.00009204918451</v>
      </c>
      <c r="AP17">
        <f t="shared" si="14"/>
        <v>18869.5880552655</v>
      </c>
      <c r="AQ17">
        <f t="shared" si="15"/>
        <v>-2663.7048081446346</v>
      </c>
      <c r="AR17">
        <f t="shared" si="15"/>
        <v>0</v>
      </c>
      <c r="AS17">
        <f t="shared" si="16"/>
        <v>-485.03530366966237</v>
      </c>
      <c r="AT17">
        <f t="shared" si="16"/>
        <v>-4850.3530366956547</v>
      </c>
      <c r="AV17" s="31">
        <f t="shared" si="20"/>
        <v>-4850353.0366960037</v>
      </c>
      <c r="AW17" s="36">
        <f t="shared" si="17"/>
        <v>0.99990795928776599</v>
      </c>
      <c r="AZ17">
        <f t="shared" si="21"/>
        <v>-4850.3530366956547</v>
      </c>
    </row>
    <row r="18" spans="1:52" x14ac:dyDescent="0.25">
      <c r="A18">
        <v>16</v>
      </c>
      <c r="B18" s="72">
        <v>44938.916666666664</v>
      </c>
      <c r="C18" t="s">
        <v>11</v>
      </c>
      <c r="D18" t="s">
        <v>18</v>
      </c>
      <c r="E18" t="s">
        <v>942</v>
      </c>
      <c r="F18">
        <v>-4870.1139999999996</v>
      </c>
      <c r="G18" s="1">
        <v>-6789470.4172550198</v>
      </c>
      <c r="H18">
        <v>1394.1091352799999</v>
      </c>
      <c r="I18">
        <v>-412443.21422740998</v>
      </c>
      <c r="J18" t="s">
        <v>13</v>
      </c>
      <c r="K18" s="28">
        <v>45016.333333333336</v>
      </c>
      <c r="L18">
        <v>1</v>
      </c>
      <c r="M18" t="s">
        <v>15</v>
      </c>
      <c r="N18" s="48">
        <f t="shared" si="0"/>
        <v>1</v>
      </c>
      <c r="O18" s="46">
        <f t="shared" si="1"/>
        <v>-4870.1139999999996</v>
      </c>
      <c r="P18" s="47">
        <f t="shared" si="2"/>
        <v>-6905522.2525432268</v>
      </c>
      <c r="Q18" s="25">
        <f t="shared" si="18"/>
        <v>77.416666666671517</v>
      </c>
      <c r="R18" s="26" t="str">
        <f t="shared" si="3"/>
        <v>Mar 23</v>
      </c>
      <c r="S18" s="26" t="str">
        <f t="shared" si="19"/>
        <v>SHORT</v>
      </c>
      <c r="T18" s="26" t="str">
        <f t="shared" si="4"/>
        <v>Mar 23 SHORT</v>
      </c>
      <c r="U18" s="26">
        <f t="shared" si="5"/>
        <v>-6857365.1214275705</v>
      </c>
      <c r="V18" s="26">
        <f t="shared" si="6"/>
        <v>1408.0502266327999</v>
      </c>
      <c r="W18" s="26">
        <f>IF($C18="","",IF(DefaultScenario,IF(OR(AND(Default_Exchange="ALL",NOT(ISERROR(MATCH($C18,$AE$6:$AE$37,0)))),$C18=Default_Exchange),IF($G18&gt;0,-LGD,0),0),IF(OR($J18="SWAP",$J18="FUTURE",$J18="CME FUTURE"),IF('Futures &amp; Perps Shifted'!$AE$31,VLOOKUP($M18,'Futures &amp; Perps Shifted'!$AE$32:$AO$76,MATCH($R18,'Futures &amp; Perps Shifted'!$AE$30:$AO$30,0),FALSE),0),0)))</f>
        <v>0.01</v>
      </c>
      <c r="X18" s="26">
        <f t="shared" si="7"/>
        <v>-67894.704172550701</v>
      </c>
      <c r="Y18" s="26" t="str">
        <f t="shared" si="8"/>
        <v>BINE</v>
      </c>
      <c r="Z18" s="26" t="str">
        <f t="shared" si="9"/>
        <v>M3</v>
      </c>
      <c r="AB18" s="36" t="str">
        <f t="shared" si="10"/>
        <v/>
      </c>
      <c r="AC18" s="42" t="str">
        <f t="shared" si="11"/>
        <v/>
      </c>
      <c r="AD18" s="36"/>
      <c r="AN18" t="str">
        <f t="shared" si="12"/>
        <v>USDT</v>
      </c>
      <c r="AO18">
        <f t="shared" si="13"/>
        <v>1.00009204918451</v>
      </c>
      <c r="AP18">
        <f t="shared" si="14"/>
        <v>1417.9385231112101</v>
      </c>
      <c r="AQ18">
        <f t="shared" si="15"/>
        <v>-48696.657512387625</v>
      </c>
      <c r="AR18">
        <f t="shared" si="15"/>
        <v>0</v>
      </c>
      <c r="AS18">
        <f t="shared" si="16"/>
        <v>-678.88455095660674</v>
      </c>
      <c r="AT18">
        <f t="shared" si="16"/>
        <v>-6788.8455095616382</v>
      </c>
      <c r="AV18" s="31">
        <f t="shared" si="20"/>
        <v>-6788845.5095621031</v>
      </c>
      <c r="AW18" s="36">
        <f t="shared" si="17"/>
        <v>0.99990795928776288</v>
      </c>
      <c r="AZ18">
        <f t="shared" si="21"/>
        <v>-6788.8455095616382</v>
      </c>
    </row>
    <row r="19" spans="1:52" x14ac:dyDescent="0.25">
      <c r="A19">
        <v>17</v>
      </c>
      <c r="B19" s="72">
        <v>44938.916666666664</v>
      </c>
      <c r="C19" t="s">
        <v>11</v>
      </c>
      <c r="D19" t="s">
        <v>299</v>
      </c>
      <c r="E19" t="s">
        <v>21</v>
      </c>
      <c r="F19">
        <v>43.820999999999998</v>
      </c>
      <c r="G19" s="1">
        <v>792539.29350559402</v>
      </c>
      <c r="H19">
        <v>18085.833128080001</v>
      </c>
      <c r="I19">
        <v>-778.06830797999999</v>
      </c>
      <c r="J19" t="s">
        <v>17</v>
      </c>
      <c r="K19" s="28">
        <v>73050.333333333328</v>
      </c>
      <c r="L19">
        <v>1</v>
      </c>
      <c r="M19" t="s">
        <v>14</v>
      </c>
      <c r="N19" s="48">
        <f t="shared" si="0"/>
        <v>1</v>
      </c>
      <c r="O19" s="46">
        <f t="shared" si="1"/>
        <v>43.820999999999998</v>
      </c>
      <c r="P19" s="47">
        <f t="shared" si="2"/>
        <v>826884.21816978941</v>
      </c>
      <c r="Q19" s="25">
        <f t="shared" si="18"/>
        <v>28111.416666666664</v>
      </c>
      <c r="R19" s="26" t="str">
        <f t="shared" si="3"/>
        <v>PERP</v>
      </c>
      <c r="S19" s="26" t="str">
        <f t="shared" si="19"/>
        <v>LONG</v>
      </c>
      <c r="T19" s="26" t="str">
        <f t="shared" si="4"/>
        <v>PERP LONG</v>
      </c>
      <c r="U19" s="26">
        <f t="shared" si="5"/>
        <v>792539.29350559402</v>
      </c>
      <c r="V19" s="26">
        <f t="shared" si="6"/>
        <v>18085.833128080001</v>
      </c>
      <c r="W19" s="26">
        <f>IF($C19="","",IF(DefaultScenario,IF(OR(AND(Default_Exchange="ALL",NOT(ISERROR(MATCH($C19,$AE$6:$AE$37,0)))),$C19=Default_Exchange),IF($G19&gt;0,-LGD,0),0),IF(OR($J19="SWAP",$J19="FUTURE",$J19="CME FUTURE"),IF('Futures &amp; Perps Shifted'!$AE$31,VLOOKUP($M19,'Futures &amp; Perps Shifted'!$AE$32:$AO$76,MATCH($R19,'Futures &amp; Perps Shifted'!$AE$30:$AO$30,0),FALSE),0),0)))</f>
        <v>0</v>
      </c>
      <c r="X19" s="26">
        <f t="shared" si="7"/>
        <v>0</v>
      </c>
      <c r="Y19" s="26" t="str">
        <f t="shared" si="8"/>
        <v>BINE</v>
      </c>
      <c r="Z19" s="26" t="str">
        <f t="shared" si="9"/>
        <v>PERP</v>
      </c>
      <c r="AB19" s="36" t="str">
        <f t="shared" si="10"/>
        <v/>
      </c>
      <c r="AC19" s="42" t="str">
        <f t="shared" si="11"/>
        <v/>
      </c>
      <c r="AD19" s="36"/>
      <c r="AN19" t="str">
        <f t="shared" si="12"/>
        <v>USDT</v>
      </c>
      <c r="AO19">
        <f t="shared" si="13"/>
        <v>1.00009204918451</v>
      </c>
      <c r="AP19">
        <f t="shared" si="14"/>
        <v>18869.5880552655</v>
      </c>
      <c r="AQ19">
        <f t="shared" si="15"/>
        <v>438.16966683949039</v>
      </c>
      <c r="AR19">
        <f t="shared" si="15"/>
        <v>0</v>
      </c>
      <c r="AS19">
        <f t="shared" si="16"/>
        <v>79.246634762373233</v>
      </c>
      <c r="AT19">
        <f t="shared" si="16"/>
        <v>792.46634762452936</v>
      </c>
      <c r="AV19" s="31">
        <f t="shared" si="20"/>
        <v>792466.34762454371</v>
      </c>
      <c r="AW19" s="36">
        <f t="shared" si="17"/>
        <v>0.99990795928776266</v>
      </c>
      <c r="AZ19">
        <f t="shared" si="21"/>
        <v>0</v>
      </c>
    </row>
    <row r="20" spans="1:52" x14ac:dyDescent="0.25">
      <c r="A20">
        <v>18</v>
      </c>
      <c r="B20" s="72">
        <v>44938.916666666664</v>
      </c>
      <c r="C20" t="s">
        <v>32</v>
      </c>
      <c r="D20" t="s">
        <v>33</v>
      </c>
      <c r="E20" t="s">
        <v>34</v>
      </c>
      <c r="F20">
        <v>-1.4123000000000001</v>
      </c>
      <c r="G20" s="1">
        <v>-25561.317002344</v>
      </c>
      <c r="H20">
        <v>18099.0703125</v>
      </c>
      <c r="I20">
        <v>2002.1107440000001</v>
      </c>
      <c r="J20" t="s">
        <v>17</v>
      </c>
      <c r="K20" s="28">
        <v>73050.333333333328</v>
      </c>
      <c r="L20">
        <v>1</v>
      </c>
      <c r="M20" t="s">
        <v>14</v>
      </c>
      <c r="N20" s="48">
        <f t="shared" si="0"/>
        <v>1</v>
      </c>
      <c r="O20" s="46">
        <f t="shared" si="1"/>
        <v>-1.4123000000000001</v>
      </c>
      <c r="P20" s="47">
        <f t="shared" si="2"/>
        <v>-26649.519210451468</v>
      </c>
      <c r="Q20" s="25">
        <f t="shared" si="18"/>
        <v>28111.416666666664</v>
      </c>
      <c r="R20" s="26" t="str">
        <f t="shared" si="3"/>
        <v>PERP</v>
      </c>
      <c r="S20" s="26" t="str">
        <f t="shared" si="19"/>
        <v>SHORT</v>
      </c>
      <c r="T20" s="26" t="str">
        <f t="shared" si="4"/>
        <v>PERP SHORT</v>
      </c>
      <c r="U20" s="26">
        <f t="shared" si="5"/>
        <v>-25561.317002344</v>
      </c>
      <c r="V20" s="26">
        <f t="shared" si="6"/>
        <v>18099.0703125</v>
      </c>
      <c r="W20" s="26">
        <f>IF($C20="","",IF(DefaultScenario,IF(OR(AND(Default_Exchange="ALL",NOT(ISERROR(MATCH($C20,$AE$6:$AE$37,0)))),$C20=Default_Exchange),IF($G20&gt;0,-LGD,0),0),IF(OR($J20="SWAP",$J20="FUTURE",$J20="CME FUTURE"),IF('Futures &amp; Perps Shifted'!$AE$31,VLOOKUP($M20,'Futures &amp; Perps Shifted'!$AE$32:$AO$76,MATCH($R20,'Futures &amp; Perps Shifted'!$AE$30:$AO$30,0),FALSE),0),0)))</f>
        <v>0</v>
      </c>
      <c r="X20" s="26">
        <f t="shared" si="7"/>
        <v>0</v>
      </c>
      <c r="Y20" s="26" t="str">
        <f t="shared" si="8"/>
        <v>DYDX</v>
      </c>
      <c r="Z20" s="26" t="str">
        <f t="shared" si="9"/>
        <v>PERP</v>
      </c>
      <c r="AB20" s="36" t="str">
        <f t="shared" si="10"/>
        <v/>
      </c>
      <c r="AC20" s="42" t="str">
        <f t="shared" si="11"/>
        <v/>
      </c>
      <c r="AD20" s="36"/>
      <c r="AF20" s="42"/>
      <c r="AN20" t="str">
        <f t="shared" si="12"/>
        <v>USDC</v>
      </c>
      <c r="AO20">
        <f t="shared" si="13"/>
        <v>1.0000721496274001</v>
      </c>
      <c r="AP20">
        <f t="shared" si="14"/>
        <v>18869.5880552655</v>
      </c>
      <c r="AQ20">
        <f t="shared" si="15"/>
        <v>-14.121981104325172</v>
      </c>
      <c r="AR20">
        <f t="shared" si="15"/>
        <v>0</v>
      </c>
      <c r="AS20">
        <f t="shared" si="16"/>
        <v>-2.5559472895886013</v>
      </c>
      <c r="AT20">
        <f t="shared" si="16"/>
        <v>-25.559472895896288</v>
      </c>
      <c r="AV20" s="31">
        <f t="shared" si="20"/>
        <v>-25559.472895897779</v>
      </c>
      <c r="AW20" s="36">
        <f t="shared" si="17"/>
        <v>0.99992785557778374</v>
      </c>
      <c r="AZ20">
        <f t="shared" si="21"/>
        <v>0</v>
      </c>
    </row>
    <row r="21" spans="1:52" x14ac:dyDescent="0.25">
      <c r="A21">
        <v>19</v>
      </c>
      <c r="B21" s="72">
        <v>44938.916666666664</v>
      </c>
      <c r="C21" t="s">
        <v>32</v>
      </c>
      <c r="D21" t="s">
        <v>33</v>
      </c>
      <c r="E21" t="s">
        <v>472</v>
      </c>
      <c r="F21">
        <v>-426.6</v>
      </c>
      <c r="G21" s="1">
        <v>-5050.9440650939996</v>
      </c>
      <c r="H21">
        <v>11.840000153</v>
      </c>
      <c r="I21">
        <v>4327.0327079999997</v>
      </c>
      <c r="J21" t="s">
        <v>17</v>
      </c>
      <c r="K21" s="28">
        <v>73050.333333333328</v>
      </c>
      <c r="L21">
        <v>1</v>
      </c>
      <c r="M21" t="s">
        <v>35</v>
      </c>
      <c r="N21" s="48">
        <f t="shared" si="0"/>
        <v>1</v>
      </c>
      <c r="O21" s="46">
        <f t="shared" si="1"/>
        <v>-426.6</v>
      </c>
      <c r="P21" s="47">
        <f t="shared" si="2"/>
        <v>-5236.3835356980007</v>
      </c>
      <c r="Q21" s="25">
        <f t="shared" si="18"/>
        <v>28111.416666666664</v>
      </c>
      <c r="R21" s="26" t="str">
        <f t="shared" si="3"/>
        <v>PERP</v>
      </c>
      <c r="S21" s="26" t="str">
        <f t="shared" si="19"/>
        <v>SHORT</v>
      </c>
      <c r="T21" s="26" t="str">
        <f t="shared" si="4"/>
        <v>PERP SHORT</v>
      </c>
      <c r="U21" s="26">
        <f t="shared" si="5"/>
        <v>-5050.9440650939996</v>
      </c>
      <c r="V21" s="26">
        <f t="shared" si="6"/>
        <v>11.840000153</v>
      </c>
      <c r="W21" s="26">
        <f>IF($C21="","",IF(DefaultScenario,IF(OR(AND(Default_Exchange="ALL",NOT(ISERROR(MATCH($C21,$AE$6:$AE$37,0)))),$C21=Default_Exchange),IF($G21&gt;0,-LGD,0),0),IF(OR($J21="SWAP",$J21="FUTURE",$J21="CME FUTURE"),IF('Futures &amp; Perps Shifted'!$AE$31,VLOOKUP($M21,'Futures &amp; Perps Shifted'!$AE$32:$AO$76,MATCH($R21,'Futures &amp; Perps Shifted'!$AE$30:$AO$30,0),FALSE),0),0)))</f>
        <v>0</v>
      </c>
      <c r="X21" s="26">
        <f t="shared" si="7"/>
        <v>0</v>
      </c>
      <c r="Y21" s="26" t="str">
        <f t="shared" si="8"/>
        <v>DYDX</v>
      </c>
      <c r="Z21" s="26" t="str">
        <f t="shared" si="9"/>
        <v>PERP</v>
      </c>
      <c r="AB21" s="36" t="str">
        <f t="shared" si="10"/>
        <v/>
      </c>
      <c r="AC21" s="42" t="str">
        <f>IF($C81="","",IF($A81="",0,IF($L81=1,($G81/$H81)/#REF!,-1)))</f>
        <v/>
      </c>
      <c r="AD21" s="36"/>
      <c r="AF21" s="42"/>
      <c r="AN21" t="str">
        <f t="shared" si="12"/>
        <v>USDC</v>
      </c>
      <c r="AO21">
        <f t="shared" si="13"/>
        <v>1.0000721496274001</v>
      </c>
      <c r="AP21">
        <f t="shared" si="14"/>
        <v>12.274691832390999</v>
      </c>
      <c r="AQ21">
        <f t="shared" si="15"/>
        <v>-4265.6922318948646</v>
      </c>
      <c r="AR21">
        <f t="shared" si="15"/>
        <v>0</v>
      </c>
      <c r="AS21">
        <f t="shared" si="16"/>
        <v>-0.50505796678288573</v>
      </c>
      <c r="AT21">
        <f t="shared" si="16"/>
        <v>-5.0505796678280985</v>
      </c>
      <c r="AV21" s="31">
        <f t="shared" si="20"/>
        <v>-5050.5796678286142</v>
      </c>
      <c r="AW21" s="36">
        <f t="shared" si="17"/>
        <v>0.99992785561259656</v>
      </c>
      <c r="AZ21">
        <f t="shared" si="21"/>
        <v>0</v>
      </c>
    </row>
    <row r="22" spans="1:52" x14ac:dyDescent="0.25">
      <c r="A22">
        <v>20</v>
      </c>
      <c r="B22" s="72">
        <v>44938.916666666664</v>
      </c>
      <c r="C22" t="s">
        <v>39</v>
      </c>
      <c r="D22" t="s">
        <v>41</v>
      </c>
      <c r="E22" t="s">
        <v>936</v>
      </c>
      <c r="F22">
        <v>-3391</v>
      </c>
      <c r="G22" s="1">
        <v>-339100</v>
      </c>
      <c r="H22">
        <v>18121.599999999999</v>
      </c>
      <c r="I22">
        <v>1.3929805E-2</v>
      </c>
      <c r="J22" t="s">
        <v>17</v>
      </c>
      <c r="K22" s="28">
        <v>73050.333333333328</v>
      </c>
      <c r="L22">
        <v>0</v>
      </c>
      <c r="M22" t="s">
        <v>14</v>
      </c>
      <c r="N22" s="48">
        <f t="shared" si="0"/>
        <v>100</v>
      </c>
      <c r="O22" s="46">
        <f t="shared" si="1"/>
        <v>-18.71247571958326</v>
      </c>
      <c r="P22" s="47">
        <f t="shared" si="2"/>
        <v>-353096.708322694</v>
      </c>
      <c r="Q22" s="25">
        <f t="shared" si="18"/>
        <v>28111.416666666664</v>
      </c>
      <c r="R22" s="26" t="str">
        <f t="shared" si="3"/>
        <v>PERP</v>
      </c>
      <c r="S22" s="26" t="str">
        <f t="shared" si="19"/>
        <v>SHORT</v>
      </c>
      <c r="T22" s="26" t="str">
        <f t="shared" si="4"/>
        <v>PERP SHORT</v>
      </c>
      <c r="U22" s="26">
        <f t="shared" si="5"/>
        <v>-339100</v>
      </c>
      <c r="V22" s="26">
        <f t="shared" si="6"/>
        <v>18121.599999999999</v>
      </c>
      <c r="W22" s="26">
        <f>IF($C22="","",IF(DefaultScenario,IF(OR(AND(Default_Exchange="ALL",NOT(ISERROR(MATCH($C22,$AE$6:$AE$37,0)))),$C22=Default_Exchange),IF($G22&gt;0,-LGD,0),0),IF(OR($J22="SWAP",$J22="FUTURE",$J22="CME FUTURE"),IF('Futures &amp; Perps Shifted'!$AE$31,VLOOKUP($M22,'Futures &amp; Perps Shifted'!$AE$32:$AO$76,MATCH($R22,'Futures &amp; Perps Shifted'!$AE$30:$AO$30,0),FALSE),0),0)))</f>
        <v>0</v>
      </c>
      <c r="X22" s="26">
        <f t="shared" si="7"/>
        <v>0</v>
      </c>
      <c r="Y22" s="26" t="str">
        <f t="shared" si="8"/>
        <v>HUBI</v>
      </c>
      <c r="Z22" s="26" t="str">
        <f t="shared" si="9"/>
        <v>PERP</v>
      </c>
      <c r="AB22" s="36" t="str">
        <f t="shared" si="10"/>
        <v/>
      </c>
      <c r="AC22" s="42" t="str">
        <f>IF($C82="","",IF($A82="",0,IF($L82=1,($G82/$H82)/$F81,-1)))</f>
        <v/>
      </c>
      <c r="AD22" s="36"/>
      <c r="AN22" t="str">
        <f t="shared" si="12"/>
        <v>USD</v>
      </c>
      <c r="AO22">
        <f t="shared" si="13"/>
        <v>1</v>
      </c>
      <c r="AP22">
        <f t="shared" si="14"/>
        <v>18869.5880552655</v>
      </c>
      <c r="AQ22">
        <f t="shared" ref="AQ22:AR41" si="22">IF($C22="","",IF($A22="",0,IF($L22=1,(($H22+AQ$1)-$H22)*$N22*$F22/$AO22,$F22*$N22*(1/($H22)-1/($H22+AQ$1))*$AP22)))</f>
        <v>-194.74106439736963</v>
      </c>
      <c r="AR22">
        <f t="shared" si="22"/>
        <v>0</v>
      </c>
      <c r="AS22">
        <f t="shared" ref="AS22:AT41" si="23">IF($C22="","",IF($A22="",0,IF($L22=1,($H22*(1+AS$1)-$H22)*$N22*$F22/$AO22,$F22*$N22*(1/($H22)-1/($H22*(1+AS$1)))*$AP22)))</f>
        <v>-35.306140218281008</v>
      </c>
      <c r="AT22">
        <f t="shared" si="23"/>
        <v>-352.74396435834387</v>
      </c>
      <c r="AV22" s="31">
        <f t="shared" si="20"/>
        <v>-320997.00756608555</v>
      </c>
      <c r="AW22" s="36">
        <f t="shared" si="17"/>
        <v>0.94661459028630357</v>
      </c>
      <c r="AZ22">
        <f t="shared" si="21"/>
        <v>0</v>
      </c>
    </row>
    <row r="23" spans="1:52" x14ac:dyDescent="0.25">
      <c r="A23">
        <v>21</v>
      </c>
      <c r="B23" s="72">
        <v>44938.916666666664</v>
      </c>
      <c r="C23" t="s">
        <v>39</v>
      </c>
      <c r="D23" t="s">
        <v>41</v>
      </c>
      <c r="E23" t="s">
        <v>836</v>
      </c>
      <c r="F23">
        <v>-149</v>
      </c>
      <c r="G23" s="1">
        <v>-1490</v>
      </c>
      <c r="H23">
        <v>1383.98</v>
      </c>
      <c r="I23">
        <v>1.2433458E-2</v>
      </c>
      <c r="J23" t="s">
        <v>17</v>
      </c>
      <c r="K23" s="28">
        <v>73050.333333333328</v>
      </c>
      <c r="L23">
        <v>0</v>
      </c>
      <c r="M23" t="s">
        <v>15</v>
      </c>
      <c r="N23" s="48">
        <f t="shared" si="0"/>
        <v>10</v>
      </c>
      <c r="O23" s="46">
        <f t="shared" si="1"/>
        <v>-1.0766051532536598</v>
      </c>
      <c r="P23" s="47">
        <f t="shared" si="2"/>
        <v>-1526.5599209784123</v>
      </c>
      <c r="Q23" s="25">
        <f t="shared" si="18"/>
        <v>28111.416666666664</v>
      </c>
      <c r="R23" s="26" t="str">
        <f t="shared" si="3"/>
        <v>PERP</v>
      </c>
      <c r="S23" s="26" t="str">
        <f t="shared" si="19"/>
        <v>SHORT</v>
      </c>
      <c r="T23" s="26" t="str">
        <f t="shared" si="4"/>
        <v>PERP SHORT</v>
      </c>
      <c r="U23" s="26">
        <f t="shared" si="5"/>
        <v>-1490</v>
      </c>
      <c r="V23" s="26">
        <f t="shared" si="6"/>
        <v>1383.98</v>
      </c>
      <c r="W23" s="26">
        <f>IF($C23="","",IF(DefaultScenario,IF(OR(AND(Default_Exchange="ALL",NOT(ISERROR(MATCH($C23,$AE$6:$AE$37,0)))),$C23=Default_Exchange),IF($G23&gt;0,-LGD,0),0),IF(OR($J23="SWAP",$J23="FUTURE",$J23="CME FUTURE"),IF('Futures &amp; Perps Shifted'!$AE$31,VLOOKUP($M23,'Futures &amp; Perps Shifted'!$AE$32:$AO$76,MATCH($R23,'Futures &amp; Perps Shifted'!$AE$30:$AO$30,0),FALSE),0),0)))</f>
        <v>0</v>
      </c>
      <c r="X23" s="26">
        <f t="shared" si="7"/>
        <v>0</v>
      </c>
      <c r="Y23" s="26" t="str">
        <f t="shared" si="8"/>
        <v>HUBI</v>
      </c>
      <c r="Z23" s="26" t="str">
        <f t="shared" si="9"/>
        <v>PERP</v>
      </c>
      <c r="AB23" s="36" t="str">
        <f t="shared" si="10"/>
        <v/>
      </c>
      <c r="AC23" s="42" t="str">
        <f t="shared" ref="AC23:AC52" si="24">IF($C83="","",IF($A83="",0,IF($L83=1,($G83/$H83)/$F83,-1)))</f>
        <v/>
      </c>
      <c r="AD23" s="36"/>
      <c r="AN23" t="str">
        <f t="shared" si="12"/>
        <v>USD</v>
      </c>
      <c r="AO23">
        <f t="shared" si="13"/>
        <v>1</v>
      </c>
      <c r="AP23">
        <f t="shared" si="14"/>
        <v>1417.9385231112101</v>
      </c>
      <c r="AQ23">
        <f t="shared" si="22"/>
        <v>-10.951089118770881</v>
      </c>
      <c r="AR23">
        <f t="shared" si="22"/>
        <v>0</v>
      </c>
      <c r="AS23">
        <f t="shared" si="23"/>
        <v>-0.15264072802497261</v>
      </c>
      <c r="AT23">
        <f t="shared" si="23"/>
        <v>-1.5250348860921943</v>
      </c>
      <c r="AV23" s="31">
        <f t="shared" si="20"/>
        <v>-1387.7817463440113</v>
      </c>
      <c r="AW23" s="36">
        <f t="shared" si="17"/>
        <v>0.93139714519732297</v>
      </c>
      <c r="AZ23">
        <f t="shared" si="21"/>
        <v>0</v>
      </c>
    </row>
    <row r="24" spans="1:52" x14ac:dyDescent="0.25">
      <c r="A24">
        <v>22</v>
      </c>
      <c r="B24" s="72">
        <v>44938.916666666664</v>
      </c>
      <c r="C24" t="s">
        <v>39</v>
      </c>
      <c r="D24" t="s">
        <v>42</v>
      </c>
      <c r="E24" t="s">
        <v>434</v>
      </c>
      <c r="F24">
        <v>0.64600000000000002</v>
      </c>
      <c r="G24" s="1">
        <v>11685.429400000001</v>
      </c>
      <c r="H24">
        <v>18088.900000000001</v>
      </c>
      <c r="I24">
        <v>-20.413599999999999</v>
      </c>
      <c r="J24" t="s">
        <v>17</v>
      </c>
      <c r="K24" s="28">
        <v>73050.333333333328</v>
      </c>
      <c r="L24">
        <v>1</v>
      </c>
      <c r="M24" t="s">
        <v>14</v>
      </c>
      <c r="N24" s="48">
        <f t="shared" si="0"/>
        <v>1</v>
      </c>
      <c r="O24" s="46">
        <f t="shared" si="1"/>
        <v>0.64600000000000002</v>
      </c>
      <c r="P24" s="47">
        <f t="shared" si="2"/>
        <v>12189.753883701513</v>
      </c>
      <c r="Q24" s="25">
        <f t="shared" si="18"/>
        <v>28111.416666666664</v>
      </c>
      <c r="R24" s="26" t="str">
        <f t="shared" si="3"/>
        <v>PERP</v>
      </c>
      <c r="S24" s="26" t="str">
        <f t="shared" si="19"/>
        <v>LONG</v>
      </c>
      <c r="T24" s="26" t="str">
        <f t="shared" si="4"/>
        <v>PERP LONG</v>
      </c>
      <c r="U24" s="26">
        <f t="shared" si="5"/>
        <v>11685.429400000001</v>
      </c>
      <c r="V24" s="26">
        <f t="shared" si="6"/>
        <v>18088.900000000001</v>
      </c>
      <c r="W24" s="26">
        <f>IF($C24="","",IF(DefaultScenario,IF(OR(AND(Default_Exchange="ALL",NOT(ISERROR(MATCH($C24,$AE$6:$AE$37,0)))),$C24=Default_Exchange),IF($G24&gt;0,-LGD,0),0),IF(OR($J24="SWAP",$J24="FUTURE",$J24="CME FUTURE"),IF('Futures &amp; Perps Shifted'!$AE$31,VLOOKUP($M24,'Futures &amp; Perps Shifted'!$AE$32:$AO$76,MATCH($R24,'Futures &amp; Perps Shifted'!$AE$30:$AO$30,0),FALSE),0),0)))</f>
        <v>0</v>
      </c>
      <c r="X24" s="26">
        <f t="shared" si="7"/>
        <v>0</v>
      </c>
      <c r="Y24" s="26" t="str">
        <f t="shared" si="8"/>
        <v>HUBI</v>
      </c>
      <c r="Z24" s="26" t="str">
        <f t="shared" si="9"/>
        <v>PERP</v>
      </c>
      <c r="AB24" s="36" t="str">
        <f t="shared" si="10"/>
        <v/>
      </c>
      <c r="AC24" s="42" t="str">
        <f t="shared" si="24"/>
        <v/>
      </c>
      <c r="AD24" s="36"/>
      <c r="AE24">
        <v>-8468</v>
      </c>
      <c r="AF24">
        <v>19560</v>
      </c>
      <c r="AN24" t="str">
        <f t="shared" si="12"/>
        <v>USDT</v>
      </c>
      <c r="AO24">
        <f t="shared" si="13"/>
        <v>1.00009204918451</v>
      </c>
      <c r="AP24">
        <f t="shared" si="14"/>
        <v>18869.5880552655</v>
      </c>
      <c r="AQ24">
        <f t="shared" si="22"/>
        <v>6.4594054169989459</v>
      </c>
      <c r="AR24">
        <f t="shared" si="22"/>
        <v>0</v>
      </c>
      <c r="AS24">
        <f t="shared" si="23"/>
        <v>1.1684353864756818</v>
      </c>
      <c r="AT24">
        <f t="shared" si="23"/>
        <v>11.684353864754469</v>
      </c>
      <c r="AV24" s="31">
        <f t="shared" si="20"/>
        <v>11684.353864755243</v>
      </c>
      <c r="AW24" s="36">
        <f t="shared" si="17"/>
        <v>0.99990795928776421</v>
      </c>
      <c r="AZ24">
        <f t="shared" si="21"/>
        <v>0</v>
      </c>
    </row>
    <row r="25" spans="1:52" x14ac:dyDescent="0.25">
      <c r="A25">
        <v>23</v>
      </c>
      <c r="B25" s="72">
        <v>44938.916666666664</v>
      </c>
      <c r="C25" t="s">
        <v>39</v>
      </c>
      <c r="D25" t="s">
        <v>42</v>
      </c>
      <c r="E25" t="s">
        <v>839</v>
      </c>
      <c r="F25">
        <v>-0.41</v>
      </c>
      <c r="G25" s="1">
        <v>-568.76840000000004</v>
      </c>
      <c r="H25">
        <v>1387.24</v>
      </c>
      <c r="I25">
        <v>5.0430000000000001</v>
      </c>
      <c r="J25" t="s">
        <v>17</v>
      </c>
      <c r="K25" s="28">
        <v>73050.333333333328</v>
      </c>
      <c r="L25">
        <v>1</v>
      </c>
      <c r="M25" t="s">
        <v>15</v>
      </c>
      <c r="N25" s="48">
        <f t="shared" si="0"/>
        <v>1</v>
      </c>
      <c r="O25" s="46">
        <f t="shared" si="1"/>
        <v>-0.41</v>
      </c>
      <c r="P25" s="47">
        <f t="shared" si="2"/>
        <v>-581.35479447559612</v>
      </c>
      <c r="Q25" s="25">
        <f t="shared" si="18"/>
        <v>28111.416666666664</v>
      </c>
      <c r="R25" s="26" t="str">
        <f t="shared" si="3"/>
        <v>PERP</v>
      </c>
      <c r="S25" s="26" t="str">
        <f t="shared" si="19"/>
        <v>SHORT</v>
      </c>
      <c r="T25" s="26" t="str">
        <f t="shared" si="4"/>
        <v>PERP SHORT</v>
      </c>
      <c r="U25" s="26">
        <f t="shared" si="5"/>
        <v>-568.76840000000004</v>
      </c>
      <c r="V25" s="26">
        <f t="shared" si="6"/>
        <v>1387.24</v>
      </c>
      <c r="W25" s="26">
        <f>IF($C25="","",IF(DefaultScenario,IF(OR(AND(Default_Exchange="ALL",NOT(ISERROR(MATCH($C25,$AE$6:$AE$37,0)))),$C25=Default_Exchange),IF($G25&gt;0,-LGD,0),0),IF(OR($J25="SWAP",$J25="FUTURE",$J25="CME FUTURE"),IF('Futures &amp; Perps Shifted'!$AE$31,VLOOKUP($M25,'Futures &amp; Perps Shifted'!$AE$32:$AO$76,MATCH($R25,'Futures &amp; Perps Shifted'!$AE$30:$AO$30,0),FALSE),0),0)))</f>
        <v>0</v>
      </c>
      <c r="X25" s="26">
        <f t="shared" si="7"/>
        <v>0</v>
      </c>
      <c r="Y25" s="26" t="str">
        <f t="shared" si="8"/>
        <v>HUBI</v>
      </c>
      <c r="Z25" s="26" t="str">
        <f t="shared" si="9"/>
        <v>PERP</v>
      </c>
      <c r="AB25" s="36" t="str">
        <f t="shared" si="10"/>
        <v/>
      </c>
      <c r="AC25" s="42" t="str">
        <f t="shared" si="24"/>
        <v/>
      </c>
      <c r="AD25" s="36"/>
      <c r="AN25" t="str">
        <f t="shared" si="12"/>
        <v>USDT</v>
      </c>
      <c r="AO25">
        <f t="shared" si="13"/>
        <v>1.00009204918451</v>
      </c>
      <c r="AP25">
        <f t="shared" si="14"/>
        <v>1417.9385231112101</v>
      </c>
      <c r="AQ25">
        <f t="shared" si="22"/>
        <v>-4.099622633079826</v>
      </c>
      <c r="AR25">
        <f t="shared" si="22"/>
        <v>0</v>
      </c>
      <c r="AS25">
        <f t="shared" si="23"/>
        <v>-5.6871605015100107E-2</v>
      </c>
      <c r="AT25">
        <f t="shared" si="23"/>
        <v>-0.56871605015128068</v>
      </c>
      <c r="AV25" s="31">
        <f t="shared" si="20"/>
        <v>-568.7160501513664</v>
      </c>
      <c r="AW25" s="36">
        <f t="shared" si="17"/>
        <v>0.99990795928776355</v>
      </c>
      <c r="AZ25">
        <f t="shared" si="21"/>
        <v>0</v>
      </c>
    </row>
    <row r="26" spans="1:52" x14ac:dyDescent="0.25">
      <c r="A26">
        <v>24</v>
      </c>
      <c r="B26" s="72">
        <v>44938.916666666664</v>
      </c>
      <c r="C26" t="s">
        <v>45</v>
      </c>
      <c r="D26" t="s">
        <v>46</v>
      </c>
      <c r="E26" t="s">
        <v>49</v>
      </c>
      <c r="F26">
        <v>51768</v>
      </c>
      <c r="G26" s="1">
        <v>5176800</v>
      </c>
      <c r="H26">
        <v>18107.900000000001</v>
      </c>
      <c r="I26">
        <v>0.42231638799999999</v>
      </c>
      <c r="J26" t="s">
        <v>17</v>
      </c>
      <c r="K26" s="28">
        <v>73050.333333333328</v>
      </c>
      <c r="L26">
        <v>0</v>
      </c>
      <c r="M26" t="s">
        <v>14</v>
      </c>
      <c r="N26" s="48">
        <f t="shared" si="0"/>
        <v>100</v>
      </c>
      <c r="O26" s="46">
        <f t="shared" si="1"/>
        <v>285.88627063325947</v>
      </c>
      <c r="P26" s="47">
        <f t="shared" si="2"/>
        <v>5394556.1575057525</v>
      </c>
      <c r="Q26" s="25">
        <f t="shared" si="18"/>
        <v>28111.416666666664</v>
      </c>
      <c r="R26" s="26" t="str">
        <f t="shared" si="3"/>
        <v>PERP</v>
      </c>
      <c r="S26" s="26" t="str">
        <f t="shared" si="19"/>
        <v>LONG</v>
      </c>
      <c r="T26" s="26" t="str">
        <f t="shared" si="4"/>
        <v>PERP LONG</v>
      </c>
      <c r="U26" s="26">
        <f t="shared" si="5"/>
        <v>5176800</v>
      </c>
      <c r="V26" s="26">
        <f t="shared" si="6"/>
        <v>18107.900000000001</v>
      </c>
      <c r="W26" s="26">
        <f>IF($C26="","",IF(DefaultScenario,IF(OR(AND(Default_Exchange="ALL",NOT(ISERROR(MATCH($C26,$AE$6:$AE$37,0)))),$C26=Default_Exchange),IF($G26&gt;0,-LGD,0),0),IF(OR($J26="SWAP",$J26="FUTURE",$J26="CME FUTURE"),IF('Futures &amp; Perps Shifted'!$AE$31,VLOOKUP($M26,'Futures &amp; Perps Shifted'!$AE$32:$AO$76,MATCH($R26,'Futures &amp; Perps Shifted'!$AE$30:$AO$30,0),FALSE),0),0)))</f>
        <v>0</v>
      </c>
      <c r="X26" s="26">
        <f t="shared" si="7"/>
        <v>0</v>
      </c>
      <c r="Y26" s="26" t="str">
        <f t="shared" si="8"/>
        <v>OKEX</v>
      </c>
      <c r="Z26" s="26" t="str">
        <f t="shared" si="9"/>
        <v>PERP</v>
      </c>
      <c r="AB26" s="36" t="str">
        <f t="shared" si="10"/>
        <v/>
      </c>
      <c r="AC26" s="42" t="str">
        <f t="shared" si="24"/>
        <v/>
      </c>
      <c r="AD26" s="36"/>
      <c r="AN26" t="str">
        <f t="shared" si="12"/>
        <v>USD</v>
      </c>
      <c r="AO26">
        <f t="shared" si="13"/>
        <v>1</v>
      </c>
      <c r="AP26">
        <f t="shared" si="14"/>
        <v>18869.5880552655</v>
      </c>
      <c r="AQ26">
        <f t="shared" si="22"/>
        <v>2977.47319364033</v>
      </c>
      <c r="AR26">
        <f t="shared" si="22"/>
        <v>0</v>
      </c>
      <c r="AS26">
        <f t="shared" si="23"/>
        <v>539.40167558286987</v>
      </c>
      <c r="AT26">
        <f t="shared" si="23"/>
        <v>5389.1669905153603</v>
      </c>
      <c r="AV26" s="31">
        <f t="shared" si="20"/>
        <v>4904141.9613688719</v>
      </c>
      <c r="AW26" s="36">
        <f t="shared" si="17"/>
        <v>0.94733077603323912</v>
      </c>
      <c r="AZ26">
        <f t="shared" si="21"/>
        <v>0</v>
      </c>
    </row>
    <row r="27" spans="1:52" x14ac:dyDescent="0.25">
      <c r="A27">
        <v>25</v>
      </c>
      <c r="B27" s="72">
        <v>44938.916666666664</v>
      </c>
      <c r="C27" t="s">
        <v>45</v>
      </c>
      <c r="D27" t="s">
        <v>46</v>
      </c>
      <c r="E27" t="s">
        <v>474</v>
      </c>
      <c r="F27">
        <v>253470</v>
      </c>
      <c r="G27" s="1">
        <v>2534700</v>
      </c>
      <c r="H27">
        <v>1387.43</v>
      </c>
      <c r="I27">
        <v>-7.4565637440000003</v>
      </c>
      <c r="J27" t="s">
        <v>17</v>
      </c>
      <c r="K27" s="28">
        <v>73050.333333333328</v>
      </c>
      <c r="L27">
        <v>0</v>
      </c>
      <c r="M27" t="s">
        <v>15</v>
      </c>
      <c r="N27" s="48">
        <f t="shared" si="0"/>
        <v>10</v>
      </c>
      <c r="O27" s="46">
        <f t="shared" si="1"/>
        <v>1826.902978889025</v>
      </c>
      <c r="P27" s="47">
        <f t="shared" si="2"/>
        <v>2590436.1117533743</v>
      </c>
      <c r="Q27" s="25">
        <f t="shared" si="18"/>
        <v>28111.416666666664</v>
      </c>
      <c r="R27" s="26" t="str">
        <f t="shared" si="3"/>
        <v>PERP</v>
      </c>
      <c r="S27" s="26" t="str">
        <f t="shared" si="19"/>
        <v>LONG</v>
      </c>
      <c r="T27" s="26" t="str">
        <f t="shared" si="4"/>
        <v>PERP LONG</v>
      </c>
      <c r="U27" s="26">
        <f t="shared" si="5"/>
        <v>2534700</v>
      </c>
      <c r="V27" s="26">
        <f t="shared" si="6"/>
        <v>1387.43</v>
      </c>
      <c r="W27" s="26">
        <f>IF($C27="","",IF(DefaultScenario,IF(OR(AND(Default_Exchange="ALL",NOT(ISERROR(MATCH($C27,$AE$6:$AE$37,0)))),$C27=Default_Exchange),IF($G27&gt;0,-LGD,0),0),IF(OR($J27="SWAP",$J27="FUTURE",$J27="CME FUTURE"),IF('Futures &amp; Perps Shifted'!$AE$31,VLOOKUP($M27,'Futures &amp; Perps Shifted'!$AE$32:$AO$76,MATCH($R27,'Futures &amp; Perps Shifted'!$AE$30:$AO$30,0),FALSE),0),0)))</f>
        <v>0</v>
      </c>
      <c r="X27" s="26">
        <f t="shared" si="7"/>
        <v>0</v>
      </c>
      <c r="Y27" s="26" t="str">
        <f t="shared" si="8"/>
        <v>OKEX</v>
      </c>
      <c r="Z27" s="26" t="str">
        <f t="shared" si="9"/>
        <v>PERP</v>
      </c>
      <c r="AB27" s="36" t="str">
        <f t="shared" si="10"/>
        <v/>
      </c>
      <c r="AC27" s="42" t="str">
        <f t="shared" si="24"/>
        <v/>
      </c>
      <c r="AD27" s="36"/>
      <c r="AN27" t="str">
        <f t="shared" si="12"/>
        <v>USD</v>
      </c>
      <c r="AO27">
        <f t="shared" si="13"/>
        <v>1</v>
      </c>
      <c r="AP27">
        <f t="shared" si="14"/>
        <v>1417.9385231112101</v>
      </c>
      <c r="AQ27">
        <f t="shared" si="22"/>
        <v>18537.143983980361</v>
      </c>
      <c r="AR27">
        <f t="shared" si="22"/>
        <v>0</v>
      </c>
      <c r="AS27">
        <f t="shared" si="23"/>
        <v>259.01770940432817</v>
      </c>
      <c r="AT27">
        <f t="shared" si="23"/>
        <v>2587.848263489248</v>
      </c>
      <c r="AV27" s="31">
        <f t="shared" si="20"/>
        <v>2354941.9197757961</v>
      </c>
      <c r="AW27" s="36">
        <f t="shared" si="17"/>
        <v>0.92908112193782155</v>
      </c>
      <c r="AZ27">
        <f t="shared" si="21"/>
        <v>0</v>
      </c>
    </row>
    <row r="28" spans="1:52" x14ac:dyDescent="0.25">
      <c r="A28">
        <v>26</v>
      </c>
      <c r="B28" s="72">
        <v>44938.916666666664</v>
      </c>
      <c r="C28" t="s">
        <v>45</v>
      </c>
      <c r="D28" t="s">
        <v>46</v>
      </c>
      <c r="E28" t="s">
        <v>47</v>
      </c>
      <c r="F28">
        <v>79404</v>
      </c>
      <c r="G28" s="1">
        <v>14377840.766630201</v>
      </c>
      <c r="H28">
        <v>18107.2</v>
      </c>
      <c r="I28">
        <v>54412.331657442002</v>
      </c>
      <c r="J28" t="s">
        <v>17</v>
      </c>
      <c r="K28" s="28">
        <v>73050.333333333328</v>
      </c>
      <c r="L28">
        <v>1</v>
      </c>
      <c r="M28" t="s">
        <v>14</v>
      </c>
      <c r="N28" s="48">
        <f t="shared" si="0"/>
        <v>0.01</v>
      </c>
      <c r="O28" s="46">
        <f t="shared" si="1"/>
        <v>794.04</v>
      </c>
      <c r="P28" s="47">
        <f t="shared" si="2"/>
        <v>14983207.699403016</v>
      </c>
      <c r="Q28" s="25">
        <f t="shared" si="18"/>
        <v>28111.416666666664</v>
      </c>
      <c r="R28" s="26" t="str">
        <f t="shared" si="3"/>
        <v>PERP</v>
      </c>
      <c r="S28" s="26" t="str">
        <f t="shared" si="19"/>
        <v>LONG</v>
      </c>
      <c r="T28" s="26" t="str">
        <f t="shared" si="4"/>
        <v>PERP LONG</v>
      </c>
      <c r="U28" s="26">
        <f t="shared" si="5"/>
        <v>14377840.766630201</v>
      </c>
      <c r="V28" s="26">
        <f t="shared" si="6"/>
        <v>18107.2</v>
      </c>
      <c r="W28" s="26">
        <f>IF($C28="","",IF(DefaultScenario,IF(OR(AND(Default_Exchange="ALL",NOT(ISERROR(MATCH($C28,$AE$6:$AE$37,0)))),$C28=Default_Exchange),IF($G28&gt;0,-LGD,0),0),IF(OR($J28="SWAP",$J28="FUTURE",$J28="CME FUTURE"),IF('Futures &amp; Perps Shifted'!$AE$31,VLOOKUP($M28,'Futures &amp; Perps Shifted'!$AE$32:$AO$76,MATCH($R28,'Futures &amp; Perps Shifted'!$AE$30:$AO$30,0),FALSE),0),0)))</f>
        <v>0</v>
      </c>
      <c r="X28" s="26">
        <f t="shared" si="7"/>
        <v>0</v>
      </c>
      <c r="Y28" s="26" t="str">
        <f t="shared" si="8"/>
        <v>OKEX</v>
      </c>
      <c r="Z28" s="26" t="str">
        <f t="shared" si="9"/>
        <v>PERP</v>
      </c>
      <c r="AB28" s="36" t="str">
        <f t="shared" si="10"/>
        <v/>
      </c>
      <c r="AC28" s="42" t="str">
        <f t="shared" si="24"/>
        <v/>
      </c>
      <c r="AD28" s="36"/>
      <c r="AN28" t="str">
        <f t="shared" si="12"/>
        <v>USDT</v>
      </c>
      <c r="AO28">
        <f t="shared" si="13"/>
        <v>1.00009204918451</v>
      </c>
      <c r="AP28">
        <f t="shared" si="14"/>
        <v>18869.5880552655</v>
      </c>
      <c r="AQ28">
        <f t="shared" si="22"/>
        <v>7939.6691599285496</v>
      </c>
      <c r="AR28">
        <f t="shared" si="22"/>
        <v>0</v>
      </c>
      <c r="AS28">
        <f t="shared" si="23"/>
        <v>1437.6517741276232</v>
      </c>
      <c r="AT28">
        <f t="shared" si="23"/>
        <v>14376.517741264679</v>
      </c>
      <c r="AV28" s="31">
        <f t="shared" si="20"/>
        <v>14376517.741265832</v>
      </c>
      <c r="AW28" s="36">
        <f t="shared" si="17"/>
        <v>0.99990798163744865</v>
      </c>
      <c r="AZ28">
        <f t="shared" si="21"/>
        <v>0</v>
      </c>
    </row>
    <row r="29" spans="1:52" x14ac:dyDescent="0.25">
      <c r="A29">
        <v>27</v>
      </c>
      <c r="B29" s="72">
        <v>44938.916666666664</v>
      </c>
      <c r="C29" t="s">
        <v>45</v>
      </c>
      <c r="D29" t="s">
        <v>46</v>
      </c>
      <c r="E29" t="s">
        <v>475</v>
      </c>
      <c r="F29">
        <v>82157</v>
      </c>
      <c r="G29" s="1">
        <v>11400187.646876</v>
      </c>
      <c r="H29">
        <v>1387.61</v>
      </c>
      <c r="I29">
        <v>-52344.481048977003</v>
      </c>
      <c r="J29" t="s">
        <v>17</v>
      </c>
      <c r="K29" s="28">
        <v>73050.333333333328</v>
      </c>
      <c r="L29">
        <v>1</v>
      </c>
      <c r="M29" t="s">
        <v>15</v>
      </c>
      <c r="N29" s="48">
        <f t="shared" si="0"/>
        <v>0.1</v>
      </c>
      <c r="O29" s="46">
        <f t="shared" si="1"/>
        <v>8215.7000000000007</v>
      </c>
      <c r="P29" s="47">
        <f t="shared" si="2"/>
        <v>11649357.524324769</v>
      </c>
      <c r="Q29" s="25">
        <f t="shared" si="18"/>
        <v>28111.416666666664</v>
      </c>
      <c r="R29" s="26" t="str">
        <f t="shared" si="3"/>
        <v>PERP</v>
      </c>
      <c r="S29" s="26" t="str">
        <f t="shared" si="19"/>
        <v>LONG</v>
      </c>
      <c r="T29" s="26" t="str">
        <f t="shared" si="4"/>
        <v>PERP LONG</v>
      </c>
      <c r="U29" s="26">
        <f t="shared" si="5"/>
        <v>11400187.646876</v>
      </c>
      <c r="V29" s="26">
        <f t="shared" si="6"/>
        <v>1387.61</v>
      </c>
      <c r="W29" s="26">
        <f>IF($C29="","",IF(DefaultScenario,IF(OR(AND(Default_Exchange="ALL",NOT(ISERROR(MATCH($C29,$AE$6:$AE$37,0)))),$C29=Default_Exchange),IF($G29&gt;0,-LGD,0),0),IF(OR($J29="SWAP",$J29="FUTURE",$J29="CME FUTURE"),IF('Futures &amp; Perps Shifted'!$AE$31,VLOOKUP($M29,'Futures &amp; Perps Shifted'!$AE$32:$AO$76,MATCH($R29,'Futures &amp; Perps Shifted'!$AE$30:$AO$30,0),FALSE),0),0)))</f>
        <v>0</v>
      </c>
      <c r="X29" s="26">
        <f t="shared" si="7"/>
        <v>0</v>
      </c>
      <c r="Y29" s="26" t="str">
        <f t="shared" si="8"/>
        <v>OKEX</v>
      </c>
      <c r="Z29" s="26" t="str">
        <f t="shared" si="9"/>
        <v>PERP</v>
      </c>
      <c r="AB29" s="36" t="str">
        <f t="shared" si="10"/>
        <v/>
      </c>
      <c r="AC29" s="42" t="str">
        <f t="shared" si="24"/>
        <v/>
      </c>
      <c r="AD29" s="42"/>
      <c r="AF29" s="42"/>
      <c r="AN29" t="str">
        <f t="shared" si="12"/>
        <v>USDT</v>
      </c>
      <c r="AO29">
        <f t="shared" si="13"/>
        <v>1.00009204918451</v>
      </c>
      <c r="AP29">
        <f t="shared" si="14"/>
        <v>1417.9385231112101</v>
      </c>
      <c r="AQ29">
        <f t="shared" si="22"/>
        <v>82149.438211204702</v>
      </c>
      <c r="AR29">
        <f t="shared" si="22"/>
        <v>0</v>
      </c>
      <c r="AS29">
        <f t="shared" si="23"/>
        <v>1139.9138195619332</v>
      </c>
      <c r="AT29">
        <f t="shared" si="23"/>
        <v>11399.138195623069</v>
      </c>
      <c r="AV29" s="31">
        <f t="shared" si="20"/>
        <v>11399138.19562499</v>
      </c>
      <c r="AW29" s="36">
        <f t="shared" si="17"/>
        <v>0.99990794438797703</v>
      </c>
      <c r="AZ29">
        <f t="shared" si="21"/>
        <v>0</v>
      </c>
    </row>
    <row r="30" spans="1:52" x14ac:dyDescent="0.25">
      <c r="A30">
        <v>28</v>
      </c>
      <c r="B30" s="72">
        <v>44938.916666666664</v>
      </c>
      <c r="C30" t="s">
        <v>45</v>
      </c>
      <c r="D30" t="s">
        <v>46</v>
      </c>
      <c r="E30" t="s">
        <v>948</v>
      </c>
      <c r="F30">
        <v>5176</v>
      </c>
      <c r="G30" s="1">
        <v>721772.50675524794</v>
      </c>
      <c r="H30">
        <v>1394.46</v>
      </c>
      <c r="I30">
        <v>39943.057889452</v>
      </c>
      <c r="J30" t="s">
        <v>13</v>
      </c>
      <c r="K30" s="28">
        <v>45016.333333333336</v>
      </c>
      <c r="L30">
        <v>1</v>
      </c>
      <c r="M30" t="s">
        <v>15</v>
      </c>
      <c r="N30" s="48">
        <f t="shared" si="0"/>
        <v>0.1</v>
      </c>
      <c r="O30" s="46">
        <f t="shared" si="1"/>
        <v>517.6</v>
      </c>
      <c r="P30" s="47">
        <f t="shared" si="2"/>
        <v>733924.97956236242</v>
      </c>
      <c r="Q30" s="25">
        <f t="shared" si="18"/>
        <v>77.416666666671517</v>
      </c>
      <c r="R30" s="26" t="str">
        <f t="shared" si="3"/>
        <v>Mar 23</v>
      </c>
      <c r="S30" s="26" t="str">
        <f t="shared" si="19"/>
        <v>LONG</v>
      </c>
      <c r="T30" s="26" t="str">
        <f t="shared" si="4"/>
        <v>Mar 23 LONG</v>
      </c>
      <c r="U30" s="26">
        <f t="shared" si="5"/>
        <v>728990.23182280047</v>
      </c>
      <c r="V30" s="26">
        <f t="shared" si="6"/>
        <v>1408.4046000000001</v>
      </c>
      <c r="W30" s="26">
        <f>IF($C30="","",IF(DefaultScenario,IF(OR(AND(Default_Exchange="ALL",NOT(ISERROR(MATCH($C30,$AE$6:$AE$37,0)))),$C30=Default_Exchange),IF($G30&gt;0,-LGD,0),0),IF(OR($J30="SWAP",$J30="FUTURE",$J30="CME FUTURE"),IF('Futures &amp; Perps Shifted'!$AE$31,VLOOKUP($M30,'Futures &amp; Perps Shifted'!$AE$32:$AO$76,MATCH($R30,'Futures &amp; Perps Shifted'!$AE$30:$AO$30,0),FALSE),0),0)))</f>
        <v>0.01</v>
      </c>
      <c r="X30" s="26">
        <f t="shared" si="7"/>
        <v>7217.7250675525283</v>
      </c>
      <c r="Y30" s="26" t="str">
        <f t="shared" si="8"/>
        <v>OKEX</v>
      </c>
      <c r="Z30" s="26" t="str">
        <f t="shared" si="9"/>
        <v>M3</v>
      </c>
      <c r="AB30" s="36" t="str">
        <f t="shared" si="10"/>
        <v/>
      </c>
      <c r="AC30" s="42" t="str">
        <f t="shared" si="24"/>
        <v/>
      </c>
      <c r="AD30" s="36"/>
      <c r="AN30" t="str">
        <f t="shared" si="12"/>
        <v>USDT</v>
      </c>
      <c r="AO30">
        <f t="shared" si="13"/>
        <v>1.00009204918451</v>
      </c>
      <c r="AP30">
        <f t="shared" si="14"/>
        <v>1417.9385231112101</v>
      </c>
      <c r="AQ30">
        <f t="shared" si="22"/>
        <v>5175.523597273459</v>
      </c>
      <c r="AR30">
        <f t="shared" si="22"/>
        <v>0</v>
      </c>
      <c r="AS30">
        <f t="shared" si="23"/>
        <v>72.170606354491426</v>
      </c>
      <c r="AT30">
        <f t="shared" si="23"/>
        <v>721.70606354526717</v>
      </c>
      <c r="AV30" s="31">
        <f t="shared" si="20"/>
        <v>721706.0635453955</v>
      </c>
      <c r="AW30" s="36">
        <f t="shared" si="17"/>
        <v>0.9999079443879747</v>
      </c>
      <c r="AZ30">
        <f t="shared" si="21"/>
        <v>721.70606354526717</v>
      </c>
    </row>
    <row r="31" spans="1:52" x14ac:dyDescent="0.25">
      <c r="A31">
        <v>29</v>
      </c>
      <c r="B31" s="72">
        <v>44938.916666666664</v>
      </c>
      <c r="C31" t="s">
        <v>45</v>
      </c>
      <c r="D31" t="s">
        <v>46</v>
      </c>
      <c r="E31" t="s">
        <v>962</v>
      </c>
      <c r="F31">
        <v>717</v>
      </c>
      <c r="G31" s="1">
        <v>100017.916490383</v>
      </c>
      <c r="H31">
        <v>1394.95</v>
      </c>
      <c r="I31">
        <v>4057.562043167</v>
      </c>
      <c r="J31" t="s">
        <v>13</v>
      </c>
      <c r="K31" s="28">
        <v>45107.333333333336</v>
      </c>
      <c r="L31">
        <v>1</v>
      </c>
      <c r="M31" t="s">
        <v>15</v>
      </c>
      <c r="N31" s="48">
        <f t="shared" si="0"/>
        <v>0.1</v>
      </c>
      <c r="O31" s="46">
        <f t="shared" si="1"/>
        <v>71.7</v>
      </c>
      <c r="P31" s="47">
        <f t="shared" si="2"/>
        <v>101666.19210707377</v>
      </c>
      <c r="Q31" s="25">
        <f t="shared" si="18"/>
        <v>168.41666666667152</v>
      </c>
      <c r="R31" s="26" t="str">
        <f t="shared" si="3"/>
        <v>Jun 23</v>
      </c>
      <c r="S31" s="26" t="str">
        <f t="shared" si="19"/>
        <v>LONG</v>
      </c>
      <c r="T31" s="26" t="str">
        <f t="shared" si="4"/>
        <v>Jun 23 LONG</v>
      </c>
      <c r="U31" s="26">
        <f t="shared" si="5"/>
        <v>101018.09565528683</v>
      </c>
      <c r="V31" s="26">
        <f t="shared" si="6"/>
        <v>1408.8995</v>
      </c>
      <c r="W31" s="26">
        <f>IF($C31="","",IF(DefaultScenario,IF(OR(AND(Default_Exchange="ALL",NOT(ISERROR(MATCH($C31,$AE$6:$AE$37,0)))),$C31=Default_Exchange),IF($G31&gt;0,-LGD,0),0),IF(OR($J31="SWAP",$J31="FUTURE",$J31="CME FUTURE"),IF('Futures &amp; Perps Shifted'!$AE$31,VLOOKUP($M31,'Futures &amp; Perps Shifted'!$AE$32:$AO$76,MATCH($R31,'Futures &amp; Perps Shifted'!$AE$30:$AO$30,0),FALSE),0),0)))</f>
        <v>0.01</v>
      </c>
      <c r="X31" s="26">
        <f t="shared" si="7"/>
        <v>1000.179164903835</v>
      </c>
      <c r="Y31" s="26" t="str">
        <f t="shared" si="8"/>
        <v>OKEX</v>
      </c>
      <c r="Z31" s="26" t="str">
        <f t="shared" si="9"/>
        <v>M6</v>
      </c>
      <c r="AB31" s="36" t="str">
        <f t="shared" si="10"/>
        <v/>
      </c>
      <c r="AC31" s="42" t="str">
        <f t="shared" si="24"/>
        <v/>
      </c>
      <c r="AD31" s="36"/>
      <c r="AN31" t="str">
        <f t="shared" si="12"/>
        <v>USDT</v>
      </c>
      <c r="AO31">
        <f t="shared" si="13"/>
        <v>1.00009204918451</v>
      </c>
      <c r="AP31">
        <f t="shared" si="14"/>
        <v>1417.9385231112101</v>
      </c>
      <c r="AQ31">
        <f t="shared" si="22"/>
        <v>716.93400680932575</v>
      </c>
      <c r="AR31">
        <f t="shared" si="22"/>
        <v>0</v>
      </c>
      <c r="AS31">
        <f t="shared" si="23"/>
        <v>10.000870927979314</v>
      </c>
      <c r="AT31">
        <f t="shared" si="23"/>
        <v>100.00870927985834</v>
      </c>
      <c r="AV31" s="31">
        <f t="shared" si="20"/>
        <v>100008.70927986698</v>
      </c>
      <c r="AW31" s="36">
        <f t="shared" si="17"/>
        <v>0.9999079443879747</v>
      </c>
      <c r="AZ31">
        <f t="shared" si="21"/>
        <v>100.00870927985834</v>
      </c>
    </row>
    <row r="32" spans="1:52" x14ac:dyDescent="0.25">
      <c r="A32">
        <v>30</v>
      </c>
      <c r="B32" s="72">
        <v>44938.916666666664</v>
      </c>
      <c r="C32" t="s">
        <v>45</v>
      </c>
      <c r="D32" t="s">
        <v>46</v>
      </c>
      <c r="E32" t="s">
        <v>473</v>
      </c>
      <c r="F32">
        <v>-2250</v>
      </c>
      <c r="G32" s="1">
        <v>-21550.5</v>
      </c>
      <c r="H32">
        <v>0.95779999999999998</v>
      </c>
      <c r="I32">
        <v>-36.667999999999999</v>
      </c>
      <c r="J32" t="s">
        <v>17</v>
      </c>
      <c r="K32" s="28">
        <v>73050.333333333328</v>
      </c>
      <c r="L32">
        <v>1</v>
      </c>
      <c r="M32" t="s">
        <v>23</v>
      </c>
      <c r="N32" s="48">
        <f t="shared" si="0"/>
        <v>10</v>
      </c>
      <c r="O32" s="46">
        <f t="shared" si="1"/>
        <v>-22500</v>
      </c>
      <c r="P32" s="47">
        <f t="shared" si="2"/>
        <v>-22280.455728156194</v>
      </c>
      <c r="Q32" s="25">
        <f t="shared" si="18"/>
        <v>28111.416666666664</v>
      </c>
      <c r="R32" s="26" t="str">
        <f t="shared" si="3"/>
        <v>PERP</v>
      </c>
      <c r="S32" s="26" t="str">
        <f t="shared" si="19"/>
        <v>SHORT</v>
      </c>
      <c r="T32" s="26" t="str">
        <f t="shared" si="4"/>
        <v>PERP SHORT</v>
      </c>
      <c r="U32" s="26">
        <f t="shared" si="5"/>
        <v>-21550.5</v>
      </c>
      <c r="V32" s="26">
        <f t="shared" si="6"/>
        <v>0.95779999999999998</v>
      </c>
      <c r="W32" s="26">
        <f>IF($C32="","",IF(DefaultScenario,IF(OR(AND(Default_Exchange="ALL",NOT(ISERROR(MATCH($C32,$AE$6:$AE$37,0)))),$C32=Default_Exchange),IF($G32&gt;0,-LGD,0),0),IF(OR($J32="SWAP",$J32="FUTURE",$J32="CME FUTURE"),IF('Futures &amp; Perps Shifted'!$AE$31,VLOOKUP($M32,'Futures &amp; Perps Shifted'!$AE$32:$AO$76,MATCH($R32,'Futures &amp; Perps Shifted'!$AE$30:$AO$30,0),FALSE),0),0)))</f>
        <v>0</v>
      </c>
      <c r="X32" s="26">
        <f t="shared" si="7"/>
        <v>0</v>
      </c>
      <c r="Y32" s="26" t="str">
        <f t="shared" si="8"/>
        <v>OKEX</v>
      </c>
      <c r="Z32" s="26" t="str">
        <f t="shared" si="9"/>
        <v>PERP</v>
      </c>
      <c r="AB32" s="36" t="str">
        <f t="shared" si="10"/>
        <v/>
      </c>
      <c r="AC32" s="42" t="str">
        <f t="shared" si="24"/>
        <v/>
      </c>
      <c r="AD32" s="36"/>
      <c r="AE32" t="s">
        <v>14</v>
      </c>
      <c r="AF32">
        <f t="shared" ref="AF32:AF50" si="25">SUMIF($M$2:$M$123,"="&amp;$AE32,$H$2:$H$123)/COUNTIF($M$2:$M$123,"="&amp;$AE32)</f>
        <v>18277.985041902943</v>
      </c>
      <c r="AH32">
        <v>-12.04</v>
      </c>
      <c r="AJ32">
        <f>AH32*AF32</f>
        <v>-220066.93990451141</v>
      </c>
      <c r="AN32" t="str">
        <f t="shared" si="12"/>
        <v>USDT</v>
      </c>
      <c r="AO32">
        <f t="shared" si="13"/>
        <v>1.00009204918451</v>
      </c>
      <c r="AP32">
        <f t="shared" si="14"/>
        <v>0.990242476806942</v>
      </c>
      <c r="AQ32">
        <f t="shared" si="22"/>
        <v>-224979.29083974657</v>
      </c>
      <c r="AR32">
        <f t="shared" si="22"/>
        <v>0</v>
      </c>
      <c r="AS32">
        <f t="shared" si="23"/>
        <v>-2.1548516476628623</v>
      </c>
      <c r="AT32">
        <f t="shared" si="23"/>
        <v>-21.548516476628624</v>
      </c>
      <c r="AV32" s="31">
        <f t="shared" si="20"/>
        <v>-21548.516476630914</v>
      </c>
      <c r="AW32" s="36">
        <f t="shared" si="17"/>
        <v>0.99990795928776199</v>
      </c>
      <c r="AZ32">
        <f t="shared" si="21"/>
        <v>0</v>
      </c>
    </row>
    <row r="33" spans="1:52" x14ac:dyDescent="0.25">
      <c r="A33">
        <v>31</v>
      </c>
      <c r="B33" s="72">
        <v>44938.916666666664</v>
      </c>
      <c r="C33" t="s">
        <v>45</v>
      </c>
      <c r="D33" t="s">
        <v>46</v>
      </c>
      <c r="E33" t="s">
        <v>943</v>
      </c>
      <c r="F33">
        <v>-91454</v>
      </c>
      <c r="G33" s="1">
        <v>-9145400</v>
      </c>
      <c r="H33">
        <v>18209.599999999999</v>
      </c>
      <c r="I33">
        <v>-20.628144206999998</v>
      </c>
      <c r="J33" t="s">
        <v>13</v>
      </c>
      <c r="K33" s="28">
        <v>45016.333333333336</v>
      </c>
      <c r="L33">
        <v>0</v>
      </c>
      <c r="M33" t="s">
        <v>14</v>
      </c>
      <c r="N33" s="48">
        <f t="shared" si="0"/>
        <v>100</v>
      </c>
      <c r="O33" s="46">
        <f t="shared" si="1"/>
        <v>-502.22959318161855</v>
      </c>
      <c r="P33" s="47">
        <f t="shared" si="2"/>
        <v>-9476865.5325007215</v>
      </c>
      <c r="Q33" s="25">
        <f t="shared" si="18"/>
        <v>77.416666666671517</v>
      </c>
      <c r="R33" s="26" t="str">
        <f t="shared" si="3"/>
        <v>Mar 23</v>
      </c>
      <c r="S33" s="26" t="str">
        <f t="shared" si="19"/>
        <v>SHORT</v>
      </c>
      <c r="T33" s="26" t="str">
        <f t="shared" si="4"/>
        <v>Mar 23 SHORT</v>
      </c>
      <c r="U33" s="26">
        <f t="shared" si="5"/>
        <v>-9236854</v>
      </c>
      <c r="V33" s="26">
        <f t="shared" si="6"/>
        <v>18391.696</v>
      </c>
      <c r="W33" s="26">
        <f>IF($C33="","",IF(DefaultScenario,IF(OR(AND(Default_Exchange="ALL",NOT(ISERROR(MATCH($C33,$AE$6:$AE$37,0)))),$C33=Default_Exchange),IF($G33&gt;0,-LGD,0),0),IF(OR($J33="SWAP",$J33="FUTURE",$J33="CME FUTURE"),IF('Futures &amp; Perps Shifted'!$AE$31,VLOOKUP($M33,'Futures &amp; Perps Shifted'!$AE$32:$AO$76,MATCH($R33,'Futures &amp; Perps Shifted'!$AE$30:$AO$30,0),FALSE),0),0)))</f>
        <v>0.01</v>
      </c>
      <c r="X33" s="26">
        <f t="shared" si="7"/>
        <v>-91454</v>
      </c>
      <c r="Y33" s="26" t="str">
        <f t="shared" si="8"/>
        <v>OKEX</v>
      </c>
      <c r="Z33" s="26" t="str">
        <f t="shared" si="9"/>
        <v>M3</v>
      </c>
      <c r="AB33" s="36" t="str">
        <f t="shared" si="10"/>
        <v/>
      </c>
      <c r="AC33" s="42" t="str">
        <f t="shared" si="24"/>
        <v/>
      </c>
      <c r="AD33" s="36"/>
      <c r="AE33" t="s">
        <v>35</v>
      </c>
      <c r="AF33">
        <f t="shared" si="25"/>
        <v>11.840000153</v>
      </c>
      <c r="AJ33">
        <f t="shared" ref="AJ33:AJ54" si="26">AH33*AF33</f>
        <v>0</v>
      </c>
      <c r="AN33" t="str">
        <f t="shared" si="12"/>
        <v>USD</v>
      </c>
      <c r="AO33">
        <f t="shared" si="13"/>
        <v>1</v>
      </c>
      <c r="AP33">
        <f t="shared" si="14"/>
        <v>18869.5880552655</v>
      </c>
      <c r="AQ33">
        <f t="shared" si="22"/>
        <v>-5201.4673936314084</v>
      </c>
      <c r="AR33">
        <f t="shared" si="22"/>
        <v>0</v>
      </c>
      <c r="AS33">
        <f t="shared" si="23"/>
        <v>-947.59179407183342</v>
      </c>
      <c r="AT33">
        <f t="shared" si="23"/>
        <v>-9467.3981343659998</v>
      </c>
      <c r="AV33" s="31">
        <f t="shared" si="20"/>
        <v>-8615332.3022733983</v>
      </c>
      <c r="AW33" s="36">
        <f t="shared" si="17"/>
        <v>0.94203996569569382</v>
      </c>
      <c r="AZ33">
        <f t="shared" si="21"/>
        <v>-9467.3981343659998</v>
      </c>
    </row>
    <row r="34" spans="1:52" x14ac:dyDescent="0.25">
      <c r="A34">
        <v>32</v>
      </c>
      <c r="B34" s="72">
        <v>44938.916666666664</v>
      </c>
      <c r="C34" t="s">
        <v>45</v>
      </c>
      <c r="D34" t="s">
        <v>46</v>
      </c>
      <c r="E34" t="s">
        <v>944</v>
      </c>
      <c r="F34">
        <v>-3192</v>
      </c>
      <c r="G34" s="1">
        <v>-319200</v>
      </c>
      <c r="H34">
        <v>18290.599999999999</v>
      </c>
      <c r="I34">
        <v>-0.190820879</v>
      </c>
      <c r="J34" t="s">
        <v>13</v>
      </c>
      <c r="K34" s="28">
        <v>45107.333333333336</v>
      </c>
      <c r="L34">
        <v>0</v>
      </c>
      <c r="M34" t="s">
        <v>14</v>
      </c>
      <c r="N34" s="48">
        <f t="shared" si="0"/>
        <v>100</v>
      </c>
      <c r="O34" s="46">
        <f t="shared" ref="O34:O68" si="27">IF($C34="","",IF($A34="",0,IF($L34=1,$F34*$N34,$AA$6*$F34*$N34/$H34)))</f>
        <v>-17.451587154057275</v>
      </c>
      <c r="P34" s="47">
        <f t="shared" ref="P34:P58" si="28">IF($C34="","",IF($A34="",0,IF(NOT(ISERROR(VLOOKUP($M34,SpotUSDRateTable,2,FALSE))),VLOOKUP($M34,SpotUSDRateTable,2,FALSE),$H34)*O34))</f>
        <v>-329304.26050762401</v>
      </c>
      <c r="Q34" s="25">
        <f t="shared" si="18"/>
        <v>168.41666666667152</v>
      </c>
      <c r="R34" s="26" t="str">
        <f t="shared" si="3"/>
        <v>Jun 23</v>
      </c>
      <c r="S34" s="26" t="str">
        <f t="shared" si="19"/>
        <v>SHORT</v>
      </c>
      <c r="T34" s="26" t="str">
        <f t="shared" si="4"/>
        <v>Jun 23 SHORT</v>
      </c>
      <c r="U34" s="26">
        <f t="shared" si="5"/>
        <v>-322392</v>
      </c>
      <c r="V34" s="26">
        <f t="shared" si="6"/>
        <v>18473.505999999998</v>
      </c>
      <c r="W34" s="26">
        <f>IF($C34="","",IF(DefaultScenario,IF(OR(AND(Default_Exchange="ALL",NOT(ISERROR(MATCH($C34,$AE$6:$AE$37,0)))),$C34=Default_Exchange),IF($G34&gt;0,-LGD,0),0),IF(OR($J34="SWAP",$J34="FUTURE",$J34="CME FUTURE"),IF('Futures &amp; Perps Shifted'!$AE$31,VLOOKUP($M34,'Futures &amp; Perps Shifted'!$AE$32:$AO$76,MATCH($R34,'Futures &amp; Perps Shifted'!$AE$30:$AO$30,0),FALSE),0),0)))</f>
        <v>0.01</v>
      </c>
      <c r="X34" s="26">
        <f t="shared" si="7"/>
        <v>-3192</v>
      </c>
      <c r="Y34" s="26" t="str">
        <f t="shared" si="8"/>
        <v>OKEX</v>
      </c>
      <c r="Z34" s="26" t="str">
        <f t="shared" si="9"/>
        <v>M6</v>
      </c>
      <c r="AA34" s="9"/>
      <c r="AB34" s="36" t="str">
        <f t="shared" ref="AB34:AB52" si="29">IF($C94="","",(O94*H94-G94)/G94)</f>
        <v/>
      </c>
      <c r="AC34" s="42" t="str">
        <f t="shared" si="24"/>
        <v/>
      </c>
      <c r="AD34" s="36"/>
      <c r="AE34" t="s">
        <v>19</v>
      </c>
      <c r="AF34">
        <f t="shared" si="25"/>
        <v>7.7844999999999995</v>
      </c>
      <c r="AJ34">
        <f t="shared" si="26"/>
        <v>0</v>
      </c>
      <c r="AN34" t="str">
        <f t="shared" si="12"/>
        <v>USD</v>
      </c>
      <c r="AO34">
        <f t="shared" ref="AO34:AO62" si="30">VLOOKUP($AN34,SpotUSDRateTable,2,FALSE)</f>
        <v>1</v>
      </c>
      <c r="AP34">
        <f t="shared" ref="AP34:AP62" si="31">VLOOKUP($M34,SpotUSDRateTable,2,FALSE)</f>
        <v>18869.5880552655</v>
      </c>
      <c r="AQ34">
        <f t="shared" si="22"/>
        <v>-179.9417836068846</v>
      </c>
      <c r="AR34">
        <f t="shared" si="22"/>
        <v>0</v>
      </c>
      <c r="AS34">
        <f t="shared" si="23"/>
        <v>-32.927133337422376</v>
      </c>
      <c r="AT34">
        <f t="shared" si="23"/>
        <v>-328.9752852223221</v>
      </c>
      <c r="AV34" s="31">
        <f t="shared" si="20"/>
        <v>-299367.50955238577</v>
      </c>
      <c r="AW34" s="36">
        <f t="shared" si="17"/>
        <v>0.93786813769544408</v>
      </c>
      <c r="AZ34">
        <f t="shared" si="21"/>
        <v>-328.9752852223221</v>
      </c>
    </row>
    <row r="35" spans="1:52" x14ac:dyDescent="0.25">
      <c r="A35">
        <v>33</v>
      </c>
      <c r="B35" s="72">
        <v>44938.916666666664</v>
      </c>
      <c r="C35" t="s">
        <v>45</v>
      </c>
      <c r="D35" t="s">
        <v>46</v>
      </c>
      <c r="E35" t="s">
        <v>947</v>
      </c>
      <c r="F35">
        <v>-621487</v>
      </c>
      <c r="G35" s="1">
        <v>-6214870</v>
      </c>
      <c r="H35">
        <v>1395.47</v>
      </c>
      <c r="I35">
        <v>-292.53851759200001</v>
      </c>
      <c r="J35" t="s">
        <v>13</v>
      </c>
      <c r="K35" s="28">
        <v>45016.333333333336</v>
      </c>
      <c r="L35">
        <v>0</v>
      </c>
      <c r="M35" t="s">
        <v>15</v>
      </c>
      <c r="N35" s="48">
        <f t="shared" si="0"/>
        <v>10</v>
      </c>
      <c r="O35" s="46">
        <f t="shared" si="27"/>
        <v>-4453.6034454341543</v>
      </c>
      <c r="P35" s="47">
        <f t="shared" si="28"/>
        <v>-6314935.8919419013</v>
      </c>
      <c r="Q35" s="25">
        <f t="shared" si="18"/>
        <v>77.416666666671517</v>
      </c>
      <c r="R35" s="26" t="str">
        <f t="shared" si="3"/>
        <v>Mar 23</v>
      </c>
      <c r="S35" s="26" t="str">
        <f t="shared" si="19"/>
        <v>SHORT</v>
      </c>
      <c r="T35" s="26" t="str">
        <f t="shared" si="4"/>
        <v>Mar 23 SHORT</v>
      </c>
      <c r="U35" s="26">
        <f t="shared" si="5"/>
        <v>-6277018.7000000002</v>
      </c>
      <c r="V35" s="26">
        <f t="shared" si="6"/>
        <v>1409.4247</v>
      </c>
      <c r="W35" s="26">
        <f>IF($C35="","",IF(DefaultScenario,IF(OR(AND(Default_Exchange="ALL",NOT(ISERROR(MATCH($C35,$AE$6:$AE$37,0)))),$C35=Default_Exchange),IF($G35&gt;0,-LGD,0),0),IF(OR($J35="SWAP",$J35="FUTURE",$J35="CME FUTURE"),IF('Futures &amp; Perps Shifted'!$AE$31,VLOOKUP($M35,'Futures &amp; Perps Shifted'!$AE$32:$AO$76,MATCH($R35,'Futures &amp; Perps Shifted'!$AE$30:$AO$30,0),FALSE),0),0)))</f>
        <v>0.01</v>
      </c>
      <c r="X35" s="26">
        <f t="shared" si="7"/>
        <v>-62148.700000000186</v>
      </c>
      <c r="Y35" s="26" t="str">
        <f t="shared" si="8"/>
        <v>OKEX</v>
      </c>
      <c r="Z35" s="26" t="str">
        <f t="shared" si="9"/>
        <v>M3</v>
      </c>
      <c r="AB35" s="36" t="str">
        <f t="shared" si="29"/>
        <v/>
      </c>
      <c r="AC35" s="42" t="str">
        <f t="shared" si="24"/>
        <v/>
      </c>
      <c r="AD35" s="36"/>
      <c r="AE35" t="s">
        <v>20</v>
      </c>
      <c r="AF35">
        <f t="shared" si="25"/>
        <v>116.40873369000001</v>
      </c>
      <c r="AH35">
        <v>37.380000000000003</v>
      </c>
      <c r="AJ35">
        <f t="shared" si="26"/>
        <v>4351.3584653322005</v>
      </c>
      <c r="AN35" t="str">
        <f t="shared" si="12"/>
        <v>USD</v>
      </c>
      <c r="AO35">
        <f t="shared" si="30"/>
        <v>1</v>
      </c>
      <c r="AP35">
        <f t="shared" si="31"/>
        <v>1417.9385231112101</v>
      </c>
      <c r="AQ35">
        <f t="shared" si="22"/>
        <v>-44931.132588684995</v>
      </c>
      <c r="AR35">
        <f t="shared" si="22"/>
        <v>0</v>
      </c>
      <c r="AS35">
        <f t="shared" si="23"/>
        <v>-631.43044614948531</v>
      </c>
      <c r="AT35">
        <f t="shared" si="23"/>
        <v>-6308.6272646769357</v>
      </c>
      <c r="AV35" s="31">
        <f t="shared" si="20"/>
        <v>-5740850.810856279</v>
      </c>
      <c r="AW35" s="36">
        <f t="shared" si="17"/>
        <v>0.92372822132341936</v>
      </c>
      <c r="AZ35">
        <f t="shared" si="21"/>
        <v>-6308.6272646769357</v>
      </c>
    </row>
    <row r="36" spans="1:52" x14ac:dyDescent="0.25">
      <c r="A36">
        <v>34</v>
      </c>
      <c r="B36" s="72">
        <v>44938.916666666664</v>
      </c>
      <c r="C36" t="s">
        <v>45</v>
      </c>
      <c r="D36" t="s">
        <v>46</v>
      </c>
      <c r="E36" t="s">
        <v>476</v>
      </c>
      <c r="F36">
        <v>-22276</v>
      </c>
      <c r="G36" s="1">
        <v>-138289.408</v>
      </c>
      <c r="H36">
        <v>6.2080000000000002</v>
      </c>
      <c r="I36">
        <v>170.00881966399999</v>
      </c>
      <c r="J36" t="s">
        <v>17</v>
      </c>
      <c r="K36" s="28">
        <v>73050.333333333328</v>
      </c>
      <c r="L36">
        <v>1</v>
      </c>
      <c r="M36" t="s">
        <v>27</v>
      </c>
      <c r="N36" s="48">
        <f t="shared" si="0"/>
        <v>1</v>
      </c>
      <c r="O36" s="46">
        <f t="shared" si="27"/>
        <v>-22276</v>
      </c>
      <c r="P36" s="47">
        <f t="shared" si="28"/>
        <v>-142150.541662106</v>
      </c>
      <c r="Q36" s="25">
        <f t="shared" si="18"/>
        <v>28111.416666666664</v>
      </c>
      <c r="R36" s="26" t="str">
        <f t="shared" si="3"/>
        <v>PERP</v>
      </c>
      <c r="S36" s="26" t="str">
        <f t="shared" si="19"/>
        <v>SHORT</v>
      </c>
      <c r="T36" s="26" t="str">
        <f t="shared" si="4"/>
        <v>PERP SHORT</v>
      </c>
      <c r="U36" s="26">
        <f t="shared" si="5"/>
        <v>-138289.408</v>
      </c>
      <c r="V36" s="26">
        <f t="shared" si="6"/>
        <v>6.2080000000000002</v>
      </c>
      <c r="W36" s="26">
        <f>IF($C36="","",IF(DefaultScenario,IF(OR(AND(Default_Exchange="ALL",NOT(ISERROR(MATCH($C36,$AE$6:$AE$37,0)))),$C36=Default_Exchange),IF($G36&gt;0,-LGD,0),0),IF(OR($J36="SWAP",$J36="FUTURE",$J36="CME FUTURE"),IF('Futures &amp; Perps Shifted'!$AE$31,VLOOKUP($M36,'Futures &amp; Perps Shifted'!$AE$32:$AO$76,MATCH($R36,'Futures &amp; Perps Shifted'!$AE$30:$AO$30,0),FALSE),0),0)))</f>
        <v>0</v>
      </c>
      <c r="X36" s="26">
        <f t="shared" si="7"/>
        <v>0</v>
      </c>
      <c r="Y36" s="26" t="str">
        <f t="shared" si="8"/>
        <v>OKEX</v>
      </c>
      <c r="Z36" s="26" t="str">
        <f t="shared" si="9"/>
        <v>PERP</v>
      </c>
      <c r="AA36" s="9"/>
      <c r="AB36" s="36" t="str">
        <f t="shared" si="29"/>
        <v/>
      </c>
      <c r="AC36" s="42" t="str">
        <f t="shared" si="24"/>
        <v/>
      </c>
      <c r="AD36" s="36"/>
      <c r="AE36" t="s">
        <v>14</v>
      </c>
      <c r="AF36">
        <f t="shared" si="25"/>
        <v>18277.985041902943</v>
      </c>
      <c r="AH36">
        <v>-12.04</v>
      </c>
      <c r="AJ36">
        <f t="shared" si="26"/>
        <v>-220066.93990451141</v>
      </c>
      <c r="AN36" t="str">
        <f t="shared" si="12"/>
        <v>USDT</v>
      </c>
      <c r="AO36">
        <f t="shared" si="30"/>
        <v>1.00009204918451</v>
      </c>
      <c r="AP36">
        <f t="shared" si="31"/>
        <v>6.38133155243787</v>
      </c>
      <c r="AQ36">
        <f t="shared" si="22"/>
        <v>-222739.49701094194</v>
      </c>
      <c r="AR36">
        <f t="shared" si="22"/>
        <v>0</v>
      </c>
      <c r="AS36">
        <f t="shared" si="23"/>
        <v>-13.827667974441237</v>
      </c>
      <c r="AT36">
        <f t="shared" si="23"/>
        <v>-138.27667974437281</v>
      </c>
      <c r="AV36" s="31">
        <f t="shared" si="20"/>
        <v>-138276.67974439298</v>
      </c>
      <c r="AW36" s="36">
        <f t="shared" si="17"/>
        <v>0.99990795928776399</v>
      </c>
      <c r="AZ36">
        <f t="shared" si="21"/>
        <v>0</v>
      </c>
    </row>
    <row r="37" spans="1:52" x14ac:dyDescent="0.25">
      <c r="A37">
        <v>35</v>
      </c>
      <c r="B37" s="72">
        <v>44938.916666666664</v>
      </c>
      <c r="C37" t="s">
        <v>45</v>
      </c>
      <c r="D37" t="s">
        <v>46</v>
      </c>
      <c r="E37" t="s">
        <v>477</v>
      </c>
      <c r="F37">
        <v>-89029</v>
      </c>
      <c r="G37" s="1">
        <v>-827969.7</v>
      </c>
      <c r="H37">
        <v>9.3000000000000007E-6</v>
      </c>
      <c r="I37">
        <v>104940.705870498</v>
      </c>
      <c r="J37" t="s">
        <v>17</v>
      </c>
      <c r="K37" s="28">
        <v>73050.333333333328</v>
      </c>
      <c r="L37">
        <v>1</v>
      </c>
      <c r="M37" t="s">
        <v>37</v>
      </c>
      <c r="N37" s="48">
        <f t="shared" si="0"/>
        <v>1000000</v>
      </c>
      <c r="O37" s="46">
        <f t="shared" si="27"/>
        <v>-89029000000</v>
      </c>
      <c r="P37" s="47">
        <f t="shared" si="28"/>
        <v>-843227.78742992668</v>
      </c>
      <c r="Q37" s="25">
        <f t="shared" si="18"/>
        <v>28111.416666666664</v>
      </c>
      <c r="R37" s="26" t="str">
        <f t="shared" si="3"/>
        <v>PERP</v>
      </c>
      <c r="S37" s="26" t="str">
        <f t="shared" si="19"/>
        <v>SHORT</v>
      </c>
      <c r="T37" s="26" t="str">
        <f t="shared" si="4"/>
        <v>PERP SHORT</v>
      </c>
      <c r="U37" s="26">
        <f t="shared" si="5"/>
        <v>-827969.7</v>
      </c>
      <c r="V37" s="26">
        <f t="shared" si="6"/>
        <v>9.3000000000000007E-6</v>
      </c>
      <c r="W37" s="26">
        <f>IF($C37="","",IF(DefaultScenario,IF(OR(AND(Default_Exchange="ALL",NOT(ISERROR(MATCH($C37,$AE$6:$AE$37,0)))),$C37=Default_Exchange),IF($G37&gt;0,-LGD,0),0),IF(OR($J37="SWAP",$J37="FUTURE",$J37="CME FUTURE"),IF('Futures &amp; Perps Shifted'!$AE$31,VLOOKUP($M37,'Futures &amp; Perps Shifted'!$AE$32:$AO$76,MATCH($R37,'Futures &amp; Perps Shifted'!$AE$30:$AO$30,0),FALSE),0),0)))</f>
        <v>0</v>
      </c>
      <c r="X37" s="26">
        <f t="shared" si="7"/>
        <v>0</v>
      </c>
      <c r="Y37" s="26" t="str">
        <f t="shared" si="8"/>
        <v>OKEX</v>
      </c>
      <c r="Z37" s="26" t="str">
        <f t="shared" si="9"/>
        <v>PERP</v>
      </c>
      <c r="AB37" s="36" t="str">
        <f t="shared" si="29"/>
        <v/>
      </c>
      <c r="AC37" s="42" t="str">
        <f t="shared" si="24"/>
        <v/>
      </c>
      <c r="AD37" s="36"/>
      <c r="AE37" t="s">
        <v>31</v>
      </c>
      <c r="AF37">
        <f t="shared" si="25"/>
        <v>36.85</v>
      </c>
      <c r="AJ37">
        <f t="shared" si="26"/>
        <v>0</v>
      </c>
      <c r="AN37" t="str">
        <f t="shared" si="12"/>
        <v>USDT</v>
      </c>
      <c r="AO37">
        <f t="shared" si="30"/>
        <v>1.00009204918451</v>
      </c>
      <c r="AP37">
        <f t="shared" si="31"/>
        <v>9.4713833405960602E-6</v>
      </c>
      <c r="AQ37">
        <f t="shared" si="22"/>
        <v>-890208057074.30212</v>
      </c>
      <c r="AR37">
        <f t="shared" si="22"/>
        <v>0</v>
      </c>
      <c r="AS37">
        <f t="shared" si="23"/>
        <v>-82.78934930797098</v>
      </c>
      <c r="AT37">
        <f t="shared" si="23"/>
        <v>-827.89349307895577</v>
      </c>
      <c r="AV37" s="31">
        <f t="shared" si="20"/>
        <v>-827893.49307910202</v>
      </c>
      <c r="AW37" s="36">
        <f t="shared" si="17"/>
        <v>0.99990795928776388</v>
      </c>
      <c r="AZ37">
        <f t="shared" si="21"/>
        <v>0</v>
      </c>
    </row>
    <row r="38" spans="1:52" x14ac:dyDescent="0.25">
      <c r="A38">
        <v>36</v>
      </c>
      <c r="B38" s="72">
        <v>44938.916666666664</v>
      </c>
      <c r="C38" t="s">
        <v>45</v>
      </c>
      <c r="D38" t="s">
        <v>46</v>
      </c>
      <c r="E38" t="s">
        <v>945</v>
      </c>
      <c r="F38">
        <v>-3200</v>
      </c>
      <c r="G38" s="1">
        <v>-582403.18698227406</v>
      </c>
      <c r="H38">
        <v>18200.099999999999</v>
      </c>
      <c r="I38">
        <v>2813.6667197510001</v>
      </c>
      <c r="J38" t="s">
        <v>13</v>
      </c>
      <c r="K38" s="28">
        <v>45016.333333333336</v>
      </c>
      <c r="L38">
        <v>1</v>
      </c>
      <c r="M38" t="s">
        <v>14</v>
      </c>
      <c r="N38" s="48">
        <f t="shared" si="0"/>
        <v>0.01</v>
      </c>
      <c r="O38" s="46">
        <f t="shared" si="27"/>
        <v>-32</v>
      </c>
      <c r="P38" s="47">
        <f t="shared" si="28"/>
        <v>-603826.817768496</v>
      </c>
      <c r="Q38" s="25">
        <f t="shared" si="18"/>
        <v>77.416666666671517</v>
      </c>
      <c r="R38" s="26" t="str">
        <f t="shared" si="3"/>
        <v>Mar 23</v>
      </c>
      <c r="S38" s="26" t="str">
        <f t="shared" si="19"/>
        <v>SHORT</v>
      </c>
      <c r="T38" s="26" t="str">
        <f t="shared" si="4"/>
        <v>Mar 23 SHORT</v>
      </c>
      <c r="U38" s="26">
        <f t="shared" si="5"/>
        <v>-588227.21885209682</v>
      </c>
      <c r="V38" s="26">
        <f t="shared" si="6"/>
        <v>18382.100999999999</v>
      </c>
      <c r="W38" s="26">
        <f>IF($C38="","",IF(DefaultScenario,IF(OR(AND(Default_Exchange="ALL",NOT(ISERROR(MATCH($C38,$AE$6:$AE$37,0)))),$C38=Default_Exchange),IF($G38&gt;0,-LGD,0),0),IF(OR($J38="SWAP",$J38="FUTURE",$J38="CME FUTURE"),IF('Futures &amp; Perps Shifted'!$AE$31,VLOOKUP($M38,'Futures &amp; Perps Shifted'!$AE$32:$AO$76,MATCH($R38,'Futures &amp; Perps Shifted'!$AE$30:$AO$30,0),FALSE),0),0)))</f>
        <v>0.01</v>
      </c>
      <c r="X38" s="26">
        <f t="shared" si="7"/>
        <v>-5824.0318698227638</v>
      </c>
      <c r="Y38" s="26" t="str">
        <f t="shared" si="8"/>
        <v>OKEX</v>
      </c>
      <c r="Z38" s="26" t="str">
        <f t="shared" si="9"/>
        <v>M3</v>
      </c>
      <c r="AB38" s="36" t="str">
        <f t="shared" si="29"/>
        <v/>
      </c>
      <c r="AC38" s="42" t="str">
        <f t="shared" si="24"/>
        <v/>
      </c>
      <c r="AD38" s="36"/>
      <c r="AE38" t="s">
        <v>22</v>
      </c>
      <c r="AF38" t="e">
        <f t="shared" si="25"/>
        <v>#DIV/0!</v>
      </c>
      <c r="AJ38" t="e">
        <f t="shared" si="26"/>
        <v>#DIV/0!</v>
      </c>
      <c r="AN38" t="str">
        <f t="shared" si="12"/>
        <v>USDT</v>
      </c>
      <c r="AO38">
        <f t="shared" si="30"/>
        <v>1.00009204918451</v>
      </c>
      <c r="AP38">
        <f t="shared" si="31"/>
        <v>18869.5880552655</v>
      </c>
      <c r="AQ38">
        <f t="shared" si="22"/>
        <v>-319.97054697208398</v>
      </c>
      <c r="AR38">
        <f t="shared" si="22"/>
        <v>0</v>
      </c>
      <c r="AS38">
        <f t="shared" si="23"/>
        <v>-58.234959519448864</v>
      </c>
      <c r="AT38">
        <f t="shared" si="23"/>
        <v>-582.34959519460506</v>
      </c>
      <c r="AV38" s="31">
        <f t="shared" si="20"/>
        <v>-582349.59519466327</v>
      </c>
      <c r="AW38" s="36">
        <f t="shared" si="17"/>
        <v>0.99990798163744865</v>
      </c>
      <c r="AZ38">
        <f t="shared" si="21"/>
        <v>-582.34959519460506</v>
      </c>
    </row>
    <row r="39" spans="1:52" x14ac:dyDescent="0.25">
      <c r="A39">
        <v>37</v>
      </c>
      <c r="B39" s="72">
        <v>44938.916666666664</v>
      </c>
      <c r="C39" t="s">
        <v>45</v>
      </c>
      <c r="D39" t="s">
        <v>46</v>
      </c>
      <c r="E39" t="s">
        <v>946</v>
      </c>
      <c r="F39">
        <v>-382</v>
      </c>
      <c r="G39" s="1">
        <v>-69676.798442601998</v>
      </c>
      <c r="H39">
        <v>18240</v>
      </c>
      <c r="I39">
        <v>-1602.914621053</v>
      </c>
      <c r="J39" t="s">
        <v>13</v>
      </c>
      <c r="K39" s="28">
        <v>45107.333333333336</v>
      </c>
      <c r="L39">
        <v>1</v>
      </c>
      <c r="M39" t="s">
        <v>14</v>
      </c>
      <c r="N39" s="48">
        <f t="shared" si="0"/>
        <v>0.01</v>
      </c>
      <c r="O39" s="46">
        <f t="shared" si="27"/>
        <v>-3.8200000000000003</v>
      </c>
      <c r="P39" s="47">
        <f t="shared" si="28"/>
        <v>-72081.826371114221</v>
      </c>
      <c r="Q39" s="25">
        <f t="shared" si="18"/>
        <v>168.41666666667152</v>
      </c>
      <c r="R39" s="26" t="str">
        <f t="shared" si="3"/>
        <v>Jun 23</v>
      </c>
      <c r="S39" s="26" t="str">
        <f t="shared" si="19"/>
        <v>SHORT</v>
      </c>
      <c r="T39" s="26" t="str">
        <f t="shared" si="4"/>
        <v>Jun 23 SHORT</v>
      </c>
      <c r="U39" s="26">
        <f t="shared" si="5"/>
        <v>-70373.566427028025</v>
      </c>
      <c r="V39" s="26">
        <f t="shared" si="6"/>
        <v>18422.400000000001</v>
      </c>
      <c r="W39" s="26">
        <f>IF($C39="","",IF(DefaultScenario,IF(OR(AND(Default_Exchange="ALL",NOT(ISERROR(MATCH($C39,$AE$6:$AE$37,0)))),$C39=Default_Exchange),IF($G39&gt;0,-LGD,0),0),IF(OR($J39="SWAP",$J39="FUTURE",$J39="CME FUTURE"),IF('Futures &amp; Perps Shifted'!$AE$31,VLOOKUP($M39,'Futures &amp; Perps Shifted'!$AE$32:$AO$76,MATCH($R39,'Futures &amp; Perps Shifted'!$AE$30:$AO$30,0),FALSE),0),0)))</f>
        <v>0.01</v>
      </c>
      <c r="X39" s="26">
        <f t="shared" si="7"/>
        <v>-696.7679844260274</v>
      </c>
      <c r="Y39" s="26" t="str">
        <f t="shared" si="8"/>
        <v>OKEX</v>
      </c>
      <c r="Z39" s="26" t="str">
        <f t="shared" si="9"/>
        <v>M6</v>
      </c>
      <c r="AB39" s="36" t="str">
        <f t="shared" si="29"/>
        <v/>
      </c>
      <c r="AC39" s="42" t="str">
        <f t="shared" si="24"/>
        <v/>
      </c>
      <c r="AD39" s="36"/>
      <c r="AE39" t="s">
        <v>28</v>
      </c>
      <c r="AF39" t="e">
        <f t="shared" si="25"/>
        <v>#DIV/0!</v>
      </c>
      <c r="AJ39" t="e">
        <f t="shared" si="26"/>
        <v>#DIV/0!</v>
      </c>
      <c r="AN39" t="str">
        <f t="shared" si="12"/>
        <v>USDT</v>
      </c>
      <c r="AO39">
        <f t="shared" si="30"/>
        <v>1.00009204918451</v>
      </c>
      <c r="AP39">
        <f t="shared" si="31"/>
        <v>18869.5880552655</v>
      </c>
      <c r="AQ39">
        <f t="shared" si="22"/>
        <v>-38.196484044792527</v>
      </c>
      <c r="AR39">
        <f t="shared" si="22"/>
        <v>0</v>
      </c>
      <c r="AS39">
        <f t="shared" si="23"/>
        <v>-6.9670386897721572</v>
      </c>
      <c r="AT39">
        <f t="shared" si="23"/>
        <v>-69.670386897693803</v>
      </c>
      <c r="AV39" s="31">
        <f t="shared" si="20"/>
        <v>-69670.386897701581</v>
      </c>
      <c r="AW39" s="36">
        <f t="shared" si="17"/>
        <v>0.99990798163744987</v>
      </c>
      <c r="AZ39">
        <f t="shared" si="21"/>
        <v>-69.670386897693803</v>
      </c>
    </row>
    <row r="40" spans="1:52" x14ac:dyDescent="0.25">
      <c r="A40">
        <v>38</v>
      </c>
      <c r="B40" s="72">
        <v>44938.916666666664</v>
      </c>
      <c r="C40" t="s">
        <v>45</v>
      </c>
      <c r="D40" t="s">
        <v>51</v>
      </c>
      <c r="E40" t="s">
        <v>478</v>
      </c>
      <c r="F40">
        <v>17440</v>
      </c>
      <c r="G40" s="1">
        <v>13585.760202444</v>
      </c>
      <c r="H40">
        <v>7.79</v>
      </c>
      <c r="I40">
        <v>-17948.250061801002</v>
      </c>
      <c r="J40" t="s">
        <v>17</v>
      </c>
      <c r="K40" s="28">
        <v>73050.333333333328</v>
      </c>
      <c r="L40">
        <v>1</v>
      </c>
      <c r="M40" t="s">
        <v>19</v>
      </c>
      <c r="N40" s="48">
        <f t="shared" si="0"/>
        <v>0.1</v>
      </c>
      <c r="O40" s="46">
        <f t="shared" si="27"/>
        <v>1744</v>
      </c>
      <c r="P40" s="47">
        <f t="shared" si="28"/>
        <v>13585.76</v>
      </c>
      <c r="Q40" s="25">
        <f t="shared" si="18"/>
        <v>28111.416666666664</v>
      </c>
      <c r="R40" s="26" t="str">
        <f t="shared" si="3"/>
        <v>PERP</v>
      </c>
      <c r="S40" s="26" t="str">
        <f t="shared" si="19"/>
        <v>LONG</v>
      </c>
      <c r="T40" s="26" t="str">
        <f t="shared" si="4"/>
        <v>PERP LONG</v>
      </c>
      <c r="U40" s="26">
        <f t="shared" si="5"/>
        <v>13585.760202444</v>
      </c>
      <c r="V40" s="26">
        <f t="shared" si="6"/>
        <v>7.79</v>
      </c>
      <c r="W40" s="26">
        <f>IF($C40="","",IF(DefaultScenario,IF(OR(AND(Default_Exchange="ALL",NOT(ISERROR(MATCH($C40,$AE$6:$AE$37,0)))),$C40=Default_Exchange),IF($G40&gt;0,-LGD,0),0),IF(OR($J40="SWAP",$J40="FUTURE",$J40="CME FUTURE"),IF('Futures &amp; Perps Shifted'!$AE$31,VLOOKUP($M40,'Futures &amp; Perps Shifted'!$AE$32:$AO$76,MATCH($R40,'Futures &amp; Perps Shifted'!$AE$30:$AO$30,0),FALSE),0),0)))</f>
        <v>0</v>
      </c>
      <c r="X40" s="26">
        <f t="shared" si="7"/>
        <v>0</v>
      </c>
      <c r="Y40" s="26" t="str">
        <f t="shared" si="8"/>
        <v>OKEX</v>
      </c>
      <c r="Z40" s="26" t="str">
        <f t="shared" si="9"/>
        <v>PERP</v>
      </c>
      <c r="AB40" s="36" t="str">
        <f t="shared" si="29"/>
        <v/>
      </c>
      <c r="AC40" s="42" t="str">
        <f t="shared" si="24"/>
        <v/>
      </c>
      <c r="AD40" s="36"/>
      <c r="AE40" t="s">
        <v>23</v>
      </c>
      <c r="AF40">
        <f t="shared" si="25"/>
        <v>0.95723808999999993</v>
      </c>
      <c r="AH40">
        <v>1338.29</v>
      </c>
      <c r="AJ40">
        <f t="shared" si="26"/>
        <v>1281.0621634660999</v>
      </c>
      <c r="AN40" t="str">
        <f t="shared" si="12"/>
        <v>USDT</v>
      </c>
      <c r="AO40">
        <f t="shared" si="30"/>
        <v>1.00009204918451</v>
      </c>
      <c r="AP40" t="e">
        <f t="shared" si="31"/>
        <v>#N/A</v>
      </c>
      <c r="AQ40">
        <f t="shared" si="22"/>
        <v>17438.394809978578</v>
      </c>
      <c r="AR40">
        <f t="shared" si="22"/>
        <v>0</v>
      </c>
      <c r="AS40">
        <f t="shared" si="23"/>
        <v>1.3584509556967053</v>
      </c>
      <c r="AT40">
        <f t="shared" si="23"/>
        <v>13.5845095569717</v>
      </c>
      <c r="AV40" s="31">
        <f t="shared" si="20"/>
        <v>13584.509556973326</v>
      </c>
      <c r="AW40" s="36">
        <f t="shared" si="17"/>
        <v>0.9999079443879445</v>
      </c>
      <c r="AZ40">
        <f t="shared" si="21"/>
        <v>0</v>
      </c>
    </row>
    <row r="41" spans="1:52" x14ac:dyDescent="0.25">
      <c r="A41">
        <v>39</v>
      </c>
      <c r="B41" s="72">
        <v>44938.916666666664</v>
      </c>
      <c r="C41" t="s">
        <v>265</v>
      </c>
      <c r="D41" t="s">
        <v>296</v>
      </c>
      <c r="E41" t="s">
        <v>966</v>
      </c>
      <c r="F41">
        <v>17</v>
      </c>
      <c r="G41" s="1">
        <v>1215500</v>
      </c>
      <c r="H41" s="29">
        <v>1430</v>
      </c>
      <c r="I41">
        <v>0</v>
      </c>
      <c r="J41" t="s">
        <v>280</v>
      </c>
      <c r="K41" s="28">
        <v>44982</v>
      </c>
      <c r="L41">
        <v>1</v>
      </c>
      <c r="M41" t="s">
        <v>15</v>
      </c>
      <c r="N41" s="48">
        <f t="shared" si="0"/>
        <v>50</v>
      </c>
      <c r="O41" s="46">
        <f t="shared" si="27"/>
        <v>850</v>
      </c>
      <c r="P41" s="47">
        <f t="shared" si="28"/>
        <v>1205247.7446445285</v>
      </c>
      <c r="Q41" s="25">
        <f t="shared" si="18"/>
        <v>43.083333333335759</v>
      </c>
      <c r="R41" s="26" t="str">
        <f t="shared" si="3"/>
        <v>CME Feb 23</v>
      </c>
      <c r="S41" s="26" t="str">
        <f t="shared" si="19"/>
        <v>LONG</v>
      </c>
      <c r="T41" s="26" t="str">
        <f t="shared" si="4"/>
        <v>CME Feb 23 LONG</v>
      </c>
      <c r="U41" s="26">
        <f t="shared" si="5"/>
        <v>1227655</v>
      </c>
      <c r="V41" s="26">
        <f t="shared" si="6"/>
        <v>1444.3</v>
      </c>
      <c r="W41" s="26">
        <f>IF($C41="","",IF(DefaultScenario,IF(OR(AND(Default_Exchange="ALL",NOT(ISERROR(MATCH($C41,$AE$6:$AE$37,0)))),$C41=Default_Exchange),IF($G41&gt;0,-LGD,0),0),IF(OR($J41="SWAP",$J41="FUTURE",$J41="CME FUTURE"),IF('Futures &amp; Perps Shifted'!$AE$31,VLOOKUP($M41,'Futures &amp; Perps Shifted'!$AE$32:$AO$76,MATCH($R41,'Futures &amp; Perps Shifted'!$AE$30:$AO$30,0),FALSE),0),0)))</f>
        <v>0.01</v>
      </c>
      <c r="X41" s="26">
        <f t="shared" si="7"/>
        <v>12155</v>
      </c>
      <c r="Y41" s="26" t="str">
        <f t="shared" si="8"/>
        <v>UNMBF222</v>
      </c>
      <c r="Z41" s="26" t="str">
        <f t="shared" si="9"/>
        <v>M1</v>
      </c>
      <c r="AA41" s="9"/>
      <c r="AB41" s="36" t="str">
        <f t="shared" si="29"/>
        <v/>
      </c>
      <c r="AC41" s="42" t="str">
        <f t="shared" si="24"/>
        <v/>
      </c>
      <c r="AD41" s="36"/>
      <c r="AE41" t="s">
        <v>29</v>
      </c>
      <c r="AF41" t="e">
        <f t="shared" si="25"/>
        <v>#DIV/0!</v>
      </c>
      <c r="AH41">
        <v>-22.74</v>
      </c>
      <c r="AJ41" t="e">
        <f t="shared" si="26"/>
        <v>#DIV/0!</v>
      </c>
      <c r="AN41" t="str">
        <f t="shared" si="12"/>
        <v>USD</v>
      </c>
      <c r="AO41">
        <f t="shared" si="30"/>
        <v>1</v>
      </c>
      <c r="AP41">
        <f t="shared" si="31"/>
        <v>1417.9385231112101</v>
      </c>
      <c r="AQ41">
        <f t="shared" si="22"/>
        <v>8500</v>
      </c>
      <c r="AR41">
        <f t="shared" si="22"/>
        <v>0</v>
      </c>
      <c r="AS41">
        <f t="shared" si="23"/>
        <v>121.55000000002474</v>
      </c>
      <c r="AT41">
        <f t="shared" si="23"/>
        <v>1215.4999999998608</v>
      </c>
      <c r="AV41" s="31">
        <f t="shared" si="20"/>
        <v>1215500.0000000019</v>
      </c>
      <c r="AW41" s="36">
        <f t="shared" si="17"/>
        <v>1.0000000000000016</v>
      </c>
      <c r="AZ41">
        <f t="shared" si="21"/>
        <v>1215.4999999998608</v>
      </c>
    </row>
    <row r="42" spans="1:52" x14ac:dyDescent="0.25">
      <c r="A42">
        <v>40</v>
      </c>
      <c r="B42" s="72">
        <v>44938.916666666664</v>
      </c>
      <c r="C42" t="s">
        <v>265</v>
      </c>
      <c r="D42" t="s">
        <v>296</v>
      </c>
      <c r="E42" t="s">
        <v>958</v>
      </c>
      <c r="F42">
        <v>-267</v>
      </c>
      <c r="G42" s="1">
        <v>-19183950</v>
      </c>
      <c r="H42">
        <v>1437</v>
      </c>
      <c r="I42">
        <v>0</v>
      </c>
      <c r="J42" t="s">
        <v>280</v>
      </c>
      <c r="K42" s="28">
        <v>44954</v>
      </c>
      <c r="L42">
        <v>1</v>
      </c>
      <c r="M42" t="s">
        <v>15</v>
      </c>
      <c r="N42" s="48">
        <f t="shared" si="0"/>
        <v>50</v>
      </c>
      <c r="O42" s="46">
        <f t="shared" si="27"/>
        <v>-13350</v>
      </c>
      <c r="P42" s="47">
        <f t="shared" si="28"/>
        <v>-18929479.283534653</v>
      </c>
      <c r="Q42" s="25">
        <f t="shared" si="18"/>
        <v>15.083333333335759</v>
      </c>
      <c r="R42" s="26" t="str">
        <f t="shared" si="3"/>
        <v>CME Jan 23</v>
      </c>
      <c r="S42" s="26" t="str">
        <f t="shared" si="19"/>
        <v>SHORT</v>
      </c>
      <c r="T42" s="26" t="str">
        <f t="shared" si="4"/>
        <v>CME Jan 23 SHORT</v>
      </c>
      <c r="U42" s="26">
        <f t="shared" si="5"/>
        <v>-19375789.5</v>
      </c>
      <c r="V42" s="26">
        <f t="shared" si="6"/>
        <v>1451.3700000000001</v>
      </c>
      <c r="W42" s="26">
        <f>IF($C42="","",IF(DefaultScenario,IF(OR(AND(Default_Exchange="ALL",NOT(ISERROR(MATCH($C42,$AE$6:$AE$37,0)))),$C42=Default_Exchange),IF($G42&gt;0,-LGD,0),0),IF(OR($J42="SWAP",$J42="FUTURE",$J42="CME FUTURE"),IF('Futures &amp; Perps Shifted'!$AE$31,VLOOKUP($M42,'Futures &amp; Perps Shifted'!$AE$32:$AO$76,MATCH($R42,'Futures &amp; Perps Shifted'!$AE$30:$AO$30,0),FALSE),0),0)))</f>
        <v>0.01</v>
      </c>
      <c r="X42" s="26">
        <f t="shared" si="7"/>
        <v>-191839.5</v>
      </c>
      <c r="Y42" s="26" t="str">
        <f t="shared" si="8"/>
        <v>UNMBF222</v>
      </c>
      <c r="Z42" s="26" t="str">
        <f t="shared" si="9"/>
        <v>W2</v>
      </c>
      <c r="AB42" s="36" t="str">
        <f t="shared" si="29"/>
        <v/>
      </c>
      <c r="AC42" s="42" t="str">
        <f t="shared" si="24"/>
        <v/>
      </c>
      <c r="AD42" s="36"/>
      <c r="AE42" t="s">
        <v>15</v>
      </c>
      <c r="AF42">
        <f t="shared" si="25"/>
        <v>1396.8207317376923</v>
      </c>
      <c r="AH42">
        <f>241.04</f>
        <v>241.04</v>
      </c>
      <c r="AJ42">
        <f t="shared" si="26"/>
        <v>336689.66917805333</v>
      </c>
      <c r="AN42" t="str">
        <f t="shared" si="12"/>
        <v>USD</v>
      </c>
      <c r="AO42">
        <f t="shared" si="30"/>
        <v>1</v>
      </c>
      <c r="AP42">
        <f t="shared" si="31"/>
        <v>1417.9385231112101</v>
      </c>
      <c r="AQ42">
        <f t="shared" ref="AQ42:AR62" si="32">IF($C42="","",IF($A42="",0,IF($L42=1,(($H42+AQ$1)-$H42)*$N42*$F42/$AO42,$F42*$N42*(1/($H42)-1/($H42+AQ$1))*$AP42)))</f>
        <v>-133500</v>
      </c>
      <c r="AR42">
        <f t="shared" si="32"/>
        <v>0</v>
      </c>
      <c r="AS42">
        <f t="shared" ref="AS42:AT63" si="33">IF($C42="","",IF($A42="",0,IF($L42=1,($H42*(1+AS$1)-$H42)*$N42*$F42/$AO42,$F42*$N42*(1/($H42)-1/($H42*(1+AS$1)))*$AP42)))</f>
        <v>-1918.3950000010782</v>
      </c>
      <c r="AT42">
        <f t="shared" si="33"/>
        <v>-19183.94999999864</v>
      </c>
      <c r="AV42" s="31">
        <f t="shared" si="20"/>
        <v>-19183950.000000004</v>
      </c>
      <c r="AW42" s="36">
        <f t="shared" si="17"/>
        <v>1.0000000000000002</v>
      </c>
      <c r="AZ42">
        <f t="shared" si="21"/>
        <v>-19183.94999999864</v>
      </c>
    </row>
    <row r="43" spans="1:52" x14ac:dyDescent="0.25">
      <c r="A43">
        <v>41</v>
      </c>
      <c r="B43" s="72">
        <v>44938.916666666664</v>
      </c>
      <c r="C43" t="s">
        <v>265</v>
      </c>
      <c r="D43" t="s">
        <v>296</v>
      </c>
      <c r="E43" t="s">
        <v>959</v>
      </c>
      <c r="F43">
        <v>-796</v>
      </c>
      <c r="G43" s="1">
        <v>-76236900</v>
      </c>
      <c r="H43">
        <v>19155</v>
      </c>
      <c r="I43">
        <v>0</v>
      </c>
      <c r="J43" t="s">
        <v>280</v>
      </c>
      <c r="K43" s="28">
        <v>44954</v>
      </c>
      <c r="L43">
        <v>1</v>
      </c>
      <c r="M43" t="s">
        <v>14</v>
      </c>
      <c r="N43" s="48">
        <f t="shared" si="0"/>
        <v>5</v>
      </c>
      <c r="O43" s="46">
        <f t="shared" si="27"/>
        <v>-3980</v>
      </c>
      <c r="P43" s="47">
        <f t="shared" si="28"/>
        <v>-75100960.459956691</v>
      </c>
      <c r="Q43" s="25">
        <f t="shared" si="18"/>
        <v>15.083333333335759</v>
      </c>
      <c r="R43" s="26" t="str">
        <f t="shared" si="3"/>
        <v>CME Jan 23</v>
      </c>
      <c r="S43" s="26" t="str">
        <f t="shared" si="19"/>
        <v>SHORT</v>
      </c>
      <c r="T43" s="26" t="str">
        <f t="shared" si="4"/>
        <v>CME Jan 23 SHORT</v>
      </c>
      <c r="U43" s="26">
        <f t="shared" si="5"/>
        <v>-76999269</v>
      </c>
      <c r="V43" s="26">
        <f t="shared" si="6"/>
        <v>19346.55</v>
      </c>
      <c r="W43" s="26">
        <f>IF($C43="","",IF(DefaultScenario,IF(OR(AND(Default_Exchange="ALL",NOT(ISERROR(MATCH($C43,$AE$6:$AE$37,0)))),$C43=Default_Exchange),IF($G43&gt;0,-LGD,0),0),IF(OR($J43="SWAP",$J43="FUTURE",$J43="CME FUTURE"),IF('Futures &amp; Perps Shifted'!$AE$31,VLOOKUP($M43,'Futures &amp; Perps Shifted'!$AE$32:$AO$76,MATCH($R43,'Futures &amp; Perps Shifted'!$AE$30:$AO$30,0),FALSE),0),0)))</f>
        <v>0.01</v>
      </c>
      <c r="X43" s="26">
        <f t="shared" si="7"/>
        <v>-762369</v>
      </c>
      <c r="Y43" s="26" t="str">
        <f t="shared" si="8"/>
        <v>UNMBF222</v>
      </c>
      <c r="Z43" s="26" t="str">
        <f t="shared" si="9"/>
        <v>W2</v>
      </c>
      <c r="AA43" s="9"/>
      <c r="AB43" s="36" t="str">
        <f t="shared" si="29"/>
        <v/>
      </c>
      <c r="AC43" s="42" t="str">
        <f t="shared" si="24"/>
        <v/>
      </c>
      <c r="AD43" s="36"/>
      <c r="AE43" t="s">
        <v>30</v>
      </c>
      <c r="AF43" t="e">
        <f t="shared" si="25"/>
        <v>#DIV/0!</v>
      </c>
      <c r="AJ43" t="e">
        <f t="shared" si="26"/>
        <v>#DIV/0!</v>
      </c>
      <c r="AN43" t="str">
        <f t="shared" si="12"/>
        <v>USD</v>
      </c>
      <c r="AO43">
        <f t="shared" si="30"/>
        <v>1</v>
      </c>
      <c r="AP43">
        <f t="shared" si="31"/>
        <v>18869.5880552655</v>
      </c>
      <c r="AQ43">
        <f t="shared" si="32"/>
        <v>-39800</v>
      </c>
      <c r="AR43">
        <f t="shared" si="32"/>
        <v>0</v>
      </c>
      <c r="AS43">
        <f t="shared" si="33"/>
        <v>-7623.6899999966408</v>
      </c>
      <c r="AT43">
        <f t="shared" si="33"/>
        <v>-76236.899999995367</v>
      </c>
      <c r="AV43" s="31">
        <f t="shared" si="20"/>
        <v>-76236900</v>
      </c>
      <c r="AW43" s="36">
        <f t="shared" si="17"/>
        <v>1</v>
      </c>
      <c r="AZ43">
        <f t="shared" si="21"/>
        <v>-76236.899999995367</v>
      </c>
    </row>
    <row r="44" spans="1:52" x14ac:dyDescent="0.25">
      <c r="A44">
        <v>42</v>
      </c>
      <c r="B44" s="72">
        <v>44938.916666666664</v>
      </c>
      <c r="C44" t="s">
        <v>265</v>
      </c>
      <c r="D44" t="s">
        <v>296</v>
      </c>
      <c r="E44" t="s">
        <v>967</v>
      </c>
      <c r="F44">
        <v>4</v>
      </c>
      <c r="G44" s="1">
        <v>382600</v>
      </c>
      <c r="H44">
        <v>19130</v>
      </c>
      <c r="I44">
        <v>0</v>
      </c>
      <c r="J44" t="s">
        <v>280</v>
      </c>
      <c r="K44" s="28">
        <v>44982</v>
      </c>
      <c r="L44">
        <v>1</v>
      </c>
      <c r="M44" t="s">
        <v>14</v>
      </c>
      <c r="N44" s="48">
        <f t="shared" si="0"/>
        <v>5</v>
      </c>
      <c r="O44" s="46">
        <f t="shared" si="27"/>
        <v>20</v>
      </c>
      <c r="P44" s="47">
        <f t="shared" si="28"/>
        <v>377391.76110531</v>
      </c>
      <c r="Q44" s="25">
        <f t="shared" si="18"/>
        <v>43.083333333335759</v>
      </c>
      <c r="R44" s="26" t="str">
        <f t="shared" si="3"/>
        <v>CME Feb 23</v>
      </c>
      <c r="S44" s="26" t="str">
        <f t="shared" si="19"/>
        <v>LONG</v>
      </c>
      <c r="T44" s="26" t="str">
        <f t="shared" si="4"/>
        <v>CME Feb 23 LONG</v>
      </c>
      <c r="U44" s="26">
        <f t="shared" si="5"/>
        <v>386426</v>
      </c>
      <c r="V44" s="26">
        <f t="shared" si="6"/>
        <v>19321.3</v>
      </c>
      <c r="W44" s="26">
        <f>IF($C44="","",IF(DefaultScenario,IF(OR(AND(Default_Exchange="ALL",NOT(ISERROR(MATCH($C44,$AE$6:$AE$37,0)))),$C44=Default_Exchange),IF($G44&gt;0,-LGD,0),0),IF(OR($J44="SWAP",$J44="FUTURE",$J44="CME FUTURE"),IF('Futures &amp; Perps Shifted'!$AE$31,VLOOKUP($M44,'Futures &amp; Perps Shifted'!$AE$32:$AO$76,MATCH($R44,'Futures &amp; Perps Shifted'!$AE$30:$AO$30,0),FALSE),0),0)))</f>
        <v>0.01</v>
      </c>
      <c r="X44" s="26">
        <f t="shared" si="7"/>
        <v>3826</v>
      </c>
      <c r="Y44" s="26" t="str">
        <f t="shared" si="8"/>
        <v>UNMBF222</v>
      </c>
      <c r="Z44" s="26" t="str">
        <f t="shared" si="9"/>
        <v>M1</v>
      </c>
      <c r="AB44" s="36" t="str">
        <f t="shared" si="29"/>
        <v/>
      </c>
      <c r="AC44" s="42" t="str">
        <f t="shared" si="24"/>
        <v/>
      </c>
      <c r="AD44" s="36"/>
      <c r="AE44" t="s">
        <v>43</v>
      </c>
      <c r="AF44" t="e">
        <f t="shared" si="25"/>
        <v>#DIV/0!</v>
      </c>
      <c r="AJ44" t="e">
        <f t="shared" si="26"/>
        <v>#DIV/0!</v>
      </c>
      <c r="AN44" t="str">
        <f t="shared" si="12"/>
        <v>USD</v>
      </c>
      <c r="AO44">
        <f t="shared" si="30"/>
        <v>1</v>
      </c>
      <c r="AP44">
        <f t="shared" si="31"/>
        <v>18869.5880552655</v>
      </c>
      <c r="AQ44">
        <f t="shared" si="32"/>
        <v>200</v>
      </c>
      <c r="AR44">
        <f t="shared" si="32"/>
        <v>0</v>
      </c>
      <c r="AS44">
        <f t="shared" si="33"/>
        <v>38.260000000009313</v>
      </c>
      <c r="AT44">
        <f t="shared" si="33"/>
        <v>382.59999999994761</v>
      </c>
      <c r="AV44" s="31">
        <f t="shared" si="20"/>
        <v>382600</v>
      </c>
      <c r="AW44" s="36">
        <f t="shared" si="17"/>
        <v>1</v>
      </c>
      <c r="AZ44">
        <f t="shared" si="21"/>
        <v>382.59999999994761</v>
      </c>
    </row>
    <row r="45" spans="1:52" x14ac:dyDescent="0.25">
      <c r="B45" s="72"/>
      <c r="G45" s="1"/>
      <c r="K45" s="28"/>
      <c r="N45" s="48" t="str">
        <f t="shared" si="0"/>
        <v/>
      </c>
      <c r="O45" s="46" t="str">
        <f t="shared" si="27"/>
        <v/>
      </c>
      <c r="P45" s="47" t="str">
        <f t="shared" si="28"/>
        <v/>
      </c>
      <c r="Q45" s="25" t="str">
        <f t="shared" si="18"/>
        <v/>
      </c>
      <c r="R45" s="26" t="str">
        <f t="shared" si="3"/>
        <v/>
      </c>
      <c r="S45" s="26" t="str">
        <f t="shared" si="19"/>
        <v/>
      </c>
      <c r="T45" s="26" t="str">
        <f t="shared" si="4"/>
        <v/>
      </c>
      <c r="U45" s="26" t="str">
        <f t="shared" si="5"/>
        <v/>
      </c>
      <c r="V45" s="26" t="str">
        <f t="shared" si="6"/>
        <v/>
      </c>
      <c r="W45" s="26" t="str">
        <f>IF($C45="","",IF(DefaultScenario,IF(OR(AND(Default_Exchange="ALL",NOT(ISERROR(MATCH($C45,$AE$6:$AE$37,0)))),$C45=Default_Exchange),IF($G45&gt;0,-LGD,0),0),IF(OR($J45="SWAP",$J45="FUTURE",$J45="CME FUTURE"),IF('Futures &amp; Perps Shifted'!$AE$31,VLOOKUP($M45,'Futures &amp; Perps Shifted'!$AE$32:$AO$76,MATCH($R45,'Futures &amp; Perps Shifted'!$AE$30:$AO$30,0),FALSE),0),0)))</f>
        <v/>
      </c>
      <c r="X45" s="26" t="str">
        <f t="shared" si="7"/>
        <v/>
      </c>
      <c r="Y45" s="26" t="str">
        <f t="shared" si="8"/>
        <v/>
      </c>
      <c r="Z45" s="26" t="str">
        <f t="shared" si="9"/>
        <v/>
      </c>
      <c r="AB45" s="36" t="str">
        <f t="shared" si="29"/>
        <v/>
      </c>
      <c r="AC45" s="42" t="str">
        <f t="shared" si="24"/>
        <v/>
      </c>
      <c r="AD45" s="36"/>
      <c r="AE45" t="s">
        <v>27</v>
      </c>
      <c r="AF45">
        <f t="shared" si="25"/>
        <v>6.2032083300000007</v>
      </c>
      <c r="AH45">
        <v>-0.15</v>
      </c>
      <c r="AJ45">
        <f t="shared" si="26"/>
        <v>-0.93048124950000011</v>
      </c>
      <c r="AN45" t="str">
        <f t="shared" si="12"/>
        <v/>
      </c>
      <c r="AO45" t="str">
        <f t="shared" si="30"/>
        <v/>
      </c>
      <c r="AP45" t="e">
        <f t="shared" si="31"/>
        <v>#N/A</v>
      </c>
      <c r="AQ45" t="str">
        <f t="shared" si="32"/>
        <v/>
      </c>
      <c r="AR45" t="str">
        <f t="shared" si="32"/>
        <v/>
      </c>
      <c r="AS45" t="str">
        <f t="shared" si="33"/>
        <v/>
      </c>
      <c r="AT45" t="str">
        <f t="shared" si="33"/>
        <v/>
      </c>
      <c r="AV45" s="31" t="e">
        <f t="shared" si="20"/>
        <v>#VALUE!</v>
      </c>
      <c r="AW45" s="36" t="str">
        <f t="shared" si="17"/>
        <v/>
      </c>
      <c r="AZ45" t="str">
        <f t="shared" si="21"/>
        <v/>
      </c>
    </row>
    <row r="46" spans="1:52" x14ac:dyDescent="0.25">
      <c r="B46" s="72"/>
      <c r="G46" s="1"/>
      <c r="K46" s="28"/>
      <c r="N46" s="48" t="str">
        <f t="shared" si="0"/>
        <v/>
      </c>
      <c r="O46" s="46" t="str">
        <f t="shared" si="27"/>
        <v/>
      </c>
      <c r="P46" s="47" t="str">
        <f t="shared" si="28"/>
        <v/>
      </c>
      <c r="Q46" s="25" t="str">
        <f t="shared" si="18"/>
        <v/>
      </c>
      <c r="R46" s="26" t="str">
        <f t="shared" si="3"/>
        <v/>
      </c>
      <c r="S46" s="26" t="str">
        <f t="shared" si="19"/>
        <v/>
      </c>
      <c r="T46" s="26" t="str">
        <f t="shared" si="4"/>
        <v/>
      </c>
      <c r="U46" s="26" t="str">
        <f t="shared" si="5"/>
        <v/>
      </c>
      <c r="V46" s="26" t="str">
        <f t="shared" si="6"/>
        <v/>
      </c>
      <c r="W46" s="26" t="str">
        <f>IF($C46="","",IF(DefaultScenario,IF(OR(AND(Default_Exchange="ALL",NOT(ISERROR(MATCH($C46,$AE$6:$AE$37,0)))),$C46=Default_Exchange),IF($G46&gt;0,-LGD,0),0),IF(OR($J46="SWAP",$J46="FUTURE",$J46="CME FUTURE"),IF('Futures &amp; Perps Shifted'!$AE$31,VLOOKUP($M46,'Futures &amp; Perps Shifted'!$AE$32:$AO$76,MATCH($R46,'Futures &amp; Perps Shifted'!$AE$30:$AO$30,0),FALSE),0),0)))</f>
        <v/>
      </c>
      <c r="X46" s="26" t="str">
        <f t="shared" si="7"/>
        <v/>
      </c>
      <c r="Y46" s="26" t="str">
        <f t="shared" si="8"/>
        <v/>
      </c>
      <c r="Z46" s="26" t="str">
        <f t="shared" si="9"/>
        <v/>
      </c>
      <c r="AB46" s="36" t="str">
        <f t="shared" si="29"/>
        <v/>
      </c>
      <c r="AC46" s="42" t="str">
        <f t="shared" si="24"/>
        <v/>
      </c>
      <c r="AD46" s="36"/>
      <c r="AE46" t="s">
        <v>24</v>
      </c>
      <c r="AF46">
        <f t="shared" si="25"/>
        <v>83.24</v>
      </c>
      <c r="AH46">
        <v>120.95</v>
      </c>
      <c r="AJ46">
        <f t="shared" si="26"/>
        <v>10067.877999999999</v>
      </c>
      <c r="AN46" t="str">
        <f t="shared" si="12"/>
        <v/>
      </c>
      <c r="AO46" t="str">
        <f t="shared" si="30"/>
        <v/>
      </c>
      <c r="AP46" t="e">
        <f t="shared" si="31"/>
        <v>#N/A</v>
      </c>
      <c r="AQ46" t="str">
        <f t="shared" si="32"/>
        <v/>
      </c>
      <c r="AR46" t="str">
        <f t="shared" si="32"/>
        <v/>
      </c>
      <c r="AS46" t="str">
        <f t="shared" si="33"/>
        <v/>
      </c>
      <c r="AT46" t="str">
        <f t="shared" si="33"/>
        <v/>
      </c>
      <c r="AV46" s="31" t="e">
        <f t="shared" si="20"/>
        <v>#VALUE!</v>
      </c>
      <c r="AW46" s="36" t="str">
        <f t="shared" si="17"/>
        <v/>
      </c>
      <c r="AZ46" t="str">
        <f t="shared" si="21"/>
        <v/>
      </c>
    </row>
    <row r="47" spans="1:52" x14ac:dyDescent="0.25">
      <c r="B47" s="72"/>
      <c r="G47" s="1"/>
      <c r="K47" s="28"/>
      <c r="N47" s="48" t="str">
        <f t="shared" si="0"/>
        <v/>
      </c>
      <c r="O47" s="46" t="str">
        <f t="shared" si="27"/>
        <v/>
      </c>
      <c r="P47" s="47" t="str">
        <f t="shared" si="28"/>
        <v/>
      </c>
      <c r="Q47" s="25" t="str">
        <f t="shared" si="18"/>
        <v/>
      </c>
      <c r="R47" s="26" t="str">
        <f t="shared" si="3"/>
        <v/>
      </c>
      <c r="S47" s="26" t="str">
        <f t="shared" si="19"/>
        <v/>
      </c>
      <c r="T47" s="26" t="str">
        <f t="shared" si="4"/>
        <v/>
      </c>
      <c r="U47" s="26" t="str">
        <f t="shared" si="5"/>
        <v/>
      </c>
      <c r="V47" s="26" t="str">
        <f t="shared" si="6"/>
        <v/>
      </c>
      <c r="W47" s="26" t="str">
        <f>IF($C47="","",IF(DefaultScenario,IF(OR(AND(Default_Exchange="ALL",NOT(ISERROR(MATCH($C47,$AE$6:$AE$37,0)))),$C47=Default_Exchange),IF($G47&gt;0,-LGD,0),0),IF(OR($J47="SWAP",$J47="FUTURE",$J47="CME FUTURE"),IF('Futures &amp; Perps Shifted'!$AE$31,VLOOKUP($M47,'Futures &amp; Perps Shifted'!$AE$32:$AO$76,MATCH($R47,'Futures &amp; Perps Shifted'!$AE$30:$AO$30,0),FALSE),0),0)))</f>
        <v/>
      </c>
      <c r="X47" s="26" t="str">
        <f t="shared" si="7"/>
        <v/>
      </c>
      <c r="Y47" s="26" t="str">
        <f t="shared" si="8"/>
        <v/>
      </c>
      <c r="Z47" s="26" t="str">
        <f t="shared" si="9"/>
        <v/>
      </c>
      <c r="AB47" s="36" t="str">
        <f t="shared" si="29"/>
        <v/>
      </c>
      <c r="AC47" s="42" t="str">
        <f t="shared" si="24"/>
        <v/>
      </c>
      <c r="AD47" s="36"/>
      <c r="AE47" t="s">
        <v>37</v>
      </c>
      <c r="AF47">
        <f t="shared" si="25"/>
        <v>9.3000000000000007E-6</v>
      </c>
      <c r="AJ47">
        <f t="shared" si="26"/>
        <v>0</v>
      </c>
      <c r="AN47" t="str">
        <f t="shared" si="12"/>
        <v/>
      </c>
      <c r="AO47" t="str">
        <f t="shared" si="30"/>
        <v/>
      </c>
      <c r="AP47" t="e">
        <f t="shared" si="31"/>
        <v>#N/A</v>
      </c>
      <c r="AQ47" t="str">
        <f t="shared" si="32"/>
        <v/>
      </c>
      <c r="AR47" t="str">
        <f t="shared" si="32"/>
        <v/>
      </c>
      <c r="AS47" t="str">
        <f t="shared" si="33"/>
        <v/>
      </c>
      <c r="AT47" t="str">
        <f t="shared" si="33"/>
        <v/>
      </c>
      <c r="AV47" s="31" t="e">
        <f t="shared" si="20"/>
        <v>#VALUE!</v>
      </c>
      <c r="AW47" s="36" t="str">
        <f t="shared" si="17"/>
        <v/>
      </c>
      <c r="AZ47" t="str">
        <f t="shared" si="21"/>
        <v/>
      </c>
    </row>
    <row r="48" spans="1:52" x14ac:dyDescent="0.25">
      <c r="B48" s="72"/>
      <c r="G48" s="1"/>
      <c r="K48" s="28"/>
      <c r="N48" s="48" t="str">
        <f t="shared" si="0"/>
        <v/>
      </c>
      <c r="O48" s="46" t="str">
        <f t="shared" si="27"/>
        <v/>
      </c>
      <c r="P48" s="47" t="str">
        <f t="shared" si="28"/>
        <v/>
      </c>
      <c r="Q48" s="25" t="str">
        <f t="shared" si="18"/>
        <v/>
      </c>
      <c r="R48" s="26" t="str">
        <f t="shared" si="3"/>
        <v/>
      </c>
      <c r="S48" s="26" t="str">
        <f t="shared" si="19"/>
        <v/>
      </c>
      <c r="T48" s="26" t="str">
        <f t="shared" si="4"/>
        <v/>
      </c>
      <c r="U48" s="26" t="str">
        <f t="shared" si="5"/>
        <v/>
      </c>
      <c r="V48" s="26" t="str">
        <f t="shared" si="6"/>
        <v/>
      </c>
      <c r="W48" s="26" t="str">
        <f>IF($C48="","",IF(DefaultScenario,IF(OR(AND(Default_Exchange="ALL",NOT(ISERROR(MATCH($C48,$AE$6:$AE$37,0)))),$C48=Default_Exchange),IF($G48&gt;0,-LGD,0),0),IF(OR($J48="SWAP",$J48="FUTURE",$J48="CME FUTURE"),IF('Futures &amp; Perps Shifted'!$AE$31,VLOOKUP($M48,'Futures &amp; Perps Shifted'!$AE$32:$AO$76,MATCH($R48,'Futures &amp; Perps Shifted'!$AE$30:$AO$30,0),FALSE),0),0)))</f>
        <v/>
      </c>
      <c r="X48" s="26" t="str">
        <f t="shared" si="7"/>
        <v/>
      </c>
      <c r="Y48" s="26" t="str">
        <f t="shared" si="8"/>
        <v/>
      </c>
      <c r="Z48" s="26" t="str">
        <f t="shared" si="9"/>
        <v/>
      </c>
      <c r="AB48" s="36" t="str">
        <f t="shared" si="29"/>
        <v/>
      </c>
      <c r="AC48" s="42" t="str">
        <f t="shared" si="24"/>
        <v/>
      </c>
      <c r="AD48" s="36"/>
      <c r="AE48" t="s">
        <v>25</v>
      </c>
      <c r="AF48" t="e">
        <f t="shared" si="25"/>
        <v>#DIV/0!</v>
      </c>
      <c r="AH48">
        <v>-11187.67</v>
      </c>
      <c r="AJ48" t="e">
        <f t="shared" si="26"/>
        <v>#DIV/0!</v>
      </c>
      <c r="AN48" t="str">
        <f t="shared" si="12"/>
        <v/>
      </c>
      <c r="AO48" t="str">
        <f t="shared" si="30"/>
        <v/>
      </c>
      <c r="AP48" t="e">
        <f t="shared" si="31"/>
        <v>#N/A</v>
      </c>
      <c r="AQ48" t="str">
        <f t="shared" si="32"/>
        <v/>
      </c>
      <c r="AR48" t="str">
        <f t="shared" si="32"/>
        <v/>
      </c>
      <c r="AS48" t="str">
        <f t="shared" si="33"/>
        <v/>
      </c>
      <c r="AT48" t="str">
        <f t="shared" si="33"/>
        <v/>
      </c>
      <c r="AV48" s="31" t="e">
        <f t="shared" si="20"/>
        <v>#VALUE!</v>
      </c>
      <c r="AW48" s="36" t="str">
        <f t="shared" si="17"/>
        <v/>
      </c>
      <c r="AZ48" t="str">
        <f t="shared" si="21"/>
        <v/>
      </c>
    </row>
    <row r="49" spans="2:52" x14ac:dyDescent="0.25">
      <c r="B49" s="72"/>
      <c r="G49" s="1"/>
      <c r="K49" s="28"/>
      <c r="N49" s="48" t="str">
        <f t="shared" si="0"/>
        <v/>
      </c>
      <c r="O49" s="46" t="str">
        <f t="shared" si="27"/>
        <v/>
      </c>
      <c r="P49" s="47" t="str">
        <f t="shared" si="28"/>
        <v/>
      </c>
      <c r="Q49" s="25" t="str">
        <f t="shared" si="18"/>
        <v/>
      </c>
      <c r="R49" s="26" t="str">
        <f t="shared" si="3"/>
        <v/>
      </c>
      <c r="S49" s="26" t="str">
        <f t="shared" si="19"/>
        <v/>
      </c>
      <c r="T49" s="26" t="str">
        <f t="shared" si="4"/>
        <v/>
      </c>
      <c r="U49" s="26" t="str">
        <f t="shared" si="5"/>
        <v/>
      </c>
      <c r="V49" s="26" t="str">
        <f t="shared" si="6"/>
        <v/>
      </c>
      <c r="W49" s="26" t="str">
        <f>IF($C49="","",IF(DefaultScenario,IF(OR(AND(Default_Exchange="ALL",NOT(ISERROR(MATCH($C49,$AE$6:$AE$37,0)))),$C49=Default_Exchange),IF($G49&gt;0,-LGD,0),0),IF(OR($J49="SWAP",$J49="FUTURE",$J49="CME FUTURE"),IF('Futures &amp; Perps Shifted'!$AE$31,VLOOKUP($M49,'Futures &amp; Perps Shifted'!$AE$32:$AO$76,MATCH($R49,'Futures &amp; Perps Shifted'!$AE$30:$AO$30,0),FALSE),0),0)))</f>
        <v/>
      </c>
      <c r="X49" s="26" t="str">
        <f t="shared" si="7"/>
        <v/>
      </c>
      <c r="Y49" s="26" t="str">
        <f t="shared" si="8"/>
        <v/>
      </c>
      <c r="Z49" s="26" t="str">
        <f t="shared" si="9"/>
        <v/>
      </c>
      <c r="AB49" s="36" t="str">
        <f t="shared" si="29"/>
        <v/>
      </c>
      <c r="AC49" s="42" t="str">
        <f t="shared" si="24"/>
        <v/>
      </c>
      <c r="AD49" s="36"/>
      <c r="AE49" t="s">
        <v>38</v>
      </c>
      <c r="AF49" t="e">
        <f t="shared" si="25"/>
        <v>#DIV/0!</v>
      </c>
      <c r="AJ49" t="e">
        <f t="shared" si="26"/>
        <v>#DIV/0!</v>
      </c>
      <c r="AN49" t="str">
        <f t="shared" si="12"/>
        <v/>
      </c>
      <c r="AO49" t="str">
        <f t="shared" si="30"/>
        <v/>
      </c>
      <c r="AP49" t="e">
        <f t="shared" si="31"/>
        <v>#N/A</v>
      </c>
      <c r="AQ49" t="str">
        <f t="shared" si="32"/>
        <v/>
      </c>
      <c r="AR49" t="str">
        <f t="shared" si="32"/>
        <v/>
      </c>
      <c r="AS49" t="str">
        <f t="shared" si="33"/>
        <v/>
      </c>
      <c r="AT49" t="str">
        <f t="shared" si="33"/>
        <v/>
      </c>
      <c r="AV49" s="31" t="e">
        <f t="shared" si="20"/>
        <v>#VALUE!</v>
      </c>
      <c r="AW49" s="36" t="str">
        <f t="shared" si="17"/>
        <v/>
      </c>
      <c r="AZ49" t="str">
        <f t="shared" si="21"/>
        <v/>
      </c>
    </row>
    <row r="50" spans="2:52" x14ac:dyDescent="0.25">
      <c r="B50" s="72"/>
      <c r="G50" s="1"/>
      <c r="K50" s="28"/>
      <c r="N50" s="48" t="str">
        <f t="shared" si="0"/>
        <v/>
      </c>
      <c r="O50" s="46" t="str">
        <f t="shared" si="27"/>
        <v/>
      </c>
      <c r="P50" s="47" t="str">
        <f t="shared" si="28"/>
        <v/>
      </c>
      <c r="Q50" s="25" t="str">
        <f t="shared" si="18"/>
        <v/>
      </c>
      <c r="R50" s="26" t="str">
        <f t="shared" si="3"/>
        <v/>
      </c>
      <c r="S50" s="26" t="str">
        <f t="shared" si="19"/>
        <v/>
      </c>
      <c r="T50" s="26" t="str">
        <f t="shared" si="4"/>
        <v/>
      </c>
      <c r="U50" s="26" t="str">
        <f t="shared" si="5"/>
        <v/>
      </c>
      <c r="V50" s="26" t="str">
        <f t="shared" si="6"/>
        <v/>
      </c>
      <c r="W50" s="26" t="str">
        <f>IF($C50="","",IF(DefaultScenario,IF(OR(AND(Default_Exchange="ALL",NOT(ISERROR(MATCH($C50,$AE$6:$AE$37,0)))),$C50=Default_Exchange),IF($G50&gt;0,-LGD,0),0),IF(OR($J50="SWAP",$J50="FUTURE",$J50="CME FUTURE"),IF('Futures &amp; Perps Shifted'!$AE$31,VLOOKUP($M50,'Futures &amp; Perps Shifted'!$AE$32:$AO$76,MATCH($R50,'Futures &amp; Perps Shifted'!$AE$30:$AO$30,0),FALSE),0),0)))</f>
        <v/>
      </c>
      <c r="X50" s="26" t="str">
        <f t="shared" si="7"/>
        <v/>
      </c>
      <c r="Y50" s="26" t="str">
        <f t="shared" si="8"/>
        <v/>
      </c>
      <c r="Z50" s="26" t="str">
        <f t="shared" si="9"/>
        <v/>
      </c>
      <c r="AB50" s="36" t="str">
        <f t="shared" si="29"/>
        <v/>
      </c>
      <c r="AC50" s="42" t="str">
        <f t="shared" si="24"/>
        <v/>
      </c>
      <c r="AD50" s="36"/>
      <c r="AE50" t="s">
        <v>26</v>
      </c>
      <c r="AF50">
        <f t="shared" si="25"/>
        <v>2.2759999999999999E-2</v>
      </c>
      <c r="AJ50">
        <f t="shared" si="26"/>
        <v>0</v>
      </c>
      <c r="AN50" t="str">
        <f t="shared" si="12"/>
        <v/>
      </c>
      <c r="AO50" t="str">
        <f t="shared" si="30"/>
        <v/>
      </c>
      <c r="AP50" t="e">
        <f t="shared" si="31"/>
        <v>#N/A</v>
      </c>
      <c r="AQ50" t="str">
        <f t="shared" si="32"/>
        <v/>
      </c>
      <c r="AR50" t="str">
        <f t="shared" si="32"/>
        <v/>
      </c>
      <c r="AS50" t="str">
        <f t="shared" si="33"/>
        <v/>
      </c>
      <c r="AT50" t="str">
        <f t="shared" si="33"/>
        <v/>
      </c>
      <c r="AV50" s="31" t="e">
        <f t="shared" si="20"/>
        <v>#VALUE!</v>
      </c>
      <c r="AW50" s="36" t="str">
        <f t="shared" si="17"/>
        <v/>
      </c>
      <c r="AZ50" t="str">
        <f t="shared" si="21"/>
        <v/>
      </c>
    </row>
    <row r="51" spans="2:52" x14ac:dyDescent="0.25">
      <c r="B51" s="72"/>
      <c r="G51" s="1"/>
      <c r="K51" s="28"/>
      <c r="N51" s="48" t="str">
        <f t="shared" si="0"/>
        <v/>
      </c>
      <c r="O51" s="46" t="str">
        <f t="shared" si="27"/>
        <v/>
      </c>
      <c r="P51" s="47" t="str">
        <f t="shared" si="28"/>
        <v/>
      </c>
      <c r="Q51" s="25" t="str">
        <f t="shared" si="18"/>
        <v/>
      </c>
      <c r="R51" s="26" t="str">
        <f t="shared" si="3"/>
        <v/>
      </c>
      <c r="S51" s="26" t="str">
        <f t="shared" si="19"/>
        <v/>
      </c>
      <c r="T51" s="26" t="str">
        <f t="shared" si="4"/>
        <v/>
      </c>
      <c r="U51" s="26" t="str">
        <f t="shared" si="5"/>
        <v/>
      </c>
      <c r="V51" s="26" t="str">
        <f t="shared" si="6"/>
        <v/>
      </c>
      <c r="W51" s="26" t="str">
        <f>IF($C51="","",IF(DefaultScenario,IF(OR(AND(Default_Exchange="ALL",NOT(ISERROR(MATCH($C51,$AE$6:$AE$37,0)))),$C51=Default_Exchange),IF($G51&gt;0,-LGD,0),0),IF(OR($J51="SWAP",$J51="FUTURE",$J51="CME FUTURE"),IF('Futures &amp; Perps Shifted'!$AE$31,VLOOKUP($M51,'Futures &amp; Perps Shifted'!$AE$32:$AO$76,MATCH($R51,'Futures &amp; Perps Shifted'!$AE$30:$AO$30,0),FALSE),0),0)))</f>
        <v/>
      </c>
      <c r="X51" s="26" t="str">
        <f t="shared" si="7"/>
        <v/>
      </c>
      <c r="Y51" s="26" t="str">
        <f t="shared" si="8"/>
        <v/>
      </c>
      <c r="Z51" s="26" t="str">
        <f t="shared" si="9"/>
        <v/>
      </c>
      <c r="AB51" s="36" t="str">
        <f t="shared" si="29"/>
        <v/>
      </c>
      <c r="AC51" s="42" t="str">
        <f t="shared" si="24"/>
        <v/>
      </c>
      <c r="AD51" s="36"/>
      <c r="AJ51">
        <f t="shared" si="26"/>
        <v>0</v>
      </c>
      <c r="AN51" t="str">
        <f t="shared" si="12"/>
        <v/>
      </c>
      <c r="AO51" t="str">
        <f t="shared" si="30"/>
        <v/>
      </c>
      <c r="AP51" t="e">
        <f t="shared" si="31"/>
        <v>#N/A</v>
      </c>
      <c r="AQ51" t="str">
        <f t="shared" si="32"/>
        <v/>
      </c>
      <c r="AR51" t="str">
        <f t="shared" si="32"/>
        <v/>
      </c>
      <c r="AS51" t="str">
        <f t="shared" si="33"/>
        <v/>
      </c>
      <c r="AT51" t="str">
        <f t="shared" si="33"/>
        <v/>
      </c>
      <c r="AV51" s="31" t="e">
        <f t="shared" si="20"/>
        <v>#VALUE!</v>
      </c>
      <c r="AW51" s="36" t="str">
        <f t="shared" si="17"/>
        <v/>
      </c>
      <c r="AZ51" t="str">
        <f t="shared" si="21"/>
        <v/>
      </c>
    </row>
    <row r="52" spans="2:52" x14ac:dyDescent="0.25">
      <c r="B52" s="72"/>
      <c r="G52" s="1"/>
      <c r="K52" s="28"/>
      <c r="N52" s="48" t="str">
        <f t="shared" si="0"/>
        <v/>
      </c>
      <c r="O52" s="46" t="str">
        <f t="shared" si="27"/>
        <v/>
      </c>
      <c r="P52" s="47" t="str">
        <f t="shared" si="28"/>
        <v/>
      </c>
      <c r="Q52" s="25" t="str">
        <f t="shared" si="18"/>
        <v/>
      </c>
      <c r="R52" s="26" t="str">
        <f t="shared" si="3"/>
        <v/>
      </c>
      <c r="S52" s="26" t="str">
        <f t="shared" si="19"/>
        <v/>
      </c>
      <c r="T52" s="26" t="str">
        <f t="shared" si="4"/>
        <v/>
      </c>
      <c r="U52" s="26" t="str">
        <f t="shared" si="5"/>
        <v/>
      </c>
      <c r="V52" s="26" t="str">
        <f t="shared" si="6"/>
        <v/>
      </c>
      <c r="W52" s="26" t="str">
        <f>IF($C52="","",IF(DefaultScenario,IF(OR(AND(Default_Exchange="ALL",NOT(ISERROR(MATCH($C52,$AE$6:$AE$37,0)))),$C52=Default_Exchange),IF($G52&gt;0,-LGD,0),0),IF(OR($J52="SWAP",$J52="FUTURE",$J52="CME FUTURE"),IF('Futures &amp; Perps Shifted'!$AE$31,VLOOKUP($M52,'Futures &amp; Perps Shifted'!$AE$32:$AO$76,MATCH($R52,'Futures &amp; Perps Shifted'!$AE$30:$AO$30,0),FALSE),0),0)))</f>
        <v/>
      </c>
      <c r="X52" s="26" t="str">
        <f t="shared" si="7"/>
        <v/>
      </c>
      <c r="Y52" s="26" t="str">
        <f t="shared" si="8"/>
        <v/>
      </c>
      <c r="Z52" s="26" t="str">
        <f t="shared" si="9"/>
        <v/>
      </c>
      <c r="AB52" s="36" t="str">
        <f t="shared" si="29"/>
        <v/>
      </c>
      <c r="AC52" s="42" t="str">
        <f t="shared" si="24"/>
        <v/>
      </c>
      <c r="AD52" s="36"/>
      <c r="AE52" t="s">
        <v>84</v>
      </c>
      <c r="AF52">
        <v>0.43</v>
      </c>
      <c r="AH52">
        <v>726.86</v>
      </c>
      <c r="AJ52">
        <f t="shared" si="26"/>
        <v>312.5498</v>
      </c>
      <c r="AN52" t="str">
        <f t="shared" si="12"/>
        <v/>
      </c>
      <c r="AO52" t="str">
        <f t="shared" si="30"/>
        <v/>
      </c>
      <c r="AP52" t="e">
        <f t="shared" si="31"/>
        <v>#N/A</v>
      </c>
      <c r="AQ52" t="str">
        <f t="shared" si="32"/>
        <v/>
      </c>
      <c r="AR52" t="str">
        <f t="shared" si="32"/>
        <v/>
      </c>
      <c r="AS52" t="str">
        <f t="shared" si="33"/>
        <v/>
      </c>
      <c r="AT52" t="str">
        <f t="shared" si="33"/>
        <v/>
      </c>
      <c r="AV52" s="31" t="e">
        <f t="shared" si="20"/>
        <v>#VALUE!</v>
      </c>
      <c r="AW52" s="36" t="str">
        <f t="shared" si="17"/>
        <v/>
      </c>
      <c r="AZ52" t="str">
        <f t="shared" si="21"/>
        <v/>
      </c>
    </row>
    <row r="53" spans="2:52" x14ac:dyDescent="0.25">
      <c r="B53" s="72"/>
      <c r="G53" s="1"/>
      <c r="K53" s="28"/>
      <c r="N53" s="48" t="str">
        <f t="shared" si="0"/>
        <v/>
      </c>
      <c r="O53" s="46" t="str">
        <f t="shared" si="27"/>
        <v/>
      </c>
      <c r="P53" s="47" t="str">
        <f t="shared" si="28"/>
        <v/>
      </c>
      <c r="Q53" s="25" t="str">
        <f t="shared" si="18"/>
        <v/>
      </c>
      <c r="R53" s="26" t="str">
        <f t="shared" si="3"/>
        <v/>
      </c>
      <c r="S53" s="26" t="str">
        <f t="shared" si="19"/>
        <v/>
      </c>
      <c r="T53" s="26" t="str">
        <f t="shared" si="4"/>
        <v/>
      </c>
      <c r="U53" s="26" t="str">
        <f t="shared" si="5"/>
        <v/>
      </c>
      <c r="V53" s="26" t="str">
        <f t="shared" si="6"/>
        <v/>
      </c>
      <c r="W53" s="26" t="str">
        <f>IF($C53="","",IF(DefaultScenario,IF(OR(AND(Default_Exchange="ALL",NOT(ISERROR(MATCH($C53,$AE$6:$AE$37,0)))),$C53=Default_Exchange),IF($G53&gt;0,-LGD,0),0),IF(OR($J53="SWAP",$J53="FUTURE",$J53="CME FUTURE"),IF('Futures &amp; Perps Shifted'!$AE$31,VLOOKUP($M53,'Futures &amp; Perps Shifted'!$AE$32:$AO$76,MATCH($R53,'Futures &amp; Perps Shifted'!$AE$30:$AO$30,0),FALSE),0),0)))</f>
        <v/>
      </c>
      <c r="X53" s="26" t="str">
        <f t="shared" si="7"/>
        <v/>
      </c>
      <c r="Y53" s="26" t="str">
        <f t="shared" si="8"/>
        <v/>
      </c>
      <c r="Z53" s="26" t="str">
        <f t="shared" si="9"/>
        <v/>
      </c>
      <c r="AB53" s="36"/>
      <c r="AC53" s="42"/>
      <c r="AD53" s="36"/>
      <c r="AE53" t="s">
        <v>23</v>
      </c>
      <c r="AF53">
        <v>1.18</v>
      </c>
      <c r="AH53">
        <v>1338.29</v>
      </c>
      <c r="AJ53">
        <f t="shared" si="26"/>
        <v>1579.1822</v>
      </c>
      <c r="AN53" t="str">
        <f t="shared" si="12"/>
        <v/>
      </c>
      <c r="AO53" t="str">
        <f t="shared" si="30"/>
        <v/>
      </c>
      <c r="AP53" t="e">
        <f t="shared" si="31"/>
        <v>#N/A</v>
      </c>
      <c r="AQ53" t="str">
        <f t="shared" si="32"/>
        <v/>
      </c>
      <c r="AR53" t="str">
        <f t="shared" si="32"/>
        <v/>
      </c>
      <c r="AS53" t="str">
        <f t="shared" si="33"/>
        <v/>
      </c>
      <c r="AT53" t="str">
        <f t="shared" si="33"/>
        <v/>
      </c>
      <c r="AV53" s="31" t="e">
        <f t="shared" si="20"/>
        <v>#VALUE!</v>
      </c>
      <c r="AW53" s="36" t="str">
        <f t="shared" si="17"/>
        <v/>
      </c>
      <c r="AZ53" t="str">
        <f t="shared" si="21"/>
        <v/>
      </c>
    </row>
    <row r="54" spans="2:52" x14ac:dyDescent="0.25">
      <c r="B54" s="72"/>
      <c r="G54" s="1"/>
      <c r="K54" s="28"/>
      <c r="N54" s="48" t="str">
        <f t="shared" si="0"/>
        <v/>
      </c>
      <c r="O54" s="46" t="str">
        <f t="shared" si="27"/>
        <v/>
      </c>
      <c r="P54" s="47" t="str">
        <f t="shared" si="28"/>
        <v/>
      </c>
      <c r="Q54" s="25" t="str">
        <f t="shared" si="18"/>
        <v/>
      </c>
      <c r="R54" s="26" t="str">
        <f t="shared" si="3"/>
        <v/>
      </c>
      <c r="S54" s="26" t="str">
        <f t="shared" si="19"/>
        <v/>
      </c>
      <c r="T54" s="26" t="str">
        <f t="shared" si="4"/>
        <v/>
      </c>
      <c r="U54" s="26" t="str">
        <f t="shared" si="5"/>
        <v/>
      </c>
      <c r="V54" s="26" t="str">
        <f t="shared" si="6"/>
        <v/>
      </c>
      <c r="W54" s="26" t="str">
        <f>IF($C54="","",IF(DefaultScenario,IF(OR(AND(Default_Exchange="ALL",NOT(ISERROR(MATCH($C54,$AE$6:$AE$37,0)))),$C54=Default_Exchange),IF($G54&gt;0,-LGD,0),0),IF(OR($J54="SWAP",$J54="FUTURE",$J54="CME FUTURE"),IF('Futures &amp; Perps Shifted'!$AE$31,VLOOKUP($M54,'Futures &amp; Perps Shifted'!$AE$32:$AO$76,MATCH($R54,'Futures &amp; Perps Shifted'!$AE$30:$AO$30,0),FALSE),0),0)))</f>
        <v/>
      </c>
      <c r="X54" s="26" t="str">
        <f t="shared" si="7"/>
        <v/>
      </c>
      <c r="Y54" s="26" t="str">
        <f t="shared" si="8"/>
        <v/>
      </c>
      <c r="Z54" s="26" t="str">
        <f t="shared" si="9"/>
        <v/>
      </c>
      <c r="AB54" s="36"/>
      <c r="AC54" s="42"/>
      <c r="AD54" s="36"/>
      <c r="AE54" t="s">
        <v>99</v>
      </c>
      <c r="AF54">
        <v>0.43</v>
      </c>
      <c r="AH54">
        <v>1506.58</v>
      </c>
      <c r="AJ54">
        <f t="shared" si="26"/>
        <v>647.82939999999996</v>
      </c>
      <c r="AN54" t="str">
        <f t="shared" si="12"/>
        <v/>
      </c>
      <c r="AO54" t="str">
        <f t="shared" si="30"/>
        <v/>
      </c>
      <c r="AP54" t="e">
        <f t="shared" si="31"/>
        <v>#N/A</v>
      </c>
      <c r="AQ54" t="str">
        <f t="shared" si="32"/>
        <v/>
      </c>
      <c r="AR54" t="str">
        <f t="shared" si="32"/>
        <v/>
      </c>
      <c r="AS54" t="str">
        <f t="shared" si="33"/>
        <v/>
      </c>
      <c r="AT54" t="str">
        <f t="shared" si="33"/>
        <v/>
      </c>
      <c r="AV54" s="31" t="e">
        <f t="shared" si="20"/>
        <v>#VALUE!</v>
      </c>
      <c r="AW54" s="36" t="str">
        <f t="shared" si="17"/>
        <v/>
      </c>
      <c r="AZ54" t="str">
        <f t="shared" si="21"/>
        <v/>
      </c>
    </row>
    <row r="55" spans="2:52" x14ac:dyDescent="0.25">
      <c r="B55" s="72"/>
      <c r="F55" s="42"/>
      <c r="G55" s="1"/>
      <c r="K55" s="28"/>
      <c r="N55" s="48" t="str">
        <f t="shared" si="0"/>
        <v/>
      </c>
      <c r="O55" s="46" t="str">
        <f t="shared" si="27"/>
        <v/>
      </c>
      <c r="P55" s="47" t="str">
        <f t="shared" si="28"/>
        <v/>
      </c>
      <c r="Q55" s="25" t="str">
        <f t="shared" si="18"/>
        <v/>
      </c>
      <c r="R55" s="26" t="str">
        <f t="shared" si="3"/>
        <v/>
      </c>
      <c r="S55" s="26" t="str">
        <f t="shared" si="19"/>
        <v/>
      </c>
      <c r="T55" s="26" t="str">
        <f t="shared" si="4"/>
        <v/>
      </c>
      <c r="U55" s="26" t="str">
        <f t="shared" si="5"/>
        <v/>
      </c>
      <c r="V55" s="26" t="str">
        <f t="shared" si="6"/>
        <v/>
      </c>
      <c r="W55" s="26" t="str">
        <f>IF($C55="","",IF(DefaultScenario,IF(OR(AND(Default_Exchange="ALL",NOT(ISERROR(MATCH($C55,$AE$6:$AE$37,0)))),$C55=Default_Exchange),IF($G55&gt;0,-LGD,0),0),IF(OR($J55="SWAP",$J55="FUTURE",$J55="CME FUTURE"),IF('Futures &amp; Perps Shifted'!$AE$31,VLOOKUP($M55,'Futures &amp; Perps Shifted'!$AE$32:$AO$76,MATCH($R55,'Futures &amp; Perps Shifted'!$AE$30:$AO$30,0),FALSE),0),0)))</f>
        <v/>
      </c>
      <c r="X55" s="26" t="str">
        <f t="shared" si="7"/>
        <v/>
      </c>
      <c r="Y55" s="26" t="str">
        <f t="shared" si="8"/>
        <v/>
      </c>
      <c r="Z55" s="26" t="str">
        <f t="shared" si="9"/>
        <v/>
      </c>
      <c r="AB55" s="36"/>
      <c r="AC55" s="42"/>
      <c r="AD55" s="36"/>
      <c r="AF55" s="42"/>
      <c r="AN55" t="str">
        <f t="shared" si="12"/>
        <v/>
      </c>
      <c r="AO55" t="str">
        <f t="shared" si="30"/>
        <v/>
      </c>
      <c r="AP55" t="e">
        <f t="shared" si="31"/>
        <v>#N/A</v>
      </c>
      <c r="AQ55" t="str">
        <f t="shared" si="32"/>
        <v/>
      </c>
      <c r="AR55" t="str">
        <f t="shared" si="32"/>
        <v/>
      </c>
      <c r="AS55" t="str">
        <f t="shared" si="33"/>
        <v/>
      </c>
      <c r="AT55" t="str">
        <f t="shared" si="33"/>
        <v/>
      </c>
      <c r="AV55" s="31" t="e">
        <f t="shared" si="20"/>
        <v>#VALUE!</v>
      </c>
      <c r="AW55" s="36" t="str">
        <f t="shared" si="17"/>
        <v/>
      </c>
      <c r="AZ55" t="str">
        <f t="shared" si="21"/>
        <v/>
      </c>
    </row>
    <row r="56" spans="2:52" x14ac:dyDescent="0.25">
      <c r="B56" s="72"/>
      <c r="F56" s="42"/>
      <c r="G56" s="1"/>
      <c r="K56" s="28"/>
      <c r="N56" s="48" t="str">
        <f t="shared" si="0"/>
        <v/>
      </c>
      <c r="O56" s="46" t="str">
        <f t="shared" si="27"/>
        <v/>
      </c>
      <c r="P56" s="47" t="str">
        <f t="shared" si="28"/>
        <v/>
      </c>
      <c r="Q56" s="25" t="str">
        <f t="shared" si="18"/>
        <v/>
      </c>
      <c r="R56" s="26" t="str">
        <f t="shared" si="3"/>
        <v/>
      </c>
      <c r="S56" s="26" t="str">
        <f t="shared" si="19"/>
        <v/>
      </c>
      <c r="T56" s="26" t="str">
        <f t="shared" si="4"/>
        <v/>
      </c>
      <c r="U56" s="26" t="str">
        <f t="shared" si="5"/>
        <v/>
      </c>
      <c r="V56" s="26" t="str">
        <f t="shared" si="6"/>
        <v/>
      </c>
      <c r="W56" s="26" t="str">
        <f>IF($C56="","",IF(DefaultScenario,IF(OR(AND(Default_Exchange="ALL",NOT(ISERROR(MATCH($C56,$AE$6:$AE$37,0)))),$C56=Default_Exchange),IF($G56&gt;0,-LGD,0),0),IF(OR($J56="SWAP",$J56="FUTURE",$J56="CME FUTURE"),IF('Futures &amp; Perps Shifted'!$AE$31,VLOOKUP($M56,'Futures &amp; Perps Shifted'!$AE$32:$AO$76,MATCH($R56,'Futures &amp; Perps Shifted'!$AE$30:$AO$30,0),FALSE),0),0)))</f>
        <v/>
      </c>
      <c r="X56" s="26" t="str">
        <f t="shared" si="7"/>
        <v/>
      </c>
      <c r="Y56" s="26" t="str">
        <f t="shared" si="8"/>
        <v/>
      </c>
      <c r="Z56" s="26" t="str">
        <f t="shared" si="9"/>
        <v/>
      </c>
      <c r="AB56" s="36"/>
      <c r="AC56" s="42"/>
      <c r="AD56" s="36"/>
      <c r="AF56" s="42"/>
      <c r="AN56" t="str">
        <f t="shared" si="12"/>
        <v/>
      </c>
      <c r="AO56" t="str">
        <f t="shared" si="30"/>
        <v/>
      </c>
      <c r="AP56" t="e">
        <f t="shared" si="31"/>
        <v>#N/A</v>
      </c>
      <c r="AQ56" t="str">
        <f t="shared" si="32"/>
        <v/>
      </c>
      <c r="AR56" t="str">
        <f t="shared" si="32"/>
        <v/>
      </c>
      <c r="AS56" t="str">
        <f t="shared" si="33"/>
        <v/>
      </c>
      <c r="AT56" t="str">
        <f t="shared" si="33"/>
        <v/>
      </c>
      <c r="AV56" s="31" t="e">
        <f t="shared" si="20"/>
        <v>#VALUE!</v>
      </c>
      <c r="AW56" s="36" t="str">
        <f t="shared" si="17"/>
        <v/>
      </c>
      <c r="AZ56" t="str">
        <f t="shared" si="21"/>
        <v/>
      </c>
    </row>
    <row r="57" spans="2:52" x14ac:dyDescent="0.25">
      <c r="B57" s="72"/>
      <c r="F57" s="42"/>
      <c r="G57" s="1"/>
      <c r="K57" s="28"/>
      <c r="N57" s="48" t="str">
        <f t="shared" si="0"/>
        <v/>
      </c>
      <c r="O57" s="46" t="str">
        <f t="shared" si="27"/>
        <v/>
      </c>
      <c r="P57" s="47" t="str">
        <f t="shared" si="28"/>
        <v/>
      </c>
      <c r="Q57" s="25" t="str">
        <f t="shared" si="18"/>
        <v/>
      </c>
      <c r="R57" s="26" t="str">
        <f t="shared" si="3"/>
        <v/>
      </c>
      <c r="S57" s="26" t="str">
        <f t="shared" si="19"/>
        <v/>
      </c>
      <c r="T57" s="26" t="str">
        <f t="shared" si="4"/>
        <v/>
      </c>
      <c r="U57" s="26" t="str">
        <f t="shared" si="5"/>
        <v/>
      </c>
      <c r="V57" s="26" t="str">
        <f t="shared" si="6"/>
        <v/>
      </c>
      <c r="W57" s="26" t="str">
        <f>IF($C57="","",IF(DefaultScenario,IF(OR(AND(Default_Exchange="ALL",NOT(ISERROR(MATCH($C57,$AE$6:$AE$37,0)))),$C57=Default_Exchange),IF($G57&gt;0,-LGD,0),0),IF(OR($J57="SWAP",$J57="FUTURE",$J57="CME FUTURE"),IF('Futures &amp; Perps Shifted'!$AE$31,VLOOKUP($M57,'Futures &amp; Perps Shifted'!$AE$32:$AO$76,MATCH($R57,'Futures &amp; Perps Shifted'!$AE$30:$AO$30,0),FALSE),0),0)))</f>
        <v/>
      </c>
      <c r="X57" s="26" t="str">
        <f t="shared" si="7"/>
        <v/>
      </c>
      <c r="Y57" s="26" t="str">
        <f t="shared" si="8"/>
        <v/>
      </c>
      <c r="Z57" s="26" t="str">
        <f t="shared" si="9"/>
        <v/>
      </c>
      <c r="AA57" s="9"/>
      <c r="AB57" s="9"/>
      <c r="AC57" s="9"/>
      <c r="AD57" s="36"/>
      <c r="AN57" t="str">
        <f t="shared" si="12"/>
        <v/>
      </c>
      <c r="AO57" t="str">
        <f t="shared" si="30"/>
        <v/>
      </c>
      <c r="AP57" t="e">
        <f t="shared" si="31"/>
        <v>#N/A</v>
      </c>
      <c r="AQ57" t="str">
        <f t="shared" si="32"/>
        <v/>
      </c>
      <c r="AR57" t="str">
        <f t="shared" si="32"/>
        <v/>
      </c>
      <c r="AS57" t="str">
        <f t="shared" si="33"/>
        <v/>
      </c>
      <c r="AT57" t="str">
        <f t="shared" si="33"/>
        <v/>
      </c>
      <c r="AV57" s="31" t="e">
        <f t="shared" si="20"/>
        <v>#VALUE!</v>
      </c>
      <c r="AW57" s="36" t="str">
        <f t="shared" si="17"/>
        <v/>
      </c>
      <c r="AZ57" t="str">
        <f t="shared" si="21"/>
        <v/>
      </c>
    </row>
    <row r="58" spans="2:52" x14ac:dyDescent="0.25">
      <c r="B58" s="72"/>
      <c r="F58" s="42"/>
      <c r="G58" s="1"/>
      <c r="K58" s="28"/>
      <c r="N58" s="48" t="str">
        <f t="shared" si="0"/>
        <v/>
      </c>
      <c r="O58" s="46" t="str">
        <f t="shared" si="27"/>
        <v/>
      </c>
      <c r="P58" s="47" t="str">
        <f t="shared" si="28"/>
        <v/>
      </c>
      <c r="Q58" s="25" t="str">
        <f t="shared" si="18"/>
        <v/>
      </c>
      <c r="R58" s="26" t="str">
        <f t="shared" si="3"/>
        <v/>
      </c>
      <c r="S58" s="26" t="str">
        <f t="shared" si="19"/>
        <v/>
      </c>
      <c r="T58" s="26" t="str">
        <f t="shared" si="4"/>
        <v/>
      </c>
      <c r="U58" s="26" t="str">
        <f t="shared" si="5"/>
        <v/>
      </c>
      <c r="V58" s="26" t="str">
        <f t="shared" si="6"/>
        <v/>
      </c>
      <c r="W58" s="26" t="str">
        <f>IF($C58="","",IF(DefaultScenario,IF(OR(AND(Default_Exchange="ALL",NOT(ISERROR(MATCH($C58,$AE$6:$AE$37,0)))),$C58=Default_Exchange),IF($G58&gt;0,-LGD,0),0),IF(OR($J58="SWAP",$J58="FUTURE",$J58="CME FUTURE"),IF('Futures &amp; Perps Shifted'!$AE$31,VLOOKUP($M58,'Futures &amp; Perps Shifted'!$AE$32:$AO$76,MATCH($R58,'Futures &amp; Perps Shifted'!$AE$30:$AO$30,0),FALSE),0),0)))</f>
        <v/>
      </c>
      <c r="X58" s="26" t="str">
        <f t="shared" si="7"/>
        <v/>
      </c>
      <c r="Y58" s="26" t="str">
        <f t="shared" si="8"/>
        <v/>
      </c>
      <c r="Z58" s="26" t="str">
        <f t="shared" si="9"/>
        <v/>
      </c>
      <c r="AA58" s="54"/>
      <c r="AB58" s="54"/>
      <c r="AC58" s="9"/>
      <c r="AD58" s="36"/>
      <c r="AF58" s="42"/>
      <c r="AN58" t="str">
        <f t="shared" si="12"/>
        <v/>
      </c>
      <c r="AO58" t="str">
        <f t="shared" si="30"/>
        <v/>
      </c>
      <c r="AP58" t="e">
        <f t="shared" si="31"/>
        <v>#N/A</v>
      </c>
      <c r="AQ58" t="str">
        <f t="shared" si="32"/>
        <v/>
      </c>
      <c r="AR58" t="str">
        <f t="shared" si="32"/>
        <v/>
      </c>
      <c r="AS58" t="str">
        <f t="shared" si="33"/>
        <v/>
      </c>
      <c r="AT58" t="str">
        <f t="shared" si="33"/>
        <v/>
      </c>
      <c r="AV58" s="31" t="e">
        <f t="shared" si="20"/>
        <v>#VALUE!</v>
      </c>
      <c r="AW58" s="36" t="str">
        <f t="shared" si="17"/>
        <v/>
      </c>
      <c r="AZ58" t="str">
        <f t="shared" si="21"/>
        <v/>
      </c>
    </row>
    <row r="59" spans="2:52" x14ac:dyDescent="0.25">
      <c r="F59" s="42"/>
      <c r="G59" s="1"/>
      <c r="K59" s="28"/>
      <c r="N59" s="48" t="str">
        <f t="shared" si="0"/>
        <v/>
      </c>
      <c r="O59" s="46" t="str">
        <f t="shared" si="27"/>
        <v/>
      </c>
      <c r="P59" s="47" t="str">
        <f t="shared" ref="P59:P68" si="34">IF($C59="","",IF($A59="",0,IF(NOT(ISERROR(VLOOKUP($M59,SpotUSDRateTable,2,FALSE))),VLOOKUP($M59,SpotUSDRateTable,2,FALSE),$H59)*O59))</f>
        <v/>
      </c>
      <c r="Q59" s="25" t="str">
        <f t="shared" si="18"/>
        <v/>
      </c>
      <c r="R59" s="26" t="str">
        <f t="shared" si="3"/>
        <v/>
      </c>
      <c r="S59" s="26" t="str">
        <f t="shared" si="19"/>
        <v/>
      </c>
      <c r="T59" s="26" t="str">
        <f t="shared" si="4"/>
        <v/>
      </c>
      <c r="U59" s="26" t="str">
        <f t="shared" si="5"/>
        <v/>
      </c>
      <c r="V59" s="26" t="str">
        <f t="shared" si="6"/>
        <v/>
      </c>
      <c r="W59" s="26" t="str">
        <f>IF($C59="","",IF(DefaultScenario,IF(OR(AND(Default_Exchange="ALL",NOT(ISERROR(MATCH($C59,$AE$6:$AE$37,0)))),$C59=Default_Exchange),IF($G59&gt;0,-LGD,0),0),IF(OR($J59="SWAP",$J59="FUTURE",$J59="CME FUTURE"),IF('Futures &amp; Perps Shifted'!$AE$31,VLOOKUP($M59,'Futures &amp; Perps Shifted'!$AE$32:$AO$76,MATCH($R59,'Futures &amp; Perps Shifted'!$AE$30:$AO$30,0),FALSE),0),0)))</f>
        <v/>
      </c>
      <c r="X59" s="26" t="str">
        <f t="shared" si="7"/>
        <v/>
      </c>
      <c r="Y59" s="26" t="str">
        <f t="shared" si="8"/>
        <v/>
      </c>
      <c r="Z59" s="26" t="str">
        <f t="shared" si="9"/>
        <v/>
      </c>
      <c r="AA59" s="54"/>
      <c r="AB59" s="54"/>
      <c r="AC59" s="9"/>
      <c r="AD59" s="36"/>
      <c r="AN59" t="str">
        <f t="shared" si="12"/>
        <v/>
      </c>
      <c r="AO59" t="str">
        <f t="shared" si="30"/>
        <v/>
      </c>
      <c r="AP59" t="e">
        <f t="shared" si="31"/>
        <v>#N/A</v>
      </c>
      <c r="AQ59" t="str">
        <f t="shared" si="32"/>
        <v/>
      </c>
      <c r="AR59" t="str">
        <f t="shared" si="32"/>
        <v/>
      </c>
      <c r="AS59" t="str">
        <f t="shared" si="33"/>
        <v/>
      </c>
      <c r="AT59" t="str">
        <f t="shared" si="33"/>
        <v/>
      </c>
      <c r="AV59" s="31" t="e">
        <f t="shared" si="20"/>
        <v>#VALUE!</v>
      </c>
      <c r="AW59" s="36" t="str">
        <f t="shared" si="17"/>
        <v/>
      </c>
      <c r="AZ59" t="str">
        <f t="shared" si="21"/>
        <v/>
      </c>
    </row>
    <row r="60" spans="2:52" x14ac:dyDescent="0.25">
      <c r="F60" s="42"/>
      <c r="G60" s="1"/>
      <c r="K60" s="28"/>
      <c r="N60" s="48" t="str">
        <f t="shared" si="0"/>
        <v/>
      </c>
      <c r="O60" s="46" t="str">
        <f t="shared" si="27"/>
        <v/>
      </c>
      <c r="P60" s="47" t="str">
        <f t="shared" si="34"/>
        <v/>
      </c>
      <c r="Q60" s="25" t="str">
        <f t="shared" si="18"/>
        <v/>
      </c>
      <c r="R60" s="26" t="str">
        <f t="shared" si="3"/>
        <v/>
      </c>
      <c r="S60" s="26" t="str">
        <f t="shared" si="19"/>
        <v/>
      </c>
      <c r="T60" s="26" t="str">
        <f t="shared" si="4"/>
        <v/>
      </c>
      <c r="U60" s="26" t="str">
        <f t="shared" si="5"/>
        <v/>
      </c>
      <c r="V60" s="26" t="str">
        <f t="shared" si="6"/>
        <v/>
      </c>
      <c r="W60" s="26" t="str">
        <f>IF($C60="","",IF(DefaultScenario,IF(OR(AND(Default_Exchange="ALL",NOT(ISERROR(MATCH($C60,$AE$6:$AE$37,0)))),$C60=Default_Exchange),IF($G60&gt;0,-LGD,0),0),IF(OR($J60="SWAP",$J60="FUTURE",$J60="CME FUTURE"),IF('Futures &amp; Perps Shifted'!$AE$31,VLOOKUP($M60,'Futures &amp; Perps Shifted'!$AE$32:$AO$76,MATCH($R60,'Futures &amp; Perps Shifted'!$AE$30:$AO$30,0),FALSE),0),0)))</f>
        <v/>
      </c>
      <c r="X60" s="26" t="str">
        <f t="shared" si="7"/>
        <v/>
      </c>
      <c r="Y60" s="26" t="str">
        <f t="shared" si="8"/>
        <v/>
      </c>
      <c r="Z60" s="26" t="str">
        <f t="shared" si="9"/>
        <v/>
      </c>
      <c r="AA60" s="54"/>
      <c r="AB60" s="54"/>
      <c r="AC60" s="9"/>
      <c r="AD60" s="36"/>
      <c r="AF60" s="42"/>
      <c r="AN60" t="str">
        <f t="shared" si="12"/>
        <v/>
      </c>
      <c r="AO60" t="str">
        <f t="shared" si="30"/>
        <v/>
      </c>
      <c r="AP60" t="e">
        <f t="shared" si="31"/>
        <v>#N/A</v>
      </c>
      <c r="AQ60" t="str">
        <f t="shared" si="32"/>
        <v/>
      </c>
      <c r="AR60" t="str">
        <f t="shared" si="32"/>
        <v/>
      </c>
      <c r="AS60" t="str">
        <f t="shared" si="33"/>
        <v/>
      </c>
      <c r="AT60" t="str">
        <f t="shared" si="33"/>
        <v/>
      </c>
      <c r="AV60" s="31" t="e">
        <f t="shared" si="20"/>
        <v>#VALUE!</v>
      </c>
      <c r="AW60" s="36" t="str">
        <f t="shared" si="17"/>
        <v/>
      </c>
      <c r="AZ60" t="str">
        <f t="shared" si="21"/>
        <v/>
      </c>
    </row>
    <row r="61" spans="2:52" x14ac:dyDescent="0.25">
      <c r="F61" s="42"/>
      <c r="G61" s="1"/>
      <c r="K61" s="28"/>
      <c r="N61" s="48" t="str">
        <f t="shared" si="0"/>
        <v/>
      </c>
      <c r="O61" s="46" t="str">
        <f t="shared" si="27"/>
        <v/>
      </c>
      <c r="P61" s="47" t="str">
        <f t="shared" si="34"/>
        <v/>
      </c>
      <c r="Q61" s="25" t="str">
        <f t="shared" si="18"/>
        <v/>
      </c>
      <c r="R61" s="26" t="str">
        <f t="shared" si="3"/>
        <v/>
      </c>
      <c r="S61" s="26" t="str">
        <f t="shared" si="19"/>
        <v/>
      </c>
      <c r="T61" s="26" t="str">
        <f t="shared" si="4"/>
        <v/>
      </c>
      <c r="U61" s="26" t="str">
        <f t="shared" si="5"/>
        <v/>
      </c>
      <c r="V61" s="26" t="str">
        <f t="shared" si="6"/>
        <v/>
      </c>
      <c r="W61" s="26" t="str">
        <f>IF($C61="","",IF(DefaultScenario,IF(OR(AND(Default_Exchange="ALL",NOT(ISERROR(MATCH($C61,$AE$6:$AE$37,0)))),$C61=Default_Exchange),IF($G61&gt;0,-LGD,0),0),IF(OR($J61="SWAP",$J61="FUTURE",$J61="CME FUTURE"),IF('Futures &amp; Perps Shifted'!$AE$31,VLOOKUP($M61,'Futures &amp; Perps Shifted'!$AE$32:$AO$76,MATCH($R61,'Futures &amp; Perps Shifted'!$AE$30:$AO$30,0),FALSE),0),0)))</f>
        <v/>
      </c>
      <c r="X61" s="26" t="str">
        <f t="shared" si="7"/>
        <v/>
      </c>
      <c r="Y61" s="26" t="str">
        <f t="shared" si="8"/>
        <v/>
      </c>
      <c r="Z61" s="26" t="str">
        <f t="shared" si="9"/>
        <v/>
      </c>
      <c r="AA61" s="54"/>
      <c r="AB61" s="54"/>
      <c r="AC61" s="9"/>
      <c r="AD61" s="36"/>
      <c r="AN61" t="str">
        <f t="shared" si="12"/>
        <v/>
      </c>
      <c r="AO61" t="str">
        <f t="shared" si="30"/>
        <v/>
      </c>
      <c r="AP61" t="e">
        <f t="shared" si="31"/>
        <v>#N/A</v>
      </c>
      <c r="AQ61" t="str">
        <f t="shared" si="32"/>
        <v/>
      </c>
      <c r="AR61" t="str">
        <f t="shared" si="32"/>
        <v/>
      </c>
      <c r="AS61" t="str">
        <f t="shared" si="33"/>
        <v/>
      </c>
      <c r="AT61" t="str">
        <f t="shared" si="33"/>
        <v/>
      </c>
      <c r="AV61" s="31" t="e">
        <f t="shared" si="20"/>
        <v>#VALUE!</v>
      </c>
      <c r="AW61" s="36" t="str">
        <f t="shared" si="17"/>
        <v/>
      </c>
      <c r="AZ61" t="str">
        <f t="shared" si="21"/>
        <v/>
      </c>
    </row>
    <row r="62" spans="2:52" x14ac:dyDescent="0.25">
      <c r="F62" s="42"/>
      <c r="G62" s="1"/>
      <c r="K62" s="28"/>
      <c r="N62" s="48" t="str">
        <f t="shared" si="0"/>
        <v/>
      </c>
      <c r="O62" s="46" t="str">
        <f t="shared" si="27"/>
        <v/>
      </c>
      <c r="P62" s="47" t="str">
        <f t="shared" si="34"/>
        <v/>
      </c>
      <c r="Q62" s="25" t="str">
        <f t="shared" si="18"/>
        <v/>
      </c>
      <c r="R62" s="26" t="str">
        <f>IF($C62="","",IF(OR($E62="USD",$E62="EUR"),"CASH",IF($Q62=0,"COIN",IF($Q62&gt;720,"PERP",IF($J62="FUTURE",TEXT($K62-1,"mmm yy"),"CME "&amp;TEXT($K62-1,"mmm yy"))))))</f>
        <v/>
      </c>
      <c r="S62" s="26" t="str">
        <f t="shared" si="19"/>
        <v/>
      </c>
      <c r="T62" s="26" t="str">
        <f>IF($C62="","",$R62&amp;" "&amp;$S62)</f>
        <v/>
      </c>
      <c r="U62" s="26" t="str">
        <f>IF($C62="","",$G62*(1+$W62))</f>
        <v/>
      </c>
      <c r="V62" s="26" t="str">
        <f>IF($C62="","",$H62*(1+$W62))</f>
        <v/>
      </c>
      <c r="W62" s="26" t="str">
        <f>IF($C62="","",IF(DefaultScenario,IF(OR(AND(Default_Exchange="ALL",NOT(ISERROR(MATCH($C62,$AE$6:$AE$37,0)))),$C62=Default_Exchange),IF($G62&gt;0,-LGD,0),0),IF(OR($J62="SWAP",$J62="FUTURE",$J62="CME FUTURE"),IF('Futures &amp; Perps Shifted'!$AE$31,VLOOKUP($M62,'Futures &amp; Perps Shifted'!$AE$32:$AO$76,MATCH($R62,'Futures &amp; Perps Shifted'!$AE$30:$AO$30,0),FALSE),0),0)))</f>
        <v/>
      </c>
      <c r="X62" s="26" t="str">
        <f>IF($C62="","",$U62-$G62)</f>
        <v/>
      </c>
      <c r="Y62" s="26" t="str">
        <f>IF($C62="","",IF(ISERROR(SEARCH("-",$D62)),$D62,LEFT($D62,SEARCH("-",$D62)-1)))</f>
        <v/>
      </c>
      <c r="Z62" s="26" t="str">
        <f>IF($C62="","",IF(OR($E62="USD",$E62="EUR"),"CASH",IF($Q62=0,"COIN",IF($Q62&gt;720,"PERP",IF($Q62&lt;24,"W"&amp;ROUND($Q62/7,0),"M"&amp;ROUND($Q62/30,0))))))</f>
        <v/>
      </c>
      <c r="AA62" s="54"/>
      <c r="AB62" s="54"/>
      <c r="AC62" s="9"/>
      <c r="AD62" s="36"/>
      <c r="AN62" t="str">
        <f>IF($C62="","",IF($J62="CME FUTURE","USD",IF(ISNUMBER(VALUE(MID($E62,SEARCH($M62,$E62)+LEN($M62)+IF(OR(MID($E62,SEARCH($M62,$E62)+LEN($M62),1)="-",MID($E62,SEARCH($M62,$E62)+LEN($M62),1)="_"),1,0),3))),"USD",MID($E62,SEARCH($M62,$E62)+LEN($M62)+IF(OR(MID($E62,SEARCH($M62,$E62)+LEN($M62),1)="-",MID($E62,SEARCH($M62,$E62)+LEN($M62),1)="_"),1,0),IF(OR(LEN($E62)&lt;SEARCH($M62,$E62)+LEN($M62)+3,MID($E62,SEARCH($M62,$E62)+LEN($M62)+4,1)="_",MID($E62,SEARCH($M62,$E62)+LEN($M62)+4,1)="-"),3,4)))))</f>
        <v/>
      </c>
      <c r="AO62" t="str">
        <f t="shared" si="30"/>
        <v/>
      </c>
      <c r="AP62" t="e">
        <f t="shared" si="31"/>
        <v>#N/A</v>
      </c>
      <c r="AQ62" t="str">
        <f t="shared" si="32"/>
        <v/>
      </c>
      <c r="AR62" t="str">
        <f t="shared" si="32"/>
        <v/>
      </c>
      <c r="AS62" t="str">
        <f t="shared" si="33"/>
        <v/>
      </c>
      <c r="AT62" t="str">
        <f t="shared" si="33"/>
        <v/>
      </c>
      <c r="AV62" s="31" t="e">
        <f>AW62*G62</f>
        <v>#VALUE!</v>
      </c>
      <c r="AW62" s="36" t="str">
        <f>IF($C62="","",IF($A62="",0,IF($L62=1,(($H62*(1+AW$1))-$H62)*$N62*$F62/$AO62,$F62*$N62*(1/($H62)-1/($H62*(1+AW$1)))*$AP62)/$G62/AW$1))</f>
        <v/>
      </c>
      <c r="AZ62" t="str">
        <f t="shared" ref="AZ62:AZ68" si="35">IF($C62="","",IF($A62="",0,IF($L62=1,($H62*IF(OR($J62="FUTURE",$J62="CME FUTURE"),1+BA$1,1)-$H62)*$N62*$F62/$AO62,$F62*$N62*(1/($H62)-1/(IF(OR($J62="FUTURE",$J62="CME FUTURE"),1+BA$1,1)*$H62))*$AP62)))</f>
        <v/>
      </c>
    </row>
    <row r="63" spans="2:52" x14ac:dyDescent="0.25">
      <c r="F63" s="42"/>
      <c r="G63" s="1"/>
      <c r="K63" s="28"/>
      <c r="N63" s="48" t="str">
        <f t="shared" si="0"/>
        <v/>
      </c>
      <c r="O63" s="46" t="str">
        <f t="shared" si="27"/>
        <v/>
      </c>
      <c r="P63" s="47" t="str">
        <f t="shared" si="34"/>
        <v/>
      </c>
      <c r="Q63" s="25" t="str">
        <f t="shared" si="18"/>
        <v/>
      </c>
      <c r="R63" s="26" t="str">
        <f>IF($C63="","",IF(OR($E63="USD",$E63="EUR"),"CASH",IF($Q63=0,"COIN",IF($Q63&gt;720,"PERP",IF($J63="FUTURE",TEXT($K63-1,"mmm yy"),"CME "&amp;TEXT($K63-1,"mmm yy"))))))</f>
        <v/>
      </c>
      <c r="S63" s="26" t="str">
        <f t="shared" si="19"/>
        <v/>
      </c>
      <c r="T63" s="26" t="str">
        <f>IF($C63="","",$R63&amp;" "&amp;$S63)</f>
        <v/>
      </c>
      <c r="U63" s="26" t="str">
        <f>IF($C63="","",$G63*(1+$W63))</f>
        <v/>
      </c>
      <c r="V63" s="26" t="str">
        <f>IF($C63="","",$H63*(1+$W63))</f>
        <v/>
      </c>
      <c r="W63" s="26" t="str">
        <f>IF($C63="","",IF(DefaultScenario,IF(OR(AND(Default_Exchange="ALL",NOT(ISERROR(MATCH($C63,$AE$6:$AE$37,0)))),$C63=Default_Exchange),IF($G63&gt;0,-LGD,0),0),IF(OR($J63="SWAP",$J63="FUTURE",$J63="CME FUTURE"),IF('Futures &amp; Perps Shifted'!$AE$31,VLOOKUP($M63,'Futures &amp; Perps Shifted'!$AE$32:$AO$76,MATCH($R63,'Futures &amp; Perps Shifted'!$AE$30:$AO$30,0),FALSE),0),0)))</f>
        <v/>
      </c>
      <c r="X63" s="26" t="str">
        <f>IF($C63="","",$U63-$G63)</f>
        <v/>
      </c>
      <c r="Y63" s="26" t="str">
        <f>IF($C63="","",IF(ISERROR(SEARCH("-",$D63)),$D63,LEFT($D63,SEARCH("-",$D63)-1)))</f>
        <v/>
      </c>
      <c r="Z63" s="26" t="str">
        <f>IF($C63="","",IF(OR($E63="USD",$E63="EUR"),"CASH",IF($Q63=0,"COIN",IF($Q63&gt;720,"PERP",IF($Q63&lt;24,"W"&amp;ROUND($Q63/7,0),"M"&amp;ROUND($Q63/30,0))))))</f>
        <v/>
      </c>
      <c r="AA63" s="54"/>
      <c r="AB63" s="54"/>
      <c r="AC63" s="9"/>
      <c r="AD63" s="36"/>
      <c r="AL63">
        <v>7117</v>
      </c>
      <c r="AN63" t="str">
        <f>IF($C63="","",IF($J63="CME FUTURE","USD",IF(ISNUMBER(VALUE(MID($E63,SEARCH($M63,$E63)+LEN($M63)+IF(OR(MID($E63,SEARCH($M63,$E63)+LEN($M63),1)="-",MID($E63,SEARCH($M63,$E63)+LEN($M63),1)="_"),1,0),3))),"USD",MID($E63,SEARCH($M63,$E63)+LEN($M63)+IF(OR(MID($E63,SEARCH($M63,$E63)+LEN($M63),1)="-",MID($E63,SEARCH($M63,$E63)+LEN($M63),1)="_"),1,0),IF(OR(LEN($E63)&lt;SEARCH($M63,$E63)+LEN($M63)+3,MID($E63,SEARCH($M63,$E63)+LEN($M63)+4,1)="_",MID($E63,SEARCH($M63,$E63)+LEN($M63)+4,1)="-"),3,4)))))</f>
        <v/>
      </c>
      <c r="AO63" t="str">
        <f t="shared" ref="AO63:AO68" si="36">VLOOKUP($AN63,SpotUSDRateTable,2,FALSE)</f>
        <v/>
      </c>
      <c r="AP63" t="e">
        <f>VLOOKUP($M63,SpotUSDRateTable,2,FALSE)</f>
        <v>#N/A</v>
      </c>
      <c r="AQ63" t="str">
        <f>IF($C63="","",IF($A63="",0,IF($L63=1,(($H63+AQ$1)-$H63)*$N63*$F63/$AO63,$F63*$N63*(1/($H63)-1/($H63+AQ$1))*$AP63)))</f>
        <v/>
      </c>
      <c r="AR63" t="str">
        <f>IF($C63="","",IF($A63="",0,IF($L63=1,(($H63+AR$1)-$H63)*$N63*$F63/$AO63,$F63*$N63*(1/($H63)-1/($H63+AR$1))*$AP63)))</f>
        <v/>
      </c>
      <c r="AS63" t="str">
        <f t="shared" si="33"/>
        <v/>
      </c>
      <c r="AT63" t="str">
        <f t="shared" si="33"/>
        <v/>
      </c>
      <c r="AV63" s="31" t="e">
        <f>AW63*G63</f>
        <v>#VALUE!</v>
      </c>
      <c r="AW63" s="36" t="str">
        <f>IF($C63="","",IF($A63="",0,IF($L63=1,(($H63*(1+AW$1))-$H63)*$N63*$F63/$AO63,$F63*$N63*(1/($H63)-1/($H63*(1+AW$1)))*$AP63)/$G63/AW$1))</f>
        <v/>
      </c>
      <c r="AZ63" t="str">
        <f t="shared" si="35"/>
        <v/>
      </c>
    </row>
    <row r="64" spans="2:52" x14ac:dyDescent="0.25">
      <c r="F64" s="42"/>
      <c r="G64" s="1"/>
      <c r="K64" s="28"/>
      <c r="N64" s="48" t="str">
        <f t="shared" si="0"/>
        <v/>
      </c>
      <c r="O64" s="46" t="str">
        <f t="shared" si="27"/>
        <v/>
      </c>
      <c r="P64" s="47" t="str">
        <f t="shared" si="34"/>
        <v/>
      </c>
      <c r="Q64" s="25" t="str">
        <f t="shared" si="18"/>
        <v/>
      </c>
      <c r="R64" s="26" t="str">
        <f>IF($D64="","",IF(OR($F64="USD",$F64="EUR"),"CASH",IF($Q64=0,"COIN",IF($Q64&gt;720,"PERP",IF($K64="FUTURE",TEXT($L64-1,"mmm yy"),"CME "&amp;TEXT($L64-1,"mmm yy"))))))</f>
        <v/>
      </c>
      <c r="S64" s="26" t="str">
        <f t="shared" si="19"/>
        <v/>
      </c>
      <c r="T64" s="26" t="str">
        <f>IF($D64="","",$R64&amp;" "&amp;$S64)</f>
        <v/>
      </c>
      <c r="U64" s="26" t="str">
        <f>IF($D64="","",$H64*(1+$W64))</f>
        <v/>
      </c>
      <c r="V64" s="26" t="str">
        <f>IF($D64="","",$I64*(1+$W64))</f>
        <v/>
      </c>
      <c r="W64" s="26" t="str">
        <f>IF($C64="","",IF(DefaultScenario,IF(OR(AND(Default_Exchange="ALL",NOT(ISERROR(MATCH($C64,$AE$6:$AE$37,0)))),$C64=Default_Exchange),IF($G64&gt;0,-LGD,0),0),IF(OR($J64="SWAP",$J64="FUTURE",$J64="CME FUTURE"),IF('Futures &amp; Perps Shifted'!$AE$31,VLOOKUP($M64,'Futures &amp; Perps Shifted'!$AE$32:$AO$76,MATCH($R64,'Futures &amp; Perps Shifted'!$AE$30:$AO$30,0),FALSE),0),0)))</f>
        <v/>
      </c>
      <c r="X64" s="26" t="str">
        <f>IF($D64="","",$U64-$H64)</f>
        <v/>
      </c>
      <c r="Y64" s="26" t="str">
        <f>IF($D64="","",IF(ISERROR(SEARCH("-",$E64)),$E64,LEFT($E64,SEARCH("-",$E64)-1)))</f>
        <v/>
      </c>
      <c r="Z64" s="26" t="str">
        <f>IF($D64="","",IF(OR($F64="USD",$F64="EUR"),"CASH",IF($Q64=0,"COIN",IF($Q64&gt;720,"PERP",IF($Q64&lt;24,"W"&amp;ROUND($Q64/7,0),"M"&amp;ROUND($Q64/30,0))))))</f>
        <v/>
      </c>
      <c r="AA64" s="54"/>
      <c r="AB64" s="54"/>
      <c r="AC64" s="9"/>
      <c r="AD64" s="36"/>
      <c r="AL64">
        <v>9312</v>
      </c>
      <c r="AN64" t="str">
        <f>IF($D64="","",IF($K64="CME FUTURE","USD",IF(ISNUMBER(VALUE(MID($F64,SEARCH(#REF!,$F64)+LEN(#REF!)+IF(OR(MID($F64,SEARCH(#REF!,$F64)+LEN(#REF!),1)="-",MID($F64,SEARCH(#REF!,$F64)+LEN(#REF!),1)="_"),1,0),3))),"USD",MID($F64,SEARCH(#REF!,$F64)+LEN(#REF!)+IF(OR(MID($F64,SEARCH(#REF!,$F64)+LEN(#REF!),1)="-",MID($F64,SEARCH(#REF!,$F64)+LEN(#REF!),1)="_"),1,0),IF(OR(LEN($F64)&lt;SEARCH(#REF!,$F64)+LEN(#REF!)+3,MID($F64,SEARCH(#REF!,$F64)+LEN(#REF!)+4,1)="_",MID($F64,SEARCH(#REF!,$F64)+LEN(#REF!)+4,1)="-"),3,4)))))</f>
        <v/>
      </c>
      <c r="AO64" t="str">
        <f t="shared" si="36"/>
        <v/>
      </c>
      <c r="AP64" t="e">
        <f>VLOOKUP(#REF!,SpotUSDRateTable,2,FALSE)</f>
        <v>#REF!</v>
      </c>
      <c r="AQ64" t="str">
        <f t="shared" ref="AQ64:AR67" si="37">IF($D64="","",IF($C64="",0,IF($M64=1,(($I64+AQ$1)-$I64)*$N64*$G64/$AO64,$G64*$N64*(1/($I64)-1/($I64+AQ$1))*$AP64)))</f>
        <v/>
      </c>
      <c r="AR64" t="str">
        <f t="shared" si="37"/>
        <v/>
      </c>
      <c r="AS64" t="str">
        <f t="shared" ref="AS64:AT67" si="38">IF($D64="","",IF($C64="",0,IF($M64=1,($I64*(1+AS$1)-$I64)*$N64*$G64/$AO64,$G64*$N64*(1/($I64)-1/($I64*(1+AS$1)))*$AP64)))</f>
        <v/>
      </c>
      <c r="AT64" t="str">
        <f t="shared" si="38"/>
        <v/>
      </c>
      <c r="AV64" s="31" t="e">
        <f>AW64*H64</f>
        <v>#VALUE!</v>
      </c>
      <c r="AW64" s="36" t="str">
        <f>IF($D64="","",IF($C64="",0,IF($M64=1,(($I64*(1+AW$1))-$I64)*$N64*$G64/$AO64,$G64*$N64*(1/($I64)-1/($I64*(1+AW$1)))*$AP64)/$H64/AW$1))</f>
        <v/>
      </c>
      <c r="AZ64" t="str">
        <f>IF($D64="","",IF($C64="",0,IF($M64=1,($I64*IF(OR($K64="FUTURE",$K64="CME FUTURE"),1+BA$1,1)-$I64)*$N64*$G64/$AO64,$G64*$N64*(1/($I64)-1/(IF(OR($K64="FUTURE",$K64="CME FUTURE"),1+BA$1,1)*$I64))*$AP64)))</f>
        <v/>
      </c>
    </row>
    <row r="65" spans="6:52" x14ac:dyDescent="0.25">
      <c r="F65" s="42"/>
      <c r="G65" s="1"/>
      <c r="K65" s="28"/>
      <c r="N65" s="48" t="str">
        <f t="shared" si="0"/>
        <v/>
      </c>
      <c r="O65" s="46" t="str">
        <f t="shared" si="27"/>
        <v/>
      </c>
      <c r="P65" s="47" t="str">
        <f t="shared" si="34"/>
        <v/>
      </c>
      <c r="Q65" s="25" t="str">
        <f t="shared" si="18"/>
        <v/>
      </c>
      <c r="R65" s="26" t="str">
        <f>IF($D65="","",IF(OR($F65="USD",$F65="EUR"),"CASH",IF($Q65=0,"COIN",IF($Q65&gt;720,"PERP",IF($K65="FUTURE",TEXT($L65-1,"mmm yy"),"CME "&amp;TEXT($L65-1,"mmm yy"))))))</f>
        <v/>
      </c>
      <c r="S65" s="26" t="str">
        <f t="shared" si="19"/>
        <v/>
      </c>
      <c r="T65" s="26" t="str">
        <f>IF($D65="","",$R65&amp;" "&amp;$S65)</f>
        <v/>
      </c>
      <c r="U65" s="26" t="str">
        <f>IF($D65="","",$H65*(1+$W65))</f>
        <v/>
      </c>
      <c r="V65" s="26" t="str">
        <f>IF($D65="","",$I65*(1+$W65))</f>
        <v/>
      </c>
      <c r="W65" s="26" t="str">
        <f>IF($C65="","",IF(DefaultScenario,IF(OR(AND(Default_Exchange="ALL",NOT(ISERROR(MATCH($C65,$AE$6:$AE$37,0)))),$C65=Default_Exchange),IF($G65&gt;0,-LGD,0),0),IF(OR($J65="SWAP",$J65="FUTURE",$J65="CME FUTURE"),IF('Futures &amp; Perps Shifted'!$AE$31,VLOOKUP($M65,'Futures &amp; Perps Shifted'!$AE$32:$AO$76,MATCH($R65,'Futures &amp; Perps Shifted'!$AE$30:$AO$30,0),FALSE),0),0)))</f>
        <v/>
      </c>
      <c r="X65" s="26" t="str">
        <f>IF($D65="","",$U65-$H65)</f>
        <v/>
      </c>
      <c r="Y65" s="26" t="str">
        <f>IF($D65="","",IF(ISERROR(SEARCH("-",$E65)),$E65,LEFT($E65,SEARCH("-",$E65)-1)))</f>
        <v/>
      </c>
      <c r="Z65" s="26" t="str">
        <f>IF($D65="","",IF(OR($F65="USD",$F65="EUR"),"CASH",IF($Q65=0,"COIN",IF($Q65&gt;720,"PERP",IF($Q65&lt;24,"W"&amp;ROUND($Q65/7,0),"M"&amp;ROUND($Q65/30,0))))))</f>
        <v/>
      </c>
      <c r="AA65" s="54"/>
      <c r="AB65" s="54"/>
      <c r="AC65" s="9"/>
      <c r="AD65" s="36"/>
      <c r="AL65">
        <v>-11513</v>
      </c>
      <c r="AN65" t="str">
        <f>IF($D65="","",IF($K65="CME FUTURE","USD",IF(ISNUMBER(VALUE(MID($F65,SEARCH(#REF!,$F65)+LEN(#REF!)+IF(OR(MID($F65,SEARCH(#REF!,$F65)+LEN(#REF!),1)="-",MID($F65,SEARCH(#REF!,$F65)+LEN(#REF!),1)="_"),1,0),3))),"USD",MID($F65,SEARCH(#REF!,$F65)+LEN(#REF!)+IF(OR(MID($F65,SEARCH(#REF!,$F65)+LEN(#REF!),1)="-",MID($F65,SEARCH(#REF!,$F65)+LEN(#REF!),1)="_"),1,0),IF(OR(LEN($F65)&lt;SEARCH(#REF!,$F65)+LEN(#REF!)+3,MID($F65,SEARCH(#REF!,$F65)+LEN(#REF!)+4,1)="_",MID($F65,SEARCH(#REF!,$F65)+LEN(#REF!)+4,1)="-"),3,4)))))</f>
        <v/>
      </c>
      <c r="AO65" t="str">
        <f t="shared" si="36"/>
        <v/>
      </c>
      <c r="AP65" t="e">
        <f>VLOOKUP(#REF!,SpotUSDRateTable,2,FALSE)</f>
        <v>#REF!</v>
      </c>
      <c r="AQ65" t="str">
        <f t="shared" si="37"/>
        <v/>
      </c>
      <c r="AR65" t="str">
        <f t="shared" si="37"/>
        <v/>
      </c>
      <c r="AS65" t="str">
        <f t="shared" si="38"/>
        <v/>
      </c>
      <c r="AT65" t="str">
        <f t="shared" si="38"/>
        <v/>
      </c>
      <c r="AV65" s="31" t="e">
        <f>AW65*H65</f>
        <v>#VALUE!</v>
      </c>
      <c r="AW65" s="36" t="str">
        <f>IF($D65="","",IF($C65="",0,IF($M65=1,(($I65*(1+AW$1))-$I65)*$N65*$G65/$AO65,$G65*$N65*(1/($I65)-1/($I65*(1+AW$1)))*$AP65)/$H65/AW$1))</f>
        <v/>
      </c>
      <c r="AZ65" t="str">
        <f>IF($D65="","",IF($C65="",0,IF($M65=1,($I65*IF(OR($K65="FUTURE",$K65="CME FUTURE"),1+BA$1,1)-$I65)*$N65*$G65/$AO65,$G65*$N65*(1/($I65)-1/(IF(OR($K65="FUTURE",$K65="CME FUTURE"),1+BA$1,1)*$I65))*$AP65)))</f>
        <v/>
      </c>
    </row>
    <row r="66" spans="6:52" x14ac:dyDescent="0.25">
      <c r="F66" s="42"/>
      <c r="G66" s="1"/>
      <c r="K66" s="28"/>
      <c r="N66" s="48" t="str">
        <f>IF($C66="","",IF($A66="",0,IF($L66=1,ROUND($G66/$H66/$F66,3),POWER(10,ROUND(LOG($G66/$F66),1)))))</f>
        <v/>
      </c>
      <c r="O66" s="46" t="str">
        <f t="shared" si="27"/>
        <v/>
      </c>
      <c r="P66" s="47" t="str">
        <f t="shared" si="34"/>
        <v/>
      </c>
      <c r="Q66" s="25" t="str">
        <f t="shared" si="18"/>
        <v/>
      </c>
      <c r="R66" s="26" t="str">
        <f>IF($D66="","",IF(OR($F66="USD",$F66="EUR"),"CASH",IF($Q66=0,"COIN",IF($Q66&gt;720,"PERP",IF($K66="FUTURE",TEXT($L66-1,"mmm yy"),"CME "&amp;TEXT($L66-1,"mmm yy"))))))</f>
        <v/>
      </c>
      <c r="S66" s="26" t="str">
        <f t="shared" si="19"/>
        <v/>
      </c>
      <c r="T66" s="26" t="str">
        <f>IF($D66="","",$R66&amp;" "&amp;$S66)</f>
        <v/>
      </c>
      <c r="U66" s="26" t="str">
        <f>IF($D66="","",$H66*(1+$W66))</f>
        <v/>
      </c>
      <c r="V66" s="26" t="str">
        <f>IF($D66="","",$I66*(1+$W66))</f>
        <v/>
      </c>
      <c r="W66" s="26" t="str">
        <f>IF($C66="","",IF(DefaultScenario,IF(OR(AND(Default_Exchange="ALL",NOT(ISERROR(MATCH($C66,$AE$6:$AE$37,0)))),$C66=Default_Exchange),IF($G66&gt;0,-LGD,0),0),IF(OR($J66="SWAP",$J66="FUTURE",$J66="CME FUTURE"),IF('Futures &amp; Perps Shifted'!$AE$31,VLOOKUP($M66,'Futures &amp; Perps Shifted'!$AE$32:$AO$76,MATCH($R66,'Futures &amp; Perps Shifted'!$AE$30:$AO$30,0),FALSE),0),0)))</f>
        <v/>
      </c>
      <c r="X66" s="26" t="str">
        <f>IF($D66="","",$U66-$H66)</f>
        <v/>
      </c>
      <c r="Y66" s="26" t="str">
        <f>IF($D66="","",IF(ISERROR(SEARCH("-",$E66)),$E66,LEFT($E66,SEARCH("-",$E66)-1)))</f>
        <v/>
      </c>
      <c r="Z66" s="26" t="str">
        <f>IF($D66="","",IF(OR($F66="USD",$F66="EUR"),"CASH",IF($Q66=0,"COIN",IF($Q66&gt;720,"PERP",IF($Q66&lt;24,"W"&amp;ROUND($Q66/7,0),"M"&amp;ROUND($Q66/30,0))))))</f>
        <v/>
      </c>
      <c r="AA66" s="54"/>
      <c r="AB66" s="54"/>
      <c r="AC66" s="9"/>
      <c r="AD66" s="36"/>
      <c r="AL66">
        <v>5093</v>
      </c>
      <c r="AN66" t="str">
        <f>IF($D66="","",IF($K66="CME FUTURE","USD",IF(ISNUMBER(VALUE(MID($F66,SEARCH(#REF!,$F66)+LEN(#REF!)+IF(OR(MID($F66,SEARCH(#REF!,$F66)+LEN(#REF!),1)="-",MID($F66,SEARCH(#REF!,$F66)+LEN(#REF!),1)="_"),1,0),3))),"USD",MID($F66,SEARCH(#REF!,$F66)+LEN(#REF!)+IF(OR(MID($F66,SEARCH(#REF!,$F66)+LEN(#REF!),1)="-",MID($F66,SEARCH(#REF!,$F66)+LEN(#REF!),1)="_"),1,0),IF(OR(LEN($F66)&lt;SEARCH(#REF!,$F66)+LEN(#REF!)+3,MID($F66,SEARCH(#REF!,$F66)+LEN(#REF!)+4,1)="_",MID($F66,SEARCH(#REF!,$F66)+LEN(#REF!)+4,1)="-"),3,4)))))</f>
        <v/>
      </c>
      <c r="AO66" t="str">
        <f t="shared" si="36"/>
        <v/>
      </c>
      <c r="AP66" t="e">
        <f>VLOOKUP(#REF!,SpotUSDRateTable,2,FALSE)</f>
        <v>#REF!</v>
      </c>
      <c r="AQ66" t="str">
        <f t="shared" si="37"/>
        <v/>
      </c>
      <c r="AR66" t="str">
        <f t="shared" si="37"/>
        <v/>
      </c>
      <c r="AS66" t="str">
        <f t="shared" si="38"/>
        <v/>
      </c>
      <c r="AT66" t="str">
        <f t="shared" si="38"/>
        <v/>
      </c>
      <c r="AV66" s="31" t="e">
        <f>AW66*H66</f>
        <v>#VALUE!</v>
      </c>
      <c r="AW66" s="36" t="str">
        <f>IF($D66="","",IF($C66="",0,IF($M66=1,(($I66*(1+AW$1))-$I66)*$N66*$G66/$AO66,$G66*$N66*(1/($I66)-1/($I66*(1+AW$1)))*$AP66)/$H66/AW$1))</f>
        <v/>
      </c>
      <c r="AZ66" t="str">
        <f>IF($D66="","",IF($C66="",0,IF($M66=1,($I66*IF(OR($K66="FUTURE",$K66="CME FUTURE"),1+BA$1,1)-$I66)*$N66*$G66/$AO66,$G66*$N66*(1/($I66)-1/(IF(OR($K66="FUTURE",$K66="CME FUTURE"),1+BA$1,1)*$I66))*$AP66)))</f>
        <v/>
      </c>
    </row>
    <row r="67" spans="6:52" x14ac:dyDescent="0.25">
      <c r="F67" s="42"/>
      <c r="G67" s="1"/>
      <c r="K67" s="28"/>
      <c r="N67" s="48" t="str">
        <f>IF($C67="","",IF($A67="",0,IF($L67=1,ROUND($G67/$H67/$F67,3),POWER(10,ROUND(LOG($G67/$F67),1)))))</f>
        <v/>
      </c>
      <c r="O67" s="46" t="str">
        <f t="shared" si="27"/>
        <v/>
      </c>
      <c r="P67" s="47" t="str">
        <f t="shared" si="34"/>
        <v/>
      </c>
      <c r="Q67" s="25" t="str">
        <f t="shared" ref="Q67:Q77" si="39">IF($C67="","",IF(OR($J67="SWAP",$J67="FUTURE",$J67="CME FUTURE"),$K67-$B67,0))</f>
        <v/>
      </c>
      <c r="R67" s="26" t="str">
        <f>IF($D67="","",IF(OR($F67="USD",$F67="EUR"),"CASH",IF($Q67=0,"COIN",IF($Q67&gt;720,"PERP",IF($K67="FUTURE",TEXT($L67-1,"mmm yy"),"CME "&amp;TEXT($L67-1,"mmm yy"))))))</f>
        <v/>
      </c>
      <c r="S67" s="26" t="str">
        <f>IF($C67="","",IF($J67="CME FUTURE",IF($G67&gt;0,"LONG","SHORT"),IF($G67&gt;0,"LONG","SHORT")))</f>
        <v/>
      </c>
      <c r="T67" s="26" t="str">
        <f>IF($D67="","",$R67&amp;" "&amp;$S67)</f>
        <v/>
      </c>
      <c r="U67" s="26" t="str">
        <f>IF($D67="","",$H67*(1+$W67))</f>
        <v/>
      </c>
      <c r="V67" s="26" t="str">
        <f>IF($D67="","",$I67*(1+$W67))</f>
        <v/>
      </c>
      <c r="W67" s="26" t="str">
        <f>IF($C67="","",IF(DefaultScenario,IF(OR(AND(Default_Exchange="ALL",NOT(ISERROR(MATCH($C67,$AE$6:$AE$37,0)))),$C67=Default_Exchange),IF($G67&gt;0,-LGD,0),0),IF(OR($J67="SWAP",$J67="FUTURE",$J67="CME FUTURE"),IF('Futures &amp; Perps Shifted'!$AE$31,VLOOKUP($M67,'Futures &amp; Perps Shifted'!$AE$32:$AO$76,MATCH($R67,'Futures &amp; Perps Shifted'!$AE$30:$AO$30,0),FALSE),0),0)))</f>
        <v/>
      </c>
      <c r="X67" s="26" t="str">
        <f>IF($D67="","",$U67-$H67)</f>
        <v/>
      </c>
      <c r="Y67" s="26" t="str">
        <f>IF($D67="","",IF(ISERROR(SEARCH("-",$E67)),$E67,LEFT($E67,SEARCH("-",$E67)-1)))</f>
        <v/>
      </c>
      <c r="Z67" s="26" t="str">
        <f>IF($D67="","",IF(OR($F67="USD",$F67="EUR"),"CASH",IF($Q67=0,"COIN",IF($Q67&gt;720,"PERP",IF($Q67&lt;24,"W"&amp;ROUND($Q67/7,0),"M"&amp;ROUND($Q67/30,0))))))</f>
        <v/>
      </c>
      <c r="AA67" s="54"/>
      <c r="AB67" s="54"/>
      <c r="AC67" s="9"/>
      <c r="AD67" s="36"/>
      <c r="AL67">
        <v>-7024</v>
      </c>
      <c r="AN67" t="str">
        <f>IF($D67="","",IF($K67="CME FUTURE","USD",IF(ISNUMBER(VALUE(MID($F67,SEARCH(#REF!,$F67)+LEN(#REF!)+IF(OR(MID($F67,SEARCH(#REF!,$F67)+LEN(#REF!),1)="-",MID($F67,SEARCH(#REF!,$F67)+LEN(#REF!),1)="_"),1,0),3))),"USD",MID($F67,SEARCH(#REF!,$F67)+LEN(#REF!)+IF(OR(MID($F67,SEARCH(#REF!,$F67)+LEN(#REF!),1)="-",MID($F67,SEARCH(#REF!,$F67)+LEN(#REF!),1)="_"),1,0),IF(OR(LEN($F67)&lt;SEARCH(#REF!,$F67)+LEN(#REF!)+3,MID($F67,SEARCH(#REF!,$F67)+LEN(#REF!)+4,1)="_",MID($F67,SEARCH(#REF!,$F67)+LEN(#REF!)+4,1)="-"),3,4)))))</f>
        <v/>
      </c>
      <c r="AO67" t="str">
        <f t="shared" si="36"/>
        <v/>
      </c>
      <c r="AP67" t="e">
        <f>VLOOKUP(#REF!,SpotUSDRateTable,2,FALSE)</f>
        <v>#REF!</v>
      </c>
      <c r="AQ67" t="str">
        <f t="shared" si="37"/>
        <v/>
      </c>
      <c r="AR67" t="str">
        <f t="shared" si="37"/>
        <v/>
      </c>
      <c r="AS67" t="str">
        <f t="shared" si="38"/>
        <v/>
      </c>
      <c r="AT67" t="str">
        <f t="shared" si="38"/>
        <v/>
      </c>
      <c r="AV67" s="31" t="e">
        <f>AW67*H67</f>
        <v>#VALUE!</v>
      </c>
      <c r="AW67" s="36" t="str">
        <f>IF($D67="","",IF($C67="",0,IF($M67=1,(($I67*(1+AW$1))-$I67)*$N67*$G67/$AO67,$G67*$N67*(1/($I67)-1/($I67*(1+AW$1)))*$AP67)/$H67/AW$1))</f>
        <v/>
      </c>
      <c r="AZ67" t="str">
        <f>IF($D67="","",IF($C67="",0,IF($M67=1,($I67*IF(OR($K67="FUTURE",$K67="CME FUTURE"),1+BA$1,1)-$I67)*$N67*$G67/$AO67,$G67*$N67*(1/($I67)-1/(IF(OR($K67="FUTURE",$K67="CME FUTURE"),1+BA$1,1)*$I67))*$AP67)))</f>
        <v/>
      </c>
    </row>
    <row r="68" spans="6:52" x14ac:dyDescent="0.25">
      <c r="F68" s="42"/>
      <c r="G68" s="1"/>
      <c r="K68" s="28"/>
      <c r="N68" s="48" t="str">
        <f>IF($C68="","",IF($A68="",0,IF($L68=1,ROUND($G68/$H68/$F68,3),POWER(10,ROUND(LOG($G68/$F68),1)))))</f>
        <v/>
      </c>
      <c r="O68" s="46" t="str">
        <f t="shared" si="27"/>
        <v/>
      </c>
      <c r="P68" s="47" t="str">
        <f t="shared" si="34"/>
        <v/>
      </c>
      <c r="Q68" s="25" t="str">
        <f t="shared" si="39"/>
        <v/>
      </c>
      <c r="R68" s="26" t="str">
        <f>IF($C68="","",IF(OR($E68="USD",$E68="EUR"),"CASH",IF($Q68=0,"COIN",IF($Q68&gt;720,"PERP",IF($J68="FUTURE",TEXT($K68-1,"mmm yy"),"CME "&amp;TEXT($K68-1,"mmm yy"))))))</f>
        <v/>
      </c>
      <c r="S68" s="26" t="str">
        <f>IF($C68="","",IF($J68="CME FUTURE",IF($G68&gt;0,"LONG","SHORT"),IF($G68&gt;0,"LONG","SHORT")))</f>
        <v/>
      </c>
      <c r="T68" s="26" t="str">
        <f>IF($C68="","",$R68&amp;" "&amp;$S68)</f>
        <v/>
      </c>
      <c r="U68" s="26" t="str">
        <f>IF($C68="","",$G68*(1+$W68))</f>
        <v/>
      </c>
      <c r="V68" s="26" t="str">
        <f>IF($C68="","",$H68*(1+$W68))</f>
        <v/>
      </c>
      <c r="W68" s="26" t="str">
        <f>IF($C68="","",IF(DefaultScenario,IF(OR(AND(Default_Exchange="ALL",NOT(ISERROR(MATCH($C68,$AE$6:$AE$37,0)))),$C68=Default_Exchange),IF($G68&gt;0,-LGD,0),0),IF(OR($J68="SWAP",$J68="FUTURE",$J68="CME FUTURE"),IF('Futures &amp; Perps Shifted'!$AE$31,VLOOKUP($M68,'Futures &amp; Perps Shifted'!$AE$32:$AO$76,MATCH($R68,'Futures &amp; Perps Shifted'!$AE$30:$AO$30,0),FALSE),0),0)))</f>
        <v/>
      </c>
      <c r="X68" s="26" t="str">
        <f>IF($C68="","",$U68-$G68)</f>
        <v/>
      </c>
      <c r="Y68" s="26" t="str">
        <f>IF($C68="","",IF(ISERROR(SEARCH("-",$D68)),$D68,LEFT($D68,SEARCH("-",$D68)-1)))</f>
        <v/>
      </c>
      <c r="Z68" s="26" t="str">
        <f>IF($C68="","",IF(OR($E68="USD",$E68="EUR"),"CASH",IF($Q68=0,"COIN",IF($Q68&gt;720,"PERP",IF($Q68&lt;24,"W"&amp;ROUND($Q68/7,0),"M"&amp;ROUND($Q68/30,0))))))</f>
        <v/>
      </c>
      <c r="AA68" s="54"/>
      <c r="AB68" s="54"/>
      <c r="AC68" s="9"/>
      <c r="AD68" s="36"/>
      <c r="AL68">
        <v>-5306</v>
      </c>
      <c r="AN68" t="str">
        <f>IF($C68="","",IF($J68="CME FUTURE","USD",IF(ISNUMBER(VALUE(MID($E68,SEARCH($M68,$E68)+LEN($M68)+IF(OR(MID($E68,SEARCH($M68,$E68)+LEN($M68),1)="-",MID($E68,SEARCH($M68,$E68)+LEN($M68),1)="_"),1,0),3))),"USD",MID($E68,SEARCH($M68,$E68)+LEN($M68)+IF(OR(MID($E68,SEARCH($M68,$E68)+LEN($M68),1)="-",MID($E68,SEARCH($M68,$E68)+LEN($M68),1)="_"),1,0),IF(OR(LEN($E68)&lt;SEARCH($M68,$E68)+LEN($M68)+3,MID($E68,SEARCH($M68,$E68)+LEN($M68)+4,1)="_",MID($E68,SEARCH($M68,$E68)+LEN($M68)+4,1)="-"),3,4)))))</f>
        <v/>
      </c>
      <c r="AO68" t="str">
        <f t="shared" si="36"/>
        <v/>
      </c>
      <c r="AP68" t="e">
        <f>VLOOKUP($M68,SpotUSDRateTable,2,FALSE)</f>
        <v>#N/A</v>
      </c>
      <c r="AQ68" t="str">
        <f>IF($C68="","",IF($A68="",0,IF($L68=1,(($H68+AQ$1)-$H68)*$N68*$F68/$AO68,$F68*$N68*(1/($H68)-1/($H68+AQ$1))*$AP68)))</f>
        <v/>
      </c>
      <c r="AR68" t="str">
        <f>IF($C68="","",IF($A68="",0,IF($L68=1,(($H68+AR$1)-$H68)*$N68*$F68/$AO68,$F68*$N68*(1/($H68)-1/($H68+AR$1))*$AP68)))</f>
        <v/>
      </c>
      <c r="AS68" t="str">
        <f>IF($C68="","",IF($A68="",0,IF($L68=1,($H68*(1+AS$1)-$H68)*$N68*$F68/$AO68,$F68*$N68*(1/($H68)-1/($H68*(1+AS$1)))*$AP68)))</f>
        <v/>
      </c>
      <c r="AT68" t="str">
        <f>IF($C68="","",IF($A68="",0,IF($L68=1,($H68*(1+AT$1)-$H68)*$N68*$F68/$AO68,$F68*$N68*(1/($H68)-1/($H68*(1+AT$1)))*$AP68)))</f>
        <v/>
      </c>
      <c r="AV68" s="31" t="e">
        <f>AW68*G68</f>
        <v>#VALUE!</v>
      </c>
      <c r="AW68" s="36" t="str">
        <f>IF($C68="","",IF($A68="",0,IF($L68=1,(($H68*(1+AW$1))-$H68)*$N68*$F68/$AO68,$F68*$N68*(1/($H68)-1/($H68*(1+AW$1)))*$AP68)/$G68/AW$1))</f>
        <v/>
      </c>
      <c r="AZ68" t="str">
        <f t="shared" si="35"/>
        <v/>
      </c>
    </row>
    <row r="69" spans="6:52" x14ac:dyDescent="0.25">
      <c r="F69" s="42"/>
      <c r="G69" s="1"/>
      <c r="K69" s="28"/>
      <c r="N69" s="48"/>
      <c r="O69" s="46"/>
      <c r="P69" s="47"/>
      <c r="Q69" s="25" t="str">
        <f t="shared" si="39"/>
        <v/>
      </c>
      <c r="R69" s="26"/>
      <c r="S69" s="26"/>
      <c r="T69" s="26"/>
      <c r="U69" s="26"/>
      <c r="V69" s="26"/>
      <c r="W69" s="26" t="str">
        <f>IF($C69="","",IF(DefaultScenario,IF(OR(AND(Default_Exchange="ALL",NOT(ISERROR(MATCH($C69,$AE$6:$AE$37,0)))),$C69=Default_Exchange),IF($G69&gt;0,-LGD,0),0),IF(OR($J69="SWAP",$J69="FUTURE",$J69="CME FUTURE"),IF('Futures &amp; Perps Shifted'!$AE$31,VLOOKUP($M69,'Futures &amp; Perps Shifted'!$AE$32:$AO$76,MATCH($R69,'Futures &amp; Perps Shifted'!$AE$30:$AO$30,0),FALSE),0),0)))</f>
        <v/>
      </c>
      <c r="X69" s="26"/>
      <c r="Y69" s="26"/>
      <c r="Z69" s="26"/>
      <c r="AA69" s="54"/>
      <c r="AB69" s="54"/>
      <c r="AC69" s="9"/>
      <c r="AD69" s="36"/>
      <c r="AV69" s="31"/>
      <c r="AW69" s="36"/>
    </row>
    <row r="70" spans="6:52" x14ac:dyDescent="0.25">
      <c r="F70" s="42"/>
      <c r="G70" s="1"/>
      <c r="K70" s="28"/>
      <c r="N70" s="48"/>
      <c r="O70" s="46"/>
      <c r="P70" s="47"/>
      <c r="Q70" s="25" t="str">
        <f t="shared" si="39"/>
        <v/>
      </c>
      <c r="R70" s="26"/>
      <c r="S70" s="26"/>
      <c r="T70" s="26"/>
      <c r="U70" s="26"/>
      <c r="V70" s="26"/>
      <c r="W70" s="26" t="str">
        <f>IF($C70="","",IF(DefaultScenario,IF(OR(AND(Default_Exchange="ALL",NOT(ISERROR(MATCH($C70,$AE$6:$AE$37,0)))),$C70=Default_Exchange),IF($G70&gt;0,-LGD,0),0),IF(OR($J70="SWAP",$J70="FUTURE",$J70="CME FUTURE"),IF('Futures &amp; Perps Shifted'!$AE$31,VLOOKUP($M70,'Futures &amp; Perps Shifted'!$AE$32:$AO$76,MATCH($R70,'Futures &amp; Perps Shifted'!$AE$30:$AO$30,0),FALSE),0),0)))</f>
        <v/>
      </c>
      <c r="X70" s="26"/>
      <c r="Y70" s="26"/>
      <c r="Z70" s="26"/>
      <c r="AA70" s="54"/>
      <c r="AB70" s="54"/>
      <c r="AC70" s="9"/>
      <c r="AD70" s="36"/>
      <c r="AV70" s="31"/>
      <c r="AW70" s="36"/>
    </row>
    <row r="71" spans="6:52" x14ac:dyDescent="0.25">
      <c r="F71" s="42"/>
      <c r="G71" s="1"/>
      <c r="K71" s="28"/>
      <c r="N71" s="48"/>
      <c r="O71" s="46"/>
      <c r="P71" s="47"/>
      <c r="Q71" s="25" t="str">
        <f t="shared" si="39"/>
        <v/>
      </c>
      <c r="R71" s="26"/>
      <c r="S71" s="26"/>
      <c r="T71" s="26"/>
      <c r="U71" s="26"/>
      <c r="V71" s="26"/>
      <c r="W71" s="26" t="str">
        <f>IF($C71="","",IF(DefaultScenario,IF(OR(AND(Default_Exchange="ALL",NOT(ISERROR(MATCH($C71,$AE$6:$AE$37,0)))),$C71=Default_Exchange),IF($G71&gt;0,-LGD,0),0),IF(OR($J71="SWAP",$J71="FUTURE",$J71="CME FUTURE"),IF('Futures &amp; Perps Shifted'!$AE$31,VLOOKUP($M71,'Futures &amp; Perps Shifted'!$AE$32:$AO$76,MATCH($R71,'Futures &amp; Perps Shifted'!$AE$30:$AO$30,0),FALSE),0),0)))</f>
        <v/>
      </c>
      <c r="X71" s="26"/>
      <c r="Y71" s="26"/>
      <c r="Z71" s="26"/>
      <c r="AA71" s="54"/>
      <c r="AB71" s="54"/>
      <c r="AC71" s="9"/>
      <c r="AD71" s="36"/>
      <c r="AV71" s="31"/>
      <c r="AW71" s="36"/>
    </row>
    <row r="72" spans="6:52" x14ac:dyDescent="0.25">
      <c r="F72" s="42"/>
      <c r="G72" s="1"/>
      <c r="K72" s="28"/>
      <c r="N72" s="48"/>
      <c r="O72" s="46"/>
      <c r="P72" s="47"/>
      <c r="Q72" s="25" t="str">
        <f t="shared" si="39"/>
        <v/>
      </c>
      <c r="R72" s="26"/>
      <c r="S72" s="26"/>
      <c r="T72" s="26"/>
      <c r="U72" s="26"/>
      <c r="V72" s="26"/>
      <c r="W72" s="26" t="str">
        <f>IF($C72="","",IF(DefaultScenario,IF(OR(AND(Default_Exchange="ALL",NOT(ISERROR(MATCH($C72,$AE$6:$AE$37,0)))),$C72=Default_Exchange),IF($G72&gt;0,-LGD,0),0),IF(OR($J72="SWAP",$J72="FUTURE",$J72="CME FUTURE"),IF('Futures &amp; Perps Shifted'!$AE$31,VLOOKUP($M72,'Futures &amp; Perps Shifted'!$AE$32:$AO$76,MATCH($R72,'Futures &amp; Perps Shifted'!$AE$30:$AO$30,0),FALSE),0),0)))</f>
        <v/>
      </c>
      <c r="X72" s="26"/>
      <c r="Y72" s="26"/>
      <c r="Z72" s="26"/>
      <c r="AA72" s="54"/>
      <c r="AB72" s="54"/>
      <c r="AC72" s="9"/>
      <c r="AD72" s="36"/>
      <c r="AV72" s="31"/>
      <c r="AW72" s="36"/>
    </row>
    <row r="73" spans="6:52" x14ac:dyDescent="0.25">
      <c r="F73" s="42"/>
      <c r="G73" s="1"/>
      <c r="K73" s="28"/>
      <c r="N73" s="48"/>
      <c r="O73" s="46"/>
      <c r="P73" s="47"/>
      <c r="Q73" s="25" t="str">
        <f t="shared" si="39"/>
        <v/>
      </c>
      <c r="R73" s="26"/>
      <c r="S73" s="26"/>
      <c r="T73" s="26"/>
      <c r="U73" s="26"/>
      <c r="V73" s="26"/>
      <c r="W73" s="26" t="str">
        <f>IF($C73="","",IF(DefaultScenario,IF(OR(AND(Default_Exchange="ALL",NOT(ISERROR(MATCH($C73,$AE$6:$AE$37,0)))),$C73=Default_Exchange),IF($G73&gt;0,-LGD,0),0),IF(OR($J73="SWAP",$J73="FUTURE",$J73="CME FUTURE"),IF('Futures &amp; Perps Shifted'!$AE$31,VLOOKUP($M73,'Futures &amp; Perps Shifted'!$AE$32:$AO$76,MATCH($R73,'Futures &amp; Perps Shifted'!$AE$30:$AO$30,0),FALSE),0),0)))</f>
        <v/>
      </c>
      <c r="X73" s="26"/>
      <c r="Y73" s="26"/>
      <c r="Z73" s="26"/>
      <c r="AA73" s="54"/>
      <c r="AB73" s="54"/>
      <c r="AC73" s="9"/>
      <c r="AD73" s="36"/>
      <c r="AV73" s="31"/>
      <c r="AW73" s="36"/>
    </row>
    <row r="74" spans="6:52" x14ac:dyDescent="0.25">
      <c r="F74" s="42"/>
      <c r="G74" s="1"/>
      <c r="K74" s="28"/>
      <c r="N74" s="48" t="str">
        <f>IF($C74="","",IF($A74="",0,IF($L74=1,ROUND($G74/$H74/$F74,3),POWER(10,ROUND(LOG($G74/$F74),1)))))</f>
        <v/>
      </c>
      <c r="O74" s="46" t="str">
        <f>IF($C74="","",IF($A74="",0,IF($L74=1,$F74*$N74,$AA$6*$F74*$N74/$H74)))</f>
        <v/>
      </c>
      <c r="P74" s="47" t="str">
        <f>IF($C74="","",IF($A74="",0,IF(NOT(ISERROR(VLOOKUP($M74,SpotUSDRateTable,2,FALSE))),VLOOKUP($M74,SpotUSDRateTable,2,FALSE),$H74)*O74))</f>
        <v/>
      </c>
      <c r="Q74" s="25" t="str">
        <f t="shared" si="39"/>
        <v/>
      </c>
      <c r="R74" s="26" t="str">
        <f>IF($C74="","",IF(OR($E74="USD",$E74="EUR"),"CASH",IF($Q74=0,"COIN",IF($Q74&gt;720,"PERP",IF($J74="FUTURE",TEXT($K74-1,"mmm yy"),"CME "&amp;TEXT($K74-1,"mmm yy"))))))</f>
        <v/>
      </c>
      <c r="S74" s="26" t="str">
        <f>IF($C74="","",IF($J74="CME FUTURE","HEDGE",IF($G74&gt;0,"LONG","SHORT")))</f>
        <v/>
      </c>
      <c r="T74" s="26" t="str">
        <f>IF($C74="","",$R74&amp;" "&amp;$S74)</f>
        <v/>
      </c>
      <c r="U74" s="26" t="str">
        <f>IF($C74="","",$G74*(1+$W74))</f>
        <v/>
      </c>
      <c r="V74" s="26" t="str">
        <f>IF($C74="","",$H74*(1+$W74))</f>
        <v/>
      </c>
      <c r="W74" s="26" t="str">
        <f>IF($C74="","",IF(DefaultScenario,IF(OR(AND(Default_Exchange="ALL",NOT(ISERROR(MATCH($C74,$AE$6:$AE$37,0)))),$C74=Default_Exchange),IF($G74&gt;0,-LGD,0),0),IF(OR($J74="SWAP",$J74="FUTURE",$J74="CME FUTURE"),IF('Futures &amp; Perps Shifted'!$AE$31,VLOOKUP($M74,'Futures &amp; Perps Shifted'!$AE$32:$AO$76,MATCH($R74,'Futures &amp; Perps Shifted'!$AE$30:$AO$30,0),FALSE),0),0)))</f>
        <v/>
      </c>
      <c r="X74" s="26" t="str">
        <f>IF($C74="","",$U74-$G74)</f>
        <v/>
      </c>
      <c r="Y74" s="26" t="str">
        <f>IF($C74="","",IF(ISERROR(SEARCH("-",$D74)),$D74,LEFT($D74,SEARCH("-",$D74)-1)))</f>
        <v/>
      </c>
      <c r="Z74" s="26" t="str">
        <f>IF($C74="","",IF(OR($E74="USD",$E74="EUR"),"CASH",IF($Q74=0,"COIN",IF($Q74&gt;720,"PERP",IF($Q74&lt;24,"W"&amp;ROUND($Q74/7,0),"M"&amp;ROUND($Q74/30,0))))))</f>
        <v/>
      </c>
      <c r="AB74" s="9"/>
      <c r="AC74" s="42"/>
      <c r="AD74" s="9"/>
      <c r="AR74" t="str">
        <f>IF($C74="","",IF($A74="",0,IF($L74=1,(($H74+AR$1)-$H74)*$N74*$F74/$AO74,$F74*$N74*(1/($H74)-1/($H74+AR$1))*$AP74)))</f>
        <v/>
      </c>
      <c r="AS74" t="str">
        <f t="shared" ref="AS74:AT77" si="40">IF($C74="","",IF($A74="",0,IF($L74=1,($H74*(1+AS$1)-$H74)*$N74*$F74/$AO74,$F74*$N74*(1/($H74)-1/($H74*(1+AS$1)))*$AP74)))</f>
        <v/>
      </c>
      <c r="AT74" t="str">
        <f t="shared" si="40"/>
        <v/>
      </c>
      <c r="AV74" s="31" t="e">
        <f>AW74*G74</f>
        <v>#VALUE!</v>
      </c>
      <c r="AW74" s="36" t="str">
        <f>IF($C74="","",IF($A74="",0,IF($L74=1,(($H74*(1+AW$1))-$H74)*$N74*$F74/$AO74,$F74*$N74*(1/($H74)-1/($H74*(1+AW$1)))*$AP74)/$G74/AW$1))</f>
        <v/>
      </c>
      <c r="AZ74" t="str">
        <f>IF($C74="","",IF($A74="",0,IF($L74=1,($H74*IF(OR($J74="FUTURE",$J74="CME FUTURE"),1+BA$1,1)-$H74)*$N74*$F74/$AO74,$F74*$N74*(1/($H74)-1/(IF(OR($J74="FUTURE",$J74="CME FUTURE"),1+BA$1,1)*$H74))*$AP74)))</f>
        <v/>
      </c>
    </row>
    <row r="75" spans="6:52" x14ac:dyDescent="0.25">
      <c r="F75" s="42"/>
      <c r="G75" s="1"/>
      <c r="K75" s="28"/>
      <c r="N75" s="48" t="str">
        <f>IF($C75="","",IF($A75="",0,IF($L75=1,ROUND($G75/$H75/$F75,3),POWER(10,ROUND(LOG($G75/$F75),1)))))</f>
        <v/>
      </c>
      <c r="O75" s="46" t="str">
        <f>IF($C75="","",IF($A75="",0,IF($L75=1,$F75*$N75,$AA$6*$F75*$N75/$H75)))</f>
        <v/>
      </c>
      <c r="P75" s="47" t="str">
        <f>IF($C75="","",IF($A75="",0,IF(NOT(ISERROR(VLOOKUP($M75,SpotUSDRateTable,2,FALSE))),VLOOKUP($M75,SpotUSDRateTable,2,FALSE),$H75)*O75))</f>
        <v/>
      </c>
      <c r="Q75" s="25" t="str">
        <f t="shared" si="39"/>
        <v/>
      </c>
      <c r="R75" s="26" t="str">
        <f>IF($C75="","",IF(OR($E75="USD",$E75="EUR"),"CASH",IF($Q75=0,"COIN",IF($Q75&gt;720,"PERP",IF($J75="FUTURE",TEXT($K75-1,"mmm yy"),"CME "&amp;TEXT($K75-1,"mmm yy"))))))</f>
        <v/>
      </c>
      <c r="S75" s="26" t="str">
        <f>IF($C75="","",IF($J75="CME FUTURE","HEDGE",IF($G75&gt;0,"LONG","SHORT")))</f>
        <v/>
      </c>
      <c r="T75" s="26" t="str">
        <f>IF($C75="","",$R75&amp;" "&amp;$S75)</f>
        <v/>
      </c>
      <c r="U75" s="26" t="str">
        <f>IF($C75="","",$G75*(1+$W75))</f>
        <v/>
      </c>
      <c r="V75" s="26" t="str">
        <f>IF($C75="","",$H75*(1+$W75))</f>
        <v/>
      </c>
      <c r="W75" s="26" t="str">
        <f>IF($C75="","",IF(DefaultScenario,IF(OR(AND(Default_Exchange="ALL",NOT(ISERROR(MATCH($C75,$AE$6:$AE$37,0)))),$C75=Default_Exchange),IF($G75&gt;0,-LGD,0),0),IF(OR($J75="SWAP",$J75="FUTURE",$J75="CME FUTURE"),IF('Futures &amp; Perps Shifted'!$AE$31,VLOOKUP($M75,'Futures &amp; Perps Shifted'!$AE$32:$AO$76,MATCH($R75,'Futures &amp; Perps Shifted'!$AE$30:$AO$30,0),FALSE),0),0)))</f>
        <v/>
      </c>
      <c r="X75" s="26" t="str">
        <f>IF($C75="","",$U75-$G75)</f>
        <v/>
      </c>
      <c r="Y75" s="26" t="str">
        <f>IF($C75="","",IF(ISERROR(SEARCH("-",$D75)),$D75,LEFT($D75,SEARCH("-",$D75)-1)))</f>
        <v/>
      </c>
      <c r="Z75" s="26" t="str">
        <f>IF($C75="","",IF(OR($E75="USD",$E75="EUR"),"CASH",IF($Q75=0,"COIN",IF($Q75&gt;720,"PERP",IF($Q75&lt;24,"W"&amp;ROUND($Q75/7,0),"M"&amp;ROUND($Q75/30,0))))))</f>
        <v/>
      </c>
      <c r="AB75" s="9"/>
      <c r="AC75" s="9"/>
      <c r="AD75" s="9"/>
      <c r="AR75" t="str">
        <f>IF($C75="","",IF($A75="",0,IF($L75=1,(($H75+AR$1)-$H75)*$N75*$F75/$AO75,$F75*$N75*(1/($H75)-1/($H75+AR$1))*$AP75)))</f>
        <v/>
      </c>
      <c r="AS75" t="str">
        <f t="shared" si="40"/>
        <v/>
      </c>
      <c r="AT75" t="str">
        <f t="shared" si="40"/>
        <v/>
      </c>
      <c r="AV75" s="31" t="e">
        <f>AW75*G75</f>
        <v>#VALUE!</v>
      </c>
      <c r="AW75" s="36" t="str">
        <f>IF($C75="","",IF($A75="",0,IF($L75=1,(($H75*(1+AW$1))-$H75)*$N75*$F75/$AO75,$F75*$N75*(1/($H75)-1/($H75*(1+AW$1)))*$AP75)/$G75/AW$1))</f>
        <v/>
      </c>
      <c r="AZ75" t="str">
        <f>IF($C75="","",IF($A75="",0,IF($L75=1,($H75*IF(OR($J75="FUTURE",$J75="CME FUTURE"),1+BA$1,1)-$H75)*$N75*$F75/$AO75,$F75*$N75*(1/($H75)-1/(IF(OR($J75="FUTURE",$J75="CME FUTURE"),1+BA$1,1)*$H75))*$AP75)))</f>
        <v/>
      </c>
    </row>
    <row r="76" spans="6:52" x14ac:dyDescent="0.25">
      <c r="F76" s="42"/>
      <c r="G76" s="1"/>
      <c r="K76" s="28"/>
      <c r="N76" s="48" t="str">
        <f>IF($C76="","",IF($A76="",0,IF($L76=1,ROUND($G76/$H76/$F76,3),POWER(10,ROUND(LOG($G76/$F76),1)))))</f>
        <v/>
      </c>
      <c r="O76" s="46" t="str">
        <f>IF($C76="","",IF($A76="",0,IF($L76=1,$F76*$N76,$AA$6*$F76*$N76/$H76)))</f>
        <v/>
      </c>
      <c r="P76" s="47" t="str">
        <f>IF($C76="","",IF($A76="",0,IF(NOT(ISERROR(VLOOKUP($M76,SpotUSDRateTable,2,FALSE))),VLOOKUP($M76,SpotUSDRateTable,2,FALSE),$H76)*O76))</f>
        <v/>
      </c>
      <c r="Q76" s="25" t="str">
        <f t="shared" si="39"/>
        <v/>
      </c>
      <c r="R76" s="26" t="str">
        <f>IF($C76="","",IF(OR($E76="USD",$E76="EUR"),"CASH",IF($Q76=0,"COIN",IF($Q76&gt;720,"PERP",IF($J76="FUTURE",TEXT($K76-1,"mmm yy"),"CME "&amp;TEXT($K76-1,"mmm yy"))))))</f>
        <v/>
      </c>
      <c r="S76" s="26" t="str">
        <f>IF($C76="","",IF($J76="CME FUTURE","HEDGE",IF($G76&gt;0,"LONG","SHORT")))</f>
        <v/>
      </c>
      <c r="T76" s="26" t="str">
        <f>IF($C76="","",$R76&amp;" "&amp;$S76)</f>
        <v/>
      </c>
      <c r="U76" s="26" t="str">
        <f>IF($C76="","",$G76*(1+$W76))</f>
        <v/>
      </c>
      <c r="V76" s="26" t="str">
        <f>IF($C76="","",$H76*(1+$W76))</f>
        <v/>
      </c>
      <c r="W76" s="26" t="str">
        <f>IF($C76="","",IF(DefaultScenario,IF(OR(AND(Default_Exchange="ALL",NOT(ISERROR(MATCH($C76,$AE$6:$AE$37,0)))),$C76=Default_Exchange),IF($G76&gt;0,-LGD,0),0),IF(OR($J76="SWAP",$J76="FUTURE",$J76="CME FUTURE"),IF('Futures &amp; Perps Shifted'!$AE$31,VLOOKUP($M76,'Futures &amp; Perps Shifted'!$AE$32:$AO$76,MATCH($R76,'Futures &amp; Perps Shifted'!$AE$30:$AO$30,0),FALSE),0),0)))</f>
        <v/>
      </c>
      <c r="X76" s="26" t="str">
        <f>IF($C76="","",$U76-$G76)</f>
        <v/>
      </c>
      <c r="Y76" s="26" t="str">
        <f>IF($C76="","",IF(ISERROR(SEARCH("-",$D76)),$D76,LEFT($D76,SEARCH("-",$D76)-1)))</f>
        <v/>
      </c>
      <c r="Z76" s="26" t="str">
        <f>IF($C76="","",IF(OR($E76="USD",$E76="EUR"),"CASH",IF($Q76=0,"COIN",IF($Q76&gt;720,"PERP",IF($Q76&lt;24,"W"&amp;ROUND($Q76/7,0),"M"&amp;ROUND($Q76/30,0))))))</f>
        <v/>
      </c>
      <c r="AB76" s="9"/>
      <c r="AC76" s="9"/>
      <c r="AD76" s="9"/>
      <c r="AR76" t="str">
        <f>IF($C76="","",IF($A76="",0,IF($L76=1,(($H76+AR$1)-$H76)*$N76*$F76/$AO76,$F76*$N76*(1/($H76)-1/($H76+AR$1))*$AP76)))</f>
        <v/>
      </c>
      <c r="AS76" t="str">
        <f t="shared" si="40"/>
        <v/>
      </c>
      <c r="AT76" t="str">
        <f t="shared" si="40"/>
        <v/>
      </c>
      <c r="AV76" s="31" t="e">
        <f>AW76*G76</f>
        <v>#VALUE!</v>
      </c>
      <c r="AW76" s="36" t="str">
        <f>IF($C76="","",IF($A76="",0,IF($L76=1,(($H76*(1+AW$1))-$H76)*$N76*$F76/$AO76,$F76*$N76*(1/($H76)-1/($H76*(1+AW$1)))*$AP76)/$G76/AW$1))</f>
        <v/>
      </c>
      <c r="AZ76" t="str">
        <f>IF($C76="","",IF($A76="",0,IF($L76=1,($H76*IF(OR($J76="FUTURE",$J76="CME FUTURE"),1+BA$1,1)-$H76)*$N76*$F76/$AO76,$F76*$N76*(1/($H76)-1/(IF(OR($J76="FUTURE",$J76="CME FUTURE"),1+BA$1,1)*$H76))*$AP76)))</f>
        <v/>
      </c>
    </row>
    <row r="77" spans="6:52" x14ac:dyDescent="0.25">
      <c r="F77" s="42"/>
      <c r="G77" s="1"/>
      <c r="K77" s="28"/>
      <c r="N77" s="48" t="str">
        <f>IF($C77="","",IF($A77="",0,IF($L77=1,ROUND($G77/$H77/$F77,3),POWER(10,ROUND(LOG($G77/$F77),1)))))</f>
        <v/>
      </c>
      <c r="O77" s="46" t="str">
        <f>IF($C77="","",IF($A77="",0,IF($L77=1,$F77*$N77,$AA$6*$F77*$N77/$H77)))</f>
        <v/>
      </c>
      <c r="P77" s="47" t="str">
        <f>IF($C77="","",IF($A77="",0,IF(NOT(ISERROR(VLOOKUP($M77,SpotUSDRateTable,2,FALSE))),VLOOKUP($M77,SpotUSDRateTable,2,FALSE),$H77)*O77))</f>
        <v/>
      </c>
      <c r="Q77" s="25" t="str">
        <f t="shared" si="39"/>
        <v/>
      </c>
      <c r="R77" s="26" t="str">
        <f>IF($C77="","",IF(OR($E77="USD",$E77="EUR"),"CASH",IF($Q77=0,"COIN",IF($Q77&gt;720,"PERP",IF($J77="FUTURE",TEXT($K77-1,"mmm yy"),"CME "&amp;TEXT($K77-1,"mmm yy"))))))</f>
        <v/>
      </c>
      <c r="S77" s="26" t="str">
        <f>IF($C77="","",IF($J77="CME FUTURE","HEDGE",IF($G77&gt;0,"LONG","SHORT")))</f>
        <v/>
      </c>
      <c r="T77" s="26" t="str">
        <f>IF($C77="","",$R77&amp;" "&amp;$S77)</f>
        <v/>
      </c>
      <c r="U77" s="26" t="str">
        <f>IF($C77="","",$G77*(1+$W77))</f>
        <v/>
      </c>
      <c r="V77" s="26" t="str">
        <f>IF($C77="","",$H77*(1+$W77))</f>
        <v/>
      </c>
      <c r="W77" s="26" t="str">
        <f>IF($C77="","",IF(DefaultScenario,IF(OR(AND(Default_Exchange="ALL",NOT(ISERROR(MATCH($C77,$AE$6:$AE$37,0)))),$C77=Default_Exchange),IF($G77&gt;0,-LGD,0),0),IF(OR($J77="SWAP",$J77="FUTURE",$J77="CME FUTURE"),IF('Futures &amp; Perps Shifted'!$AE$31,VLOOKUP($M77,'Futures &amp; Perps Shifted'!$AE$32:$AO$76,MATCH($R77,'Futures &amp; Perps Shifted'!$AE$30:$AO$30,0),FALSE),0),0)))</f>
        <v/>
      </c>
      <c r="X77" s="26" t="str">
        <f>IF($C77="","",$U77-$G77)</f>
        <v/>
      </c>
      <c r="Y77" s="26" t="str">
        <f>IF($C77="","",IF(ISERROR(SEARCH("-",$D77)),$D77,LEFT($D77,SEARCH("-",$D77)-1)))</f>
        <v/>
      </c>
      <c r="Z77" s="26" t="str">
        <f>IF($C77="","",IF(OR($E77="USD",$E77="EUR"),"CASH",IF($Q77=0,"COIN",IF($Q77&gt;720,"PERP",IF($Q77&lt;24,"W"&amp;ROUND($Q77/7,0),"M"&amp;ROUND($Q77/30,0))))))</f>
        <v/>
      </c>
      <c r="AB77" s="9"/>
      <c r="AC77" s="9"/>
      <c r="AD77" s="9"/>
      <c r="AR77" t="str">
        <f>IF($C77="","",IF($A77="",0,IF($L77=1,(($H77+AR$1)-$H77)*$N77*$F77/$AO77,$F77*$N77*(1/($H77)-1/($H77+AR$1))*$AP77)))</f>
        <v/>
      </c>
      <c r="AS77" t="str">
        <f t="shared" si="40"/>
        <v/>
      </c>
      <c r="AT77" t="str">
        <f t="shared" si="40"/>
        <v/>
      </c>
      <c r="AV77" s="31" t="e">
        <f>AW77*G77</f>
        <v>#VALUE!</v>
      </c>
      <c r="AW77" s="36" t="str">
        <f>IF($C77="","",IF($A77="",0,IF($L77=1,(($H77*(1+AW$1))-$H77)*$N77*$F77/$AO77,$F77*$N77*(1/($H77)-1/($H77*(1+AW$1)))*$AP77)/$G77/AW$1))</f>
        <v/>
      </c>
      <c r="AZ77" t="str">
        <f>IF($C77="","",IF($A77="",0,IF($L77=1,($H77*IF(OR($J77="FUTURE",$J77="CME FUTURE"),1+BA$1,1)-$H77)*$N77*$F77/$AO77,$F77*$N77*(1/($H77)-1/(IF(OR($J77="FUTURE",$J77="CME FUTURE"),1+BA$1,1)*$H77))*$AP77)))</f>
        <v/>
      </c>
    </row>
    <row r="78" spans="6:52" x14ac:dyDescent="0.25">
      <c r="W78" t="str">
        <f>IF($C78="","",IF(DefaultScenario,IF(OR(AND(Default_Exchange="ALL",NOT(ISERROR(MATCH($C78,$AE$6:$AE$37,0)))),$C78=Default_Exchange),IF($G78&gt;0,-LGD,0),0),IF(OR($J78="SWAP",$J78="FUTURE",$J78="CME FUTURE"),IF('Futures &amp; Perps Shifted'!$AE$31,VLOOKUP($M78,'Futures &amp; Perps Shifted'!$AE$32:$AO$76,MATCH($R78,'Futures &amp; Perps Shifted'!$AE$30:$AO$30,0),FALSE),0),0)))</f>
        <v/>
      </c>
    </row>
    <row r="79" spans="6:52" x14ac:dyDescent="0.25">
      <c r="W79" t="str">
        <f>IF($C79="","",IF(DefaultScenario,IF(OR(AND(Default_Exchange="ALL",NOT(ISERROR(MATCH($C79,$AE$6:$AE$37,0)))),$C79=Default_Exchange),IF($G79&gt;0,-LGD,0),0),IF(OR($J79="SWAP",$J79="FUTURE",$J79="CME FUTURE"),IF('Futures &amp; Perps Shifted'!$AE$31,VLOOKUP($M79,'Futures &amp; Perps Shifted'!$AE$32:$AO$76,MATCH($R79,'Futures &amp; Perps Shifted'!$AE$30:$AO$30,0),FALSE),0),0)))</f>
        <v/>
      </c>
    </row>
    <row r="80" spans="6:52" x14ac:dyDescent="0.25">
      <c r="W80" t="str">
        <f>IF($C80="","",IF(DefaultScenario,IF(OR(AND(Default_Exchange="ALL",NOT(ISERROR(MATCH($C80,$AE$6:$AE$37,0)))),$C80=Default_Exchange),IF($G80&gt;0,-LGD,0),0),IF(OR($J80="SWAP",$J80="FUTURE",$J80="CME FUTURE"),IF('Futures &amp; Perps Shifted'!$AE$31,VLOOKUP($M80,'Futures &amp; Perps Shifted'!$AE$32:$AO$76,MATCH($R80,'Futures &amp; Perps Shifted'!$AE$30:$AO$30,0),FALSE),0),0)))</f>
        <v/>
      </c>
    </row>
    <row r="81" spans="23:23" x14ac:dyDescent="0.25">
      <c r="W81" t="str">
        <f>IF($C81="","",IF(DefaultScenario,IF(OR(AND(Default_Exchange="ALL",NOT(ISERROR(MATCH($C81,$AE$6:$AE$37,0)))),$C81=Default_Exchange),IF($G81&gt;0,-LGD,0),0),IF(OR($J81="SWAP",$J81="FUTURE",$J81="CME FUTURE"),IF('Futures &amp; Perps Shifted'!$AE$31,VLOOKUP($M81,'Futures &amp; Perps Shifted'!$AE$32:$AO$76,MATCH($R81,'Futures &amp; Perps Shifted'!$AE$30:$AO$30,0),FALSE),0),0)))</f>
        <v/>
      </c>
    </row>
    <row r="82" spans="23:23" x14ac:dyDescent="0.25">
      <c r="W82" t="str">
        <f>IF($C82="","",IF(DefaultScenario,IF(OR(AND(Default_Exchange="ALL",NOT(ISERROR(MATCH($C82,$AE$6:$AE$37,0)))),$C82=Default_Exchange),IF($G82&gt;0,-LGD,0),0),IF(OR($J82="SWAP",$J82="FUTURE",$J82="CME FUTURE"),IF('Futures &amp; Perps Shifted'!$AE$31,VLOOKUP($M82,'Futures &amp; Perps Shifted'!$AE$32:$AO$76,MATCH($R82,'Futures &amp; Perps Shifted'!$AE$30:$AO$30,0),FALSE),0),0)))</f>
        <v/>
      </c>
    </row>
    <row r="83" spans="23:23" x14ac:dyDescent="0.25">
      <c r="W83" t="str">
        <f>IF($C83="","",IF(DefaultScenario,IF(OR(AND(Default_Exchange="ALL",NOT(ISERROR(MATCH($C83,$AE$6:$AE$37,0)))),$C83=Default_Exchange),IF($G83&gt;0,-LGD,0),0),IF(OR($J83="SWAP",$J83="FUTURE",$J83="CME FUTURE"),IF('Futures &amp; Perps Shifted'!$AE$31,VLOOKUP($M83,'Futures &amp; Perps Shifted'!$AE$32:$AO$76,MATCH($R83,'Futures &amp; Perps Shifted'!$AE$30:$AO$30,0),FALSE),0),0)))</f>
        <v/>
      </c>
    </row>
    <row r="84" spans="23:23" x14ac:dyDescent="0.25">
      <c r="W84" t="str">
        <f>IF($C84="","",IF(DefaultScenario,IF(OR(AND(Default_Exchange="ALL",NOT(ISERROR(MATCH($C84,$AE$6:$AE$37,0)))),$C84=Default_Exchange),IF($G84&gt;0,-LGD,0),0),IF(OR($J84="SWAP",$J84="FUTURE",$J84="CME FUTURE"),IF('Futures &amp; Perps Shifted'!$AE$31,VLOOKUP($M84,'Futures &amp; Perps Shifted'!$AE$32:$AO$76,MATCH($R84,'Futures &amp; Perps Shifted'!$AE$30:$AO$30,0),FALSE),0),0)))</f>
        <v/>
      </c>
    </row>
    <row r="85" spans="23:23" x14ac:dyDescent="0.25">
      <c r="W85" t="str">
        <f>IF($C85="","",IF(DefaultScenario,IF(OR(AND(Default_Exchange="ALL",NOT(ISERROR(MATCH($C85,$AE$6:$AE$37,0)))),$C85=Default_Exchange),IF($G85&gt;0,-LGD,0),0),IF(OR($J85="SWAP",$J85="FUTURE",$J85="CME FUTURE"),IF('Futures &amp; Perps Shifted'!$AE$31,VLOOKUP($M85,'Futures &amp; Perps Shifted'!$AE$32:$AO$76,MATCH($R85,'Futures &amp; Perps Shifted'!$AE$30:$AO$30,0),FALSE),0),0)))</f>
        <v/>
      </c>
    </row>
    <row r="86" spans="23:23" x14ac:dyDescent="0.25">
      <c r="W86" t="str">
        <f>IF($C86="","",IF(DefaultScenario,IF(OR(AND(Default_Exchange="ALL",NOT(ISERROR(MATCH($C86,$AE$6:$AE$37,0)))),$C86=Default_Exchange),IF($G86&gt;0,-LGD,0),0),IF(OR($J86="SWAP",$J86="FUTURE",$J86="CME FUTURE"),IF('Futures &amp; Perps Shifted'!$AE$31,VLOOKUP($M86,'Futures &amp; Perps Shifted'!$AE$32:$AO$76,MATCH($R86,'Futures &amp; Perps Shifted'!$AE$30:$AO$30,0),FALSE),0),0)))</f>
        <v/>
      </c>
    </row>
    <row r="87" spans="23:23" x14ac:dyDescent="0.25">
      <c r="W87" t="str">
        <f>IF($C87="","",IF(DefaultScenario,IF(OR(AND(Default_Exchange="ALL",NOT(ISERROR(MATCH($C87,$AE$6:$AE$37,0)))),$C87=Default_Exchange),IF($G87&gt;0,-LGD,0),0),IF(OR($J87="SWAP",$J87="FUTURE",$J87="CME FUTURE"),IF('Futures &amp; Perps Shifted'!$AE$31,VLOOKUP($M87,'Futures &amp; Perps Shifted'!$AE$32:$AO$76,MATCH($R87,'Futures &amp; Perps Shifted'!$AE$30:$AO$30,0),FALSE),0),0)))</f>
        <v/>
      </c>
    </row>
    <row r="88" spans="23:23" x14ac:dyDescent="0.25">
      <c r="W88" t="str">
        <f>IF($C88="","",IF(DefaultScenario,IF(OR(AND(Default_Exchange="ALL",NOT(ISERROR(MATCH($C88,$AE$6:$AE$37,0)))),$C88=Default_Exchange),IF($G88&gt;0,-LGD,0),0),IF(OR($J88="SWAP",$J88="FUTURE",$J88="CME FUTURE"),IF('Futures &amp; Perps Shifted'!$AE$31,VLOOKUP($M88,'Futures &amp; Perps Shifted'!$AE$32:$AO$76,MATCH($R88,'Futures &amp; Perps Shifted'!$AE$30:$AO$30,0),FALSE),0),0)))</f>
        <v/>
      </c>
    </row>
    <row r="89" spans="23:23" x14ac:dyDescent="0.25">
      <c r="W89" t="str">
        <f>IF($C89="","",IF(DefaultScenario,IF(OR(AND(Default_Exchange="ALL",NOT(ISERROR(MATCH($C89,$AE$6:$AE$37,0)))),$C89=Default_Exchange),IF($G89&gt;0,-LGD,0),0),IF(OR($J89="SWAP",$J89="FUTURE",$J89="CME FUTURE"),IF('Futures &amp; Perps Shifted'!$AE$31,VLOOKUP($M89,'Futures &amp; Perps Shifted'!$AE$32:$AO$76,MATCH($R89,'Futures &amp; Perps Shifted'!$AE$30:$AO$30,0),FALSE),0),0)))</f>
        <v/>
      </c>
    </row>
    <row r="90" spans="23:23" x14ac:dyDescent="0.25">
      <c r="W90" t="str">
        <f>IF($C90="","",IF(DefaultScenario,IF(OR(AND(Default_Exchange="ALL",NOT(ISERROR(MATCH($C90,$AE$6:$AE$37,0)))),$C90=Default_Exchange),IF($G90&gt;0,-LGD,0),0),IF(OR($J90="SWAP",$J90="FUTURE",$J90="CME FUTURE"),IF('Futures &amp; Perps Shifted'!$AE$31,VLOOKUP($M90,'Futures &amp; Perps Shifted'!$AE$32:$AO$76,MATCH($R90,'Futures &amp; Perps Shifted'!$AE$30:$AO$30,0),FALSE),0),0)))</f>
        <v/>
      </c>
    </row>
    <row r="91" spans="23:23" x14ac:dyDescent="0.25">
      <c r="W91" t="str">
        <f>IF($C91="","",IF(DefaultScenario,IF(OR(AND(Default_Exchange="ALL",NOT(ISERROR(MATCH($C91,$AE$6:$AE$37,0)))),$C91=Default_Exchange),IF($G91&gt;0,-LGD,0),0),IF(OR($J91="SWAP",$J91="FUTURE",$J91="CME FUTURE"),IF('Futures &amp; Perps Shifted'!$AE$31,VLOOKUP($M91,'Futures &amp; Perps Shifted'!$AE$32:$AO$76,MATCH($R91,'Futures &amp; Perps Shifted'!$AE$30:$AO$30,0),FALSE),0),0)))</f>
        <v/>
      </c>
    </row>
    <row r="92" spans="23:23" x14ac:dyDescent="0.25">
      <c r="W92" t="str">
        <f>IF($C92="","",IF(DefaultScenario,IF(OR(AND(Default_Exchange="ALL",NOT(ISERROR(MATCH($C92,$AE$6:$AE$37,0)))),$C92=Default_Exchange),IF($G92&gt;0,-LGD,0),0),IF(OR($J92="SWAP",$J92="FUTURE",$J92="CME FUTURE"),IF('Futures &amp; Perps Shifted'!$AE$31,VLOOKUP($M92,'Futures &amp; Perps Shifted'!$AE$32:$AO$76,MATCH($R92,'Futures &amp; Perps Shifted'!$AE$30:$AO$30,0),FALSE),0),0)))</f>
        <v/>
      </c>
    </row>
    <row r="93" spans="23:23" x14ac:dyDescent="0.25">
      <c r="W93" t="str">
        <f>IF($C93="","",IF(DefaultScenario,IF(OR(AND(Default_Exchange="ALL",NOT(ISERROR(MATCH($C93,$AE$6:$AE$37,0)))),$C93=Default_Exchange),IF($G93&gt;0,-LGD,0),0),IF(OR($J93="SWAP",$J93="FUTURE",$J93="CME FUTURE"),IF('Futures &amp; Perps Shifted'!$AE$31,VLOOKUP($M93,'Futures &amp; Perps Shifted'!$AE$32:$AO$76,MATCH($R93,'Futures &amp; Perps Shifted'!$AE$30:$AO$30,0),FALSE),0),0)))</f>
        <v/>
      </c>
    </row>
    <row r="94" spans="23:23" x14ac:dyDescent="0.25">
      <c r="W94" t="str">
        <f>IF($C94="","",IF(DefaultScenario,IF(OR(AND(Default_Exchange="ALL",NOT(ISERROR(MATCH($C94,$AE$6:$AE$37,0)))),$C94=Default_Exchange),IF($G94&gt;0,-LGD,0),0),IF(OR($J94="SWAP",$J94="FUTURE",$J94="CME FUTURE"),IF('Futures &amp; Perps Shifted'!$AE$31,VLOOKUP($M94,'Futures &amp; Perps Shifted'!$AE$32:$AO$76,MATCH($R94,'Futures &amp; Perps Shifted'!$AE$30:$AO$30,0),FALSE),0),0)))</f>
        <v/>
      </c>
    </row>
    <row r="95" spans="23:23" x14ac:dyDescent="0.25">
      <c r="W95" t="str">
        <f>IF($C95="","",IF(DefaultScenario,IF(OR(AND(Default_Exchange="ALL",NOT(ISERROR(MATCH($C95,$AE$6:$AE$37,0)))),$C95=Default_Exchange),IF($G95&gt;0,-LGD,0),0),IF(OR($J95="SWAP",$J95="FUTURE",$J95="CME FUTURE"),IF('Futures &amp; Perps Shifted'!$AE$31,VLOOKUP($M95,'Futures &amp; Perps Shifted'!$AE$32:$AO$76,MATCH($R95,'Futures &amp; Perps Shifted'!$AE$30:$AO$30,0),FALSE),0),0)))</f>
        <v/>
      </c>
    </row>
    <row r="96" spans="23:23" x14ac:dyDescent="0.25">
      <c r="W96" t="str">
        <f>IF($C96="","",IF(DefaultScenario,IF(OR(AND(Default_Exchange="ALL",NOT(ISERROR(MATCH($C96,$AE$6:$AE$37,0)))),$C96=Default_Exchange),IF($G96&gt;0,-LGD,0),0),IF(OR($J96="SWAP",$J96="FUTURE",$J96="CME FUTURE"),IF('Futures &amp; Perps Shifted'!$AE$31,VLOOKUP($M96,'Futures &amp; Perps Shifted'!$AE$32:$AO$76,MATCH($R96,'Futures &amp; Perps Shifted'!$AE$30:$AO$30,0),FALSE),0),0)))</f>
        <v/>
      </c>
    </row>
    <row r="97" spans="23:23" x14ac:dyDescent="0.25">
      <c r="W97" t="str">
        <f>IF($C97="","",IF(DefaultScenario,IF(OR(AND(Default_Exchange="ALL",NOT(ISERROR(MATCH($C97,$AE$6:$AE$37,0)))),$C97=Default_Exchange),IF($G97&gt;0,-LGD,0),0),IF(OR($J97="SWAP",$J97="FUTURE",$J97="CME FUTURE"),IF('Futures &amp; Perps Shifted'!$AE$31,VLOOKUP($M97,'Futures &amp; Perps Shifted'!$AE$32:$AO$76,MATCH($R97,'Futures &amp; Perps Shifted'!$AE$30:$AO$30,0),FALSE),0),0)))</f>
        <v/>
      </c>
    </row>
    <row r="98" spans="23:23" x14ac:dyDescent="0.25">
      <c r="W98" t="str">
        <f>IF($C98="","",IF(DefaultScenario,IF(OR(AND(Default_Exchange="ALL",NOT(ISERROR(MATCH($C98,$AE$6:$AE$37,0)))),$C98=Default_Exchange),IF($G98&gt;0,-LGD,0),0),IF(OR($J98="SWAP",$J98="FUTURE",$J98="CME FUTURE"),IF('Futures &amp; Perps Shifted'!$AE$31,VLOOKUP($M98,'Futures &amp; Perps Shifted'!$AE$32:$AO$76,MATCH($R98,'Futures &amp; Perps Shifted'!$AE$30:$AO$30,0),FALSE),0),0)))</f>
        <v/>
      </c>
    </row>
    <row r="99" spans="23:23" x14ac:dyDescent="0.25">
      <c r="W99" t="str">
        <f>IF($C99="","",IF(DefaultScenario,IF(OR(AND(Default_Exchange="ALL",NOT(ISERROR(MATCH($C99,$AE$6:$AE$37,0)))),$C99=Default_Exchange),IF($G99&gt;0,-LGD,0),0),IF(OR($J99="SWAP",$J99="FUTURE",$J99="CME FUTURE"),IF('Futures &amp; Perps Shifted'!$AE$31,VLOOKUP($M99,'Futures &amp; Perps Shifted'!$AE$32:$AO$76,MATCH($R99,'Futures &amp; Perps Shifted'!$AE$30:$AO$30,0),FALSE),0),0)))</f>
        <v/>
      </c>
    </row>
    <row r="100" spans="23:23" x14ac:dyDescent="0.25">
      <c r="W100" t="str">
        <f>IF($C100="","",IF(DefaultScenario,IF(OR(AND(Default_Exchange="ALL",NOT(ISERROR(MATCH($C100,$AE$6:$AE$37,0)))),$C100=Default_Exchange),IF($G100&gt;0,-LGD,0),0),IF(OR($J100="SWAP",$J100="FUTURE",$J100="CME FUTURE"),IF('Futures &amp; Perps Shifted'!$AE$31,VLOOKUP($M100,'Futures &amp; Perps Shifted'!$AE$32:$AO$76,MATCH($R100,'Futures &amp; Perps Shifted'!$AE$30:$AO$30,0),FALSE),0),0)))</f>
        <v/>
      </c>
    </row>
    <row r="101" spans="23:23" x14ac:dyDescent="0.25">
      <c r="W101" t="str">
        <f>IF($C101="","",IF(DefaultScenario,IF(OR(AND(Default_Exchange="ALL",NOT(ISERROR(MATCH($C101,$AE$6:$AE$37,0)))),$C101=Default_Exchange),IF($G101&gt;0,-LGD,0),0),IF(OR($J101="SWAP",$J101="FUTURE",$J101="CME FUTURE"),IF('Futures &amp; Perps Shifted'!$AE$31,VLOOKUP($M101,'Futures &amp; Perps Shifted'!$AE$32:$AO$76,MATCH($R101,'Futures &amp; Perps Shifted'!$AE$30:$AO$30,0),FALSE),0),0)))</f>
        <v/>
      </c>
    </row>
    <row r="102" spans="23:23" x14ac:dyDescent="0.25">
      <c r="W102" t="str">
        <f>IF($C102="","",IF(DefaultScenario,IF(OR(AND(Default_Exchange="ALL",NOT(ISERROR(MATCH($C102,$AE$6:$AE$37,0)))),$C102=Default_Exchange),IF($G102&gt;0,-LGD,0),0),IF(OR($J102="SWAP",$J102="FUTURE",$J102="CME FUTURE"),IF('Futures &amp; Perps Shifted'!$AE$31,VLOOKUP($M102,'Futures &amp; Perps Shifted'!$AE$32:$AO$76,MATCH($R102,'Futures &amp; Perps Shifted'!$AE$30:$AO$30,0),FALSE),0),0)))</f>
        <v/>
      </c>
    </row>
    <row r="103" spans="23:23" x14ac:dyDescent="0.25">
      <c r="W103" t="str">
        <f>IF($C103="","",IF(DefaultScenario,IF(OR(AND(Default_Exchange="ALL",NOT(ISERROR(MATCH($C103,$AE$6:$AE$37,0)))),$C103=Default_Exchange),IF($G103&gt;0,-LGD,0),0),IF(OR($J103="SWAP",$J103="FUTURE",$J103="CME FUTURE"),IF('Futures &amp; Perps Shifted'!$AE$31,VLOOKUP($M103,'Futures &amp; Perps Shifted'!$AE$32:$AO$76,MATCH($R103,'Futures &amp; Perps Shifted'!$AE$30:$AO$30,0),FALSE),0),0)))</f>
        <v/>
      </c>
    </row>
    <row r="104" spans="23:23" x14ac:dyDescent="0.25">
      <c r="W104" t="str">
        <f>IF($C104="","",IF(DefaultScenario,IF(OR(AND(Default_Exchange="ALL",NOT(ISERROR(MATCH($C104,$AE$6:$AE$37,0)))),$C104=Default_Exchange),IF($G104&gt;0,-LGD,0),0),IF(OR($J104="SWAP",$J104="FUTURE",$J104="CME FUTURE"),IF('Futures &amp; Perps Shifted'!$AE$31,VLOOKUP($M104,'Futures &amp; Perps Shifted'!$AE$32:$AO$76,MATCH($R104,'Futures &amp; Perps Shifted'!$AE$30:$AO$30,0),FALSE),0),0)))</f>
        <v/>
      </c>
    </row>
    <row r="105" spans="23:23" x14ac:dyDescent="0.25">
      <c r="W105" t="str">
        <f>IF($C105="","",IF(DefaultScenario,IF(OR(AND(Default_Exchange="ALL",NOT(ISERROR(MATCH($C105,$AE$6:$AE$37,0)))),$C105=Default_Exchange),IF($G105&gt;0,-LGD,0),0),IF(OR($J105="SWAP",$J105="FUTURE",$J105="CME FUTURE"),IF('Futures &amp; Perps Shifted'!$AE$31,VLOOKUP($M105,'Futures &amp; Perps Shifted'!$AE$32:$AO$76,MATCH($R105,'Futures &amp; Perps Shifted'!$AE$30:$AO$30,0),FALSE),0),0)))</f>
        <v/>
      </c>
    </row>
    <row r="106" spans="23:23" x14ac:dyDescent="0.25">
      <c r="W106" t="str">
        <f>IF($C106="","",IF(DefaultScenario,IF(OR(AND(Default_Exchange="ALL",NOT(ISERROR(MATCH($C106,$AE$6:$AE$37,0)))),$C106=Default_Exchange),IF($G106&gt;0,-LGD,0),0),IF(OR($J106="SWAP",$J106="FUTURE",$J106="CME FUTURE"),IF('Futures &amp; Perps Shifted'!$AE$31,VLOOKUP($M106,'Futures &amp; Perps Shifted'!$AE$32:$AO$76,MATCH($R106,'Futures &amp; Perps Shifted'!$AE$30:$AO$30,0),FALSE),0),0)))</f>
        <v/>
      </c>
    </row>
    <row r="107" spans="23:23" x14ac:dyDescent="0.25">
      <c r="W107" t="str">
        <f>IF($C107="","",IF(DefaultScenario,IF(OR(AND(Default_Exchange="ALL",NOT(ISERROR(MATCH($C107,$AE$6:$AE$37,0)))),$C107=Default_Exchange),IF($G107&gt;0,-LGD,0),0),IF(OR($J107="SWAP",$J107="FUTURE",$J107="CME FUTURE"),IF('Futures &amp; Perps Shifted'!$AE$31,VLOOKUP($M107,'Futures &amp; Perps Shifted'!$AE$32:$AO$76,MATCH($R107,'Futures &amp; Perps Shifted'!$AE$30:$AO$30,0),FALSE),0),0)))</f>
        <v/>
      </c>
    </row>
    <row r="108" spans="23:23" x14ac:dyDescent="0.25">
      <c r="W108" t="str">
        <f>IF($C108="","",IF(DefaultScenario,IF(OR(AND(Default_Exchange="ALL",NOT(ISERROR(MATCH($C108,$AE$6:$AE$37,0)))),$C108=Default_Exchange),IF($G108&gt;0,-LGD,0),0),IF(OR($J108="SWAP",$J108="FUTURE",$J108="CME FUTURE"),IF('Futures &amp; Perps Shifted'!$AE$31,VLOOKUP($M108,'Futures &amp; Perps Shifted'!$AE$32:$AO$76,MATCH($R108,'Futures &amp; Perps Shifted'!$AE$30:$AO$30,0),FALSE),0),0)))</f>
        <v/>
      </c>
    </row>
    <row r="109" spans="23:23" x14ac:dyDescent="0.25">
      <c r="W109" t="str">
        <f>IF($C109="","",IF(DefaultScenario,IF(OR(AND(Default_Exchange="ALL",NOT(ISERROR(MATCH($C109,$AE$6:$AE$37,0)))),$C109=Default_Exchange),IF($G109&gt;0,-LGD,0),0),IF(OR($J109="SWAP",$J109="FUTURE",$J109="CME FUTURE"),IF('Futures &amp; Perps Shifted'!$AE$31,VLOOKUP($M109,'Futures &amp; Perps Shifted'!$AE$32:$AO$76,MATCH($R109,'Futures &amp; Perps Shifted'!$AE$30:$AO$30,0),FALSE),0),0)))</f>
        <v/>
      </c>
    </row>
    <row r="110" spans="23:23" x14ac:dyDescent="0.25">
      <c r="W110" t="str">
        <f>IF($C110="","",IF(DefaultScenario,IF(OR(AND(Default_Exchange="ALL",NOT(ISERROR(MATCH($C110,$AE$6:$AE$37,0)))),$C110=Default_Exchange),IF($G110&gt;0,-LGD,0),0),IF(OR($J110="SWAP",$J110="FUTURE",$J110="CME FUTURE"),IF('Futures &amp; Perps Shifted'!$AE$31,VLOOKUP($M110,'Futures &amp; Perps Shifted'!$AE$32:$AO$76,MATCH($R110,'Futures &amp; Perps Shifted'!$AE$30:$AO$30,0),FALSE),0),0)))</f>
        <v/>
      </c>
    </row>
    <row r="111" spans="23:23" x14ac:dyDescent="0.25">
      <c r="W111" t="str">
        <f>IF($C111="","",IF(DefaultScenario,IF(OR(AND(Default_Exchange="ALL",NOT(ISERROR(MATCH($C111,$AE$6:$AE$37,0)))),$C111=Default_Exchange),IF($G111&gt;0,-LGD,0),0),IF(OR($J111="SWAP",$J111="FUTURE",$J111="CME FUTURE"),IF('Futures &amp; Perps Shifted'!$AE$31,VLOOKUP($M111,'Futures &amp; Perps Shifted'!$AE$32:$AO$76,MATCH($R111,'Futures &amp; Perps Shifted'!$AE$30:$AO$30,0),FALSE),0),0)))</f>
        <v/>
      </c>
    </row>
    <row r="112" spans="23:23" x14ac:dyDescent="0.25">
      <c r="W112" t="str">
        <f>IF($C112="","",IF(DefaultScenario,IF(OR(AND(Default_Exchange="ALL",NOT(ISERROR(MATCH($C112,$AE$6:$AE$37,0)))),$C112=Default_Exchange),IF($G112&gt;0,-LGD,0),0),IF(OR($J112="SWAP",$J112="FUTURE",$J112="CME FUTURE"),IF('Futures &amp; Perps Shifted'!$AE$31,VLOOKUP($M112,'Futures &amp; Perps Shifted'!$AE$32:$AO$76,MATCH($R112,'Futures &amp; Perps Shifted'!$AE$30:$AO$30,0),FALSE),0),0)))</f>
        <v/>
      </c>
    </row>
    <row r="113" spans="23:23" x14ac:dyDescent="0.25">
      <c r="W113" t="str">
        <f>IF($C113="","",IF(DefaultScenario,IF(OR(AND(Default_Exchange="ALL",NOT(ISERROR(MATCH($C113,$AE$6:$AE$37,0)))),$C113=Default_Exchange),IF($G113&gt;0,-LGD,0),0),IF(OR($J113="SWAP",$J113="FUTURE",$J113="CME FUTURE"),IF('Futures &amp; Perps Shifted'!$AE$31,VLOOKUP($M113,'Futures &amp; Perps Shifted'!$AE$32:$AO$76,MATCH($R113,'Futures &amp; Perps Shifted'!$AE$30:$AO$30,0),FALSE),0),0)))</f>
        <v/>
      </c>
    </row>
    <row r="114" spans="23:23" x14ac:dyDescent="0.25">
      <c r="W114" t="str">
        <f>IF($C114="","",IF(DefaultScenario,IF(OR(AND(Default_Exchange="ALL",NOT(ISERROR(MATCH($C114,$AE$6:$AE$37,0)))),$C114=Default_Exchange),IF($G114&gt;0,-LGD,0),0),IF(OR($J114="SWAP",$J114="FUTURE",$J114="CME FUTURE"),IF('Futures &amp; Perps Shifted'!$AE$31,VLOOKUP($M114,'Futures &amp; Perps Shifted'!$AE$32:$AO$76,MATCH($R114,'Futures &amp; Perps Shifted'!$AE$30:$AO$30,0),FALSE),0),0)))</f>
        <v/>
      </c>
    </row>
    <row r="115" spans="23:23" x14ac:dyDescent="0.25">
      <c r="W115" t="str">
        <f>IF($C115="","",IF(DefaultScenario,IF(OR(AND(Default_Exchange="ALL",NOT(ISERROR(MATCH($C115,$AE$6:$AE$37,0)))),$C115=Default_Exchange),IF($G115&gt;0,-LGD,0),0),IF(OR($J115="SWAP",$J115="FUTURE",$J115="CME FUTURE"),IF('Futures &amp; Perps Shifted'!$AE$31,VLOOKUP($M115,'Futures &amp; Perps Shifted'!$AE$32:$AO$76,MATCH($R115,'Futures &amp; Perps Shifted'!$AE$30:$AO$30,0),FALSE),0),0)))</f>
        <v/>
      </c>
    </row>
    <row r="116" spans="23:23" x14ac:dyDescent="0.25">
      <c r="W116" t="str">
        <f>IF($C116="","",IF(DefaultScenario,IF(OR(AND(Default_Exchange="ALL",NOT(ISERROR(MATCH($C116,$AE$6:$AE$37,0)))),$C116=Default_Exchange),IF($G116&gt;0,-LGD,0),0),IF(OR($J116="SWAP",$J116="FUTURE",$J116="CME FUTURE"),IF('Futures &amp; Perps Shifted'!$AE$31,VLOOKUP($M116,'Futures &amp; Perps Shifted'!$AE$32:$AO$76,MATCH($R116,'Futures &amp; Perps Shifted'!$AE$30:$AO$30,0),FALSE),0),0)))</f>
        <v/>
      </c>
    </row>
    <row r="117" spans="23:23" x14ac:dyDescent="0.25">
      <c r="W117" t="str">
        <f>IF($C117="","",IF(DefaultScenario,IF(OR(AND(Default_Exchange="ALL",NOT(ISERROR(MATCH($C117,$AE$6:$AE$37,0)))),$C117=Default_Exchange),IF($G117&gt;0,-LGD,0),0),IF(OR($J117="SWAP",$J117="FUTURE",$J117="CME FUTURE"),IF('Futures &amp; Perps Shifted'!$AE$31,VLOOKUP($M117,'Futures &amp; Perps Shifted'!$AE$32:$AO$76,MATCH($R117,'Futures &amp; Perps Shifted'!$AE$30:$AO$30,0),FALSE),0),0)))</f>
        <v/>
      </c>
    </row>
    <row r="118" spans="23:23" x14ac:dyDescent="0.25">
      <c r="W118" t="str">
        <f>IF($C118="","",IF(DefaultScenario,IF(OR(AND(Default_Exchange="ALL",NOT(ISERROR(MATCH($C118,$AE$6:$AE$37,0)))),$C118=Default_Exchange),IF($G118&gt;0,-LGD,0),0),IF(OR($J118="SWAP",$J118="FUTURE",$J118="CME FUTURE"),IF('Futures &amp; Perps Shifted'!$AE$31,VLOOKUP($M118,'Futures &amp; Perps Shifted'!$AE$32:$AO$76,MATCH($R118,'Futures &amp; Perps Shifted'!$AE$30:$AO$30,0),FALSE),0),0)))</f>
        <v/>
      </c>
    </row>
    <row r="119" spans="23:23" x14ac:dyDescent="0.25">
      <c r="W119" t="str">
        <f>IF($C119="","",IF(DefaultScenario,IF(OR(AND(Default_Exchange="ALL",NOT(ISERROR(MATCH($C119,$AE$6:$AE$37,0)))),$C119=Default_Exchange),IF($G119&gt;0,-LGD,0),0),IF(OR($J119="SWAP",$J119="FUTURE",$J119="CME FUTURE"),IF('Futures &amp; Perps Shifted'!$AE$31,VLOOKUP($M119,'Futures &amp; Perps Shifted'!$AE$32:$AO$76,MATCH($R119,'Futures &amp; Perps Shifted'!$AE$30:$AO$30,0),FALSE),0),0)))</f>
        <v/>
      </c>
    </row>
    <row r="120" spans="23:23" x14ac:dyDescent="0.25">
      <c r="W120" t="str">
        <f>IF($C120="","",IF(DefaultScenario,IF(OR(AND(Default_Exchange="ALL",NOT(ISERROR(MATCH($C120,$AE$6:$AE$37,0)))),$C120=Default_Exchange),IF($G120&gt;0,-LGD,0),0),IF(OR($J120="SWAP",$J120="FUTURE",$J120="CME FUTURE"),IF('Futures &amp; Perps Shifted'!$AE$31,VLOOKUP($M120,'Futures &amp; Perps Shifted'!$AE$32:$AO$76,MATCH($R120,'Futures &amp; Perps Shifted'!$AE$30:$AO$30,0),FALSE),0),0)))</f>
        <v/>
      </c>
    </row>
    <row r="121" spans="23:23" x14ac:dyDescent="0.25">
      <c r="W121" t="str">
        <f>IF($C121="","",IF(DefaultScenario,IF(OR(AND(Default_Exchange="ALL",NOT(ISERROR(MATCH($C121,$AE$6:$AE$37,0)))),$C121=Default_Exchange),IF($G121&gt;0,-LGD,0),0),IF(OR($J121="SWAP",$J121="FUTURE",$J121="CME FUTURE"),IF('Futures &amp; Perps Shifted'!$AE$31,VLOOKUP($M121,'Futures &amp; Perps Shifted'!$AE$32:$AO$76,MATCH($R121,'Futures &amp; Perps Shifted'!$AE$30:$AO$30,0),FALSE),0),0)))</f>
        <v/>
      </c>
    </row>
    <row r="122" spans="23:23" x14ac:dyDescent="0.25">
      <c r="W122" t="str">
        <f>IF($C122="","",IF(DefaultScenario,IF(OR(AND(Default_Exchange="ALL",NOT(ISERROR(MATCH($C122,$AE$6:$AE$37,0)))),$C122=Default_Exchange),IF($G122&gt;0,-LGD,0),0),IF(OR($J122="SWAP",$J122="FUTURE",$J122="CME FUTURE"),IF('Futures &amp; Perps Shifted'!$AE$31,VLOOKUP($M122,'Futures &amp; Perps Shifted'!$AE$32:$AO$76,MATCH($R122,'Futures &amp; Perps Shifted'!$AE$30:$AO$30,0),FALSE),0),0)))</f>
        <v/>
      </c>
    </row>
    <row r="123" spans="23:23" x14ac:dyDescent="0.25">
      <c r="W123" t="str">
        <f>IF($C123="","",IF(DefaultScenario,IF(OR(AND(Default_Exchange="ALL",NOT(ISERROR(MATCH($C123,$AE$6:$AE$37,0)))),$C123=Default_Exchange),IF($G123&gt;0,-LGD,0),0),IF(OR($J123="SWAP",$J123="FUTURE",$J123="CME FUTURE"),IF('Futures &amp; Perps Shifted'!$AE$31,VLOOKUP($M123,'Futures &amp; Perps Shifted'!$AE$32:$AO$76,MATCH($R123,'Futures &amp; Perps Shifted'!$AE$30:$AO$30,0),FALSE),0),0)))</f>
        <v/>
      </c>
    </row>
    <row r="124" spans="23:23" x14ac:dyDescent="0.25">
      <c r="W124" t="str">
        <f>IF($C124="","",IF(DefaultScenario,IF(OR(AND(Default_Exchange="ALL",NOT(ISERROR(MATCH($C124,$AE$6:$AE$37,0)))),$C124=Default_Exchange),IF($G124&gt;0,-LGD,0),0),IF(OR($J124="SWAP",$J124="FUTURE",$J124="CME FUTURE"),IF('Futures &amp; Perps Shifted'!$AE$31,VLOOKUP($M124,'Futures &amp; Perps Shifted'!$AE$32:$AO$76,MATCH($R124,'Futures &amp; Perps Shifted'!$AE$30:$AO$30,0),FALSE),0),0)))</f>
        <v/>
      </c>
    </row>
    <row r="125" spans="23:23" x14ac:dyDescent="0.25">
      <c r="W125" t="str">
        <f>IF($C125="","",IF(DefaultScenario,IF(OR(AND(Default_Exchange="ALL",NOT(ISERROR(MATCH($C125,$AE$6:$AE$37,0)))),$C125=Default_Exchange),IF($G125&gt;0,-LGD,0),0),IF(OR($J125="SWAP",$J125="FUTURE",$J125="CME FUTURE"),IF('Futures &amp; Perps Shifted'!$AE$31,VLOOKUP($M125,'Futures &amp; Perps Shifted'!$AE$32:$AO$76,MATCH($R125,'Futures &amp; Perps Shifted'!$AE$30:$AO$30,0),FALSE),0),0)))</f>
        <v/>
      </c>
    </row>
    <row r="126" spans="23:23" x14ac:dyDescent="0.25">
      <c r="W126" t="str">
        <f>IF($C126="","",IF(DefaultScenario,IF(OR(AND(Default_Exchange="ALL",NOT(ISERROR(MATCH($C126,$AE$6:$AE$37,0)))),$C126=Default_Exchange),IF($G126&gt;0,-LGD,0),0),IF(OR($J126="SWAP",$J126="FUTURE",$J126="CME FUTURE"),IF('Futures &amp; Perps Shifted'!$AE$31,VLOOKUP($M126,'Futures &amp; Perps Shifted'!$AE$32:$AO$76,MATCH($R126,'Futures &amp; Perps Shifted'!$AE$30:$AO$30,0),FALSE),0),0)))</f>
        <v/>
      </c>
    </row>
    <row r="127" spans="23:23" x14ac:dyDescent="0.25">
      <c r="W127" t="str">
        <f>IF($C127="","",IF(DefaultScenario,IF(OR(AND(Default_Exchange="ALL",NOT(ISERROR(MATCH($C127,$AE$6:$AE$37,0)))),$C127=Default_Exchange),IF($G127&gt;0,-LGD,0),0),IF(OR($J127="SWAP",$J127="FUTURE",$J127="CME FUTURE"),IF('Futures &amp; Perps Shifted'!$AE$31,VLOOKUP($M127,'Futures &amp; Perps Shifted'!$AE$32:$AO$76,MATCH($R127,'Futures &amp; Perps Shifted'!$AE$30:$AO$30,0),FALSE),0),0)))</f>
        <v/>
      </c>
    </row>
    <row r="128" spans="23:23" x14ac:dyDescent="0.25">
      <c r="W128" t="str">
        <f>IF($C128="","",IF(DefaultScenario,IF(OR(AND(Default_Exchange="ALL",NOT(ISERROR(MATCH($C128,$AE$6:$AE$37,0)))),$C128=Default_Exchange),IF($G128&gt;0,-LGD,0),0),IF(OR($J128="SWAP",$J128="FUTURE",$J128="CME FUTURE"),IF('Futures &amp; Perps Shifted'!$AE$31,VLOOKUP($M128,'Futures &amp; Perps Shifted'!$AE$32:$AO$76,MATCH($R128,'Futures &amp; Perps Shifted'!$AE$30:$AO$30,0),FALSE),0),0)))</f>
        <v/>
      </c>
    </row>
    <row r="129" spans="23:23" x14ac:dyDescent="0.25">
      <c r="W129" t="str">
        <f>IF($C129="","",IF(DefaultScenario,IF(OR(AND(Default_Exchange="ALL",NOT(ISERROR(MATCH($C129,$AE$6:$AE$37,0)))),$C129=Default_Exchange),IF($G129&gt;0,-LGD,0),0),IF(OR($J129="SWAP",$J129="FUTURE",$J129="CME FUTURE"),IF('Futures &amp; Perps Shifted'!$AE$31,VLOOKUP($M129,'Futures &amp; Perps Shifted'!$AE$32:$AO$76,MATCH($R129,'Futures &amp; Perps Shifted'!$AE$30:$AO$30,0),FALSE),0),0)))</f>
        <v/>
      </c>
    </row>
    <row r="130" spans="23:23" x14ac:dyDescent="0.25">
      <c r="W130" t="str">
        <f>IF($C130="","",IF(DefaultScenario,IF(OR(AND(Default_Exchange="ALL",NOT(ISERROR(MATCH($C130,$AE$6:$AE$37,0)))),$C130=Default_Exchange),IF($G130&gt;0,-LGD,0),0),IF(OR($J130="SWAP",$J130="FUTURE",$J130="CME FUTURE"),IF('Futures &amp; Perps Shifted'!$AE$31,VLOOKUP($M130,'Futures &amp; Perps Shifted'!$AE$32:$AO$76,MATCH($R130,'Futures &amp; Perps Shifted'!$AE$30:$AO$30,0),FALSE),0),0)))</f>
        <v/>
      </c>
    </row>
    <row r="131" spans="23:23" x14ac:dyDescent="0.25">
      <c r="W131" t="str">
        <f>IF($C131="","",IF(DefaultScenario,IF(OR(AND(Default_Exchange="ALL",NOT(ISERROR(MATCH($C131,$AE$6:$AE$37,0)))),$C131=Default_Exchange),IF($G131&gt;0,-LGD,0),0),IF(OR($J131="SWAP",$J131="FUTURE",$J131="CME FUTURE"),IF('Futures &amp; Perps Shifted'!$AE$31,VLOOKUP($M131,'Futures &amp; Perps Shifted'!$AE$32:$AO$76,MATCH($R131,'Futures &amp; Perps Shifted'!$AE$30:$AO$30,0),FALSE),0),0)))</f>
        <v/>
      </c>
    </row>
    <row r="132" spans="23:23" x14ac:dyDescent="0.25">
      <c r="W132" t="str">
        <f>IF($C132="","",IF(DefaultScenario,IF(OR(AND(Default_Exchange="ALL",NOT(ISERROR(MATCH($C132,$AE$6:$AE$37,0)))),$C132=Default_Exchange),IF($G132&gt;0,-LGD,0),0),IF(OR($J132="SWAP",$J132="FUTURE",$J132="CME FUTURE"),IF('Futures &amp; Perps Shifted'!$AE$31,VLOOKUP($M132,'Futures &amp; Perps Shifted'!$AE$32:$AO$76,MATCH($R132,'Futures &amp; Perps Shifted'!$AE$30:$AO$30,0),FALSE),0),0)))</f>
        <v/>
      </c>
    </row>
    <row r="133" spans="23:23" x14ac:dyDescent="0.25">
      <c r="W133" t="str">
        <f>IF($C133="","",IF(DefaultScenario,IF(OR(AND(Default_Exchange="ALL",NOT(ISERROR(MATCH($C133,$AE$6:$AE$37,0)))),$C133=Default_Exchange),IF($G133&gt;0,-LGD,0),0),IF(OR($J133="SWAP",$J133="FUTURE",$J133="CME FUTURE"),IF('Futures &amp; Perps Shifted'!$AE$31,VLOOKUP($M133,'Futures &amp; Perps Shifted'!$AE$32:$AO$76,MATCH($R133,'Futures &amp; Perps Shifted'!$AE$30:$AO$30,0),FALSE),0),0)))</f>
        <v/>
      </c>
    </row>
    <row r="134" spans="23:23" x14ac:dyDescent="0.25">
      <c r="W134" t="str">
        <f>IF($C134="","",IF(DefaultScenario,IF(OR(AND(Default_Exchange="ALL",NOT(ISERROR(MATCH($C134,$AE$6:$AE$37,0)))),$C134=Default_Exchange),IF($G134&gt;0,-LGD,0),0),IF(OR($J134="SWAP",$J134="FUTURE",$J134="CME FUTURE"),IF('Futures &amp; Perps Shifted'!$AE$31,VLOOKUP($M134,'Futures &amp; Perps Shifted'!$AE$32:$AO$76,MATCH($R134,'Futures &amp; Perps Shifted'!$AE$30:$AO$30,0),FALSE),0),0)))</f>
        <v/>
      </c>
    </row>
    <row r="135" spans="23:23" x14ac:dyDescent="0.25">
      <c r="W135" t="str">
        <f>IF($C135="","",IF(DefaultScenario,IF(OR(AND(Default_Exchange="ALL",NOT(ISERROR(MATCH($C135,$AE$6:$AE$37,0)))),$C135=Default_Exchange),IF($G135&gt;0,-LGD,0),0),IF(OR($J135="SWAP",$J135="FUTURE",$J135="CME FUTURE"),IF('Futures &amp; Perps Shifted'!$AE$31,VLOOKUP($M135,'Futures &amp; Perps Shifted'!$AE$32:$AO$76,MATCH($R135,'Futures &amp; Perps Shifted'!$AE$30:$AO$30,0),FALSE),0),0)))</f>
        <v/>
      </c>
    </row>
    <row r="136" spans="23:23" x14ac:dyDescent="0.25">
      <c r="W136" t="str">
        <f>IF($C136="","",IF(DefaultScenario,IF(OR(AND(Default_Exchange="ALL",NOT(ISERROR(MATCH($C136,$AE$6:$AE$37,0)))),$C136=Default_Exchange),IF($G136&gt;0,-LGD,0),0),IF(OR($J136="SWAP",$J136="FUTURE",$J136="CME FUTURE"),IF('Futures &amp; Perps Shifted'!$AE$31,VLOOKUP($M136,'Futures &amp; Perps Shifted'!$AE$32:$AO$76,MATCH($R136,'Futures &amp; Perps Shifted'!$AE$30:$AO$30,0),FALSE),0),0)))</f>
        <v/>
      </c>
    </row>
    <row r="137" spans="23:23" x14ac:dyDescent="0.25">
      <c r="W137" t="str">
        <f>IF($C137="","",IF(DefaultScenario,IF(OR(AND(Default_Exchange="ALL",NOT(ISERROR(MATCH($C137,$AE$6:$AE$37,0)))),$C137=Default_Exchange),IF($G137&gt;0,-LGD,0),0),IF(OR($J137="SWAP",$J137="FUTURE",$J137="CME FUTURE"),IF('Futures &amp; Perps Shifted'!$AE$31,VLOOKUP($M137,'Futures &amp; Perps Shifted'!$AE$32:$AO$76,MATCH($R137,'Futures &amp; Perps Shifted'!$AE$30:$AO$30,0),FALSE),0),0)))</f>
        <v/>
      </c>
    </row>
    <row r="138" spans="23:23" x14ac:dyDescent="0.25">
      <c r="W138" t="str">
        <f>IF($C138="","",IF(DefaultScenario,IF(OR(AND(Default_Exchange="ALL",NOT(ISERROR(MATCH($C138,$AE$6:$AE$37,0)))),$C138=Default_Exchange),IF($G138&gt;0,-LGD,0),0),IF(OR($J138="SWAP",$J138="FUTURE",$J138="CME FUTURE"),IF('Futures &amp; Perps Shifted'!$AE$31,VLOOKUP($M138,'Futures &amp; Perps Shifted'!$AE$32:$AO$76,MATCH($R138,'Futures &amp; Perps Shifted'!$AE$30:$AO$30,0),FALSE),0),0)))</f>
        <v/>
      </c>
    </row>
    <row r="139" spans="23:23" x14ac:dyDescent="0.25">
      <c r="W139" t="str">
        <f>IF($C139="","",IF(DefaultScenario,IF(OR(AND(Default_Exchange="ALL",NOT(ISERROR(MATCH($C139,$AE$6:$AE$37,0)))),$C139=Default_Exchange),IF($G139&gt;0,-LGD,0),0),IF(OR($J139="SWAP",$J139="FUTURE",$J139="CME FUTURE"),IF('Futures &amp; Perps Shifted'!$AE$31,VLOOKUP($M139,'Futures &amp; Perps Shifted'!$AE$32:$AO$76,MATCH($R139,'Futures &amp; Perps Shifted'!$AE$30:$AO$30,0),FALSE),0),0)))</f>
        <v/>
      </c>
    </row>
    <row r="140" spans="23:23" x14ac:dyDescent="0.25">
      <c r="W140" t="str">
        <f>IF($C140="","",IF(DefaultScenario,IF(OR(AND(Default_Exchange="ALL",NOT(ISERROR(MATCH($C140,$AE$6:$AE$37,0)))),$C140=Default_Exchange),IF($G140&gt;0,-LGD,0),0),IF(OR($J140="SWAP",$J140="FUTURE",$J140="CME FUTURE"),IF('Futures &amp; Perps Shifted'!$AE$31,VLOOKUP($M140,'Futures &amp; Perps Shifted'!$AE$32:$AO$76,MATCH($R140,'Futures &amp; Perps Shifted'!$AE$30:$AO$30,0),FALSE),0),0)))</f>
        <v/>
      </c>
    </row>
    <row r="141" spans="23:23" x14ac:dyDescent="0.25">
      <c r="W141" t="str">
        <f>IF($C141="","",IF(DefaultScenario,IF(OR(AND(Default_Exchange="ALL",NOT(ISERROR(MATCH($C141,$AE$6:$AE$37,0)))),$C141=Default_Exchange),IF($G141&gt;0,-LGD,0),0),IF(OR($J141="SWAP",$J141="FUTURE",$J141="CME FUTURE"),IF('Futures &amp; Perps Shifted'!$AE$31,VLOOKUP($M141,'Futures &amp; Perps Shifted'!$AE$32:$AO$76,MATCH($R141,'Futures &amp; Perps Shifted'!$AE$30:$AO$30,0),FALSE),0),0)))</f>
        <v/>
      </c>
    </row>
    <row r="142" spans="23:23" x14ac:dyDescent="0.25">
      <c r="W142" t="str">
        <f>IF($C142="","",IF(DefaultScenario,IF(OR(AND(Default_Exchange="ALL",NOT(ISERROR(MATCH($C142,$AE$6:$AE$37,0)))),$C142=Default_Exchange),IF($G142&gt;0,-LGD,0),0),IF(OR($J142="SWAP",$J142="FUTURE",$J142="CME FUTURE"),IF('Futures &amp; Perps Shifted'!$AE$31,VLOOKUP($M142,'Futures &amp; Perps Shifted'!$AE$32:$AO$76,MATCH($R142,'Futures &amp; Perps Shifted'!$AE$30:$AO$30,0),FALSE),0),0)))</f>
        <v/>
      </c>
    </row>
    <row r="143" spans="23:23" x14ac:dyDescent="0.25">
      <c r="W143" t="str">
        <f>IF($C143="","",IF(DefaultScenario,IF(OR(AND(Default_Exchange="ALL",NOT(ISERROR(MATCH($C143,$AE$6:$AE$37,0)))),$C143=Default_Exchange),IF($G143&gt;0,-LGD,0),0),IF(OR($J143="SWAP",$J143="FUTURE",$J143="CME FUTURE"),IF('Futures &amp; Perps Shifted'!$AE$31,VLOOKUP($M143,'Futures &amp; Perps Shifted'!$AE$32:$AO$76,MATCH($R143,'Futures &amp; Perps Shifted'!$AE$30:$AO$30,0),FALSE),0),0)))</f>
        <v/>
      </c>
    </row>
    <row r="144" spans="23:23" x14ac:dyDescent="0.25">
      <c r="W144" t="str">
        <f>IF($C144="","",IF(DefaultScenario,IF(OR(AND(Default_Exchange="ALL",NOT(ISERROR(MATCH($C144,$AE$6:$AE$37,0)))),$C144=Default_Exchange),IF($G144&gt;0,-LGD,0),0),IF(OR($J144="SWAP",$J144="FUTURE",$J144="CME FUTURE"),IF('Futures &amp; Perps Shifted'!$AE$31,VLOOKUP($M144,'Futures &amp; Perps Shifted'!$AE$32:$AO$76,MATCH($R144,'Futures &amp; Perps Shifted'!$AE$30:$AO$30,0),FALSE),0),0)))</f>
        <v/>
      </c>
    </row>
    <row r="145" spans="23:23" x14ac:dyDescent="0.25">
      <c r="W145" t="str">
        <f>IF($C145="","",IF(DefaultScenario,IF(OR(AND(Default_Exchange="ALL",NOT(ISERROR(MATCH($C145,$AE$6:$AE$37,0)))),$C145=Default_Exchange),IF($G145&gt;0,-LGD,0),0),IF(OR($J145="SWAP",$J145="FUTURE",$J145="CME FUTURE"),IF('Futures &amp; Perps Shifted'!$AE$31,VLOOKUP($M145,'Futures &amp; Perps Shifted'!$AE$32:$AO$76,MATCH($R145,'Futures &amp; Perps Shifted'!$AE$30:$AO$30,0),FALSE),0),0)))</f>
        <v/>
      </c>
    </row>
    <row r="146" spans="23:23" x14ac:dyDescent="0.25">
      <c r="W146" t="str">
        <f>IF($C146="","",IF(DefaultScenario,IF(OR(AND(Default_Exchange="ALL",NOT(ISERROR(MATCH($C146,$AE$6:$AE$37,0)))),$C146=Default_Exchange),IF($G146&gt;0,-LGD,0),0),IF(OR($J146="SWAP",$J146="FUTURE",$J146="CME FUTURE"),IF('Futures &amp; Perps Shifted'!$AE$31,VLOOKUP($M146,'Futures &amp; Perps Shifted'!$AE$32:$AO$76,MATCH($R146,'Futures &amp; Perps Shifted'!$AE$30:$AO$30,0),FALSE),0),0)))</f>
        <v/>
      </c>
    </row>
    <row r="147" spans="23:23" x14ac:dyDescent="0.25">
      <c r="W147" t="str">
        <f>IF($C147="","",IF(DefaultScenario,IF(OR(AND(Default_Exchange="ALL",NOT(ISERROR(MATCH($C147,$AE$6:$AE$37,0)))),$C147=Default_Exchange),IF($G147&gt;0,-LGD,0),0),IF(OR($J147="SWAP",$J147="FUTURE",$J147="CME FUTURE"),IF('Futures &amp; Perps Shifted'!$AE$31,VLOOKUP($M147,'Futures &amp; Perps Shifted'!$AE$32:$AO$76,MATCH($R147,'Futures &amp; Perps Shifted'!$AE$30:$AO$30,0),FALSE),0),0)))</f>
        <v/>
      </c>
    </row>
    <row r="148" spans="23:23" x14ac:dyDescent="0.25">
      <c r="W148" t="str">
        <f>IF($C148="","",IF(DefaultScenario,IF(OR(AND(Default_Exchange="ALL",NOT(ISERROR(MATCH($C148,$AE$6:$AE$37,0)))),$C148=Default_Exchange),IF($G148&gt;0,-LGD,0),0),IF(OR($J148="SWAP",$J148="FUTURE",$J148="CME FUTURE"),IF('Futures &amp; Perps Shifted'!$AE$31,VLOOKUP($M148,'Futures &amp; Perps Shifted'!$AE$32:$AO$76,MATCH($R148,'Futures &amp; Perps Shifted'!$AE$30:$AO$30,0),FALSE),0),0)))</f>
        <v/>
      </c>
    </row>
    <row r="149" spans="23:23" x14ac:dyDescent="0.25">
      <c r="W149" t="str">
        <f>IF($C149="","",IF(DefaultScenario,IF(OR(AND(Default_Exchange="ALL",NOT(ISERROR(MATCH($C149,$AE$6:$AE$37,0)))),$C149=Default_Exchange),IF($G149&gt;0,-LGD,0),0),IF(OR($J149="SWAP",$J149="FUTURE",$J149="CME FUTURE"),IF('Futures &amp; Perps Shifted'!$AE$31,VLOOKUP($M149,'Futures &amp; Perps Shifted'!$AE$32:$AO$76,MATCH($R149,'Futures &amp; Perps Shifted'!$AE$30:$AO$30,0),FALSE),0),0)))</f>
        <v/>
      </c>
    </row>
    <row r="150" spans="23:23" x14ac:dyDescent="0.25">
      <c r="W150" t="str">
        <f>IF($C150="","",IF(DefaultScenario,IF(OR(AND(Default_Exchange="ALL",NOT(ISERROR(MATCH($C150,$AE$6:$AE$37,0)))),$C150=Default_Exchange),IF($G150&gt;0,-LGD,0),0),IF(OR($J150="SWAP",$J150="FUTURE",$J150="CME FUTURE"),IF('Futures &amp; Perps Shifted'!$AE$31,VLOOKUP($M150,'Futures &amp; Perps Shifted'!$AE$32:$AO$76,MATCH($R150,'Futures &amp; Perps Shifted'!$AE$30:$AO$30,0),FALSE),0),0)))</f>
        <v/>
      </c>
    </row>
    <row r="151" spans="23:23" x14ac:dyDescent="0.25">
      <c r="W151" t="str">
        <f>IF($C151="","",IF(DefaultScenario,IF(OR(AND(Default_Exchange="ALL",NOT(ISERROR(MATCH($C151,$AE$6:$AE$37,0)))),$C151=Default_Exchange),IF($G151&gt;0,-LGD,0),0),IF(OR($J151="SWAP",$J151="FUTURE",$J151="CME FUTURE"),IF('Futures &amp; Perps Shifted'!$AE$31,VLOOKUP($M151,'Futures &amp; Perps Shifted'!$AE$32:$AO$76,MATCH($R151,'Futures &amp; Perps Shifted'!$AE$30:$AO$30,0),FALSE),0),0)))</f>
        <v/>
      </c>
    </row>
    <row r="152" spans="23:23" x14ac:dyDescent="0.25">
      <c r="W152" t="str">
        <f>IF($C152="","",IF(DefaultScenario,IF(OR(AND(Default_Exchange="ALL",NOT(ISERROR(MATCH($C152,$AE$6:$AE$37,0)))),$C152=Default_Exchange),IF($G152&gt;0,-LGD,0),0),IF(OR($J152="SWAP",$J152="FUTURE",$J152="CME FUTURE"),IF('Futures &amp; Perps Shifted'!$AE$31,VLOOKUP($M152,'Futures &amp; Perps Shifted'!$AE$32:$AO$76,MATCH($R152,'Futures &amp; Perps Shifted'!$AE$30:$AO$30,0),FALSE),0),0)))</f>
        <v/>
      </c>
    </row>
    <row r="153" spans="23:23" x14ac:dyDescent="0.25">
      <c r="W153" t="str">
        <f>IF($C153="","",IF(DefaultScenario,IF(OR(AND(Default_Exchange="ALL",NOT(ISERROR(MATCH($C153,$AE$6:$AE$37,0)))),$C153=Default_Exchange),IF($G153&gt;0,-LGD,0),0),IF(OR($J153="SWAP",$J153="FUTURE",$J153="CME FUTURE"),IF('Futures &amp; Perps Shifted'!$AE$31,VLOOKUP($M153,'Futures &amp; Perps Shifted'!$AE$32:$AO$76,MATCH($R153,'Futures &amp; Perps Shifted'!$AE$30:$AO$30,0),FALSE),0),0)))</f>
        <v/>
      </c>
    </row>
    <row r="154" spans="23:23" x14ac:dyDescent="0.25">
      <c r="W154" t="str">
        <f>IF($C154="","",IF(DefaultScenario,IF(OR(AND(Default_Exchange="ALL",NOT(ISERROR(MATCH($C154,$AE$6:$AE$37,0)))),$C154=Default_Exchange),IF($G154&gt;0,-LGD,0),0),IF(OR($J154="SWAP",$J154="FUTURE",$J154="CME FUTURE"),IF('Futures &amp; Perps Shifted'!$AE$31,VLOOKUP($M154,'Futures &amp; Perps Shifted'!$AE$32:$AO$76,MATCH($R154,'Futures &amp; Perps Shifted'!$AE$30:$AO$30,0),FALSE),0),0)))</f>
        <v/>
      </c>
    </row>
    <row r="155" spans="23:23" x14ac:dyDescent="0.25">
      <c r="W155" t="str">
        <f>IF($C155="","",IF(DefaultScenario,IF(OR(AND(Default_Exchange="ALL",NOT(ISERROR(MATCH($C155,$AE$6:$AE$37,0)))),$C155=Default_Exchange),IF($G155&gt;0,-LGD,0),0),IF(OR($J155="SWAP",$J155="FUTURE",$J155="CME FUTURE"),IF('Futures &amp; Perps Shifted'!$AE$31,VLOOKUP($M155,'Futures &amp; Perps Shifted'!$AE$32:$AO$76,MATCH($R155,'Futures &amp; Perps Shifted'!$AE$30:$AO$30,0),FALSE),0),0)))</f>
        <v/>
      </c>
    </row>
    <row r="156" spans="23:23" x14ac:dyDescent="0.25">
      <c r="W156" t="str">
        <f>IF($C156="","",IF(DefaultScenario,IF(OR(AND(Default_Exchange="ALL",NOT(ISERROR(MATCH($C156,$AE$6:$AE$37,0)))),$C156=Default_Exchange),IF($G156&gt;0,-LGD,0),0),IF(OR($J156="SWAP",$J156="FUTURE",$J156="CME FUTURE"),IF('Futures &amp; Perps Shifted'!$AE$31,VLOOKUP($M156,'Futures &amp; Perps Shifted'!$AE$32:$AO$76,MATCH($R156,'Futures &amp; Perps Shifted'!$AE$30:$AO$30,0),FALSE),0),0)))</f>
        <v/>
      </c>
    </row>
    <row r="157" spans="23:23" x14ac:dyDescent="0.25">
      <c r="W157" t="str">
        <f>IF($C157="","",IF(DefaultScenario,IF(OR(AND(Default_Exchange="ALL",NOT(ISERROR(MATCH($C157,$AE$6:$AE$37,0)))),$C157=Default_Exchange),IF($G157&gt;0,-LGD,0),0),IF(OR($J157="SWAP",$J157="FUTURE",$J157="CME FUTURE"),IF('Futures &amp; Perps Shifted'!$AE$31,VLOOKUP($M157,'Futures &amp; Perps Shifted'!$AE$32:$AO$76,MATCH($R157,'Futures &amp; Perps Shifted'!$AE$30:$AO$30,0),FALSE),0),0)))</f>
        <v/>
      </c>
    </row>
    <row r="158" spans="23:23" x14ac:dyDescent="0.25">
      <c r="W158" t="str">
        <f>IF($C158="","",IF(DefaultScenario,IF(OR(AND(Default_Exchange="ALL",NOT(ISERROR(MATCH($C158,$AE$6:$AE$37,0)))),$C158=Default_Exchange),IF($G158&gt;0,-LGD,0),0),IF(OR($J158="SWAP",$J158="FUTURE",$J158="CME FUTURE"),IF('Futures &amp; Perps Shifted'!$AE$31,VLOOKUP($M158,'Futures &amp; Perps Shifted'!$AE$32:$AO$76,MATCH($R158,'Futures &amp; Perps Shifted'!$AE$30:$AO$30,0),FALSE),0),0)))</f>
        <v/>
      </c>
    </row>
    <row r="159" spans="23:23" x14ac:dyDescent="0.25">
      <c r="W159" t="str">
        <f>IF($C159="","",IF(DefaultScenario,IF(OR(AND(Default_Exchange="ALL",NOT(ISERROR(MATCH($C159,$AE$6:$AE$37,0)))),$C159=Default_Exchange),IF($G159&gt;0,-LGD,0),0),IF(OR($J159="SWAP",$J159="FUTURE",$J159="CME FUTURE"),IF('Futures &amp; Perps Shifted'!$AE$31,VLOOKUP($M159,'Futures &amp; Perps Shifted'!$AE$32:$AO$76,MATCH($R159,'Futures &amp; Perps Shifted'!$AE$30:$AO$30,0),FALSE),0),0)))</f>
        <v/>
      </c>
    </row>
    <row r="160" spans="23:23" x14ac:dyDescent="0.25">
      <c r="W160" t="str">
        <f>IF($C160="","",IF(DefaultScenario,IF(OR(AND(Default_Exchange="ALL",NOT(ISERROR(MATCH($C160,$AE$6:$AE$37,0)))),$C160=Default_Exchange),IF($G160&gt;0,-LGD,0),0),IF(OR($J160="SWAP",$J160="FUTURE",$J160="CME FUTURE"),IF('Futures &amp; Perps Shifted'!$AE$31,VLOOKUP($M160,'Futures &amp; Perps Shifted'!$AE$32:$AO$76,MATCH($R160,'Futures &amp; Perps Shifted'!$AE$30:$AO$30,0),FALSE),0),0)))</f>
        <v/>
      </c>
    </row>
    <row r="161" spans="23:23" x14ac:dyDescent="0.25">
      <c r="W161" t="str">
        <f>IF($C161="","",IF(DefaultScenario,IF(OR(AND(Default_Exchange="ALL",NOT(ISERROR(MATCH($C161,$AE$6:$AE$37,0)))),$C161=Default_Exchange),IF($G161&gt;0,-LGD,0),0),IF(OR($J161="SWAP",$J161="FUTURE",$J161="CME FUTURE"),IF('Futures &amp; Perps Shifted'!$AE$31,VLOOKUP($M161,'Futures &amp; Perps Shifted'!$AE$32:$AO$76,MATCH($R161,'Futures &amp; Perps Shifted'!$AE$30:$AO$30,0),FALSE),0),0)))</f>
        <v/>
      </c>
    </row>
    <row r="162" spans="23:23" x14ac:dyDescent="0.25">
      <c r="W162" t="str">
        <f>IF($C162="","",IF(DefaultScenario,IF(OR(AND(Default_Exchange="ALL",NOT(ISERROR(MATCH($C162,$AE$6:$AE$37,0)))),$C162=Default_Exchange),IF($G162&gt;0,-LGD,0),0),IF(OR($J162="SWAP",$J162="FUTURE",$J162="CME FUTURE"),IF('Futures &amp; Perps Shifted'!$AE$31,VLOOKUP($M162,'Futures &amp; Perps Shifted'!$AE$32:$AO$76,MATCH($R162,'Futures &amp; Perps Shifted'!$AE$30:$AO$30,0),FALSE),0),0)))</f>
        <v/>
      </c>
    </row>
    <row r="163" spans="23:23" x14ac:dyDescent="0.25">
      <c r="W163" t="str">
        <f>IF($C163="","",IF(DefaultScenario,IF(OR(AND(Default_Exchange="ALL",NOT(ISERROR(MATCH($C163,$AE$6:$AE$37,0)))),$C163=Default_Exchange),IF($G163&gt;0,-LGD,0),0),IF(OR($J163="SWAP",$J163="FUTURE",$J163="CME FUTURE"),IF('Futures &amp; Perps Shifted'!$AE$31,VLOOKUP($M163,'Futures &amp; Perps Shifted'!$AE$32:$AO$76,MATCH($R163,'Futures &amp; Perps Shifted'!$AE$30:$AO$30,0),FALSE),0),0)))</f>
        <v/>
      </c>
    </row>
    <row r="164" spans="23:23" x14ac:dyDescent="0.25">
      <c r="W164" t="str">
        <f>IF($C164="","",IF(DefaultScenario,IF(OR(AND(Default_Exchange="ALL",NOT(ISERROR(MATCH($C164,$AE$6:$AE$37,0)))),$C164=Default_Exchange),IF($G164&gt;0,-LGD,0),0),IF(OR($J164="SWAP",$J164="FUTURE",$J164="CME FUTURE"),IF('Futures &amp; Perps Shifted'!$AE$31,VLOOKUP($M164,'Futures &amp; Perps Shifted'!$AE$32:$AO$76,MATCH($R164,'Futures &amp; Perps Shifted'!$AE$30:$AO$30,0),FALSE),0),0)))</f>
        <v/>
      </c>
    </row>
    <row r="165" spans="23:23" x14ac:dyDescent="0.25">
      <c r="W165" t="str">
        <f>IF($C165="","",IF(DefaultScenario,IF(OR(AND(Default_Exchange="ALL",NOT(ISERROR(MATCH($C165,$AE$6:$AE$37,0)))),$C165=Default_Exchange),IF($G165&gt;0,-LGD,0),0),IF(OR($J165="SWAP",$J165="FUTURE",$J165="CME FUTURE"),IF('Futures &amp; Perps Shifted'!$AE$31,VLOOKUP($M165,'Futures &amp; Perps Shifted'!$AE$32:$AO$76,MATCH($R165,'Futures &amp; Perps Shifted'!$AE$30:$AO$30,0),FALSE),0),0)))</f>
        <v/>
      </c>
    </row>
    <row r="166" spans="23:23" x14ac:dyDescent="0.25">
      <c r="W166" t="str">
        <f>IF($C166="","",IF(DefaultScenario,IF(OR(AND(Default_Exchange="ALL",NOT(ISERROR(MATCH($C166,$AE$6:$AE$37,0)))),$C166=Default_Exchange),IF($G166&gt;0,-LGD,0),0),IF(OR($J166="SWAP",$J166="FUTURE",$J166="CME FUTURE"),IF('Futures &amp; Perps Shifted'!$AE$31,VLOOKUP($M166,'Futures &amp; Perps Shifted'!$AE$32:$AO$76,MATCH($R166,'Futures &amp; Perps Shifted'!$AE$30:$AO$30,0),FALSE),0),0)))</f>
        <v/>
      </c>
    </row>
    <row r="167" spans="23:23" x14ac:dyDescent="0.25">
      <c r="W167" t="str">
        <f>IF($C167="","",IF(DefaultScenario,IF(OR(AND(Default_Exchange="ALL",NOT(ISERROR(MATCH($C167,$AE$6:$AE$37,0)))),$C167=Default_Exchange),IF($G167&gt;0,-LGD,0),0),IF(OR($J167="SWAP",$J167="FUTURE",$J167="CME FUTURE"),IF('Futures &amp; Perps Shifted'!$AE$31,VLOOKUP($M167,'Futures &amp; Perps Shifted'!$AE$32:$AO$76,MATCH($R167,'Futures &amp; Perps Shifted'!$AE$30:$AO$30,0),FALSE),0),0)))</f>
        <v/>
      </c>
    </row>
    <row r="168" spans="23:23" x14ac:dyDescent="0.25">
      <c r="W168" t="str">
        <f>IF($C168="","",IF(DefaultScenario,IF(OR(AND(Default_Exchange="ALL",NOT(ISERROR(MATCH($C168,$AE$6:$AE$37,0)))),$C168=Default_Exchange),IF($G168&gt;0,-LGD,0),0),IF(OR($J168="SWAP",$J168="FUTURE",$J168="CME FUTURE"),IF('Futures &amp; Perps Shifted'!$AE$31,VLOOKUP($M168,'Futures &amp; Perps Shifted'!$AE$32:$AO$76,MATCH($R168,'Futures &amp; Perps Shifted'!$AE$30:$AO$30,0),FALSE),0),0)))</f>
        <v/>
      </c>
    </row>
    <row r="169" spans="23:23" x14ac:dyDescent="0.25">
      <c r="W169" t="str">
        <f>IF($C169="","",IF(DefaultScenario,IF(OR(AND(Default_Exchange="ALL",NOT(ISERROR(MATCH($C169,$AE$6:$AE$37,0)))),$C169=Default_Exchange),IF($G169&gt;0,-LGD,0),0),IF(OR($J169="SWAP",$J169="FUTURE",$J169="CME FUTURE"),IF('Futures &amp; Perps Shifted'!$AE$31,VLOOKUP($M169,'Futures &amp; Perps Shifted'!$AE$32:$AO$76,MATCH($R169,'Futures &amp; Perps Shifted'!$AE$30:$AO$30,0),FALSE),0),0)))</f>
        <v/>
      </c>
    </row>
    <row r="170" spans="23:23" x14ac:dyDescent="0.25">
      <c r="W170" t="str">
        <f>IF($C170="","",IF(DefaultScenario,IF(OR(AND(Default_Exchange="ALL",NOT(ISERROR(MATCH($C170,$AE$6:$AE$37,0)))),$C170=Default_Exchange),IF($G170&gt;0,-LGD,0),0),IF(OR($J170="SWAP",$J170="FUTURE",$J170="CME FUTURE"),IF('Futures &amp; Perps Shifted'!$AE$31,VLOOKUP($M170,'Futures &amp; Perps Shifted'!$AE$32:$AO$76,MATCH($R170,'Futures &amp; Perps Shifted'!$AE$30:$AO$30,0),FALSE),0),0)))</f>
        <v/>
      </c>
    </row>
    <row r="171" spans="23:23" x14ac:dyDescent="0.25">
      <c r="W171" t="str">
        <f>IF($C171="","",IF(DefaultScenario,IF(OR(AND(Default_Exchange="ALL",NOT(ISERROR(MATCH($C171,$AE$6:$AE$37,0)))),$C171=Default_Exchange),IF($G171&gt;0,-LGD,0),0),IF(OR($J171="SWAP",$J171="FUTURE",$J171="CME FUTURE"),IF('Futures &amp; Perps Shifted'!$AE$31,VLOOKUP($M171,'Futures &amp; Perps Shifted'!$AE$32:$AO$76,MATCH($R171,'Futures &amp; Perps Shifted'!$AE$30:$AO$30,0),FALSE),0),0)))</f>
        <v/>
      </c>
    </row>
    <row r="172" spans="23:23" x14ac:dyDescent="0.25">
      <c r="W172" t="str">
        <f>IF($C172="","",IF(DefaultScenario,IF(OR(AND(Default_Exchange="ALL",NOT(ISERROR(MATCH($C172,$AE$6:$AE$37,0)))),$C172=Default_Exchange),IF($G172&gt;0,-LGD,0),0),IF(OR($J172="SWAP",$J172="FUTURE",$J172="CME FUTURE"),IF('Futures &amp; Perps Shifted'!$AE$31,VLOOKUP($M172,'Futures &amp; Perps Shifted'!$AE$32:$AO$76,MATCH($R172,'Futures &amp; Perps Shifted'!$AE$30:$AO$30,0),FALSE),0),0)))</f>
        <v/>
      </c>
    </row>
    <row r="173" spans="23:23" x14ac:dyDescent="0.25">
      <c r="W173" t="str">
        <f>IF($C173="","",IF(DefaultScenario,IF(OR(AND(Default_Exchange="ALL",NOT(ISERROR(MATCH($C173,$AE$6:$AE$37,0)))),$C173=Default_Exchange),IF($G173&gt;0,-LGD,0),0),IF(OR($J173="SWAP",$J173="FUTURE",$J173="CME FUTURE"),IF('Futures &amp; Perps Shifted'!$AE$31,VLOOKUP($M173,'Futures &amp; Perps Shifted'!$AE$32:$AO$76,MATCH($R173,'Futures &amp; Perps Shifted'!$AE$30:$AO$30,0),FALSE),0),0)))</f>
        <v/>
      </c>
    </row>
    <row r="174" spans="23:23" x14ac:dyDescent="0.25">
      <c r="W174" t="str">
        <f>IF($C174="","",IF(DefaultScenario,IF(OR(AND(Default_Exchange="ALL",NOT(ISERROR(MATCH($C174,$AE$6:$AE$37,0)))),$C174=Default_Exchange),IF($G174&gt;0,-LGD,0),0),IF(OR($J174="SWAP",$J174="FUTURE",$J174="CME FUTURE"),IF('Futures &amp; Perps Shifted'!$AE$31,VLOOKUP($M174,'Futures &amp; Perps Shifted'!$AE$32:$AO$76,MATCH($R174,'Futures &amp; Perps Shifted'!$AE$30:$AO$30,0),FALSE),0),0)))</f>
        <v/>
      </c>
    </row>
    <row r="175" spans="23:23" x14ac:dyDescent="0.25">
      <c r="W175" t="str">
        <f>IF($C175="","",IF(DefaultScenario,IF(OR(AND(Default_Exchange="ALL",NOT(ISERROR(MATCH($C175,$AE$6:$AE$37,0)))),$C175=Default_Exchange),IF($G175&gt;0,-LGD,0),0),IF(OR($J175="SWAP",$J175="FUTURE",$J175="CME FUTURE"),IF('Futures &amp; Perps Shifted'!$AE$31,VLOOKUP($M175,'Futures &amp; Perps Shifted'!$AE$32:$AO$76,MATCH($R175,'Futures &amp; Perps Shifted'!$AE$30:$AO$30,0),FALSE),0),0)))</f>
        <v/>
      </c>
    </row>
    <row r="176" spans="23:23" x14ac:dyDescent="0.25">
      <c r="W176" t="str">
        <f>IF($C176="","",IF(DefaultScenario,IF(OR(AND(Default_Exchange="ALL",NOT(ISERROR(MATCH($C176,$AE$6:$AE$37,0)))),$C176=Default_Exchange),IF($G176&gt;0,-LGD,0),0),IF(OR($J176="SWAP",$J176="FUTURE",$J176="CME FUTURE"),IF('Futures &amp; Perps Shifted'!$AE$31,VLOOKUP($M176,'Futures &amp; Perps Shifted'!$AE$32:$AO$76,MATCH($R176,'Futures &amp; Perps Shifted'!$AE$30:$AO$30,0),FALSE),0),0)))</f>
        <v/>
      </c>
    </row>
    <row r="177" spans="23:23" x14ac:dyDescent="0.25">
      <c r="W177" t="str">
        <f>IF($C177="","",IF(DefaultScenario,IF(OR(AND(Default_Exchange="ALL",NOT(ISERROR(MATCH($C177,$AE$6:$AE$37,0)))),$C177=Default_Exchange),IF($G177&gt;0,-LGD,0),0),IF(OR($J177="SWAP",$J177="FUTURE",$J177="CME FUTURE"),IF('Futures &amp; Perps Shifted'!$AE$31,VLOOKUP($M177,'Futures &amp; Perps Shifted'!$AE$32:$AO$76,MATCH($R177,'Futures &amp; Perps Shifted'!$AE$30:$AO$30,0),FALSE),0),0)))</f>
        <v/>
      </c>
    </row>
    <row r="178" spans="23:23" x14ac:dyDescent="0.25">
      <c r="W178" t="str">
        <f>IF($C178="","",IF(DefaultScenario,IF(OR(AND(Default_Exchange="ALL",NOT(ISERROR(MATCH($C178,$AE$6:$AE$37,0)))),$C178=Default_Exchange),IF($G178&gt;0,-LGD,0),0),IF(OR($J178="SWAP",$J178="FUTURE",$J178="CME FUTURE"),IF('Futures &amp; Perps Shifted'!$AE$31,VLOOKUP($M178,'Futures &amp; Perps Shifted'!$AE$32:$AO$76,MATCH($R178,'Futures &amp; Perps Shifted'!$AE$30:$AO$30,0),FALSE),0),0)))</f>
        <v/>
      </c>
    </row>
    <row r="179" spans="23:23" x14ac:dyDescent="0.25">
      <c r="W179" t="str">
        <f>IF($C179="","",IF(DefaultScenario,IF(OR(AND(Default_Exchange="ALL",NOT(ISERROR(MATCH($C179,$AE$6:$AE$37,0)))),$C179=Default_Exchange),IF($G179&gt;0,-LGD,0),0),IF(OR($J179="SWAP",$J179="FUTURE",$J179="CME FUTURE"),IF('Futures &amp; Perps Shifted'!$AE$31,VLOOKUP($M179,'Futures &amp; Perps Shifted'!$AE$32:$AO$76,MATCH($R179,'Futures &amp; Perps Shifted'!$AE$30:$AO$30,0),FALSE),0),0)))</f>
        <v/>
      </c>
    </row>
    <row r="180" spans="23:23" x14ac:dyDescent="0.25">
      <c r="W180" t="str">
        <f>IF($C180="","",IF(DefaultScenario,IF(OR(AND(Default_Exchange="ALL",NOT(ISERROR(MATCH($C180,$AE$6:$AE$37,0)))),$C180=Default_Exchange),IF($G180&gt;0,-LGD,0),0),IF(OR($J180="SWAP",$J180="FUTURE",$J180="CME FUTURE"),IF('Futures &amp; Perps Shifted'!$AE$31,VLOOKUP($M180,'Futures &amp; Perps Shifted'!$AE$32:$AO$76,MATCH($R180,'Futures &amp; Perps Shifted'!$AE$30:$AO$30,0),FALSE),0),0)))</f>
        <v/>
      </c>
    </row>
    <row r="181" spans="23:23" x14ac:dyDescent="0.25">
      <c r="W181" t="str">
        <f>IF($C181="","",IF(DefaultScenario,IF(OR(AND(Default_Exchange="ALL",NOT(ISERROR(MATCH($C181,$AE$6:$AE$37,0)))),$C181=Default_Exchange),IF($G181&gt;0,-LGD,0),0),IF(OR($J181="SWAP",$J181="FUTURE",$J181="CME FUTURE"),IF('Futures &amp; Perps Shifted'!$AE$31,VLOOKUP($M181,'Futures &amp; Perps Shifted'!$AE$32:$AO$76,MATCH($R181,'Futures &amp; Perps Shifted'!$AE$30:$AO$30,0),FALSE),0),0)))</f>
        <v/>
      </c>
    </row>
    <row r="182" spans="23:23" x14ac:dyDescent="0.25">
      <c r="W182" t="str">
        <f>IF($C182="","",IF(DefaultScenario,IF(OR(AND(Default_Exchange="ALL",NOT(ISERROR(MATCH($C182,$AE$6:$AE$37,0)))),$C182=Default_Exchange),IF($G182&gt;0,-LGD,0),0),IF(OR($J182="SWAP",$J182="FUTURE",$J182="CME FUTURE"),IF('Futures &amp; Perps Shifted'!$AE$31,VLOOKUP($M182,'Futures &amp; Perps Shifted'!$AE$32:$AO$76,MATCH($R182,'Futures &amp; Perps Shifted'!$AE$30:$AO$30,0),FALSE),0),0)))</f>
        <v/>
      </c>
    </row>
    <row r="183" spans="23:23" x14ac:dyDescent="0.25">
      <c r="W183" t="str">
        <f>IF($C183="","",IF(DefaultScenario,IF(OR(AND(Default_Exchange="ALL",NOT(ISERROR(MATCH($C183,$AE$6:$AE$37,0)))),$C183=Default_Exchange),IF($G183&gt;0,-LGD,0),0),IF(OR($J183="SWAP",$J183="FUTURE",$J183="CME FUTURE"),IF('Futures &amp; Perps Shifted'!$AE$31,VLOOKUP($M183,'Futures &amp; Perps Shifted'!$AE$32:$AO$76,MATCH($R183,'Futures &amp; Perps Shifted'!$AE$30:$AO$30,0),FALSE),0),0)))</f>
        <v/>
      </c>
    </row>
    <row r="184" spans="23:23" x14ac:dyDescent="0.25">
      <c r="W184" t="str">
        <f>IF($C184="","",IF(DefaultScenario,IF(OR(AND(Default_Exchange="ALL",NOT(ISERROR(MATCH($C184,$AE$6:$AE$37,0)))),$C184=Default_Exchange),IF($G184&gt;0,-LGD,0),0),IF(OR($J184="SWAP",$J184="FUTURE",$J184="CME FUTURE"),IF('Futures &amp; Perps Shifted'!$AE$31,VLOOKUP($M184,'Futures &amp; Perps Shifted'!$AE$32:$AO$76,MATCH($R184,'Futures &amp; Perps Shifted'!$AE$30:$AO$30,0),FALSE),0),0)))</f>
        <v/>
      </c>
    </row>
    <row r="185" spans="23:23" x14ac:dyDescent="0.25">
      <c r="W185" t="str">
        <f>IF($C185="","",IF(DefaultScenario,IF(OR(AND(Default_Exchange="ALL",NOT(ISERROR(MATCH($C185,$AE$6:$AE$37,0)))),$C185=Default_Exchange),IF($G185&gt;0,-LGD,0),0),IF(OR($J185="SWAP",$J185="FUTURE",$J185="CME FUTURE"),IF('Futures &amp; Perps Shifted'!$AE$31,VLOOKUP($M185,'Futures &amp; Perps Shifted'!$AE$32:$AO$76,MATCH($R185,'Futures &amp; Perps Shifted'!$AE$30:$AO$30,0),FALSE),0),0)))</f>
        <v/>
      </c>
    </row>
    <row r="186" spans="23:23" x14ac:dyDescent="0.25">
      <c r="W186" t="str">
        <f>IF($C186="","",IF(DefaultScenario,IF(OR(AND(Default_Exchange="ALL",NOT(ISERROR(MATCH($C186,$AE$6:$AE$37,0)))),$C186=Default_Exchange),IF($G186&gt;0,-LGD,0),0),IF(OR($J186="SWAP",$J186="FUTURE",$J186="CME FUTURE"),IF('Futures &amp; Perps Shifted'!$AE$31,VLOOKUP($M186,'Futures &amp; Perps Shifted'!$AE$32:$AO$76,MATCH($R186,'Futures &amp; Perps Shifted'!$AE$30:$AO$30,0),FALSE),0),0)))</f>
        <v/>
      </c>
    </row>
    <row r="187" spans="23:23" x14ac:dyDescent="0.25">
      <c r="W187" t="str">
        <f>IF($C187="","",IF(DefaultScenario,IF(OR(AND(Default_Exchange="ALL",NOT(ISERROR(MATCH($C187,$AE$6:$AE$37,0)))),$C187=Default_Exchange),IF($G187&gt;0,-LGD,0),0),IF(OR($J187="SWAP",$J187="FUTURE",$J187="CME FUTURE"),IF('Futures &amp; Perps Shifted'!$AE$31,VLOOKUP($M187,'Futures &amp; Perps Shifted'!$AE$32:$AO$76,MATCH($R187,'Futures &amp; Perps Shifted'!$AE$30:$AO$30,0),FALSE),0),0)))</f>
        <v/>
      </c>
    </row>
    <row r="188" spans="23:23" x14ac:dyDescent="0.25">
      <c r="W188" t="str">
        <f>IF($C188="","",IF(DefaultScenario,IF(OR(AND(Default_Exchange="ALL",NOT(ISERROR(MATCH($C188,$AE$6:$AE$37,0)))),$C188=Default_Exchange),IF($G188&gt;0,-LGD,0),0),IF(OR($J188="SWAP",$J188="FUTURE",$J188="CME FUTURE"),IF('Futures &amp; Perps Shifted'!$AE$31,VLOOKUP($M188,'Futures &amp; Perps Shifted'!$AE$32:$AO$76,MATCH($R188,'Futures &amp; Perps Shifted'!$AE$30:$AO$30,0),FALSE),0),0)))</f>
        <v/>
      </c>
    </row>
    <row r="189" spans="23:23" x14ac:dyDescent="0.25">
      <c r="W189" t="str">
        <f>IF($C189="","",IF(DefaultScenario,IF(OR(AND(Default_Exchange="ALL",NOT(ISERROR(MATCH($C189,$AE$6:$AE$37,0)))),$C189=Default_Exchange),IF($G189&gt;0,-LGD,0),0),IF(OR($J189="SWAP",$J189="FUTURE",$J189="CME FUTURE"),IF('Futures &amp; Perps Shifted'!$AE$31,VLOOKUP($M189,'Futures &amp; Perps Shifted'!$AE$32:$AO$76,MATCH($R189,'Futures &amp; Perps Shifted'!$AE$30:$AO$30,0),FALSE),0),0)))</f>
        <v/>
      </c>
    </row>
    <row r="190" spans="23:23" x14ac:dyDescent="0.25">
      <c r="W190" t="str">
        <f>IF($C190="","",IF(DefaultScenario,IF(OR(AND(Default_Exchange="ALL",NOT(ISERROR(MATCH($C190,$AE$6:$AE$37,0)))),$C190=Default_Exchange),IF($G190&gt;0,-LGD,0),0),IF(OR($J190="SWAP",$J190="FUTURE",$J190="CME FUTURE"),IF('Futures &amp; Perps Shifted'!$AE$31,VLOOKUP($M190,'Futures &amp; Perps Shifted'!$AE$32:$AO$76,MATCH($R190,'Futures &amp; Perps Shifted'!$AE$30:$AO$30,0),FALSE),0),0)))</f>
        <v/>
      </c>
    </row>
    <row r="191" spans="23:23" x14ac:dyDescent="0.25">
      <c r="W191" t="str">
        <f>IF($C191="","",IF(DefaultScenario,IF(OR(AND(Default_Exchange="ALL",NOT(ISERROR(MATCH($C191,$AE$6:$AE$37,0)))),$C191=Default_Exchange),IF($G191&gt;0,-LGD,0),0),IF(OR($J191="SWAP",$J191="FUTURE",$J191="CME FUTURE"),IF('Futures &amp; Perps Shifted'!$AE$31,VLOOKUP($M191,'Futures &amp; Perps Shifted'!$AE$32:$AO$76,MATCH($R191,'Futures &amp; Perps Shifted'!$AE$30:$AO$30,0),FALSE),0),0)))</f>
        <v/>
      </c>
    </row>
    <row r="192" spans="23:23" x14ac:dyDescent="0.25">
      <c r="W192" t="str">
        <f>IF($C192="","",IF(DefaultScenario,IF(OR(AND(Default_Exchange="ALL",NOT(ISERROR(MATCH($C192,$AE$6:$AE$37,0)))),$C192=Default_Exchange),IF($G192&gt;0,-LGD,0),0),IF(OR($J192="SWAP",$J192="FUTURE",$J192="CME FUTURE"),IF('Futures &amp; Perps Shifted'!$AE$31,VLOOKUP($M192,'Futures &amp; Perps Shifted'!$AE$32:$AO$76,MATCH($R192,'Futures &amp; Perps Shifted'!$AE$30:$AO$30,0),FALSE),0),0)))</f>
        <v/>
      </c>
    </row>
    <row r="193" spans="23:23" x14ac:dyDescent="0.25">
      <c r="W193" t="str">
        <f>IF($C193="","",IF(DefaultScenario,IF(OR(AND(Default_Exchange="ALL",NOT(ISERROR(MATCH($C193,$AE$6:$AE$37,0)))),$C193=Default_Exchange),IF($G193&gt;0,-LGD,0),0),IF(OR($J193="SWAP",$J193="FUTURE",$J193="CME FUTURE"),IF('Futures &amp; Perps Shifted'!$AE$31,VLOOKUP($M193,'Futures &amp; Perps Shifted'!$AE$32:$AO$76,MATCH($R193,'Futures &amp; Perps Shifted'!$AE$30:$AO$30,0),FALSE),0),0)))</f>
        <v/>
      </c>
    </row>
    <row r="194" spans="23:23" x14ac:dyDescent="0.25">
      <c r="W194" t="str">
        <f>IF($C194="","",IF(DefaultScenario,IF(OR(AND(Default_Exchange="ALL",NOT(ISERROR(MATCH($C194,$AE$6:$AE$37,0)))),$C194=Default_Exchange),IF($G194&gt;0,-LGD,0),0),IF(OR($J194="SWAP",$J194="FUTURE",$J194="CME FUTURE"),IF('Futures &amp; Perps Shifted'!$AE$31,VLOOKUP($M194,'Futures &amp; Perps Shifted'!$AE$32:$AO$76,MATCH($R194,'Futures &amp; Perps Shifted'!$AE$30:$AO$30,0),FALSE),0),0)))</f>
        <v/>
      </c>
    </row>
    <row r="195" spans="23:23" x14ac:dyDescent="0.25">
      <c r="W195" t="str">
        <f>IF($C195="","",IF(DefaultScenario,IF(OR(AND(Default_Exchange="ALL",NOT(ISERROR(MATCH($C195,$AE$6:$AE$37,0)))),$C195=Default_Exchange),IF($G195&gt;0,-LGD,0),0),IF(OR($J195="SWAP",$J195="FUTURE",$J195="CME FUTURE"),IF('Futures &amp; Perps Shifted'!$AE$31,VLOOKUP($M195,'Futures &amp; Perps Shifted'!$AE$32:$AO$76,MATCH($R195,'Futures &amp; Perps Shifted'!$AE$30:$AO$30,0),FALSE),0),0)))</f>
        <v/>
      </c>
    </row>
    <row r="196" spans="23:23" x14ac:dyDescent="0.25">
      <c r="W196" t="str">
        <f>IF($C196="","",IF(DefaultScenario,IF(OR(AND(Default_Exchange="ALL",NOT(ISERROR(MATCH($C196,$AE$6:$AE$37,0)))),$C196=Default_Exchange),IF($G196&gt;0,-LGD,0),0),IF(OR($J196="SWAP",$J196="FUTURE",$J196="CME FUTURE"),IF('Futures &amp; Perps Shifted'!$AE$31,VLOOKUP($M196,'Futures &amp; Perps Shifted'!$AE$32:$AO$76,MATCH($R196,'Futures &amp; Perps Shifted'!$AE$30:$AO$30,0),FALSE),0),0)))</f>
        <v/>
      </c>
    </row>
    <row r="197" spans="23:23" x14ac:dyDescent="0.25">
      <c r="W197" t="str">
        <f>IF($C197="","",IF(DefaultScenario,IF(OR(AND(Default_Exchange="ALL",NOT(ISERROR(MATCH($C197,$AE$6:$AE$37,0)))),$C197=Default_Exchange),IF($G197&gt;0,-LGD,0),0),IF(OR($J197="SWAP",$J197="FUTURE",$J197="CME FUTURE"),IF('Futures &amp; Perps Shifted'!$AE$31,VLOOKUP($M197,'Futures &amp; Perps Shifted'!$AE$32:$AO$76,MATCH($R197,'Futures &amp; Perps Shifted'!$AE$30:$AO$30,0),FALSE),0),0)))</f>
        <v/>
      </c>
    </row>
    <row r="198" spans="23:23" x14ac:dyDescent="0.25">
      <c r="W198" t="str">
        <f>IF($C198="","",IF(DefaultScenario,IF(OR(AND(Default_Exchange="ALL",NOT(ISERROR(MATCH($C198,$AE$6:$AE$37,0)))),$C198=Default_Exchange),IF($G198&gt;0,-LGD,0),0),IF(OR($J198="SWAP",$J198="FUTURE",$J198="CME FUTURE"),IF('Futures &amp; Perps Shifted'!$AE$31,VLOOKUP($M198,'Futures &amp; Perps Shifted'!$AE$32:$AO$76,MATCH($R198,'Futures &amp; Perps Shifted'!$AE$30:$AO$30,0),FALSE),0),0)))</f>
        <v/>
      </c>
    </row>
    <row r="199" spans="23:23" x14ac:dyDescent="0.25">
      <c r="W199" t="str">
        <f>IF($C199="","",IF(DefaultScenario,IF(OR(AND(Default_Exchange="ALL",NOT(ISERROR(MATCH($C199,$AE$6:$AE$37,0)))),$C199=Default_Exchange),IF($G199&gt;0,-LGD,0),0),IF(OR($J199="SWAP",$J199="FUTURE",$J199="CME FUTURE"),IF('Futures &amp; Perps Shifted'!$AE$31,VLOOKUP($M199,'Futures &amp; Perps Shifted'!$AE$32:$AO$76,MATCH($R199,'Futures &amp; Perps Shifted'!$AE$30:$AO$30,0),FALSE),0),0)))</f>
        <v/>
      </c>
    </row>
    <row r="200" spans="23:23" x14ac:dyDescent="0.25">
      <c r="W200" t="str">
        <f>IF($C200="","",IF(DefaultScenario,IF(OR(AND(Default_Exchange="ALL",NOT(ISERROR(MATCH($C200,$AE$6:$AE$37,0)))),$C200=Default_Exchange),IF($G200&gt;0,-LGD,0),0),IF(OR($J200="SWAP",$J200="FUTURE",$J200="CME FUTURE"),IF('Futures &amp; Perps Shifted'!$AE$31,VLOOKUP($M200,'Futures &amp; Perps Shifted'!$AE$32:$AO$76,MATCH($R200,'Futures &amp; Perps Shifted'!$AE$30:$AO$30,0),FALSE),0),0)))</f>
        <v/>
      </c>
    </row>
    <row r="201" spans="23:23" x14ac:dyDescent="0.25">
      <c r="W201" t="str">
        <f>IF($C201="","",IF(DefaultScenario,IF(OR(AND(Default_Exchange="ALL",NOT(ISERROR(MATCH($C201,$AE$6:$AE$37,0)))),$C201=Default_Exchange),IF($G201&gt;0,-LGD,0),0),IF(OR($J201="SWAP",$J201="FUTURE",$J201="CME FUTURE"),IF('Futures &amp; Perps Shifted'!$AE$31,VLOOKUP($M201,'Futures &amp; Perps Shifted'!$AE$32:$AO$76,MATCH($R201,'Futures &amp; Perps Shifted'!$AE$30:$AO$30,0),FALSE),0),0)))</f>
        <v/>
      </c>
    </row>
    <row r="202" spans="23:23" x14ac:dyDescent="0.25">
      <c r="W202" t="str">
        <f>IF($C202="","",IF(DefaultScenario,IF(OR(AND(Default_Exchange="ALL",NOT(ISERROR(MATCH($C202,$AE$6:$AE$37,0)))),$C202=Default_Exchange),IF($G202&gt;0,-LGD,0),0),IF(OR($J202="SWAP",$J202="FUTURE",$J202="CME FUTURE"),IF('Futures &amp; Perps Shifted'!$AE$31,VLOOKUP($M202,'Futures &amp; Perps Shifted'!$AE$32:$AO$76,MATCH($R202,'Futures &amp; Perps Shifted'!$AE$30:$AO$30,0),FALSE),0),0)))</f>
        <v/>
      </c>
    </row>
    <row r="203" spans="23:23" x14ac:dyDescent="0.25">
      <c r="W203" t="str">
        <f>IF($C203="","",IF(DefaultScenario,IF(OR(AND(Default_Exchange="ALL",NOT(ISERROR(MATCH($C203,$AE$6:$AE$37,0)))),$C203=Default_Exchange),IF($G203&gt;0,-LGD,0),0),IF(OR($J203="SWAP",$J203="FUTURE",$J203="CME FUTURE"),IF('Futures &amp; Perps Shifted'!$AE$31,VLOOKUP($M203,'Futures &amp; Perps Shifted'!$AE$32:$AO$76,MATCH($R203,'Futures &amp; Perps Shifted'!$AE$30:$AO$30,0),FALSE),0),0)))</f>
        <v/>
      </c>
    </row>
    <row r="204" spans="23:23" x14ac:dyDescent="0.25">
      <c r="W204" t="str">
        <f>IF($C204="","",IF(DefaultScenario,IF(OR(AND(Default_Exchange="ALL",NOT(ISERROR(MATCH($C204,$AE$6:$AE$37,0)))),$C204=Default_Exchange),IF($G204&gt;0,-LGD,0),0),IF(OR($J204="SWAP",$J204="FUTURE",$J204="CME FUTURE"),IF('Futures &amp; Perps Shifted'!$AE$31,VLOOKUP($M204,'Futures &amp; Perps Shifted'!$AE$32:$AO$76,MATCH($R204,'Futures &amp; Perps Shifted'!$AE$30:$AO$30,0),FALSE),0),0)))</f>
        <v/>
      </c>
    </row>
    <row r="205" spans="23:23" x14ac:dyDescent="0.25">
      <c r="W205" t="str">
        <f>IF($C205="","",IF(DefaultScenario,IF(OR(AND(Default_Exchange="ALL",NOT(ISERROR(MATCH($C205,$AE$6:$AE$37,0)))),$C205=Default_Exchange),IF($G205&gt;0,-LGD,0),0),IF(OR($J205="SWAP",$J205="FUTURE",$J205="CME FUTURE"),IF('Futures &amp; Perps Shifted'!$AE$31,VLOOKUP($M205,'Futures &amp; Perps Shifted'!$AE$32:$AO$76,MATCH($R205,'Futures &amp; Perps Shifted'!$AE$30:$AO$30,0),FALSE),0),0)))</f>
        <v/>
      </c>
    </row>
    <row r="206" spans="23:23" x14ac:dyDescent="0.25">
      <c r="W206" t="str">
        <f>IF($C206="","",IF(DefaultScenario,IF(OR(AND(Default_Exchange="ALL",NOT(ISERROR(MATCH($C206,$AE$6:$AE$37,0)))),$C206=Default_Exchange),IF($G206&gt;0,-LGD,0),0),IF(OR($J206="SWAP",$J206="FUTURE",$J206="CME FUTURE"),IF('Futures &amp; Perps Shifted'!$AE$31,VLOOKUP($M206,'Futures &amp; Perps Shifted'!$AE$32:$AO$76,MATCH($R206,'Futures &amp; Perps Shifted'!$AE$30:$AO$30,0),FALSE),0),0)))</f>
        <v/>
      </c>
    </row>
    <row r="207" spans="23:23" x14ac:dyDescent="0.25">
      <c r="W207" t="str">
        <f>IF($C207="","",IF(DefaultScenario,IF(OR(AND(Default_Exchange="ALL",NOT(ISERROR(MATCH($C207,$AE$6:$AE$37,0)))),$C207=Default_Exchange),IF($G207&gt;0,-LGD,0),0),IF(OR($J207="SWAP",$J207="FUTURE",$J207="CME FUTURE"),IF('Futures &amp; Perps Shifted'!$AE$31,VLOOKUP($M207,'Futures &amp; Perps Shifted'!$AE$32:$AO$76,MATCH($R207,'Futures &amp; Perps Shifted'!$AE$30:$AO$30,0),FALSE),0),0)))</f>
        <v/>
      </c>
    </row>
    <row r="208" spans="23:23" x14ac:dyDescent="0.25">
      <c r="W208" t="str">
        <f>IF($C208="","",IF(DefaultScenario,IF(OR(AND(Default_Exchange="ALL",NOT(ISERROR(MATCH($C208,$AE$6:$AE$37,0)))),$C208=Default_Exchange),IF($G208&gt;0,-LGD,0),0),IF(OR($J208="SWAP",$J208="FUTURE",$J208="CME FUTURE"),IF('Futures &amp; Perps Shifted'!$AE$31,VLOOKUP($M208,'Futures &amp; Perps Shifted'!$AE$32:$AO$76,MATCH($R208,'Futures &amp; Perps Shifted'!$AE$30:$AO$30,0),FALSE),0),0)))</f>
        <v/>
      </c>
    </row>
    <row r="209" spans="23:23" x14ac:dyDescent="0.25">
      <c r="W209" t="str">
        <f>IF($C209="","",IF(DefaultScenario,IF(OR(AND(Default_Exchange="ALL",NOT(ISERROR(MATCH($C209,$AE$6:$AE$37,0)))),$C209=Default_Exchange),IF($G209&gt;0,-LGD,0),0),IF(OR($J209="SWAP",$J209="FUTURE",$J209="CME FUTURE"),IF('Futures &amp; Perps Shifted'!$AE$31,VLOOKUP($M209,'Futures &amp; Perps Shifted'!$AE$32:$AO$76,MATCH($R209,'Futures &amp; Perps Shifted'!$AE$30:$AO$30,0),FALSE),0),0)))</f>
        <v/>
      </c>
    </row>
    <row r="210" spans="23:23" x14ac:dyDescent="0.25">
      <c r="W210" t="str">
        <f>IF($C210="","",IF(DefaultScenario,IF(OR(AND(Default_Exchange="ALL",NOT(ISERROR(MATCH($C210,$AE$6:$AE$37,0)))),$C210=Default_Exchange),IF($G210&gt;0,-LGD,0),0),IF(OR($J210="SWAP",$J210="FUTURE",$J210="CME FUTURE"),IF('Futures &amp; Perps Shifted'!$AE$31,VLOOKUP($M210,'Futures &amp; Perps Shifted'!$AE$32:$AO$76,MATCH($R210,'Futures &amp; Perps Shifted'!$AE$30:$AO$30,0),FALSE),0),0)))</f>
        <v/>
      </c>
    </row>
    <row r="211" spans="23:23" x14ac:dyDescent="0.25">
      <c r="W211" t="str">
        <f>IF($C211="","",IF(DefaultScenario,IF(OR(AND(Default_Exchange="ALL",NOT(ISERROR(MATCH($C211,$AE$6:$AE$37,0)))),$C211=Default_Exchange),IF($G211&gt;0,-LGD,0),0),IF(OR($J211="SWAP",$J211="FUTURE",$J211="CME FUTURE"),IF('Futures &amp; Perps Shifted'!$AE$31,VLOOKUP($M211,'Futures &amp; Perps Shifted'!$AE$32:$AO$76,MATCH($R211,'Futures &amp; Perps Shifted'!$AE$30:$AO$30,0),FALSE),0),0)))</f>
        <v/>
      </c>
    </row>
    <row r="212" spans="23:23" x14ac:dyDescent="0.25">
      <c r="W212" t="str">
        <f>IF($C212="","",IF(DefaultScenario,IF(OR(AND(Default_Exchange="ALL",NOT(ISERROR(MATCH($C212,$AE$6:$AE$37,0)))),$C212=Default_Exchange),IF($G212&gt;0,-LGD,0),0),IF(OR($J212="SWAP",$J212="FUTURE",$J212="CME FUTURE"),IF('Futures &amp; Perps Shifted'!$AE$31,VLOOKUP($M212,'Futures &amp; Perps Shifted'!$AE$32:$AO$76,MATCH($R212,'Futures &amp; Perps Shifted'!$AE$30:$AO$30,0),FALSE),0),0)))</f>
        <v/>
      </c>
    </row>
    <row r="213" spans="23:23" x14ac:dyDescent="0.25">
      <c r="W213" t="str">
        <f>IF($C213="","",IF(DefaultScenario,IF(OR(AND(Default_Exchange="ALL",NOT(ISERROR(MATCH($C213,$AE$6:$AE$37,0)))),$C213=Default_Exchange),IF($G213&gt;0,-LGD,0),0),IF(OR($J213="SWAP",$J213="FUTURE",$J213="CME FUTURE"),IF('Futures &amp; Perps Shifted'!$AE$31,VLOOKUP($M213,'Futures &amp; Perps Shifted'!$AE$32:$AO$76,MATCH($R213,'Futures &amp; Perps Shifted'!$AE$30:$AO$30,0),FALSE),0),0)))</f>
        <v/>
      </c>
    </row>
    <row r="214" spans="23:23" x14ac:dyDescent="0.25">
      <c r="W214" t="str">
        <f>IF($C214="","",IF(DefaultScenario,IF(OR(AND(Default_Exchange="ALL",NOT(ISERROR(MATCH($C214,$AE$6:$AE$37,0)))),$C214=Default_Exchange),IF($G214&gt;0,-LGD,0),0),IF(OR($J214="SWAP",$J214="FUTURE",$J214="CME FUTURE"),IF('Futures &amp; Perps Shifted'!$AE$31,VLOOKUP($M214,'Futures &amp; Perps Shifted'!$AE$32:$AO$76,MATCH($R214,'Futures &amp; Perps Shifted'!$AE$30:$AO$30,0),FALSE),0),0)))</f>
        <v/>
      </c>
    </row>
    <row r="215" spans="23:23" x14ac:dyDescent="0.25">
      <c r="W215" t="str">
        <f>IF($C215="","",IF(DefaultScenario,IF(OR(AND(Default_Exchange="ALL",NOT(ISERROR(MATCH($C215,$AE$6:$AE$37,0)))),$C215=Default_Exchange),IF($G215&gt;0,-LGD,0),0),IF(OR($J215="SWAP",$J215="FUTURE",$J215="CME FUTURE"),IF('Futures &amp; Perps Shifted'!$AE$31,VLOOKUP($M215,'Futures &amp; Perps Shifted'!$AE$32:$AO$76,MATCH($R215,'Futures &amp; Perps Shifted'!$AE$30:$AO$30,0),FALSE),0),0)))</f>
        <v/>
      </c>
    </row>
    <row r="216" spans="23:23" x14ac:dyDescent="0.25">
      <c r="W216" t="str">
        <f>IF($C216="","",IF(DefaultScenario,IF(OR(AND(Default_Exchange="ALL",NOT(ISERROR(MATCH($C216,$AE$6:$AE$37,0)))),$C216=Default_Exchange),IF($G216&gt;0,-LGD,0),0),IF(OR($J216="SWAP",$J216="FUTURE",$J216="CME FUTURE"),IF('Futures &amp; Perps Shifted'!$AE$31,VLOOKUP($M216,'Futures &amp; Perps Shifted'!$AE$32:$AO$76,MATCH($R216,'Futures &amp; Perps Shifted'!$AE$30:$AO$30,0),FALSE),0),0)))</f>
        <v/>
      </c>
    </row>
    <row r="217" spans="23:23" x14ac:dyDescent="0.25">
      <c r="W217" t="str">
        <f>IF($C217="","",IF(DefaultScenario,IF(OR(AND(Default_Exchange="ALL",NOT(ISERROR(MATCH($C217,$AE$6:$AE$37,0)))),$C217=Default_Exchange),IF($G217&gt;0,-LGD,0),0),IF(OR($J217="SWAP",$J217="FUTURE",$J217="CME FUTURE"),IF('Futures &amp; Perps Shifted'!$AE$31,VLOOKUP($M217,'Futures &amp; Perps Shifted'!$AE$32:$AO$76,MATCH($R217,'Futures &amp; Perps Shifted'!$AE$30:$AO$30,0),FALSE),0),0)))</f>
        <v/>
      </c>
    </row>
    <row r="218" spans="23:23" x14ac:dyDescent="0.25">
      <c r="W218" t="str">
        <f>IF($C218="","",IF(DefaultScenario,IF(OR(AND(Default_Exchange="ALL",NOT(ISERROR(MATCH($C218,$AE$6:$AE$37,0)))),$C218=Default_Exchange),IF($G218&gt;0,-LGD,0),0),IF(OR($J218="SWAP",$J218="FUTURE",$J218="CME FUTURE"),IF('Futures &amp; Perps Shifted'!$AE$31,VLOOKUP($M218,'Futures &amp; Perps Shifted'!$AE$32:$AO$76,MATCH($R218,'Futures &amp; Perps Shifted'!$AE$30:$AO$30,0),FALSE),0),0)))</f>
        <v/>
      </c>
    </row>
    <row r="219" spans="23:23" x14ac:dyDescent="0.25">
      <c r="W219" t="str">
        <f>IF($C219="","",IF(DefaultScenario,IF(OR(AND(Default_Exchange="ALL",NOT(ISERROR(MATCH($C219,$AE$6:$AE$37,0)))),$C219=Default_Exchange),IF($G219&gt;0,-LGD,0),0),IF(OR($J219="SWAP",$J219="FUTURE",$J219="CME FUTURE"),IF('Futures &amp; Perps Shifted'!$AE$31,VLOOKUP($M219,'Futures &amp; Perps Shifted'!$AE$32:$AO$76,MATCH($R219,'Futures &amp; Perps Shifted'!$AE$30:$AO$30,0),FALSE),0),0)))</f>
        <v/>
      </c>
    </row>
    <row r="220" spans="23:23" x14ac:dyDescent="0.25">
      <c r="W220" t="str">
        <f>IF($C220="","",IF(DefaultScenario,IF(OR(AND(Default_Exchange="ALL",NOT(ISERROR(MATCH($C220,$AE$6:$AE$37,0)))),$C220=Default_Exchange),IF($G220&gt;0,-LGD,0),0),IF(OR($J220="SWAP",$J220="FUTURE",$J220="CME FUTURE"),IF('Futures &amp; Perps Shifted'!$AE$31,VLOOKUP($M220,'Futures &amp; Perps Shifted'!$AE$32:$AO$76,MATCH($R220,'Futures &amp; Perps Shifted'!$AE$30:$AO$30,0),FALSE),0),0)))</f>
        <v/>
      </c>
    </row>
    <row r="221" spans="23:23" x14ac:dyDescent="0.25">
      <c r="W221" t="str">
        <f>IF($C221="","",IF(DefaultScenario,IF(OR(AND(Default_Exchange="ALL",NOT(ISERROR(MATCH($C221,$AE$6:$AE$37,0)))),$C221=Default_Exchange),IF($G221&gt;0,-LGD,0),0),IF(OR($J221="SWAP",$J221="FUTURE",$J221="CME FUTURE"),IF('Futures &amp; Perps Shifted'!$AE$31,VLOOKUP($M221,'Futures &amp; Perps Shifted'!$AE$32:$AO$76,MATCH($R221,'Futures &amp; Perps Shifted'!$AE$30:$AO$30,0),FALSE),0),0)))</f>
        <v/>
      </c>
    </row>
    <row r="222" spans="23:23" x14ac:dyDescent="0.25">
      <c r="W222" t="str">
        <f>IF($C222="","",IF(DefaultScenario,IF(OR(AND(Default_Exchange="ALL",NOT(ISERROR(MATCH($C222,$AE$6:$AE$37,0)))),$C222=Default_Exchange),IF($G222&gt;0,-LGD,0),0),IF(OR($J222="SWAP",$J222="FUTURE",$J222="CME FUTURE"),IF('Futures &amp; Perps Shifted'!$AE$31,VLOOKUP($M222,'Futures &amp; Perps Shifted'!$AE$32:$AO$76,MATCH($R222,'Futures &amp; Perps Shifted'!$AE$30:$AO$30,0),FALSE),0),0)))</f>
        <v/>
      </c>
    </row>
    <row r="223" spans="23:23" x14ac:dyDescent="0.25">
      <c r="W223" t="str">
        <f>IF($C223="","",IF(DefaultScenario,IF(OR(AND(Default_Exchange="ALL",NOT(ISERROR(MATCH($C223,$AE$6:$AE$37,0)))),$C223=Default_Exchange),IF($G223&gt;0,-LGD,0),0),IF(OR($J223="SWAP",$J223="FUTURE",$J223="CME FUTURE"),IF('Futures &amp; Perps Shifted'!$AE$31,VLOOKUP($M223,'Futures &amp; Perps Shifted'!$AE$32:$AO$76,MATCH($R223,'Futures &amp; Perps Shifted'!$AE$30:$AO$30,0),FALSE),0),0)))</f>
        <v/>
      </c>
    </row>
    <row r="224" spans="23:23" x14ac:dyDescent="0.25">
      <c r="W224" t="str">
        <f>IF($C224="","",IF(DefaultScenario,IF(OR(AND(Default_Exchange="ALL",NOT(ISERROR(MATCH($C224,$AE$6:$AE$37,0)))),$C224=Default_Exchange),IF($G224&gt;0,-LGD,0),0),IF(OR($J224="SWAP",$J224="FUTURE",$J224="CME FUTURE"),IF('Futures &amp; Perps Shifted'!$AE$31,VLOOKUP($M224,'Futures &amp; Perps Shifted'!$AE$32:$AO$76,MATCH($R224,'Futures &amp; Perps Shifted'!$AE$30:$AO$30,0),FALSE),0),0)))</f>
        <v/>
      </c>
    </row>
    <row r="225" spans="23:23" x14ac:dyDescent="0.25">
      <c r="W225" t="str">
        <f>IF($C225="","",IF(DefaultScenario,IF(OR(AND(Default_Exchange="ALL",NOT(ISERROR(MATCH($C225,$AE$6:$AE$37,0)))),$C225=Default_Exchange),IF($G225&gt;0,-LGD,0),0),IF(OR($J225="SWAP",$J225="FUTURE",$J225="CME FUTURE"),IF('Futures &amp; Perps Shifted'!$AE$31,VLOOKUP($M225,'Futures &amp; Perps Shifted'!$AE$32:$AO$76,MATCH($R225,'Futures &amp; Perps Shifted'!$AE$30:$AO$30,0),FALSE),0),0)))</f>
        <v/>
      </c>
    </row>
    <row r="226" spans="23:23" x14ac:dyDescent="0.25">
      <c r="W226" t="str">
        <f>IF($C226="","",IF(DefaultScenario,IF(OR(AND(Default_Exchange="ALL",NOT(ISERROR(MATCH($C226,$AE$6:$AE$37,0)))),$C226=Default_Exchange),IF($G226&gt;0,-LGD,0),0),IF(OR($J226="SWAP",$J226="FUTURE",$J226="CME FUTURE"),IF('Futures &amp; Perps Shifted'!$AE$31,VLOOKUP($M226,'Futures &amp; Perps Shifted'!$AE$32:$AO$76,MATCH($R226,'Futures &amp; Perps Shifted'!$AE$30:$AO$30,0),FALSE),0),0)))</f>
        <v/>
      </c>
    </row>
    <row r="227" spans="23:23" x14ac:dyDescent="0.25">
      <c r="W227" t="str">
        <f>IF($C227="","",IF(DefaultScenario,IF(OR(AND(Default_Exchange="ALL",NOT(ISERROR(MATCH($C227,$AE$6:$AE$37,0)))),$C227=Default_Exchange),IF($G227&gt;0,-LGD,0),0),IF(OR($J227="SWAP",$J227="FUTURE",$J227="CME FUTURE"),IF('Futures &amp; Perps Shifted'!$AE$31,VLOOKUP($M227,'Futures &amp; Perps Shifted'!$AE$32:$AO$76,MATCH($R227,'Futures &amp; Perps Shifted'!$AE$30:$AO$30,0),FALSE),0),0)))</f>
        <v/>
      </c>
    </row>
    <row r="228" spans="23:23" x14ac:dyDescent="0.25">
      <c r="W228" t="str">
        <f>IF($C228="","",IF(DefaultScenario,IF(OR(AND(Default_Exchange="ALL",NOT(ISERROR(MATCH($C228,$AE$6:$AE$37,0)))),$C228=Default_Exchange),IF($G228&gt;0,-LGD,0),0),IF(OR($J228="SWAP",$J228="FUTURE",$J228="CME FUTURE"),IF('Futures &amp; Perps Shifted'!$AE$31,VLOOKUP($M228,'Futures &amp; Perps Shifted'!$AE$32:$AO$76,MATCH($R228,'Futures &amp; Perps Shifted'!$AE$30:$AO$30,0),FALSE),0),0)))</f>
        <v/>
      </c>
    </row>
    <row r="229" spans="23:23" x14ac:dyDescent="0.25">
      <c r="W229" t="str">
        <f>IF($C229="","",IF(DefaultScenario,IF(OR(AND(Default_Exchange="ALL",NOT(ISERROR(MATCH($C229,$AE$6:$AE$37,0)))),$C229=Default_Exchange),IF($G229&gt;0,-LGD,0),0),IF(OR($J229="SWAP",$J229="FUTURE",$J229="CME FUTURE"),IF('Futures &amp; Perps Shifted'!$AE$31,VLOOKUP($M229,'Futures &amp; Perps Shifted'!$AE$32:$AO$76,MATCH($R229,'Futures &amp; Perps Shifted'!$AE$30:$AO$30,0),FALSE),0),0)))</f>
        <v/>
      </c>
    </row>
    <row r="230" spans="23:23" x14ac:dyDescent="0.25">
      <c r="W230" t="str">
        <f>IF($C230="","",IF(DefaultScenario,IF(OR(AND(Default_Exchange="ALL",NOT(ISERROR(MATCH($C230,$AE$6:$AE$37,0)))),$C230=Default_Exchange),IF($G230&gt;0,-LGD,0),0),IF(OR($J230="SWAP",$J230="FUTURE",$J230="CME FUTURE"),IF('Futures &amp; Perps Shifted'!$AE$31,VLOOKUP($M230,'Futures &amp; Perps Shifted'!$AE$32:$AO$76,MATCH($R230,'Futures &amp; Perps Shifted'!$AE$30:$AO$30,0),FALSE),0),0)))</f>
        <v/>
      </c>
    </row>
    <row r="231" spans="23:23" x14ac:dyDescent="0.25">
      <c r="W231" t="str">
        <f>IF($C231="","",IF(DefaultScenario,IF(OR(AND(Default_Exchange="ALL",NOT(ISERROR(MATCH($C231,$AE$6:$AE$37,0)))),$C231=Default_Exchange),IF($G231&gt;0,-LGD,0),0),IF(OR($J231="SWAP",$J231="FUTURE",$J231="CME FUTURE"),IF('Futures &amp; Perps Shifted'!$AE$31,VLOOKUP($M231,'Futures &amp; Perps Shifted'!$AE$32:$AO$76,MATCH($R231,'Futures &amp; Perps Shifted'!$AE$30:$AO$30,0),FALSE),0),0)))</f>
        <v/>
      </c>
    </row>
    <row r="232" spans="23:23" x14ac:dyDescent="0.25">
      <c r="W232" t="str">
        <f>IF($C232="","",IF(DefaultScenario,IF(OR(AND(Default_Exchange="ALL",NOT(ISERROR(MATCH($C232,$AE$6:$AE$37,0)))),$C232=Default_Exchange),IF($G232&gt;0,-LGD,0),0),IF(OR($J232="SWAP",$J232="FUTURE",$J232="CME FUTURE"),IF('Futures &amp; Perps Shifted'!$AE$31,VLOOKUP($M232,'Futures &amp; Perps Shifted'!$AE$32:$AO$76,MATCH($R232,'Futures &amp; Perps Shifted'!$AE$30:$AO$30,0),FALSE),0),0)))</f>
        <v/>
      </c>
    </row>
    <row r="233" spans="23:23" x14ac:dyDescent="0.25">
      <c r="W233" t="str">
        <f>IF($C233="","",IF(DefaultScenario,IF(OR(AND(Default_Exchange="ALL",NOT(ISERROR(MATCH($C233,$AE$6:$AE$37,0)))),$C233=Default_Exchange),IF($G233&gt;0,-LGD,0),0),IF(OR($J233="SWAP",$J233="FUTURE",$J233="CME FUTURE"),IF('Futures &amp; Perps Shifted'!$AE$31,VLOOKUP($M233,'Futures &amp; Perps Shifted'!$AE$32:$AO$76,MATCH($R233,'Futures &amp; Perps Shifted'!$AE$30:$AO$30,0),FALSE),0),0)))</f>
        <v/>
      </c>
    </row>
    <row r="234" spans="23:23" x14ac:dyDescent="0.25">
      <c r="W234" t="str">
        <f>IF($C234="","",IF(DefaultScenario,IF(OR(AND(Default_Exchange="ALL",NOT(ISERROR(MATCH($C234,$AE$6:$AE$37,0)))),$C234=Default_Exchange),IF($G234&gt;0,-LGD,0),0),IF(OR($J234="SWAP",$J234="FUTURE",$J234="CME FUTURE"),IF('Futures &amp; Perps Shifted'!$AE$31,VLOOKUP($M234,'Futures &amp; Perps Shifted'!$AE$32:$AO$76,MATCH($R234,'Futures &amp; Perps Shifted'!$AE$30:$AO$30,0),FALSE),0),0)))</f>
        <v/>
      </c>
    </row>
    <row r="235" spans="23:23" x14ac:dyDescent="0.25">
      <c r="W235" t="str">
        <f>IF($C235="","",IF(DefaultScenario,IF(OR(AND(Default_Exchange="ALL",NOT(ISERROR(MATCH($C235,$AE$6:$AE$37,0)))),$C235=Default_Exchange),IF($G235&gt;0,-LGD,0),0),IF(OR($J235="SWAP",$J235="FUTURE",$J235="CME FUTURE"),IF('Futures &amp; Perps Shifted'!$AE$31,VLOOKUP($M235,'Futures &amp; Perps Shifted'!$AE$32:$AO$76,MATCH($R235,'Futures &amp; Perps Shifted'!$AE$30:$AO$30,0),FALSE),0),0)))</f>
        <v/>
      </c>
    </row>
    <row r="236" spans="23:23" x14ac:dyDescent="0.25">
      <c r="W236" t="str">
        <f>IF($C236="","",IF(DefaultScenario,IF(OR(AND(Default_Exchange="ALL",NOT(ISERROR(MATCH($C236,$AE$6:$AE$37,0)))),$C236=Default_Exchange),IF($G236&gt;0,-LGD,0),0),IF(OR($J236="SWAP",$J236="FUTURE",$J236="CME FUTURE"),IF('Futures &amp; Perps Shifted'!$AE$31,VLOOKUP($M236,'Futures &amp; Perps Shifted'!$AE$32:$AO$76,MATCH($R236,'Futures &amp; Perps Shifted'!$AE$30:$AO$30,0),FALSE),0),0)))</f>
        <v/>
      </c>
    </row>
    <row r="237" spans="23:23" x14ac:dyDescent="0.25">
      <c r="W237" t="str">
        <f>IF($C237="","",IF(DefaultScenario,IF(OR(AND(Default_Exchange="ALL",NOT(ISERROR(MATCH($C237,$AE$6:$AE$37,0)))),$C237=Default_Exchange),IF($G237&gt;0,-LGD,0),0),IF(OR($J237="SWAP",$J237="FUTURE",$J237="CME FUTURE"),IF('Futures &amp; Perps Shifted'!$AE$31,VLOOKUP($M237,'Futures &amp; Perps Shifted'!$AE$32:$AO$76,MATCH($R237,'Futures &amp; Perps Shifted'!$AE$30:$AO$30,0),FALSE),0),0)))</f>
        <v/>
      </c>
    </row>
    <row r="238" spans="23:23" x14ac:dyDescent="0.25">
      <c r="W238" t="str">
        <f>IF($C238="","",IF(DefaultScenario,IF(OR(AND(Default_Exchange="ALL",NOT(ISERROR(MATCH($C238,$AE$6:$AE$37,0)))),$C238=Default_Exchange),IF($G238&gt;0,-LGD,0),0),IF(OR($J238="SWAP",$J238="FUTURE",$J238="CME FUTURE"),IF('Futures &amp; Perps Shifted'!$AE$31,VLOOKUP($M238,'Futures &amp; Perps Shifted'!$AE$32:$AO$76,MATCH($R238,'Futures &amp; Perps Shifted'!$AE$30:$AO$30,0),FALSE),0),0)))</f>
        <v/>
      </c>
    </row>
    <row r="239" spans="23:23" x14ac:dyDescent="0.25">
      <c r="W239" t="str">
        <f>IF($C239="","",IF(DefaultScenario,IF(OR(AND(Default_Exchange="ALL",NOT(ISERROR(MATCH($C239,$AE$6:$AE$37,0)))),$C239=Default_Exchange),IF($G239&gt;0,-LGD,0),0),IF(OR($J239="SWAP",$J239="FUTURE",$J239="CME FUTURE"),IF('Futures &amp; Perps Shifted'!$AE$31,VLOOKUP($M239,'Futures &amp; Perps Shifted'!$AE$32:$AO$76,MATCH($R239,'Futures &amp; Perps Shifted'!$AE$30:$AO$30,0),FALSE),0),0)))</f>
        <v/>
      </c>
    </row>
    <row r="240" spans="23:23" x14ac:dyDescent="0.25">
      <c r="W240" t="str">
        <f>IF($C240="","",IF(DefaultScenario,IF(OR(AND(Default_Exchange="ALL",NOT(ISERROR(MATCH($C240,$AE$6:$AE$37,0)))),$C240=Default_Exchange),IF($G240&gt;0,-LGD,0),0),IF(OR($J240="SWAP",$J240="FUTURE",$J240="CME FUTURE"),IF('Futures &amp; Perps Shifted'!$AE$31,VLOOKUP($M240,'Futures &amp; Perps Shifted'!$AE$32:$AO$76,MATCH($R240,'Futures &amp; Perps Shifted'!$AE$30:$AO$30,0),FALSE),0),0)))</f>
        <v/>
      </c>
    </row>
    <row r="241" spans="23:23" x14ac:dyDescent="0.25">
      <c r="W241" t="str">
        <f>IF($C241="","",IF(DefaultScenario,IF(OR(AND(Default_Exchange="ALL",NOT(ISERROR(MATCH($C241,$AE$6:$AE$37,0)))),$C241=Default_Exchange),IF($G241&gt;0,-LGD,0),0),IF(OR($J241="SWAP",$J241="FUTURE",$J241="CME FUTURE"),IF('Futures &amp; Perps Shifted'!$AE$31,VLOOKUP($M241,'Futures &amp; Perps Shifted'!$AE$32:$AO$76,MATCH($R241,'Futures &amp; Perps Shifted'!$AE$30:$AO$30,0),FALSE),0),0)))</f>
        <v/>
      </c>
    </row>
    <row r="242" spans="23:23" x14ac:dyDescent="0.25">
      <c r="W242" t="str">
        <f>IF($C242="","",IF(DefaultScenario,IF(OR(AND(Default_Exchange="ALL",NOT(ISERROR(MATCH($C242,$AE$6:$AE$37,0)))),$C242=Default_Exchange),IF($G242&gt;0,-LGD,0),0),IF(OR($J242="SWAP",$J242="FUTURE",$J242="CME FUTURE"),IF('Futures &amp; Perps Shifted'!$AE$31,VLOOKUP($M242,'Futures &amp; Perps Shifted'!$AE$32:$AO$76,MATCH($R242,'Futures &amp; Perps Shifted'!$AE$30:$AO$30,0),FALSE),0),0)))</f>
        <v/>
      </c>
    </row>
    <row r="243" spans="23:23" x14ac:dyDescent="0.25">
      <c r="W243" t="str">
        <f>IF($C243="","",IF(DefaultScenario,IF(OR(AND(Default_Exchange="ALL",NOT(ISERROR(MATCH($C243,$AE$6:$AE$37,0)))),$C243=Default_Exchange),IF($G243&gt;0,-LGD,0),0),IF(OR($J243="SWAP",$J243="FUTURE",$J243="CME FUTURE"),IF('Futures &amp; Perps Shifted'!$AE$31,VLOOKUP($M243,'Futures &amp; Perps Shifted'!$AE$32:$AO$76,MATCH($R243,'Futures &amp; Perps Shifted'!$AE$30:$AO$30,0),FALSE),0),0)))</f>
        <v/>
      </c>
    </row>
    <row r="244" spans="23:23" x14ac:dyDescent="0.25">
      <c r="W244" t="str">
        <f>IF($C244="","",IF(DefaultScenario,IF(OR(AND(Default_Exchange="ALL",NOT(ISERROR(MATCH($C244,$AE$6:$AE$37,0)))),$C244=Default_Exchange),IF($G244&gt;0,-LGD,0),0),IF(OR($J244="SWAP",$J244="FUTURE",$J244="CME FUTURE"),IF('Futures &amp; Perps Shifted'!$AE$31,VLOOKUP($M244,'Futures &amp; Perps Shifted'!$AE$32:$AO$76,MATCH($R244,'Futures &amp; Perps Shifted'!$AE$30:$AO$30,0),FALSE),0),0)))</f>
        <v/>
      </c>
    </row>
    <row r="245" spans="23:23" x14ac:dyDescent="0.25">
      <c r="W245" t="str">
        <f>IF($C245="","",IF(DefaultScenario,IF(OR(AND(Default_Exchange="ALL",NOT(ISERROR(MATCH($C245,$AE$6:$AE$37,0)))),$C245=Default_Exchange),IF($G245&gt;0,-LGD,0),0),IF(OR($J245="SWAP",$J245="FUTURE",$J245="CME FUTURE"),IF('Futures &amp; Perps Shifted'!$AE$31,VLOOKUP($M245,'Futures &amp; Perps Shifted'!$AE$32:$AO$76,MATCH($R245,'Futures &amp; Perps Shifted'!$AE$30:$AO$30,0),FALSE),0),0)))</f>
        <v/>
      </c>
    </row>
    <row r="246" spans="23:23" x14ac:dyDescent="0.25">
      <c r="W246" t="str">
        <f>IF($C246="","",IF(DefaultScenario,IF(OR(AND(Default_Exchange="ALL",NOT(ISERROR(MATCH($C246,$AE$6:$AE$37,0)))),$C246=Default_Exchange),IF($G246&gt;0,-LGD,0),0),IF(OR($J246="SWAP",$J246="FUTURE",$J246="CME FUTURE"),IF('Futures &amp; Perps Shifted'!$AE$31,VLOOKUP($M246,'Futures &amp; Perps Shifted'!$AE$32:$AO$76,MATCH($R246,'Futures &amp; Perps Shifted'!$AE$30:$AO$30,0),FALSE),0),0)))</f>
        <v/>
      </c>
    </row>
    <row r="247" spans="23:23" x14ac:dyDescent="0.25">
      <c r="W247" t="str">
        <f>IF($C247="","",IF(DefaultScenario,IF(OR(AND(Default_Exchange="ALL",NOT(ISERROR(MATCH($C247,$AE$6:$AE$37,0)))),$C247=Default_Exchange),IF($G247&gt;0,-LGD,0),0),IF(OR($J247="SWAP",$J247="FUTURE",$J247="CME FUTURE"),IF('Futures &amp; Perps Shifted'!$AE$31,VLOOKUP($M247,'Futures &amp; Perps Shifted'!$AE$32:$AO$76,MATCH($R247,'Futures &amp; Perps Shifted'!$AE$30:$AO$30,0),FALSE),0),0)))</f>
        <v/>
      </c>
    </row>
    <row r="248" spans="23:23" x14ac:dyDescent="0.25">
      <c r="W248" t="str">
        <f>IF($C248="","",IF(DefaultScenario,IF(OR(AND(Default_Exchange="ALL",NOT(ISERROR(MATCH($C248,$AE$6:$AE$37,0)))),$C248=Default_Exchange),IF($G248&gt;0,-LGD,0),0),IF(OR($J248="SWAP",$J248="FUTURE",$J248="CME FUTURE"),IF('Futures &amp; Perps Shifted'!$AE$31,VLOOKUP($M248,'Futures &amp; Perps Shifted'!$AE$32:$AO$76,MATCH($R248,'Futures &amp; Perps Shifted'!$AE$30:$AO$30,0),FALSE),0),0)))</f>
        <v/>
      </c>
    </row>
    <row r="249" spans="23:23" x14ac:dyDescent="0.25">
      <c r="W249" t="str">
        <f>IF($C249="","",IF(DefaultScenario,IF(OR(AND(Default_Exchange="ALL",NOT(ISERROR(MATCH($C249,$AE$6:$AE$37,0)))),$C249=Default_Exchange),IF($G249&gt;0,-LGD,0),0),IF(OR($J249="SWAP",$J249="FUTURE",$J249="CME FUTURE"),IF('Futures &amp; Perps Shifted'!$AE$31,VLOOKUP($M249,'Futures &amp; Perps Shifted'!$AE$32:$AO$76,MATCH($R249,'Futures &amp; Perps Shifted'!$AE$30:$AO$30,0),FALSE),0),0)))</f>
        <v/>
      </c>
    </row>
    <row r="250" spans="23:23" x14ac:dyDescent="0.25">
      <c r="W250" t="str">
        <f>IF($C250="","",IF(DefaultScenario,IF(OR(AND(Default_Exchange="ALL",NOT(ISERROR(MATCH($C250,$AE$6:$AE$37,0)))),$C250=Default_Exchange),IF($G250&gt;0,-LGD,0),0),IF(OR($J250="SWAP",$J250="FUTURE",$J250="CME FUTURE"),IF('Futures &amp; Perps Shifted'!$AE$31,VLOOKUP($M250,'Futures &amp; Perps Shifted'!$AE$32:$AO$76,MATCH($R250,'Futures &amp; Perps Shifted'!$AE$30:$AO$30,0),FALSE),0),0)))</f>
        <v/>
      </c>
    </row>
    <row r="251" spans="23:23" x14ac:dyDescent="0.25">
      <c r="W251" t="str">
        <f>IF($C251="","",IF(DefaultScenario,IF(OR(AND(Default_Exchange="ALL",NOT(ISERROR(MATCH($C251,$AE$6:$AE$37,0)))),$C251=Default_Exchange),IF($G251&gt;0,-LGD,0),0),IF(OR($J251="SWAP",$J251="FUTURE",$J251="CME FUTURE"),IF('Futures &amp; Perps Shifted'!$AE$31,VLOOKUP($M251,'Futures &amp; Perps Shifted'!$AE$32:$AO$76,MATCH($R251,'Futures &amp; Perps Shifted'!$AE$30:$AO$30,0),FALSE),0),0)))</f>
        <v/>
      </c>
    </row>
    <row r="252" spans="23:23" x14ac:dyDescent="0.25">
      <c r="W252" t="str">
        <f>IF($C252="","",IF(DefaultScenario,IF(OR(AND(Default_Exchange="ALL",NOT(ISERROR(MATCH($C252,$AE$6:$AE$37,0)))),$C252=Default_Exchange),IF($G252&gt;0,-LGD,0),0),IF(OR($J252="SWAP",$J252="FUTURE",$J252="CME FUTURE"),IF('Futures &amp; Perps Shifted'!$AE$31,VLOOKUP($M252,'Futures &amp; Perps Shifted'!$AE$32:$AO$76,MATCH($R252,'Futures &amp; Perps Shifted'!$AE$30:$AO$30,0),FALSE),0),0)))</f>
        <v/>
      </c>
    </row>
    <row r="253" spans="23:23" x14ac:dyDescent="0.25">
      <c r="W253" t="str">
        <f>IF($C253="","",IF(DefaultScenario,IF(OR(AND(Default_Exchange="ALL",NOT(ISERROR(MATCH($C253,$AE$6:$AE$37,0)))),$C253=Default_Exchange),IF($G253&gt;0,-LGD,0),0),IF(OR($J253="SWAP",$J253="FUTURE",$J253="CME FUTURE"),IF('Futures &amp; Perps Shifted'!$AE$31,VLOOKUP($M253,'Futures &amp; Perps Shifted'!$AE$32:$AO$76,MATCH($R253,'Futures &amp; Perps Shifted'!$AE$30:$AO$30,0),FALSE),0),0)))</f>
        <v/>
      </c>
    </row>
    <row r="254" spans="23:23" x14ac:dyDescent="0.25">
      <c r="W254" t="str">
        <f>IF($C254="","",IF(DefaultScenario,IF(OR(AND(Default_Exchange="ALL",NOT(ISERROR(MATCH($C254,$AE$6:$AE$37,0)))),$C254=Default_Exchange),IF($G254&gt;0,-LGD,0),0),IF(OR($J254="SWAP",$J254="FUTURE",$J254="CME FUTURE"),IF('Futures &amp; Perps Shifted'!$AE$31,VLOOKUP($M254,'Futures &amp; Perps Shifted'!$AE$32:$AO$76,MATCH($R254,'Futures &amp; Perps Shifted'!$AE$30:$AO$30,0),FALSE),0),0)))</f>
        <v/>
      </c>
    </row>
    <row r="255" spans="23:23" x14ac:dyDescent="0.25">
      <c r="W255" t="str">
        <f>IF($C255="","",IF(DefaultScenario,IF(OR(AND(Default_Exchange="ALL",NOT(ISERROR(MATCH($C255,$AE$6:$AE$37,0)))),$C255=Default_Exchange),IF($G255&gt;0,-LGD,0),0),IF(OR($J255="SWAP",$J255="FUTURE",$J255="CME FUTURE"),IF('Futures &amp; Perps Shifted'!$AE$31,VLOOKUP($M255,'Futures &amp; Perps Shifted'!$AE$32:$AO$76,MATCH($R255,'Futures &amp; Perps Shifted'!$AE$30:$AO$30,0),FALSE),0),0)))</f>
        <v/>
      </c>
    </row>
    <row r="256" spans="23:23" x14ac:dyDescent="0.25">
      <c r="W256" t="str">
        <f>IF($C256="","",IF(DefaultScenario,IF(OR(AND(Default_Exchange="ALL",NOT(ISERROR(MATCH($C256,$AE$6:$AE$37,0)))),$C256=Default_Exchange),IF($G256&gt;0,-LGD,0),0),IF(OR($J256="SWAP",$J256="FUTURE",$J256="CME FUTURE"),IF('Futures &amp; Perps Shifted'!$AE$31,VLOOKUP($M256,'Futures &amp; Perps Shifted'!$AE$32:$AO$76,MATCH($R256,'Futures &amp; Perps Shifted'!$AE$30:$AO$30,0),FALSE),0),0)))</f>
        <v/>
      </c>
    </row>
    <row r="257" spans="23:23" x14ac:dyDescent="0.25">
      <c r="W257" t="str">
        <f>IF($C257="","",IF(DefaultScenario,IF(OR(AND(Default_Exchange="ALL",NOT(ISERROR(MATCH($C257,$AE$6:$AE$37,0)))),$C257=Default_Exchange),IF($G257&gt;0,-LGD,0),0),IF(OR($J257="SWAP",$J257="FUTURE",$J257="CME FUTURE"),IF('Futures &amp; Perps Shifted'!$AE$31,VLOOKUP($M257,'Futures &amp; Perps Shifted'!$AE$32:$AO$76,MATCH($R257,'Futures &amp; Perps Shifted'!$AE$30:$AO$30,0),FALSE),0),0)))</f>
        <v/>
      </c>
    </row>
    <row r="258" spans="23:23" x14ac:dyDescent="0.25">
      <c r="W258" t="str">
        <f>IF($C258="","",IF(DefaultScenario,IF(OR(AND(Default_Exchange="ALL",NOT(ISERROR(MATCH($C258,$AE$6:$AE$37,0)))),$C258=Default_Exchange),IF($G258&gt;0,-LGD,0),0),IF(OR($J258="SWAP",$J258="FUTURE",$J258="CME FUTURE"),IF('Futures &amp; Perps Shifted'!$AE$31,VLOOKUP($M258,'Futures &amp; Perps Shifted'!$AE$32:$AO$76,MATCH($R258,'Futures &amp; Perps Shifted'!$AE$30:$AO$30,0),FALSE),0),0)))</f>
        <v/>
      </c>
    </row>
    <row r="259" spans="23:23" x14ac:dyDescent="0.25">
      <c r="W259" t="str">
        <f>IF($C259="","",IF(DefaultScenario,IF(OR(AND(Default_Exchange="ALL",NOT(ISERROR(MATCH($C259,$AE$6:$AE$37,0)))),$C259=Default_Exchange),IF($G259&gt;0,-LGD,0),0),IF(OR($J259="SWAP",$J259="FUTURE",$J259="CME FUTURE"),IF('Futures &amp; Perps Shifted'!$AE$31,VLOOKUP($M259,'Futures &amp; Perps Shifted'!$AE$32:$AO$76,MATCH($R259,'Futures &amp; Perps Shifted'!$AE$30:$AO$30,0),FALSE),0),0)))</f>
        <v/>
      </c>
    </row>
    <row r="260" spans="23:23" x14ac:dyDescent="0.25">
      <c r="W260" t="str">
        <f>IF($C260="","",IF(DefaultScenario,IF(OR(AND(Default_Exchange="ALL",NOT(ISERROR(MATCH($C260,$AE$6:$AE$37,0)))),$C260=Default_Exchange),IF($G260&gt;0,-LGD,0),0),IF(OR($J260="SWAP",$J260="FUTURE",$J260="CME FUTURE"),IF('Futures &amp; Perps Shifted'!$AE$31,VLOOKUP($M260,'Futures &amp; Perps Shifted'!$AE$32:$AO$76,MATCH($R260,'Futures &amp; Perps Shifted'!$AE$30:$AO$30,0),FALSE),0),0)))</f>
        <v/>
      </c>
    </row>
    <row r="261" spans="23:23" x14ac:dyDescent="0.25">
      <c r="W261" t="str">
        <f>IF($C261="","",IF(DefaultScenario,IF(OR(AND(Default_Exchange="ALL",NOT(ISERROR(MATCH($C261,$AE$6:$AE$37,0)))),$C261=Default_Exchange),IF($G261&gt;0,-LGD,0),0),IF(OR($J261="SWAP",$J261="FUTURE",$J261="CME FUTURE"),IF('Futures &amp; Perps Shifted'!$AE$31,VLOOKUP($M261,'Futures &amp; Perps Shifted'!$AE$32:$AO$76,MATCH($R261,'Futures &amp; Perps Shifted'!$AE$30:$AO$30,0),FALSE),0),0)))</f>
        <v/>
      </c>
    </row>
    <row r="262" spans="23:23" x14ac:dyDescent="0.25">
      <c r="W262" t="str">
        <f>IF($C262="","",IF(DefaultScenario,IF(OR(AND(Default_Exchange="ALL",NOT(ISERROR(MATCH($C262,$AE$6:$AE$37,0)))),$C262=Default_Exchange),IF($G262&gt;0,-LGD,0),0),IF(OR($J262="SWAP",$J262="FUTURE",$J262="CME FUTURE"),IF('Futures &amp; Perps Shifted'!$AE$31,VLOOKUP($M262,'Futures &amp; Perps Shifted'!$AE$32:$AO$76,MATCH($R262,'Futures &amp; Perps Shifted'!$AE$30:$AO$30,0),FALSE),0),0)))</f>
        <v/>
      </c>
    </row>
    <row r="263" spans="23:23" x14ac:dyDescent="0.25">
      <c r="W263" t="str">
        <f>IF($C263="","",IF(DefaultScenario,IF(OR(AND(Default_Exchange="ALL",NOT(ISERROR(MATCH($C263,$AE$6:$AE$37,0)))),$C263=Default_Exchange),IF($G263&gt;0,-LGD,0),0),IF(OR($J263="SWAP",$J263="FUTURE",$J263="CME FUTURE"),IF('Futures &amp; Perps Shifted'!$AE$31,VLOOKUP($M263,'Futures &amp; Perps Shifted'!$AE$32:$AO$76,MATCH($R263,'Futures &amp; Perps Shifted'!$AE$30:$AO$30,0),FALSE),0),0)))</f>
        <v/>
      </c>
    </row>
    <row r="264" spans="23:23" x14ac:dyDescent="0.25">
      <c r="W264" t="str">
        <f>IF($C264="","",IF(DefaultScenario,IF(OR(AND(Default_Exchange="ALL",NOT(ISERROR(MATCH($C264,$AE$6:$AE$37,0)))),$C264=Default_Exchange),IF($G264&gt;0,-LGD,0),0),IF(OR($J264="SWAP",$J264="FUTURE",$J264="CME FUTURE"),IF('Futures &amp; Perps Shifted'!$AE$31,VLOOKUP($M264,'Futures &amp; Perps Shifted'!$AE$32:$AO$76,MATCH($R264,'Futures &amp; Perps Shifted'!$AE$30:$AO$30,0),FALSE),0),0)))</f>
        <v/>
      </c>
    </row>
    <row r="265" spans="23:23" x14ac:dyDescent="0.25">
      <c r="W265" t="str">
        <f>IF($C265="","",IF(DefaultScenario,IF(OR(AND(Default_Exchange="ALL",NOT(ISERROR(MATCH($C265,$AE$6:$AE$37,0)))),$C265=Default_Exchange),IF($G265&gt;0,-LGD,0),0),IF(OR($J265="SWAP",$J265="FUTURE",$J265="CME FUTURE"),IF('Futures &amp; Perps Shifted'!$AE$31,VLOOKUP($M265,'Futures &amp; Perps Shifted'!$AE$32:$AO$76,MATCH($R265,'Futures &amp; Perps Shifted'!$AE$30:$AO$30,0),FALSE),0),0)))</f>
        <v/>
      </c>
    </row>
    <row r="266" spans="23:23" x14ac:dyDescent="0.25">
      <c r="W266" t="str">
        <f>IF($C266="","",IF(DefaultScenario,IF(OR(AND(Default_Exchange="ALL",NOT(ISERROR(MATCH($C266,$AE$6:$AE$37,0)))),$C266=Default_Exchange),IF($G266&gt;0,-LGD,0),0),IF(OR($J266="SWAP",$J266="FUTURE",$J266="CME FUTURE"),IF('Futures &amp; Perps Shifted'!$AE$31,VLOOKUP($M266,'Futures &amp; Perps Shifted'!$AE$32:$AO$76,MATCH($R266,'Futures &amp; Perps Shifted'!$AE$30:$AO$30,0),FALSE),0),0)))</f>
        <v/>
      </c>
    </row>
    <row r="267" spans="23:23" x14ac:dyDescent="0.25">
      <c r="W267" t="str">
        <f>IF($C267="","",IF(DefaultScenario,IF(OR(AND(Default_Exchange="ALL",NOT(ISERROR(MATCH($C267,$AE$6:$AE$37,0)))),$C267=Default_Exchange),IF($G267&gt;0,-LGD,0),0),IF(OR($J267="SWAP",$J267="FUTURE",$J267="CME FUTURE"),IF('Futures &amp; Perps Shifted'!$AE$31,VLOOKUP($M267,'Futures &amp; Perps Shifted'!$AE$32:$AO$76,MATCH($R267,'Futures &amp; Perps Shifted'!$AE$30:$AO$30,0),FALSE),0),0)))</f>
        <v/>
      </c>
    </row>
    <row r="268" spans="23:23" x14ac:dyDescent="0.25">
      <c r="W268" t="str">
        <f>IF($C268="","",IF(DefaultScenario,IF(OR(AND(Default_Exchange="ALL",NOT(ISERROR(MATCH($C268,$AE$6:$AE$37,0)))),$C268=Default_Exchange),IF($G268&gt;0,-LGD,0),0),IF(OR($J268="SWAP",$J268="FUTURE",$J268="CME FUTURE"),IF('Futures &amp; Perps Shifted'!$AE$31,VLOOKUP($M268,'Futures &amp; Perps Shifted'!$AE$32:$AO$76,MATCH($R268,'Futures &amp; Perps Shifted'!$AE$30:$AO$30,0),FALSE),0),0)))</f>
        <v/>
      </c>
    </row>
    <row r="269" spans="23:23" x14ac:dyDescent="0.25">
      <c r="W269" t="str">
        <f>IF($C269="","",IF(DefaultScenario,IF(OR(AND(Default_Exchange="ALL",NOT(ISERROR(MATCH($C269,$AE$6:$AE$37,0)))),$C269=Default_Exchange),IF($G269&gt;0,-LGD,0),0),IF(OR($J269="SWAP",$J269="FUTURE",$J269="CME FUTURE"),IF('Futures &amp; Perps Shifted'!$AE$31,VLOOKUP($M269,'Futures &amp; Perps Shifted'!$AE$32:$AO$76,MATCH($R269,'Futures &amp; Perps Shifted'!$AE$30:$AO$30,0),FALSE),0),0)))</f>
        <v/>
      </c>
    </row>
    <row r="270" spans="23:23" x14ac:dyDescent="0.25">
      <c r="W270" t="str">
        <f>IF($C270="","",IF(DefaultScenario,IF(OR(AND(Default_Exchange="ALL",NOT(ISERROR(MATCH($C270,$AE$6:$AE$37,0)))),$C270=Default_Exchange),IF($G270&gt;0,-LGD,0),0),IF(OR($J270="SWAP",$J270="FUTURE",$J270="CME FUTURE"),IF('Futures &amp; Perps Shifted'!$AE$31,VLOOKUP($M270,'Futures &amp; Perps Shifted'!$AE$32:$AO$76,MATCH($R270,'Futures &amp; Perps Shifted'!$AE$30:$AO$30,0),FALSE),0),0)))</f>
        <v/>
      </c>
    </row>
    <row r="271" spans="23:23" x14ac:dyDescent="0.25">
      <c r="W271" t="str">
        <f>IF($C271="","",IF(DefaultScenario,IF(OR(AND(Default_Exchange="ALL",NOT(ISERROR(MATCH($C271,$AE$6:$AE$37,0)))),$C271=Default_Exchange),IF($G271&gt;0,-LGD,0),0),IF(OR($J271="SWAP",$J271="FUTURE",$J271="CME FUTURE"),IF('Futures &amp; Perps Shifted'!$AE$31,VLOOKUP($M271,'Futures &amp; Perps Shifted'!$AE$32:$AO$76,MATCH($R271,'Futures &amp; Perps Shifted'!$AE$30:$AO$30,0),FALSE),0),0)))</f>
        <v/>
      </c>
    </row>
    <row r="272" spans="23:23" x14ac:dyDescent="0.25">
      <c r="W272" t="str">
        <f>IF($C272="","",IF(DefaultScenario,IF(OR(AND(Default_Exchange="ALL",NOT(ISERROR(MATCH($C272,$AE$6:$AE$37,0)))),$C272=Default_Exchange),IF($G272&gt;0,-LGD,0),0),IF(OR($J272="SWAP",$J272="FUTURE",$J272="CME FUTURE"),IF('Futures &amp; Perps Shifted'!$AE$31,VLOOKUP($M272,'Futures &amp; Perps Shifted'!$AE$32:$AO$76,MATCH($R272,'Futures &amp; Perps Shifted'!$AE$30:$AO$30,0),FALSE),0),0)))</f>
        <v/>
      </c>
    </row>
    <row r="273" spans="23:23" x14ac:dyDescent="0.25">
      <c r="W273" t="str">
        <f>IF($C273="","",IF(DefaultScenario,IF(OR(AND(Default_Exchange="ALL",NOT(ISERROR(MATCH($C273,$AE$6:$AE$37,0)))),$C273=Default_Exchange),IF($G273&gt;0,-LGD,0),0),IF(OR($J273="SWAP",$J273="FUTURE",$J273="CME FUTURE"),IF('Futures &amp; Perps Shifted'!$AE$31,VLOOKUP($M273,'Futures &amp; Perps Shifted'!$AE$32:$AO$76,MATCH($R273,'Futures &amp; Perps Shifted'!$AE$30:$AO$30,0),FALSE),0),0)))</f>
        <v/>
      </c>
    </row>
    <row r="274" spans="23:23" x14ac:dyDescent="0.25">
      <c r="W274" t="str">
        <f>IF($C274="","",IF(DefaultScenario,IF(OR(AND(Default_Exchange="ALL",NOT(ISERROR(MATCH($C274,$AE$6:$AE$37,0)))),$C274=Default_Exchange),IF($G274&gt;0,-LGD,0),0),IF(OR($J274="SWAP",$J274="FUTURE",$J274="CME FUTURE"),IF('Futures &amp; Perps Shifted'!$AE$31,VLOOKUP($M274,'Futures &amp; Perps Shifted'!$AE$32:$AO$76,MATCH($R274,'Futures &amp; Perps Shifted'!$AE$30:$AO$30,0),FALSE),0),0)))</f>
        <v/>
      </c>
    </row>
    <row r="275" spans="23:23" x14ac:dyDescent="0.25">
      <c r="W275" t="str">
        <f>IF($C275="","",IF(DefaultScenario,IF(OR(AND(Default_Exchange="ALL",NOT(ISERROR(MATCH($C275,$AE$6:$AE$37,0)))),$C275=Default_Exchange),IF($G275&gt;0,-LGD,0),0),IF(OR($J275="SWAP",$J275="FUTURE",$J275="CME FUTURE"),IF('Futures &amp; Perps Shifted'!$AE$31,VLOOKUP($M275,'Futures &amp; Perps Shifted'!$AE$32:$AO$76,MATCH($R275,'Futures &amp; Perps Shifted'!$AE$30:$AO$30,0),FALSE),0),0)))</f>
        <v/>
      </c>
    </row>
    <row r="276" spans="23:23" x14ac:dyDescent="0.25">
      <c r="W276" t="str">
        <f>IF($C276="","",IF(DefaultScenario,IF(OR(AND(Default_Exchange="ALL",NOT(ISERROR(MATCH($C276,$AE$6:$AE$37,0)))),$C276=Default_Exchange),IF($G276&gt;0,-LGD,0),0),IF(OR($J276="SWAP",$J276="FUTURE",$J276="CME FUTURE"),IF('Futures &amp; Perps Shifted'!$AE$31,VLOOKUP($M276,'Futures &amp; Perps Shifted'!$AE$32:$AO$76,MATCH($R276,'Futures &amp; Perps Shifted'!$AE$30:$AO$30,0),FALSE),0),0)))</f>
        <v/>
      </c>
    </row>
    <row r="277" spans="23:23" x14ac:dyDescent="0.25">
      <c r="W277" t="str">
        <f>IF($C277="","",IF(DefaultScenario,IF(OR(AND(Default_Exchange="ALL",NOT(ISERROR(MATCH($C277,$AE$6:$AE$37,0)))),$C277=Default_Exchange),IF($G277&gt;0,-LGD,0),0),IF(OR($J277="SWAP",$J277="FUTURE",$J277="CME FUTURE"),IF('Futures &amp; Perps Shifted'!$AE$31,VLOOKUP($M277,'Futures &amp; Perps Shifted'!$AE$32:$AO$76,MATCH($R277,'Futures &amp; Perps Shifted'!$AE$30:$AO$30,0),FALSE),0),0)))</f>
        <v/>
      </c>
    </row>
    <row r="278" spans="23:23" x14ac:dyDescent="0.25">
      <c r="W278" t="str">
        <f>IF($C278="","",IF(DefaultScenario,IF(OR(AND(Default_Exchange="ALL",NOT(ISERROR(MATCH($C278,$AE$6:$AE$37,0)))),$C278=Default_Exchange),IF($G278&gt;0,-LGD,0),0),IF(OR($J278="SWAP",$J278="FUTURE",$J278="CME FUTURE"),IF('Futures &amp; Perps Shifted'!$AE$31,VLOOKUP($M278,'Futures &amp; Perps Shifted'!$AE$32:$AO$76,MATCH($R278,'Futures &amp; Perps Shifted'!$AE$30:$AO$30,0),FALSE),0),0)))</f>
        <v/>
      </c>
    </row>
    <row r="279" spans="23:23" x14ac:dyDescent="0.25">
      <c r="W279" t="str">
        <f>IF($C279="","",IF(DefaultScenario,IF(OR(AND(Default_Exchange="ALL",NOT(ISERROR(MATCH($C279,$AE$6:$AE$37,0)))),$C279=Default_Exchange),IF($G279&gt;0,-LGD,0),0),IF(OR($J279="SWAP",$J279="FUTURE",$J279="CME FUTURE"),IF('Futures &amp; Perps Shifted'!$AE$31,VLOOKUP($M279,'Futures &amp; Perps Shifted'!$AE$32:$AO$76,MATCH($R279,'Futures &amp; Perps Shifted'!$AE$30:$AO$30,0),FALSE),0),0)))</f>
        <v/>
      </c>
    </row>
    <row r="280" spans="23:23" x14ac:dyDescent="0.25">
      <c r="W280" t="str">
        <f>IF($C280="","",IF(DefaultScenario,IF(OR(AND(Default_Exchange="ALL",NOT(ISERROR(MATCH($C280,$AE$6:$AE$37,0)))),$C280=Default_Exchange),IF($G280&gt;0,-LGD,0),0),IF(OR($J280="SWAP",$J280="FUTURE",$J280="CME FUTURE"),IF('Futures &amp; Perps Shifted'!$AE$31,VLOOKUP($M280,'Futures &amp; Perps Shifted'!$AE$32:$AO$76,MATCH($R280,'Futures &amp; Perps Shifted'!$AE$30:$AO$30,0),FALSE),0),0)))</f>
        <v/>
      </c>
    </row>
    <row r="281" spans="23:23" x14ac:dyDescent="0.25">
      <c r="W281" t="str">
        <f>IF($C281="","",IF(DefaultScenario,IF(OR(AND(Default_Exchange="ALL",NOT(ISERROR(MATCH($C281,$AE$6:$AE$37,0)))),$C281=Default_Exchange),IF($G281&gt;0,-LGD,0),0),IF(OR($J281="SWAP",$J281="FUTURE",$J281="CME FUTURE"),IF('Futures &amp; Perps Shifted'!$AE$31,VLOOKUP($M281,'Futures &amp; Perps Shifted'!$AE$32:$AO$76,MATCH($R281,'Futures &amp; Perps Shifted'!$AE$30:$AO$30,0),FALSE),0),0)))</f>
        <v/>
      </c>
    </row>
    <row r="282" spans="23:23" x14ac:dyDescent="0.25">
      <c r="W282" t="str">
        <f>IF($C282="","",IF(DefaultScenario,IF(OR(AND(Default_Exchange="ALL",NOT(ISERROR(MATCH($C282,$AE$6:$AE$37,0)))),$C282=Default_Exchange),IF($G282&gt;0,-LGD,0),0),IF(OR($J282="SWAP",$J282="FUTURE",$J282="CME FUTURE"),IF('Futures &amp; Perps Shifted'!$AE$31,VLOOKUP($M282,'Futures &amp; Perps Shifted'!$AE$32:$AO$76,MATCH($R282,'Futures &amp; Perps Shifted'!$AE$30:$AO$30,0),FALSE),0),0)))</f>
        <v/>
      </c>
    </row>
    <row r="283" spans="23:23" x14ac:dyDescent="0.25">
      <c r="W283" t="str">
        <f>IF($C283="","",IF(DefaultScenario,IF(OR(AND(Default_Exchange="ALL",NOT(ISERROR(MATCH($C283,$AE$6:$AE$37,0)))),$C283=Default_Exchange),IF($G283&gt;0,-LGD,0),0),IF(OR($J283="SWAP",$J283="FUTURE",$J283="CME FUTURE"),IF('Futures &amp; Perps Shifted'!$AE$31,VLOOKUP($M283,'Futures &amp; Perps Shifted'!$AE$32:$AO$76,MATCH($R283,'Futures &amp; Perps Shifted'!$AE$30:$AO$30,0),FALSE),0),0)))</f>
        <v/>
      </c>
    </row>
    <row r="284" spans="23:23" x14ac:dyDescent="0.25">
      <c r="W284" t="str">
        <f>IF($C284="","",IF(DefaultScenario,IF(OR(AND(Default_Exchange="ALL",NOT(ISERROR(MATCH($C284,$AE$6:$AE$37,0)))),$C284=Default_Exchange),IF($G284&gt;0,-LGD,0),0),IF(OR($J284="SWAP",$J284="FUTURE",$J284="CME FUTURE"),IF('Futures &amp; Perps Shifted'!$AE$31,VLOOKUP($M284,'Futures &amp; Perps Shifted'!$AE$32:$AO$76,MATCH($R284,'Futures &amp; Perps Shifted'!$AE$30:$AO$30,0),FALSE),0),0)))</f>
        <v/>
      </c>
    </row>
    <row r="285" spans="23:23" x14ac:dyDescent="0.25">
      <c r="W285" t="str">
        <f>IF($C285="","",IF(DefaultScenario,IF(OR(AND(Default_Exchange="ALL",NOT(ISERROR(MATCH($C285,$AE$6:$AE$37,0)))),$C285=Default_Exchange),IF($G285&gt;0,-LGD,0),0),IF(OR($J285="SWAP",$J285="FUTURE",$J285="CME FUTURE"),IF('Futures &amp; Perps Shifted'!$AE$31,VLOOKUP($M285,'Futures &amp; Perps Shifted'!$AE$32:$AO$76,MATCH($R285,'Futures &amp; Perps Shifted'!$AE$30:$AO$30,0),FALSE),0),0)))</f>
        <v/>
      </c>
    </row>
    <row r="286" spans="23:23" x14ac:dyDescent="0.25">
      <c r="W286" t="str">
        <f>IF($C286="","",IF(DefaultScenario,IF(OR(AND(Default_Exchange="ALL",NOT(ISERROR(MATCH($C286,$AE$6:$AE$37,0)))),$C286=Default_Exchange),IF($G286&gt;0,-LGD,0),0),IF(OR($J286="SWAP",$J286="FUTURE",$J286="CME FUTURE"),IF('Futures &amp; Perps Shifted'!$AE$31,VLOOKUP($M286,'Futures &amp; Perps Shifted'!$AE$32:$AO$76,MATCH($R286,'Futures &amp; Perps Shifted'!$AE$30:$AO$30,0),FALSE),0),0)))</f>
        <v/>
      </c>
    </row>
    <row r="287" spans="23:23" x14ac:dyDescent="0.25">
      <c r="W287" t="str">
        <f>IF($C287="","",IF(DefaultScenario,IF(OR(AND(Default_Exchange="ALL",NOT(ISERROR(MATCH($C287,$AE$6:$AE$37,0)))),$C287=Default_Exchange),IF($G287&gt;0,-LGD,0),0),IF(OR($J287="SWAP",$J287="FUTURE",$J287="CME FUTURE"),IF('Futures &amp; Perps Shifted'!$AE$31,VLOOKUP($M287,'Futures &amp; Perps Shifted'!$AE$32:$AO$76,MATCH($R287,'Futures &amp; Perps Shifted'!$AE$30:$AO$30,0),FALSE),0),0)))</f>
        <v/>
      </c>
    </row>
    <row r="288" spans="23:23" x14ac:dyDescent="0.25">
      <c r="W288" t="str">
        <f>IF($C288="","",IF(DefaultScenario,IF(OR(AND(Default_Exchange="ALL",NOT(ISERROR(MATCH($C288,$AE$6:$AE$37,0)))),$C288=Default_Exchange),IF($G288&gt;0,-LGD,0),0),IF(OR($J288="SWAP",$J288="FUTURE",$J288="CME FUTURE"),IF('Futures &amp; Perps Shifted'!$AE$31,VLOOKUP($M288,'Futures &amp; Perps Shifted'!$AE$32:$AO$76,MATCH($R288,'Futures &amp; Perps Shifted'!$AE$30:$AO$30,0),FALSE),0),0)))</f>
        <v/>
      </c>
    </row>
    <row r="289" spans="23:23" x14ac:dyDescent="0.25">
      <c r="W289" t="str">
        <f>IF($C289="","",IF(DefaultScenario,IF(OR(AND(Default_Exchange="ALL",NOT(ISERROR(MATCH($C289,$AE$6:$AE$37,0)))),$C289=Default_Exchange),IF($G289&gt;0,-LGD,0),0),IF(OR($J289="SWAP",$J289="FUTURE",$J289="CME FUTURE"),IF('Futures &amp; Perps Shifted'!$AE$31,VLOOKUP($M289,'Futures &amp; Perps Shifted'!$AE$32:$AO$76,MATCH($R289,'Futures &amp; Perps Shifted'!$AE$30:$AO$30,0),FALSE),0),0)))</f>
        <v/>
      </c>
    </row>
    <row r="290" spans="23:23" x14ac:dyDescent="0.25">
      <c r="W290" t="str">
        <f>IF($C290="","",IF(DefaultScenario,IF(OR(AND(Default_Exchange="ALL",NOT(ISERROR(MATCH($C290,$AE$6:$AE$37,0)))),$C290=Default_Exchange),IF($G290&gt;0,-LGD,0),0),IF(OR($J290="SWAP",$J290="FUTURE",$J290="CME FUTURE"),IF('Futures &amp; Perps Shifted'!$AE$31,VLOOKUP($M290,'Futures &amp; Perps Shifted'!$AE$32:$AO$76,MATCH($R290,'Futures &amp; Perps Shifted'!$AE$30:$AO$30,0),FALSE),0),0)))</f>
        <v/>
      </c>
    </row>
    <row r="291" spans="23:23" x14ac:dyDescent="0.25">
      <c r="W291" t="str">
        <f>IF($C291="","",IF(DefaultScenario,IF(OR(AND(Default_Exchange="ALL",NOT(ISERROR(MATCH($C291,$AE$6:$AE$37,0)))),$C291=Default_Exchange),IF($G291&gt;0,-LGD,0),0),IF(OR($J291="SWAP",$J291="FUTURE",$J291="CME FUTURE"),IF('Futures &amp; Perps Shifted'!$AE$31,VLOOKUP($M291,'Futures &amp; Perps Shifted'!$AE$32:$AO$76,MATCH($R291,'Futures &amp; Perps Shifted'!$AE$30:$AO$30,0),FALSE),0),0)))</f>
        <v/>
      </c>
    </row>
    <row r="292" spans="23:23" x14ac:dyDescent="0.25">
      <c r="W292" t="str">
        <f>IF($C292="","",IF(DefaultScenario,IF(OR(AND(Default_Exchange="ALL",NOT(ISERROR(MATCH($C292,$AE$6:$AE$37,0)))),$C292=Default_Exchange),IF($G292&gt;0,-LGD,0),0),IF(OR($J292="SWAP",$J292="FUTURE",$J292="CME FUTURE"),IF('Futures &amp; Perps Shifted'!$AE$31,VLOOKUP($M292,'Futures &amp; Perps Shifted'!$AE$32:$AO$76,MATCH($R292,'Futures &amp; Perps Shifted'!$AE$30:$AO$30,0),FALSE),0),0)))</f>
        <v/>
      </c>
    </row>
    <row r="293" spans="23:23" x14ac:dyDescent="0.25">
      <c r="W293" t="str">
        <f>IF($C293="","",IF(DefaultScenario,IF(OR(AND(Default_Exchange="ALL",NOT(ISERROR(MATCH($C293,$AE$6:$AE$37,0)))),$C293=Default_Exchange),IF($G293&gt;0,-LGD,0),0),IF(OR($J293="SWAP",$J293="FUTURE",$J293="CME FUTURE"),IF('Futures &amp; Perps Shifted'!$AE$31,VLOOKUP($M293,'Futures &amp; Perps Shifted'!$AE$32:$AO$76,MATCH($R293,'Futures &amp; Perps Shifted'!$AE$30:$AO$30,0),FALSE),0),0)))</f>
        <v/>
      </c>
    </row>
    <row r="294" spans="23:23" x14ac:dyDescent="0.25">
      <c r="W294" t="str">
        <f>IF($C294="","",IF(DefaultScenario,IF(OR(AND(Default_Exchange="ALL",NOT(ISERROR(MATCH($C294,$AE$6:$AE$37,0)))),$C294=Default_Exchange),IF($G294&gt;0,-LGD,0),0),IF(OR($J294="SWAP",$J294="FUTURE",$J294="CME FUTURE"),IF('Futures &amp; Perps Shifted'!$AE$31,VLOOKUP($M294,'Futures &amp; Perps Shifted'!$AE$32:$AO$76,MATCH($R294,'Futures &amp; Perps Shifted'!$AE$30:$AO$30,0),FALSE),0),0)))</f>
        <v/>
      </c>
    </row>
    <row r="295" spans="23:23" x14ac:dyDescent="0.25">
      <c r="W295" t="str">
        <f>IF($C295="","",IF(DefaultScenario,IF(OR(AND(Default_Exchange="ALL",NOT(ISERROR(MATCH($C295,$AE$6:$AE$37,0)))),$C295=Default_Exchange),IF($G295&gt;0,-LGD,0),0),IF(OR($J295="SWAP",$J295="FUTURE",$J295="CME FUTURE"),IF('Futures &amp; Perps Shifted'!$AE$31,VLOOKUP($M295,'Futures &amp; Perps Shifted'!$AE$32:$AO$76,MATCH($R295,'Futures &amp; Perps Shifted'!$AE$30:$AO$30,0),FALSE),0),0)))</f>
        <v/>
      </c>
    </row>
    <row r="296" spans="23:23" x14ac:dyDescent="0.25">
      <c r="W296" t="str">
        <f>IF($C296="","",IF(DefaultScenario,IF(OR(AND(Default_Exchange="ALL",NOT(ISERROR(MATCH($C296,$AE$6:$AE$37,0)))),$C296=Default_Exchange),IF($G296&gt;0,-LGD,0),0),IF(OR($J296="SWAP",$J296="FUTURE",$J296="CME FUTURE"),IF('Futures &amp; Perps Shifted'!$AE$31,VLOOKUP($M296,'Futures &amp; Perps Shifted'!$AE$32:$AO$76,MATCH($R296,'Futures &amp; Perps Shifted'!$AE$30:$AO$30,0),FALSE),0),0)))</f>
        <v/>
      </c>
    </row>
    <row r="297" spans="23:23" x14ac:dyDescent="0.25">
      <c r="W297" t="str">
        <f>IF($C297="","",IF(DefaultScenario,IF(OR(AND(Default_Exchange="ALL",NOT(ISERROR(MATCH($C297,$AE$6:$AE$37,0)))),$C297=Default_Exchange),IF($G297&gt;0,-LGD,0),0),IF(OR($J297="SWAP",$J297="FUTURE",$J297="CME FUTURE"),IF('Futures &amp; Perps Shifted'!$AE$31,VLOOKUP($M297,'Futures &amp; Perps Shifted'!$AE$32:$AO$76,MATCH($R297,'Futures &amp; Perps Shifted'!$AE$30:$AO$30,0),FALSE),0),0)))</f>
        <v/>
      </c>
    </row>
    <row r="298" spans="23:23" x14ac:dyDescent="0.25">
      <c r="W298" t="str">
        <f>IF($C298="","",IF(DefaultScenario,IF(OR(AND(Default_Exchange="ALL",NOT(ISERROR(MATCH($C298,$AE$6:$AE$37,0)))),$C298=Default_Exchange),IF($G298&gt;0,-LGD,0),0),IF(OR($J298="SWAP",$J298="FUTURE",$J298="CME FUTURE"),IF('Futures &amp; Perps Shifted'!$AE$31,VLOOKUP($M298,'Futures &amp; Perps Shifted'!$AE$32:$AO$76,MATCH($R298,'Futures &amp; Perps Shifted'!$AE$30:$AO$30,0),FALSE),0),0)))</f>
        <v/>
      </c>
    </row>
    <row r="299" spans="23:23" x14ac:dyDescent="0.25">
      <c r="W299" t="str">
        <f>IF($C299="","",IF(DefaultScenario,IF(OR(AND(Default_Exchange="ALL",NOT(ISERROR(MATCH($C299,$AE$6:$AE$37,0)))),$C299=Default_Exchange),IF($G299&gt;0,-LGD,0),0),IF(OR($J299="SWAP",$J299="FUTURE",$J299="CME FUTURE"),IF('Futures &amp; Perps Shifted'!$AE$31,VLOOKUP($M299,'Futures &amp; Perps Shifted'!$AE$32:$AO$76,MATCH($R299,'Futures &amp; Perps Shifted'!$AE$30:$AO$30,0),FALSE),0),0)))</f>
        <v/>
      </c>
    </row>
    <row r="300" spans="23:23" x14ac:dyDescent="0.25">
      <c r="W300" t="str">
        <f>IF($C300="","",IF(DefaultScenario,IF(OR(AND(Default_Exchange="ALL",NOT(ISERROR(MATCH($C300,$AE$6:$AE$37,0)))),$C300=Default_Exchange),IF($G300&gt;0,-LGD,0),0),IF(OR($J300="SWAP",$J300="FUTURE",$J300="CME FUTURE"),IF('Futures &amp; Perps Shifted'!$AE$31,VLOOKUP($M300,'Futures &amp; Perps Shifted'!$AE$32:$AO$76,MATCH($R300,'Futures &amp; Perps Shifted'!$AE$30:$AO$30,0),FALSE),0),0)))</f>
        <v/>
      </c>
    </row>
    <row r="301" spans="23:23" x14ac:dyDescent="0.25">
      <c r="W301" t="str">
        <f>IF($C301="","",IF(DefaultScenario,IF(OR(AND(Default_Exchange="ALL",NOT(ISERROR(MATCH($C301,$AE$6:$AE$37,0)))),$C301=Default_Exchange),IF($G301&gt;0,-LGD,0),0),IF(OR($J301="SWAP",$J301="FUTURE",$J301="CME FUTURE"),IF('Futures &amp; Perps Shifted'!$AE$31,VLOOKUP($M301,'Futures &amp; Perps Shifted'!$AE$32:$AO$76,MATCH($R301,'Futures &amp; Perps Shifted'!$AE$30:$AO$30,0),FALSE),0),0)))</f>
        <v/>
      </c>
    </row>
    <row r="302" spans="23:23" x14ac:dyDescent="0.25">
      <c r="W302" t="str">
        <f>IF($C302="","",IF(DefaultScenario,IF(OR(AND(Default_Exchange="ALL",NOT(ISERROR(MATCH($C302,$AE$6:$AE$37,0)))),$C302=Default_Exchange),IF($G302&gt;0,-LGD,0),0),IF(OR($J302="SWAP",$J302="FUTURE",$J302="CME FUTURE"),IF('Futures &amp; Perps Shifted'!$AE$31,VLOOKUP($M302,'Futures &amp; Perps Shifted'!$AE$32:$AO$76,MATCH($R302,'Futures &amp; Perps Shifted'!$AE$30:$AO$30,0),FALSE),0),0)))</f>
        <v/>
      </c>
    </row>
    <row r="303" spans="23:23" x14ac:dyDescent="0.25">
      <c r="W303" t="str">
        <f>IF($C303="","",IF(DefaultScenario,IF(OR(AND(Default_Exchange="ALL",NOT(ISERROR(MATCH($C303,$AE$6:$AE$37,0)))),$C303=Default_Exchange),IF($G303&gt;0,-LGD,0),0),IF(OR($J303="SWAP",$J303="FUTURE",$J303="CME FUTURE"),IF('Futures &amp; Perps Shifted'!$AE$31,VLOOKUP($M303,'Futures &amp; Perps Shifted'!$AE$32:$AO$76,MATCH($R303,'Futures &amp; Perps Shifted'!$AE$30:$AO$30,0),FALSE),0),0)))</f>
        <v/>
      </c>
    </row>
    <row r="304" spans="23:23" x14ac:dyDescent="0.25">
      <c r="W304" t="str">
        <f>IF($C304="","",IF(DefaultScenario,IF(OR(AND(Default_Exchange="ALL",NOT(ISERROR(MATCH($C304,$AE$6:$AE$37,0)))),$C304=Default_Exchange),IF($G304&gt;0,-LGD,0),0),IF(OR($J304="SWAP",$J304="FUTURE",$J304="CME FUTURE"),IF('Futures &amp; Perps Shifted'!$AE$31,VLOOKUP($M304,'Futures &amp; Perps Shifted'!$AE$32:$AO$76,MATCH($R304,'Futures &amp; Perps Shifted'!$AE$30:$AO$30,0),FALSE),0),0)))</f>
        <v/>
      </c>
    </row>
    <row r="305" spans="23:23" x14ac:dyDescent="0.25">
      <c r="W305" t="str">
        <f>IF($C305="","",IF(DefaultScenario,IF(OR(AND(Default_Exchange="ALL",NOT(ISERROR(MATCH($C305,$AE$6:$AE$37,0)))),$C305=Default_Exchange),IF($G305&gt;0,-LGD,0),0),IF(OR($J305="SWAP",$J305="FUTURE",$J305="CME FUTURE"),IF('Futures &amp; Perps Shifted'!$AE$31,VLOOKUP($M305,'Futures &amp; Perps Shifted'!$AE$32:$AO$76,MATCH($R305,'Futures &amp; Perps Shifted'!$AE$30:$AO$30,0),FALSE),0),0)))</f>
        <v/>
      </c>
    </row>
    <row r="306" spans="23:23" x14ac:dyDescent="0.25">
      <c r="W306" t="str">
        <f>IF($C306="","",IF(DefaultScenario,IF(OR(AND(Default_Exchange="ALL",NOT(ISERROR(MATCH($C306,$AE$6:$AE$37,0)))),$C306=Default_Exchange),IF($G306&gt;0,-LGD,0),0),IF(OR($J306="SWAP",$J306="FUTURE",$J306="CME FUTURE"),IF('Futures &amp; Perps Shifted'!$AE$31,VLOOKUP($M306,'Futures &amp; Perps Shifted'!$AE$32:$AO$76,MATCH($R306,'Futures &amp; Perps Shifted'!$AE$30:$AO$30,0),FALSE),0),0)))</f>
        <v/>
      </c>
    </row>
    <row r="307" spans="23:23" x14ac:dyDescent="0.25">
      <c r="W307" t="str">
        <f>IF($C307="","",IF(DefaultScenario,IF(OR(AND(Default_Exchange="ALL",NOT(ISERROR(MATCH($C307,$AE$6:$AE$37,0)))),$C307=Default_Exchange),IF($G307&gt;0,-LGD,0),0),IF(OR($J307="SWAP",$J307="FUTURE",$J307="CME FUTURE"),IF('Futures &amp; Perps Shifted'!$AE$31,VLOOKUP($M307,'Futures &amp; Perps Shifted'!$AE$32:$AO$76,MATCH($R307,'Futures &amp; Perps Shifted'!$AE$30:$AO$30,0),FALSE),0),0)))</f>
        <v/>
      </c>
    </row>
    <row r="308" spans="23:23" x14ac:dyDescent="0.25">
      <c r="W308" t="str">
        <f>IF($C308="","",IF(DefaultScenario,IF(OR(AND(Default_Exchange="ALL",NOT(ISERROR(MATCH($C308,$AE$6:$AE$37,0)))),$C308=Default_Exchange),IF($G308&gt;0,-LGD,0),0),IF(OR($J308="SWAP",$J308="FUTURE",$J308="CME FUTURE"),IF('Futures &amp; Perps Shifted'!$AE$31,VLOOKUP($M308,'Futures &amp; Perps Shifted'!$AE$32:$AO$76,MATCH($R308,'Futures &amp; Perps Shifted'!$AE$30:$AO$30,0),FALSE),0),0)))</f>
        <v/>
      </c>
    </row>
    <row r="309" spans="23:23" x14ac:dyDescent="0.25">
      <c r="W309" t="str">
        <f>IF($C309="","",IF(DefaultScenario,IF(OR(AND(Default_Exchange="ALL",NOT(ISERROR(MATCH($C309,$AE$6:$AE$37,0)))),$C309=Default_Exchange),IF($G309&gt;0,-LGD,0),0),IF(OR($J309="SWAP",$J309="FUTURE",$J309="CME FUTURE"),IF('Futures &amp; Perps Shifted'!$AE$31,VLOOKUP($M309,'Futures &amp; Perps Shifted'!$AE$32:$AO$76,MATCH($R309,'Futures &amp; Perps Shifted'!$AE$30:$AO$30,0),FALSE),0),0)))</f>
        <v/>
      </c>
    </row>
    <row r="310" spans="23:23" x14ac:dyDescent="0.25">
      <c r="W310" t="str">
        <f>IF($C310="","",IF(DefaultScenario,IF(OR(AND(Default_Exchange="ALL",NOT(ISERROR(MATCH($C310,$AE$6:$AE$37,0)))),$C310=Default_Exchange),IF($G310&gt;0,-LGD,0),0),IF(OR($J310="SWAP",$J310="FUTURE",$J310="CME FUTURE"),IF('Futures &amp; Perps Shifted'!$AE$31,VLOOKUP($M310,'Futures &amp; Perps Shifted'!$AE$32:$AO$76,MATCH($R310,'Futures &amp; Perps Shifted'!$AE$30:$AO$30,0),FALSE),0),0)))</f>
        <v/>
      </c>
    </row>
    <row r="311" spans="23:23" x14ac:dyDescent="0.25">
      <c r="W311" t="str">
        <f>IF($C311="","",IF(DefaultScenario,IF(OR(AND(Default_Exchange="ALL",NOT(ISERROR(MATCH($C311,$AE$6:$AE$37,0)))),$C311=Default_Exchange),IF($G311&gt;0,-LGD,0),0),IF(OR($J311="SWAP",$J311="FUTURE",$J311="CME FUTURE"),IF('Futures &amp; Perps Shifted'!$AE$31,VLOOKUP($M311,'Futures &amp; Perps Shifted'!$AE$32:$AO$76,MATCH($R311,'Futures &amp; Perps Shifted'!$AE$30:$AO$30,0),FALSE),0),0)))</f>
        <v/>
      </c>
    </row>
    <row r="312" spans="23:23" x14ac:dyDescent="0.25">
      <c r="W312" t="str">
        <f>IF($C312="","",IF(DefaultScenario,IF(OR(AND(Default_Exchange="ALL",NOT(ISERROR(MATCH($C312,$AE$6:$AE$37,0)))),$C312=Default_Exchange),IF($G312&gt;0,-LGD,0),0),IF(OR($J312="SWAP",$J312="FUTURE",$J312="CME FUTURE"),IF('Futures &amp; Perps Shifted'!$AE$31,VLOOKUP($M312,'Futures &amp; Perps Shifted'!$AE$32:$AO$76,MATCH($R312,'Futures &amp; Perps Shifted'!$AE$30:$AO$30,0),FALSE),0),0)))</f>
        <v/>
      </c>
    </row>
    <row r="313" spans="23:23" x14ac:dyDescent="0.25">
      <c r="W313" t="str">
        <f>IF($C313="","",IF(DefaultScenario,IF(OR(AND(Default_Exchange="ALL",NOT(ISERROR(MATCH($C313,$AE$6:$AE$37,0)))),$C313=Default_Exchange),IF($G313&gt;0,-LGD,0),0),IF(OR($J313="SWAP",$J313="FUTURE",$J313="CME FUTURE"),IF('Futures &amp; Perps Shifted'!$AE$31,VLOOKUP($M313,'Futures &amp; Perps Shifted'!$AE$32:$AO$76,MATCH($R313,'Futures &amp; Perps Shifted'!$AE$30:$AO$30,0),FALSE),0),0)))</f>
        <v/>
      </c>
    </row>
    <row r="314" spans="23:23" x14ac:dyDescent="0.25">
      <c r="W314" t="str">
        <f>IF($C314="","",IF(DefaultScenario,IF(OR(AND(Default_Exchange="ALL",NOT(ISERROR(MATCH($C314,$AE$6:$AE$37,0)))),$C314=Default_Exchange),IF($G314&gt;0,-LGD,0),0),IF(OR($J314="SWAP",$J314="FUTURE",$J314="CME FUTURE"),IF('Futures &amp; Perps Shifted'!$AE$31,VLOOKUP($M314,'Futures &amp; Perps Shifted'!$AE$32:$AO$76,MATCH($R314,'Futures &amp; Perps Shifted'!$AE$30:$AO$30,0),FALSE),0),0)))</f>
        <v/>
      </c>
    </row>
    <row r="315" spans="23:23" x14ac:dyDescent="0.25">
      <c r="W315" t="str">
        <f>IF($C315="","",IF(DefaultScenario,IF(OR(AND(Default_Exchange="ALL",NOT(ISERROR(MATCH($C315,$AE$6:$AE$37,0)))),$C315=Default_Exchange),IF($G315&gt;0,-LGD,0),0),IF(OR($J315="SWAP",$J315="FUTURE",$J315="CME FUTURE"),IF('Futures &amp; Perps Shifted'!$AE$31,VLOOKUP($M315,'Futures &amp; Perps Shifted'!$AE$32:$AO$76,MATCH($R315,'Futures &amp; Perps Shifted'!$AE$30:$AO$30,0),FALSE),0),0)))</f>
        <v/>
      </c>
    </row>
    <row r="316" spans="23:23" x14ac:dyDescent="0.25">
      <c r="W316" t="str">
        <f>IF($C316="","",IF(DefaultScenario,IF(OR(AND(Default_Exchange="ALL",NOT(ISERROR(MATCH($C316,$AE$6:$AE$37,0)))),$C316=Default_Exchange),IF($G316&gt;0,-LGD,0),0),IF(OR($J316="SWAP",$J316="FUTURE",$J316="CME FUTURE"),IF('Futures &amp; Perps Shifted'!$AE$31,VLOOKUP($M316,'Futures &amp; Perps Shifted'!$AE$32:$AO$76,MATCH($R316,'Futures &amp; Perps Shifted'!$AE$30:$AO$30,0),FALSE),0),0)))</f>
        <v/>
      </c>
    </row>
    <row r="317" spans="23:23" x14ac:dyDescent="0.25">
      <c r="W317" t="str">
        <f>IF($C317="","",IF(DefaultScenario,IF(OR(AND(Default_Exchange="ALL",NOT(ISERROR(MATCH($C317,$AE$6:$AE$37,0)))),$C317=Default_Exchange),IF($G317&gt;0,-LGD,0),0),IF(OR($J317="SWAP",$J317="FUTURE",$J317="CME FUTURE"),IF('Futures &amp; Perps Shifted'!$AE$31,VLOOKUP($M317,'Futures &amp; Perps Shifted'!$AE$32:$AO$76,MATCH($R317,'Futures &amp; Perps Shifted'!$AE$30:$AO$30,0),FALSE),0),0)))</f>
        <v/>
      </c>
    </row>
    <row r="318" spans="23:23" x14ac:dyDescent="0.25">
      <c r="W318" t="str">
        <f>IF($C318="","",IF(DefaultScenario,IF(OR(AND(Default_Exchange="ALL",NOT(ISERROR(MATCH($C318,$AE$6:$AE$37,0)))),$C318=Default_Exchange),IF($G318&gt;0,-LGD,0),0),IF(OR($J318="SWAP",$J318="FUTURE",$J318="CME FUTURE"),IF('Futures &amp; Perps Shifted'!$AE$31,VLOOKUP($M318,'Futures &amp; Perps Shifted'!$AE$32:$AO$76,MATCH($R318,'Futures &amp; Perps Shifted'!$AE$30:$AO$30,0),FALSE),0),0)))</f>
        <v/>
      </c>
    </row>
    <row r="319" spans="23:23" x14ac:dyDescent="0.25">
      <c r="W319" t="str">
        <f>IF($C319="","",IF(DefaultScenario,IF(OR(AND(Default_Exchange="ALL",NOT(ISERROR(MATCH($C319,$AE$6:$AE$37,0)))),$C319=Default_Exchange),IF($G319&gt;0,-LGD,0),0),IF(OR($J319="SWAP",$J319="FUTURE",$J319="CME FUTURE"),IF('Futures &amp; Perps Shifted'!$AE$31,VLOOKUP($M319,'Futures &amp; Perps Shifted'!$AE$32:$AO$76,MATCH($R319,'Futures &amp; Perps Shifted'!$AE$30:$AO$30,0),FALSE),0),0)))</f>
        <v/>
      </c>
    </row>
    <row r="320" spans="23:23" x14ac:dyDescent="0.25">
      <c r="W320" t="str">
        <f>IF($C320="","",IF(DefaultScenario,IF(OR(AND(Default_Exchange="ALL",NOT(ISERROR(MATCH($C320,$AE$6:$AE$37,0)))),$C320=Default_Exchange),IF($G320&gt;0,-LGD,0),0),IF(OR($J320="SWAP",$J320="FUTURE",$J320="CME FUTURE"),IF('Futures &amp; Perps Shifted'!$AE$31,VLOOKUP($M320,'Futures &amp; Perps Shifted'!$AE$32:$AO$76,MATCH($R320,'Futures &amp; Perps Shifted'!$AE$30:$AO$30,0),FALSE),0),0)))</f>
        <v/>
      </c>
    </row>
    <row r="321" spans="23:23" x14ac:dyDescent="0.25">
      <c r="W321" t="str">
        <f>IF($C321="","",IF(DefaultScenario,IF(OR(AND(Default_Exchange="ALL",NOT(ISERROR(MATCH($C321,$AE$6:$AE$37,0)))),$C321=Default_Exchange),IF($G321&gt;0,-LGD,0),0),IF(OR($J321="SWAP",$J321="FUTURE",$J321="CME FUTURE"),IF('Futures &amp; Perps Shifted'!$AE$31,VLOOKUP($M321,'Futures &amp; Perps Shifted'!$AE$32:$AO$76,MATCH($R321,'Futures &amp; Perps Shifted'!$AE$30:$AO$30,0),FALSE),0),0)))</f>
        <v/>
      </c>
    </row>
    <row r="322" spans="23:23" x14ac:dyDescent="0.25">
      <c r="W322" t="str">
        <f>IF($C322="","",IF(DefaultScenario,IF(OR(AND(Default_Exchange="ALL",NOT(ISERROR(MATCH($C322,$AE$6:$AE$37,0)))),$C322=Default_Exchange),IF($G322&gt;0,-LGD,0),0),IF(OR($J322="SWAP",$J322="FUTURE",$J322="CME FUTURE"),IF('Futures &amp; Perps Shifted'!$AE$31,VLOOKUP($M322,'Futures &amp; Perps Shifted'!$AE$32:$AO$76,MATCH($R322,'Futures &amp; Perps Shifted'!$AE$30:$AO$30,0),FALSE),0),0)))</f>
        <v/>
      </c>
    </row>
    <row r="323" spans="23:23" x14ac:dyDescent="0.25">
      <c r="W323" t="str">
        <f>IF($C323="","",IF(DefaultScenario,IF(OR(AND(Default_Exchange="ALL",NOT(ISERROR(MATCH($C323,$AE$6:$AE$37,0)))),$C323=Default_Exchange),IF($G323&gt;0,-LGD,0),0),IF(OR($J323="SWAP",$J323="FUTURE",$J323="CME FUTURE"),IF('Futures &amp; Perps Shifted'!$AE$31,VLOOKUP($M323,'Futures &amp; Perps Shifted'!$AE$32:$AO$76,MATCH($R323,'Futures &amp; Perps Shifted'!$AE$30:$AO$30,0),FALSE),0),0)))</f>
        <v/>
      </c>
    </row>
    <row r="324" spans="23:23" x14ac:dyDescent="0.25">
      <c r="W324" t="str">
        <f>IF($C324="","",IF(DefaultScenario,IF(OR(AND(Default_Exchange="ALL",NOT(ISERROR(MATCH($C324,$AE$6:$AE$37,0)))),$C324=Default_Exchange),IF($G324&gt;0,-LGD,0),0),IF(OR($J324="SWAP",$J324="FUTURE",$J324="CME FUTURE"),IF('Futures &amp; Perps Shifted'!$AE$31,VLOOKUP($M324,'Futures &amp; Perps Shifted'!$AE$32:$AO$76,MATCH($R324,'Futures &amp; Perps Shifted'!$AE$30:$AO$30,0),FALSE),0),0)))</f>
        <v/>
      </c>
    </row>
    <row r="325" spans="23:23" x14ac:dyDescent="0.25">
      <c r="W325" t="str">
        <f>IF($C325="","",IF(DefaultScenario,IF(OR(AND(Default_Exchange="ALL",NOT(ISERROR(MATCH($C325,$AE$6:$AE$37,0)))),$C325=Default_Exchange),IF($G325&gt;0,-LGD,0),0),IF(OR($J325="SWAP",$J325="FUTURE",$J325="CME FUTURE"),IF('Futures &amp; Perps Shifted'!$AE$31,VLOOKUP($M325,'Futures &amp; Perps Shifted'!$AE$32:$AO$76,MATCH($R325,'Futures &amp; Perps Shifted'!$AE$30:$AO$30,0),FALSE),0),0)))</f>
        <v/>
      </c>
    </row>
    <row r="326" spans="23:23" x14ac:dyDescent="0.25">
      <c r="W326" t="str">
        <f>IF($C326="","",IF(DefaultScenario,IF(OR(AND(Default_Exchange="ALL",NOT(ISERROR(MATCH($C326,$AE$6:$AE$37,0)))),$C326=Default_Exchange),IF($G326&gt;0,-LGD,0),0),IF(OR($J326="SWAP",$J326="FUTURE",$J326="CME FUTURE"),IF('Futures &amp; Perps Shifted'!$AE$31,VLOOKUP($M326,'Futures &amp; Perps Shifted'!$AE$32:$AO$76,MATCH($R326,'Futures &amp; Perps Shifted'!$AE$30:$AO$30,0),FALSE),0),0)))</f>
        <v/>
      </c>
    </row>
    <row r="327" spans="23:23" x14ac:dyDescent="0.25">
      <c r="W327" t="str">
        <f>IF($C327="","",IF(DefaultScenario,IF(OR(AND(Default_Exchange="ALL",NOT(ISERROR(MATCH($C327,$AE$6:$AE$37,0)))),$C327=Default_Exchange),IF($G327&gt;0,-LGD,0),0),IF(OR($J327="SWAP",$J327="FUTURE",$J327="CME FUTURE"),IF('Futures &amp; Perps Shifted'!$AE$31,VLOOKUP($M327,'Futures &amp; Perps Shifted'!$AE$32:$AO$76,MATCH($R327,'Futures &amp; Perps Shifted'!$AE$30:$AO$30,0),FALSE),0),0)))</f>
        <v/>
      </c>
    </row>
    <row r="328" spans="23:23" x14ac:dyDescent="0.25">
      <c r="W328" t="str">
        <f>IF($C328="","",IF(DefaultScenario,IF(OR(AND(Default_Exchange="ALL",NOT(ISERROR(MATCH($C328,$AE$6:$AE$37,0)))),$C328=Default_Exchange),IF($G328&gt;0,-LGD,0),0),IF(OR($J328="SWAP",$J328="FUTURE",$J328="CME FUTURE"),IF('Futures &amp; Perps Shifted'!$AE$31,VLOOKUP($M328,'Futures &amp; Perps Shifted'!$AE$32:$AO$76,MATCH($R328,'Futures &amp; Perps Shifted'!$AE$30:$AO$30,0),FALSE),0),0)))</f>
        <v/>
      </c>
    </row>
    <row r="329" spans="23:23" x14ac:dyDescent="0.25">
      <c r="W329" t="str">
        <f>IF($C329="","",IF(DefaultScenario,IF(OR(AND(Default_Exchange="ALL",NOT(ISERROR(MATCH($C329,$AE$6:$AE$37,0)))),$C329=Default_Exchange),IF($G329&gt;0,-LGD,0),0),IF(OR($J329="SWAP",$J329="FUTURE",$J329="CME FUTURE"),IF('Futures &amp; Perps Shifted'!$AE$31,VLOOKUP($M329,'Futures &amp; Perps Shifted'!$AE$32:$AO$76,MATCH($R329,'Futures &amp; Perps Shifted'!$AE$30:$AO$30,0),FALSE),0),0)))</f>
        <v/>
      </c>
    </row>
    <row r="330" spans="23:23" x14ac:dyDescent="0.25">
      <c r="W330" t="str">
        <f>IF($C330="","",IF(DefaultScenario,IF(OR(AND(Default_Exchange="ALL",NOT(ISERROR(MATCH($C330,$AE$6:$AE$37,0)))),$C330=Default_Exchange),IF($G330&gt;0,-LGD,0),0),IF(OR($J330="SWAP",$J330="FUTURE",$J330="CME FUTURE"),IF('Futures &amp; Perps Shifted'!$AE$31,VLOOKUP($M330,'Futures &amp; Perps Shifted'!$AE$32:$AO$76,MATCH($R330,'Futures &amp; Perps Shifted'!$AE$30:$AO$30,0),FALSE),0),0)))</f>
        <v/>
      </c>
    </row>
    <row r="331" spans="23:23" x14ac:dyDescent="0.25">
      <c r="W331" t="str">
        <f>IF($C331="","",IF(DefaultScenario,IF(OR(AND(Default_Exchange="ALL",NOT(ISERROR(MATCH($C331,$AE$6:$AE$37,0)))),$C331=Default_Exchange),IF($G331&gt;0,-LGD,0),0),IF(OR($J331="SWAP",$J331="FUTURE",$J331="CME FUTURE"),IF('Futures &amp; Perps Shifted'!$AE$31,VLOOKUP($M331,'Futures &amp; Perps Shifted'!$AE$32:$AO$76,MATCH($R331,'Futures &amp; Perps Shifted'!$AE$30:$AO$30,0),FALSE),0),0)))</f>
        <v/>
      </c>
    </row>
    <row r="332" spans="23:23" x14ac:dyDescent="0.25">
      <c r="W332" t="str">
        <f>IF($C332="","",IF(DefaultScenario,IF(OR(AND(Default_Exchange="ALL",NOT(ISERROR(MATCH($C332,$AE$6:$AE$37,0)))),$C332=Default_Exchange),IF($G332&gt;0,-LGD,0),0),IF(OR($J332="SWAP",$J332="FUTURE",$J332="CME FUTURE"),IF('Futures &amp; Perps Shifted'!$AE$31,VLOOKUP($M332,'Futures &amp; Perps Shifted'!$AE$32:$AO$76,MATCH($R332,'Futures &amp; Perps Shifted'!$AE$30:$AO$30,0),FALSE),0),0)))</f>
        <v/>
      </c>
    </row>
    <row r="333" spans="23:23" x14ac:dyDescent="0.25">
      <c r="W333" t="str">
        <f>IF($C333="","",IF(DefaultScenario,IF(OR(AND(Default_Exchange="ALL",NOT(ISERROR(MATCH($C333,$AE$6:$AE$37,0)))),$C333=Default_Exchange),IF($G333&gt;0,-LGD,0),0),IF(OR($J333="SWAP",$J333="FUTURE",$J333="CME FUTURE"),IF('Futures &amp; Perps Shifted'!$AE$31,VLOOKUP($M333,'Futures &amp; Perps Shifted'!$AE$32:$AO$76,MATCH($R333,'Futures &amp; Perps Shifted'!$AE$30:$AO$30,0),FALSE),0),0)))</f>
        <v/>
      </c>
    </row>
    <row r="334" spans="23:23" x14ac:dyDescent="0.25">
      <c r="W334" t="str">
        <f>IF($C334="","",IF(DefaultScenario,IF(OR(AND(Default_Exchange="ALL",NOT(ISERROR(MATCH($C334,$AE$6:$AE$37,0)))),$C334=Default_Exchange),IF($G334&gt;0,-LGD,0),0),IF(OR($J334="SWAP",$J334="FUTURE",$J334="CME FUTURE"),IF('Futures &amp; Perps Shifted'!$AE$31,VLOOKUP($M334,'Futures &amp; Perps Shifted'!$AE$32:$AO$76,MATCH($R334,'Futures &amp; Perps Shifted'!$AE$30:$AO$30,0),FALSE),0),0)))</f>
        <v/>
      </c>
    </row>
    <row r="335" spans="23:23" x14ac:dyDescent="0.25">
      <c r="W335" t="str">
        <f>IF($C335="","",IF(DefaultScenario,IF(OR(AND(Default_Exchange="ALL",NOT(ISERROR(MATCH($C335,$AE$6:$AE$37,0)))),$C335=Default_Exchange),IF($G335&gt;0,-LGD,0),0),IF(OR($J335="SWAP",$J335="FUTURE",$J335="CME FUTURE"),IF('Futures &amp; Perps Shifted'!$AE$31,VLOOKUP($M335,'Futures &amp; Perps Shifted'!$AE$32:$AO$76,MATCH($R335,'Futures &amp; Perps Shifted'!$AE$30:$AO$30,0),FALSE),0),0)))</f>
        <v/>
      </c>
    </row>
    <row r="336" spans="23:23" x14ac:dyDescent="0.25">
      <c r="W336" t="str">
        <f>IF($C336="","",IF(DefaultScenario,IF(OR(AND(Default_Exchange="ALL",NOT(ISERROR(MATCH($C336,$AE$6:$AE$37,0)))),$C336=Default_Exchange),IF($G336&gt;0,-LGD,0),0),IF(OR($J336="SWAP",$J336="FUTURE",$J336="CME FUTURE"),IF('Futures &amp; Perps Shifted'!$AE$31,VLOOKUP($M336,'Futures &amp; Perps Shifted'!$AE$32:$AO$76,MATCH($R336,'Futures &amp; Perps Shifted'!$AE$30:$AO$30,0),FALSE),0),0)))</f>
        <v/>
      </c>
    </row>
    <row r="337" spans="23:23" x14ac:dyDescent="0.25">
      <c r="W337" t="str">
        <f>IF($C337="","",IF(DefaultScenario,IF(OR(AND(Default_Exchange="ALL",NOT(ISERROR(MATCH($C337,$AE$6:$AE$37,0)))),$C337=Default_Exchange),IF($G337&gt;0,-LGD,0),0),IF(OR($J337="SWAP",$J337="FUTURE",$J337="CME FUTURE"),IF('Futures &amp; Perps Shifted'!$AE$31,VLOOKUP($M337,'Futures &amp; Perps Shifted'!$AE$32:$AO$76,MATCH($R337,'Futures &amp; Perps Shifted'!$AE$30:$AO$30,0),FALSE),0),0)))</f>
        <v/>
      </c>
    </row>
    <row r="338" spans="23:23" x14ac:dyDescent="0.25">
      <c r="W338" t="str">
        <f>IF($C338="","",IF(DefaultScenario,IF(OR(AND(Default_Exchange="ALL",NOT(ISERROR(MATCH($C338,$AE$6:$AE$37,0)))),$C338=Default_Exchange),IF($G338&gt;0,-LGD,0),0),IF(OR($J338="SWAP",$J338="FUTURE",$J338="CME FUTURE"),IF('Futures &amp; Perps Shifted'!$AE$31,VLOOKUP($M338,'Futures &amp; Perps Shifted'!$AE$32:$AO$76,MATCH($R338,'Futures &amp; Perps Shifted'!$AE$30:$AO$30,0),FALSE),0),0)))</f>
        <v/>
      </c>
    </row>
    <row r="339" spans="23:23" x14ac:dyDescent="0.25">
      <c r="W339" t="str">
        <f>IF($C339="","",IF(DefaultScenario,IF(OR(AND(Default_Exchange="ALL",NOT(ISERROR(MATCH($C339,$AE$6:$AE$37,0)))),$C339=Default_Exchange),IF($G339&gt;0,-LGD,0),0),IF(OR($J339="SWAP",$J339="FUTURE",$J339="CME FUTURE"),IF('Futures &amp; Perps Shifted'!$AE$31,VLOOKUP($M339,'Futures &amp; Perps Shifted'!$AE$32:$AO$76,MATCH($R339,'Futures &amp; Perps Shifted'!$AE$30:$AO$30,0),FALSE),0),0)))</f>
        <v/>
      </c>
    </row>
    <row r="340" spans="23:23" x14ac:dyDescent="0.25">
      <c r="W340" t="str">
        <f>IF($C340="","",IF(DefaultScenario,IF(OR(AND(Default_Exchange="ALL",NOT(ISERROR(MATCH($C340,$AE$6:$AE$37,0)))),$C340=Default_Exchange),IF($G340&gt;0,-LGD,0),0),IF(OR($J340="SWAP",$J340="FUTURE",$J340="CME FUTURE"),IF('Futures &amp; Perps Shifted'!$AE$31,VLOOKUP($M340,'Futures &amp; Perps Shifted'!$AE$32:$AO$76,MATCH($R340,'Futures &amp; Perps Shifted'!$AE$30:$AO$30,0),FALSE),0),0)))</f>
        <v/>
      </c>
    </row>
    <row r="341" spans="23:23" x14ac:dyDescent="0.25">
      <c r="W341" t="str">
        <f>IF($C341="","",IF(DefaultScenario,IF(OR(AND(Default_Exchange="ALL",NOT(ISERROR(MATCH($C341,$AE$6:$AE$37,0)))),$C341=Default_Exchange),IF($G341&gt;0,-LGD,0),0),IF(OR($J341="SWAP",$J341="FUTURE",$J341="CME FUTURE"),IF('Futures &amp; Perps Shifted'!$AE$31,VLOOKUP($M341,'Futures &amp; Perps Shifted'!$AE$32:$AO$76,MATCH($R341,'Futures &amp; Perps Shifted'!$AE$30:$AO$30,0),FALSE),0),0)))</f>
        <v/>
      </c>
    </row>
    <row r="342" spans="23:23" x14ac:dyDescent="0.25">
      <c r="W342" t="str">
        <f>IF($C342="","",IF(DefaultScenario,IF(OR(AND(Default_Exchange="ALL",NOT(ISERROR(MATCH($C342,$AE$6:$AE$37,0)))),$C342=Default_Exchange),IF($G342&gt;0,-LGD,0),0),IF(OR($J342="SWAP",$J342="FUTURE",$J342="CME FUTURE"),IF('Futures &amp; Perps Shifted'!$AE$31,VLOOKUP($M342,'Futures &amp; Perps Shifted'!$AE$32:$AO$76,MATCH($R342,'Futures &amp; Perps Shifted'!$AE$30:$AO$30,0),FALSE),0),0)))</f>
        <v/>
      </c>
    </row>
    <row r="343" spans="23:23" x14ac:dyDescent="0.25">
      <c r="W343" t="str">
        <f>IF($C343="","",IF(DefaultScenario,IF(OR(AND(Default_Exchange="ALL",NOT(ISERROR(MATCH($C343,$AE$6:$AE$37,0)))),$C343=Default_Exchange),IF($G343&gt;0,-LGD,0),0),IF(OR($J343="SWAP",$J343="FUTURE",$J343="CME FUTURE"),IF('Futures &amp; Perps Shifted'!$AE$31,VLOOKUP($M343,'Futures &amp; Perps Shifted'!$AE$32:$AO$76,MATCH($R343,'Futures &amp; Perps Shifted'!$AE$30:$AO$30,0),FALSE),0),0)))</f>
        <v/>
      </c>
    </row>
    <row r="344" spans="23:23" x14ac:dyDescent="0.25">
      <c r="W344" t="str">
        <f>IF($C344="","",IF(DefaultScenario,IF(OR(AND(Default_Exchange="ALL",NOT(ISERROR(MATCH($C344,$AE$6:$AE$37,0)))),$C344=Default_Exchange),IF($G344&gt;0,-LGD,0),0),IF(OR($J344="SWAP",$J344="FUTURE",$J344="CME FUTURE"),IF('Futures &amp; Perps Shifted'!$AE$31,VLOOKUP($M344,'Futures &amp; Perps Shifted'!$AE$32:$AO$76,MATCH($R344,'Futures &amp; Perps Shifted'!$AE$30:$AO$30,0),FALSE),0),0)))</f>
        <v/>
      </c>
    </row>
    <row r="345" spans="23:23" x14ac:dyDescent="0.25">
      <c r="W345" t="str">
        <f>IF($C345="","",IF(DefaultScenario,IF(OR(AND(Default_Exchange="ALL",NOT(ISERROR(MATCH($C345,$AE$6:$AE$37,0)))),$C345=Default_Exchange),IF($G345&gt;0,-LGD,0),0),IF(OR($J345="SWAP",$J345="FUTURE",$J345="CME FUTURE"),IF('Futures &amp; Perps Shifted'!$AE$31,VLOOKUP($M345,'Futures &amp; Perps Shifted'!$AE$32:$AO$76,MATCH($R345,'Futures &amp; Perps Shifted'!$AE$30:$AO$30,0),FALSE),0),0)))</f>
        <v/>
      </c>
    </row>
    <row r="346" spans="23:23" x14ac:dyDescent="0.25">
      <c r="W346" t="str">
        <f>IF($C346="","",IF(DefaultScenario,IF(OR(AND(Default_Exchange="ALL",NOT(ISERROR(MATCH($C346,$AE$6:$AE$37,0)))),$C346=Default_Exchange),IF($G346&gt;0,-LGD,0),0),IF(OR($J346="SWAP",$J346="FUTURE",$J346="CME FUTURE"),IF('Futures &amp; Perps Shifted'!$AE$31,VLOOKUP($M346,'Futures &amp; Perps Shifted'!$AE$32:$AO$76,MATCH($R346,'Futures &amp; Perps Shifted'!$AE$30:$AO$30,0),FALSE),0),0)))</f>
        <v/>
      </c>
    </row>
    <row r="347" spans="23:23" x14ac:dyDescent="0.25">
      <c r="W347" t="str">
        <f>IF($C347="","",IF(DefaultScenario,IF(OR(AND(Default_Exchange="ALL",NOT(ISERROR(MATCH($C347,$AE$6:$AE$37,0)))),$C347=Default_Exchange),IF($G347&gt;0,-LGD,0),0),IF(OR($J347="SWAP",$J347="FUTURE",$J347="CME FUTURE"),IF('Futures &amp; Perps Shifted'!$AE$31,VLOOKUP($M347,'Futures &amp; Perps Shifted'!$AE$32:$AO$76,MATCH($R347,'Futures &amp; Perps Shifted'!$AE$30:$AO$30,0),FALSE),0),0)))</f>
        <v/>
      </c>
    </row>
    <row r="348" spans="23:23" x14ac:dyDescent="0.25">
      <c r="W348" t="str">
        <f>IF($C348="","",IF(DefaultScenario,IF(OR(AND(Default_Exchange="ALL",NOT(ISERROR(MATCH($C348,$AE$6:$AE$37,0)))),$C348=Default_Exchange),IF($G348&gt;0,-LGD,0),0),IF(OR($J348="SWAP",$J348="FUTURE",$J348="CME FUTURE"),IF('Futures &amp; Perps Shifted'!$AE$31,VLOOKUP($M348,'Futures &amp; Perps Shifted'!$AE$32:$AO$76,MATCH($R348,'Futures &amp; Perps Shifted'!$AE$30:$AO$30,0),FALSE),0),0)))</f>
        <v/>
      </c>
    </row>
    <row r="349" spans="23:23" x14ac:dyDescent="0.25">
      <c r="W349" t="str">
        <f>IF($C349="","",IF(DefaultScenario,IF(OR(AND(Default_Exchange="ALL",NOT(ISERROR(MATCH($C349,$AE$6:$AE$37,0)))),$C349=Default_Exchange),IF($G349&gt;0,-LGD,0),0),IF(OR($J349="SWAP",$J349="FUTURE",$J349="CME FUTURE"),IF('Futures &amp; Perps Shifted'!$AE$31,VLOOKUP($M349,'Futures &amp; Perps Shifted'!$AE$32:$AO$76,MATCH($R349,'Futures &amp; Perps Shifted'!$AE$30:$AO$30,0),FALSE),0),0)))</f>
        <v/>
      </c>
    </row>
    <row r="350" spans="23:23" x14ac:dyDescent="0.25">
      <c r="W350" t="str">
        <f>IF($C350="","",IF(DefaultScenario,IF(OR(AND(Default_Exchange="ALL",NOT(ISERROR(MATCH($C350,$AE$6:$AE$37,0)))),$C350=Default_Exchange),IF($G350&gt;0,-LGD,0),0),IF(OR($J350="SWAP",$J350="FUTURE",$J350="CME FUTURE"),IF('Futures &amp; Perps Shifted'!$AE$31,VLOOKUP($M350,'Futures &amp; Perps Shifted'!$AE$32:$AO$76,MATCH($R350,'Futures &amp; Perps Shifted'!$AE$30:$AO$30,0),FALSE),0),0)))</f>
        <v/>
      </c>
    </row>
    <row r="351" spans="23:23" x14ac:dyDescent="0.25">
      <c r="W351" t="str">
        <f>IF($C351="","",IF(DefaultScenario,IF(OR(AND(Default_Exchange="ALL",NOT(ISERROR(MATCH($C351,$AE$6:$AE$37,0)))),$C351=Default_Exchange),IF($G351&gt;0,-LGD,0),0),IF(OR($J351="SWAP",$J351="FUTURE",$J351="CME FUTURE"),IF('Futures &amp; Perps Shifted'!$AE$31,VLOOKUP($M351,'Futures &amp; Perps Shifted'!$AE$32:$AO$76,MATCH($R351,'Futures &amp; Perps Shifted'!$AE$30:$AO$30,0),FALSE),0),0)))</f>
        <v/>
      </c>
    </row>
    <row r="352" spans="23:23" x14ac:dyDescent="0.25">
      <c r="W352" t="str">
        <f>IF($C352="","",IF(DefaultScenario,IF(OR(AND(Default_Exchange="ALL",NOT(ISERROR(MATCH($C352,$AE$6:$AE$37,0)))),$C352=Default_Exchange),IF($G352&gt;0,-LGD,0),0),IF(OR($J352="SWAP",$J352="FUTURE",$J352="CME FUTURE"),IF('Futures &amp; Perps Shifted'!$AE$31,VLOOKUP($M352,'Futures &amp; Perps Shifted'!$AE$32:$AO$76,MATCH($R352,'Futures &amp; Perps Shifted'!$AE$30:$AO$30,0),FALSE),0),0)))</f>
        <v/>
      </c>
    </row>
    <row r="353" spans="23:23" x14ac:dyDescent="0.25">
      <c r="W353" t="str">
        <f>IF($C353="","",IF(DefaultScenario,IF(OR(AND(Default_Exchange="ALL",NOT(ISERROR(MATCH($C353,$AE$6:$AE$37,0)))),$C353=Default_Exchange),IF($G353&gt;0,-LGD,0),0),IF(OR($J353="SWAP",$J353="FUTURE",$J353="CME FUTURE"),IF('Futures &amp; Perps Shifted'!$AE$31,VLOOKUP($M353,'Futures &amp; Perps Shifted'!$AE$32:$AO$76,MATCH($R353,'Futures &amp; Perps Shifted'!$AE$30:$AO$30,0),FALSE),0),0)))</f>
        <v/>
      </c>
    </row>
    <row r="354" spans="23:23" x14ac:dyDescent="0.25">
      <c r="W354" t="str">
        <f>IF($C354="","",IF(DefaultScenario,IF(OR(AND(Default_Exchange="ALL",NOT(ISERROR(MATCH($C354,$AE$6:$AE$37,0)))),$C354=Default_Exchange),IF($G354&gt;0,-LGD,0),0),IF(OR($J354="SWAP",$J354="FUTURE",$J354="CME FUTURE"),IF('Futures &amp; Perps Shifted'!$AE$31,VLOOKUP($M354,'Futures &amp; Perps Shifted'!$AE$32:$AO$76,MATCH($R354,'Futures &amp; Perps Shifted'!$AE$30:$AO$30,0),FALSE),0),0)))</f>
        <v/>
      </c>
    </row>
    <row r="355" spans="23:23" x14ac:dyDescent="0.25">
      <c r="W355" t="str">
        <f>IF($C355="","",IF(DefaultScenario,IF(OR(AND(Default_Exchange="ALL",NOT(ISERROR(MATCH($C355,$AE$6:$AE$37,0)))),$C355=Default_Exchange),IF($G355&gt;0,-LGD,0),0),IF(OR($J355="SWAP",$J355="FUTURE",$J355="CME FUTURE"),IF('Futures &amp; Perps Shifted'!$AE$31,VLOOKUP($M355,'Futures &amp; Perps Shifted'!$AE$32:$AO$76,MATCH($R355,'Futures &amp; Perps Shifted'!$AE$30:$AO$30,0),FALSE),0),0)))</f>
        <v/>
      </c>
    </row>
    <row r="356" spans="23:23" x14ac:dyDescent="0.25">
      <c r="W356" t="str">
        <f>IF($C356="","",IF(DefaultScenario,IF(OR(AND(Default_Exchange="ALL",NOT(ISERROR(MATCH($C356,$AE$6:$AE$37,0)))),$C356=Default_Exchange),IF($G356&gt;0,-LGD,0),0),IF(OR($J356="SWAP",$J356="FUTURE",$J356="CME FUTURE"),IF('Futures &amp; Perps Shifted'!$AE$31,VLOOKUP($M356,'Futures &amp; Perps Shifted'!$AE$32:$AO$76,MATCH($R356,'Futures &amp; Perps Shifted'!$AE$30:$AO$30,0),FALSE),0),0)))</f>
        <v/>
      </c>
    </row>
    <row r="357" spans="23:23" x14ac:dyDescent="0.25">
      <c r="W357" t="str">
        <f>IF($C357="","",IF(DefaultScenario,IF(OR(AND(Default_Exchange="ALL",NOT(ISERROR(MATCH($C357,$AE$6:$AE$37,0)))),$C357=Default_Exchange),IF($G357&gt;0,-LGD,0),0),IF(OR($J357="SWAP",$J357="FUTURE",$J357="CME FUTURE"),IF('Futures &amp; Perps Shifted'!$AE$31,VLOOKUP($M357,'Futures &amp; Perps Shifted'!$AE$32:$AO$76,MATCH($R357,'Futures &amp; Perps Shifted'!$AE$30:$AO$30,0),FALSE),0),0)))</f>
        <v/>
      </c>
    </row>
    <row r="358" spans="23:23" x14ac:dyDescent="0.25">
      <c r="W358" t="str">
        <f>IF($C358="","",IF(DefaultScenario,IF(OR(AND(Default_Exchange="ALL",NOT(ISERROR(MATCH($C358,$AE$6:$AE$37,0)))),$C358=Default_Exchange),IF($G358&gt;0,-LGD,0),0),IF(OR($J358="SWAP",$J358="FUTURE",$J358="CME FUTURE"),IF('Futures &amp; Perps Shifted'!$AE$31,VLOOKUP($M358,'Futures &amp; Perps Shifted'!$AE$32:$AO$76,MATCH($R358,'Futures &amp; Perps Shifted'!$AE$30:$AO$30,0),FALSE),0),0)))</f>
        <v/>
      </c>
    </row>
    <row r="359" spans="23:23" x14ac:dyDescent="0.25">
      <c r="W359" t="str">
        <f>IF($C359="","",IF(DefaultScenario,IF(OR(AND(Default_Exchange="ALL",NOT(ISERROR(MATCH($C359,$AE$6:$AE$37,0)))),$C359=Default_Exchange),IF($G359&gt;0,-LGD,0),0),IF(OR($J359="SWAP",$J359="FUTURE",$J359="CME FUTURE"),IF('Futures &amp; Perps Shifted'!$AE$31,VLOOKUP($M359,'Futures &amp; Perps Shifted'!$AE$32:$AO$76,MATCH($R359,'Futures &amp; Perps Shifted'!$AE$30:$AO$30,0),FALSE),0),0)))</f>
        <v/>
      </c>
    </row>
    <row r="360" spans="23:23" x14ac:dyDescent="0.25">
      <c r="W360" t="str">
        <f>IF($C360="","",IF(DefaultScenario,IF(OR(AND(Default_Exchange="ALL",NOT(ISERROR(MATCH($C360,$AE$6:$AE$37,0)))),$C360=Default_Exchange),IF($G360&gt;0,-LGD,0),0),IF(OR($J360="SWAP",$J360="FUTURE",$J360="CME FUTURE"),IF('Futures &amp; Perps Shifted'!$AE$31,VLOOKUP($M360,'Futures &amp; Perps Shifted'!$AE$32:$AO$76,MATCH($R360,'Futures &amp; Perps Shifted'!$AE$30:$AO$30,0),FALSE),0),0)))</f>
        <v/>
      </c>
    </row>
    <row r="361" spans="23:23" x14ac:dyDescent="0.25">
      <c r="W361" t="str">
        <f>IF($C361="","",IF(DefaultScenario,IF(OR(AND(Default_Exchange="ALL",NOT(ISERROR(MATCH($C361,$AE$6:$AE$37,0)))),$C361=Default_Exchange),IF($G361&gt;0,-LGD,0),0),IF(OR($J361="SWAP",$J361="FUTURE",$J361="CME FUTURE"),IF('Futures &amp; Perps Shifted'!$AE$31,VLOOKUP($M361,'Futures &amp; Perps Shifted'!$AE$32:$AO$76,MATCH($R361,'Futures &amp; Perps Shifted'!$AE$30:$AO$30,0),FALSE),0),0)))</f>
        <v/>
      </c>
    </row>
    <row r="362" spans="23:23" x14ac:dyDescent="0.25">
      <c r="W362" t="str">
        <f>IF($C362="","",IF(DefaultScenario,IF(OR(AND(Default_Exchange="ALL",NOT(ISERROR(MATCH($C362,$AE$6:$AE$37,0)))),$C362=Default_Exchange),IF($G362&gt;0,-LGD,0),0),IF(OR($J362="SWAP",$J362="FUTURE",$J362="CME FUTURE"),IF('Futures &amp; Perps Shifted'!$AE$31,VLOOKUP($M362,'Futures &amp; Perps Shifted'!$AE$32:$AO$76,MATCH($R362,'Futures &amp; Perps Shifted'!$AE$30:$AO$30,0),FALSE),0),0)))</f>
        <v/>
      </c>
    </row>
    <row r="363" spans="23:23" x14ac:dyDescent="0.25">
      <c r="W363" t="str">
        <f>IF($C363="","",IF(DefaultScenario,IF(OR(AND(Default_Exchange="ALL",NOT(ISERROR(MATCH($C363,$AE$6:$AE$37,0)))),$C363=Default_Exchange),IF($G363&gt;0,-LGD,0),0),IF(OR($J363="SWAP",$J363="FUTURE",$J363="CME FUTURE"),IF('Futures &amp; Perps Shifted'!$AE$31,VLOOKUP($M363,'Futures &amp; Perps Shifted'!$AE$32:$AO$76,MATCH($R363,'Futures &amp; Perps Shifted'!$AE$30:$AO$30,0),FALSE),0),0)))</f>
        <v/>
      </c>
    </row>
    <row r="364" spans="23:23" x14ac:dyDescent="0.25">
      <c r="W364" t="str">
        <f>IF($C364="","",IF(DefaultScenario,IF(OR(AND(Default_Exchange="ALL",NOT(ISERROR(MATCH($C364,$AE$6:$AE$37,0)))),$C364=Default_Exchange),IF($G364&gt;0,-LGD,0),0),IF(OR($J364="SWAP",$J364="FUTURE",$J364="CME FUTURE"),IF('Futures &amp; Perps Shifted'!$AE$31,VLOOKUP($M364,'Futures &amp; Perps Shifted'!$AE$32:$AO$76,MATCH($R364,'Futures &amp; Perps Shifted'!$AE$30:$AO$30,0),FALSE),0),0)))</f>
        <v/>
      </c>
    </row>
    <row r="365" spans="23:23" x14ac:dyDescent="0.25">
      <c r="W365" t="str">
        <f>IF($C365="","",IF(DefaultScenario,IF(OR(AND(Default_Exchange="ALL",NOT(ISERROR(MATCH($C365,$AE$6:$AE$37,0)))),$C365=Default_Exchange),IF($G365&gt;0,-LGD,0),0),IF(OR($J365="SWAP",$J365="FUTURE",$J365="CME FUTURE"),IF('Futures &amp; Perps Shifted'!$AE$31,VLOOKUP($M365,'Futures &amp; Perps Shifted'!$AE$32:$AO$76,MATCH($R365,'Futures &amp; Perps Shifted'!$AE$30:$AO$30,0),FALSE),0),0)))</f>
        <v/>
      </c>
    </row>
    <row r="366" spans="23:23" x14ac:dyDescent="0.25">
      <c r="W366" t="str">
        <f>IF($C366="","",IF(DefaultScenario,IF(OR(AND(Default_Exchange="ALL",NOT(ISERROR(MATCH($C366,$AE$6:$AE$37,0)))),$C366=Default_Exchange),IF($G366&gt;0,-LGD,0),0),IF(OR($J366="SWAP",$J366="FUTURE",$J366="CME FUTURE"),IF('Futures &amp; Perps Shifted'!$AE$31,VLOOKUP($M366,'Futures &amp; Perps Shifted'!$AE$32:$AO$76,MATCH($R366,'Futures &amp; Perps Shifted'!$AE$30:$AO$30,0),FALSE),0),0)))</f>
        <v/>
      </c>
    </row>
    <row r="367" spans="23:23" x14ac:dyDescent="0.25">
      <c r="W367" t="str">
        <f>IF($C367="","",IF(DefaultScenario,IF(OR(AND(Default_Exchange="ALL",NOT(ISERROR(MATCH($C367,$AE$6:$AE$37,0)))),$C367=Default_Exchange),IF($G367&gt;0,-LGD,0),0),IF(OR($J367="SWAP",$J367="FUTURE",$J367="CME FUTURE"),IF('Futures &amp; Perps Shifted'!$AE$31,VLOOKUP($M367,'Futures &amp; Perps Shifted'!$AE$32:$AO$76,MATCH($R367,'Futures &amp; Perps Shifted'!$AE$30:$AO$30,0),FALSE),0),0)))</f>
        <v/>
      </c>
    </row>
    <row r="368" spans="23:23" x14ac:dyDescent="0.25">
      <c r="W368" t="str">
        <f>IF($C368="","",IF(DefaultScenario,IF(OR(AND(Default_Exchange="ALL",NOT(ISERROR(MATCH($C368,$AE$6:$AE$37,0)))),$C368=Default_Exchange),IF($G368&gt;0,-LGD,0),0),IF(OR($J368="SWAP",$J368="FUTURE",$J368="CME FUTURE"),IF('Futures &amp; Perps Shifted'!$AE$31,VLOOKUP($M368,'Futures &amp; Perps Shifted'!$AE$32:$AO$76,MATCH($R368,'Futures &amp; Perps Shifted'!$AE$30:$AO$30,0),FALSE),0),0)))</f>
        <v/>
      </c>
    </row>
    <row r="369" spans="23:23" x14ac:dyDescent="0.25">
      <c r="W369" t="str">
        <f>IF($C369="","",IF(DefaultScenario,IF(OR(AND(Default_Exchange="ALL",NOT(ISERROR(MATCH($C369,$AE$6:$AE$37,0)))),$C369=Default_Exchange),IF($G369&gt;0,-LGD,0),0),IF(OR($J369="SWAP",$J369="FUTURE",$J369="CME FUTURE"),IF('Futures &amp; Perps Shifted'!$AE$31,VLOOKUP($M369,'Futures &amp; Perps Shifted'!$AE$32:$AO$76,MATCH($R369,'Futures &amp; Perps Shifted'!$AE$30:$AO$30,0),FALSE),0),0)))</f>
        <v/>
      </c>
    </row>
    <row r="370" spans="23:23" x14ac:dyDescent="0.25">
      <c r="W370" t="str">
        <f>IF($C370="","",IF(DefaultScenario,IF(OR(AND(Default_Exchange="ALL",NOT(ISERROR(MATCH($C370,$AE$6:$AE$37,0)))),$C370=Default_Exchange),IF($G370&gt;0,-LGD,0),0),IF(OR($J370="SWAP",$J370="FUTURE",$J370="CME FUTURE"),IF('Futures &amp; Perps Shifted'!$AE$31,VLOOKUP($M370,'Futures &amp; Perps Shifted'!$AE$32:$AO$76,MATCH($R370,'Futures &amp; Perps Shifted'!$AE$30:$AO$30,0),FALSE),0),0)))</f>
        <v/>
      </c>
    </row>
    <row r="371" spans="23:23" x14ac:dyDescent="0.25">
      <c r="W371" t="str">
        <f>IF($C371="","",IF(DefaultScenario,IF(OR(AND(Default_Exchange="ALL",NOT(ISERROR(MATCH($C371,$AE$6:$AE$37,0)))),$C371=Default_Exchange),IF($G371&gt;0,-LGD,0),0),IF(OR($J371="SWAP",$J371="FUTURE",$J371="CME FUTURE"),IF('Futures &amp; Perps Shifted'!$AE$31,VLOOKUP($M371,'Futures &amp; Perps Shifted'!$AE$32:$AO$76,MATCH($R371,'Futures &amp; Perps Shifted'!$AE$30:$AO$30,0),FALSE),0),0)))</f>
        <v/>
      </c>
    </row>
    <row r="372" spans="23:23" x14ac:dyDescent="0.25">
      <c r="W372" t="str">
        <f>IF($C372="","",IF(DefaultScenario,IF(OR(AND(Default_Exchange="ALL",NOT(ISERROR(MATCH($C372,$AE$6:$AE$37,0)))),$C372=Default_Exchange),IF($G372&gt;0,-LGD,0),0),IF(OR($J372="SWAP",$J372="FUTURE",$J372="CME FUTURE"),IF('Futures &amp; Perps Shifted'!$AE$31,VLOOKUP($M372,'Futures &amp; Perps Shifted'!$AE$32:$AO$76,MATCH($R372,'Futures &amp; Perps Shifted'!$AE$30:$AO$30,0),FALSE),0),0)))</f>
        <v/>
      </c>
    </row>
    <row r="373" spans="23:23" x14ac:dyDescent="0.25">
      <c r="W373" t="str">
        <f>IF($C373="","",IF(DefaultScenario,IF(OR(AND(Default_Exchange="ALL",NOT(ISERROR(MATCH($C373,$AE$6:$AE$37,0)))),$C373=Default_Exchange),IF($G373&gt;0,-LGD,0),0),IF(OR($J373="SWAP",$J373="FUTURE",$J373="CME FUTURE"),IF('Futures &amp; Perps Shifted'!$AE$31,VLOOKUP($M373,'Futures &amp; Perps Shifted'!$AE$32:$AO$76,MATCH($R373,'Futures &amp; Perps Shifted'!$AE$30:$AO$30,0),FALSE),0),0)))</f>
        <v/>
      </c>
    </row>
    <row r="374" spans="23:23" x14ac:dyDescent="0.25">
      <c r="W374" t="str">
        <f>IF($C374="","",IF(DefaultScenario,IF(OR(AND(Default_Exchange="ALL",NOT(ISERROR(MATCH($C374,$AE$6:$AE$37,0)))),$C374=Default_Exchange),IF($G374&gt;0,-LGD,0),0),IF(OR($J374="SWAP",$J374="FUTURE",$J374="CME FUTURE"),IF('Futures &amp; Perps Shifted'!$AE$31,VLOOKUP($M374,'Futures &amp; Perps Shifted'!$AE$32:$AO$76,MATCH($R374,'Futures &amp; Perps Shifted'!$AE$30:$AO$30,0),FALSE),0),0)))</f>
        <v/>
      </c>
    </row>
    <row r="375" spans="23:23" x14ac:dyDescent="0.25">
      <c r="W375" t="str">
        <f>IF($C375="","",IF(DefaultScenario,IF(OR(AND(Default_Exchange="ALL",NOT(ISERROR(MATCH($C375,$AE$6:$AE$37,0)))),$C375=Default_Exchange),IF($G375&gt;0,-LGD,0),0),IF(OR($J375="SWAP",$J375="FUTURE",$J375="CME FUTURE"),IF('Futures &amp; Perps Shifted'!$AE$31,VLOOKUP($M375,'Futures &amp; Perps Shifted'!$AE$32:$AO$76,MATCH($R375,'Futures &amp; Perps Shifted'!$AE$30:$AO$30,0),FALSE),0),0)))</f>
        <v/>
      </c>
    </row>
    <row r="376" spans="23:23" x14ac:dyDescent="0.25">
      <c r="W376" t="str">
        <f>IF($C376="","",IF(DefaultScenario,IF(OR(AND(Default_Exchange="ALL",NOT(ISERROR(MATCH($C376,$AE$6:$AE$37,0)))),$C376=Default_Exchange),IF($G376&gt;0,-LGD,0),0),IF(OR($J376="SWAP",$J376="FUTURE",$J376="CME FUTURE"),IF('Futures &amp; Perps Shifted'!$AE$31,VLOOKUP($M376,'Futures &amp; Perps Shifted'!$AE$32:$AO$76,MATCH($R376,'Futures &amp; Perps Shifted'!$AE$30:$AO$30,0),FALSE),0),0)))</f>
        <v/>
      </c>
    </row>
    <row r="377" spans="23:23" x14ac:dyDescent="0.25">
      <c r="W377" t="str">
        <f>IF($C377="","",IF(DefaultScenario,IF(OR(AND(Default_Exchange="ALL",NOT(ISERROR(MATCH($C377,$AE$6:$AE$37,0)))),$C377=Default_Exchange),IF($G377&gt;0,-LGD,0),0),IF(OR($J377="SWAP",$J377="FUTURE",$J377="CME FUTURE"),IF('Futures &amp; Perps Shifted'!$AE$31,VLOOKUP($M377,'Futures &amp; Perps Shifted'!$AE$32:$AO$76,MATCH($R377,'Futures &amp; Perps Shifted'!$AE$30:$AO$30,0),FALSE),0),0)))</f>
        <v/>
      </c>
    </row>
    <row r="378" spans="23:23" x14ac:dyDescent="0.25">
      <c r="W378" t="str">
        <f>IF($C378="","",IF(DefaultScenario,IF(OR(AND(Default_Exchange="ALL",NOT(ISERROR(MATCH($C378,$AE$6:$AE$37,0)))),$C378=Default_Exchange),IF($G378&gt;0,-LGD,0),0),IF(OR($J378="SWAP",$J378="FUTURE",$J378="CME FUTURE"),IF('Futures &amp; Perps Shifted'!$AE$31,VLOOKUP($M378,'Futures &amp; Perps Shifted'!$AE$32:$AO$76,MATCH($R378,'Futures &amp; Perps Shifted'!$AE$30:$AO$30,0),FALSE),0),0)))</f>
        <v/>
      </c>
    </row>
    <row r="379" spans="23:23" x14ac:dyDescent="0.25">
      <c r="W379" t="str">
        <f>IF($C379="","",IF(DefaultScenario,IF(OR(AND(Default_Exchange="ALL",NOT(ISERROR(MATCH($C379,$AE$6:$AE$37,0)))),$C379=Default_Exchange),IF($G379&gt;0,-LGD,0),0),IF(OR($J379="SWAP",$J379="FUTURE",$J379="CME FUTURE"),IF('Futures &amp; Perps Shifted'!$AE$31,VLOOKUP($M379,'Futures &amp; Perps Shifted'!$AE$32:$AO$76,MATCH($R379,'Futures &amp; Perps Shifted'!$AE$30:$AO$30,0),FALSE),0),0)))</f>
        <v/>
      </c>
    </row>
    <row r="380" spans="23:23" x14ac:dyDescent="0.25">
      <c r="W380" t="str">
        <f>IF($C380="","",IF(DefaultScenario,IF(OR(AND(Default_Exchange="ALL",NOT(ISERROR(MATCH($C380,$AE$6:$AE$37,0)))),$C380=Default_Exchange),IF($G380&gt;0,-LGD,0),0),IF(OR($J380="SWAP",$J380="FUTURE",$J380="CME FUTURE"),IF('Futures &amp; Perps Shifted'!$AE$31,VLOOKUP($M380,'Futures &amp; Perps Shifted'!$AE$32:$AO$76,MATCH($R380,'Futures &amp; Perps Shifted'!$AE$30:$AO$30,0),FALSE),0),0)))</f>
        <v/>
      </c>
    </row>
    <row r="381" spans="23:23" x14ac:dyDescent="0.25">
      <c r="W381" t="str">
        <f>IF($C381="","",IF(DefaultScenario,IF(OR(AND(Default_Exchange="ALL",NOT(ISERROR(MATCH($C381,$AE$6:$AE$37,0)))),$C381=Default_Exchange),IF($G381&gt;0,-LGD,0),0),IF(OR($J381="SWAP",$J381="FUTURE",$J381="CME FUTURE"),IF('Futures &amp; Perps Shifted'!$AE$31,VLOOKUP($M381,'Futures &amp; Perps Shifted'!$AE$32:$AO$76,MATCH($R381,'Futures &amp; Perps Shifted'!$AE$30:$AO$30,0),FALSE),0),0)))</f>
        <v/>
      </c>
    </row>
    <row r="382" spans="23:23" x14ac:dyDescent="0.25">
      <c r="W382" t="str">
        <f>IF($C382="","",IF(DefaultScenario,IF(OR(AND(Default_Exchange="ALL",NOT(ISERROR(MATCH($C382,$AE$6:$AE$37,0)))),$C382=Default_Exchange),IF($G382&gt;0,-LGD,0),0),IF(OR($J382="SWAP",$J382="FUTURE",$J382="CME FUTURE"),IF('Futures &amp; Perps Shifted'!$AE$31,VLOOKUP($M382,'Futures &amp; Perps Shifted'!$AE$32:$AO$76,MATCH($R382,'Futures &amp; Perps Shifted'!$AE$30:$AO$30,0),FALSE),0),0)))</f>
        <v/>
      </c>
    </row>
    <row r="383" spans="23:23" x14ac:dyDescent="0.25">
      <c r="W383" t="str">
        <f>IF($C383="","",IF(DefaultScenario,IF(OR(AND(Default_Exchange="ALL",NOT(ISERROR(MATCH($C383,$AE$6:$AE$37,0)))),$C383=Default_Exchange),IF($G383&gt;0,-LGD,0),0),IF(OR($J383="SWAP",$J383="FUTURE",$J383="CME FUTURE"),IF('Futures &amp; Perps Shifted'!$AE$31,VLOOKUP($M383,'Futures &amp; Perps Shifted'!$AE$32:$AO$76,MATCH($R383,'Futures &amp; Perps Shifted'!$AE$30:$AO$30,0),FALSE),0),0)))</f>
        <v/>
      </c>
    </row>
    <row r="384" spans="23:23" x14ac:dyDescent="0.25">
      <c r="W384" t="str">
        <f>IF($C384="","",IF(DefaultScenario,IF(OR(AND(Default_Exchange="ALL",NOT(ISERROR(MATCH($C384,$AE$6:$AE$37,0)))),$C384=Default_Exchange),IF($G384&gt;0,-LGD,0),0),IF(OR($J384="SWAP",$J384="FUTURE",$J384="CME FUTURE"),IF('Futures &amp; Perps Shifted'!$AE$31,VLOOKUP($M384,'Futures &amp; Perps Shifted'!$AE$32:$AO$76,MATCH($R384,'Futures &amp; Perps Shifted'!$AE$30:$AO$30,0),FALSE),0),0)))</f>
        <v/>
      </c>
    </row>
    <row r="385" spans="23:23" x14ac:dyDescent="0.25">
      <c r="W385" t="str">
        <f>IF($C385="","",IF(DefaultScenario,IF(OR(AND(Default_Exchange="ALL",NOT(ISERROR(MATCH($C385,$AE$6:$AE$37,0)))),$C385=Default_Exchange),IF($G385&gt;0,-LGD,0),0),IF(OR($J385="SWAP",$J385="FUTURE",$J385="CME FUTURE"),IF('Futures &amp; Perps Shifted'!$AE$31,VLOOKUP($M385,'Futures &amp; Perps Shifted'!$AE$32:$AO$76,MATCH($R385,'Futures &amp; Perps Shifted'!$AE$30:$AO$30,0),FALSE),0),0)))</f>
        <v/>
      </c>
    </row>
    <row r="386" spans="23:23" x14ac:dyDescent="0.25">
      <c r="W386" t="str">
        <f>IF($C386="","",IF(DefaultScenario,IF(OR(AND(Default_Exchange="ALL",NOT(ISERROR(MATCH($C386,$AE$6:$AE$37,0)))),$C386=Default_Exchange),IF($G386&gt;0,-LGD,0),0),IF(OR($J386="SWAP",$J386="FUTURE",$J386="CME FUTURE"),IF('Futures &amp; Perps Shifted'!$AE$31,VLOOKUP($M386,'Futures &amp; Perps Shifted'!$AE$32:$AO$76,MATCH($R386,'Futures &amp; Perps Shifted'!$AE$30:$AO$30,0),FALSE),0),0)))</f>
        <v/>
      </c>
    </row>
    <row r="387" spans="23:23" x14ac:dyDescent="0.25">
      <c r="W387" t="str">
        <f>IF($C387="","",IF(DefaultScenario,IF(OR(AND(Default_Exchange="ALL",NOT(ISERROR(MATCH($C387,$AE$6:$AE$37,0)))),$C387=Default_Exchange),IF($G387&gt;0,-LGD,0),0),IF(OR($J387="SWAP",$J387="FUTURE",$J387="CME FUTURE"),IF('Futures &amp; Perps Shifted'!$AE$31,VLOOKUP($M387,'Futures &amp; Perps Shifted'!$AE$32:$AO$76,MATCH($R387,'Futures &amp; Perps Shifted'!$AE$30:$AO$30,0),FALSE),0),0)))</f>
        <v/>
      </c>
    </row>
    <row r="388" spans="23:23" x14ac:dyDescent="0.25">
      <c r="W388" t="str">
        <f>IF($C388="","",IF(DefaultScenario,IF(OR(AND(Default_Exchange="ALL",NOT(ISERROR(MATCH($C388,$AE$6:$AE$37,0)))),$C388=Default_Exchange),IF($G388&gt;0,-LGD,0),0),IF(OR($J388="SWAP",$J388="FUTURE",$J388="CME FUTURE"),IF('Futures &amp; Perps Shifted'!$AE$31,VLOOKUP($M388,'Futures &amp; Perps Shifted'!$AE$32:$AO$76,MATCH($R388,'Futures &amp; Perps Shifted'!$AE$30:$AO$30,0),FALSE),0),0)))</f>
        <v/>
      </c>
    </row>
    <row r="389" spans="23:23" x14ac:dyDescent="0.25">
      <c r="W389" t="str">
        <f>IF($C389="","",IF(DefaultScenario,IF(OR(AND(Default_Exchange="ALL",NOT(ISERROR(MATCH($C389,$AE$6:$AE$37,0)))),$C389=Default_Exchange),IF($G389&gt;0,-LGD,0),0),IF(OR($J389="SWAP",$J389="FUTURE",$J389="CME FUTURE"),IF('Futures &amp; Perps Shifted'!$AE$31,VLOOKUP($M389,'Futures &amp; Perps Shifted'!$AE$32:$AO$76,MATCH($R389,'Futures &amp; Perps Shifted'!$AE$30:$AO$30,0),FALSE),0),0)))</f>
        <v/>
      </c>
    </row>
    <row r="390" spans="23:23" x14ac:dyDescent="0.25">
      <c r="W390" t="str">
        <f>IF($C390="","",IF(DefaultScenario,IF(OR(AND(Default_Exchange="ALL",NOT(ISERROR(MATCH($C390,$AE$6:$AE$37,0)))),$C390=Default_Exchange),IF($G390&gt;0,-LGD,0),0),IF(OR($J390="SWAP",$J390="FUTURE",$J390="CME FUTURE"),IF('Futures &amp; Perps Shifted'!$AE$31,VLOOKUP($M390,'Futures &amp; Perps Shifted'!$AE$32:$AO$76,MATCH($R390,'Futures &amp; Perps Shifted'!$AE$30:$AO$30,0),FALSE),0),0)))</f>
        <v/>
      </c>
    </row>
    <row r="391" spans="23:23" x14ac:dyDescent="0.25">
      <c r="W391" t="str">
        <f>IF($C391="","",IF(DefaultScenario,IF(OR(AND(Default_Exchange="ALL",NOT(ISERROR(MATCH($C391,$AE$6:$AE$37,0)))),$C391=Default_Exchange),IF($G391&gt;0,-LGD,0),0),IF(OR($J391="SWAP",$J391="FUTURE",$J391="CME FUTURE"),IF('Futures &amp; Perps Shifted'!$AE$31,VLOOKUP($M391,'Futures &amp; Perps Shifted'!$AE$32:$AO$76,MATCH($R391,'Futures &amp; Perps Shifted'!$AE$30:$AO$30,0),FALSE),0),0)))</f>
        <v/>
      </c>
    </row>
    <row r="392" spans="23:23" x14ac:dyDescent="0.25">
      <c r="W392" t="str">
        <f>IF($C392="","",IF(DefaultScenario,IF(OR(AND(Default_Exchange="ALL",NOT(ISERROR(MATCH($C392,$AE$6:$AE$37,0)))),$C392=Default_Exchange),IF($G392&gt;0,-LGD,0),0),IF(OR($J392="SWAP",$J392="FUTURE",$J392="CME FUTURE"),IF('Futures &amp; Perps Shifted'!$AE$31,VLOOKUP($M392,'Futures &amp; Perps Shifted'!$AE$32:$AO$76,MATCH($R392,'Futures &amp; Perps Shifted'!$AE$30:$AO$30,0),FALSE),0),0)))</f>
        <v/>
      </c>
    </row>
    <row r="393" spans="23:23" x14ac:dyDescent="0.25">
      <c r="W393" t="str">
        <f>IF($C393="","",IF(DefaultScenario,IF(OR(AND(Default_Exchange="ALL",NOT(ISERROR(MATCH($C393,$AE$6:$AE$37,0)))),$C393=Default_Exchange),IF($G393&gt;0,-LGD,0),0),IF(OR($J393="SWAP",$J393="FUTURE",$J393="CME FUTURE"),IF('Futures &amp; Perps Shifted'!$AE$31,VLOOKUP($M393,'Futures &amp; Perps Shifted'!$AE$32:$AO$76,MATCH($R393,'Futures &amp; Perps Shifted'!$AE$30:$AO$30,0),FALSE),0),0)))</f>
        <v/>
      </c>
    </row>
    <row r="394" spans="23:23" x14ac:dyDescent="0.25">
      <c r="W394" t="str">
        <f>IF($C394="","",IF(DefaultScenario,IF(OR(AND(Default_Exchange="ALL",NOT(ISERROR(MATCH($C394,$AE$6:$AE$37,0)))),$C394=Default_Exchange),IF($G394&gt;0,-LGD,0),0),IF(OR($J394="SWAP",$J394="FUTURE",$J394="CME FUTURE"),IF('Futures &amp; Perps Shifted'!$AE$31,VLOOKUP($M394,'Futures &amp; Perps Shifted'!$AE$32:$AO$76,MATCH($R394,'Futures &amp; Perps Shifted'!$AE$30:$AO$30,0),FALSE),0),0)))</f>
        <v/>
      </c>
    </row>
    <row r="395" spans="23:23" x14ac:dyDescent="0.25">
      <c r="W395" t="str">
        <f>IF($C395="","",IF(DefaultScenario,IF(OR(AND(Default_Exchange="ALL",NOT(ISERROR(MATCH($C395,$AE$6:$AE$37,0)))),$C395=Default_Exchange),IF($G395&gt;0,-LGD,0),0),IF(OR($J395="SWAP",$J395="FUTURE",$J395="CME FUTURE"),IF('Futures &amp; Perps Shifted'!$AE$31,VLOOKUP($M395,'Futures &amp; Perps Shifted'!$AE$32:$AO$76,MATCH($R395,'Futures &amp; Perps Shifted'!$AE$30:$AO$30,0),FALSE),0),0)))</f>
        <v/>
      </c>
    </row>
    <row r="396" spans="23:23" x14ac:dyDescent="0.25">
      <c r="W396" t="str">
        <f>IF($C396="","",IF(DefaultScenario,IF(OR(AND(Default_Exchange="ALL",NOT(ISERROR(MATCH($C396,$AE$6:$AE$37,0)))),$C396=Default_Exchange),IF($G396&gt;0,-LGD,0),0),IF(OR($J396="SWAP",$J396="FUTURE",$J396="CME FUTURE"),IF('Futures &amp; Perps Shifted'!$AE$31,VLOOKUP($M396,'Futures &amp; Perps Shifted'!$AE$32:$AO$76,MATCH($R396,'Futures &amp; Perps Shifted'!$AE$30:$AO$30,0),FALSE),0),0)))</f>
        <v/>
      </c>
    </row>
    <row r="397" spans="23:23" x14ac:dyDescent="0.25">
      <c r="W397" t="str">
        <f>IF($C397="","",IF(DefaultScenario,IF(OR(AND(Default_Exchange="ALL",NOT(ISERROR(MATCH($C397,$AE$6:$AE$37,0)))),$C397=Default_Exchange),IF($G397&gt;0,-LGD,0),0),IF(OR($J397="SWAP",$J397="FUTURE",$J397="CME FUTURE"),IF('Futures &amp; Perps Shifted'!$AE$31,VLOOKUP($M397,'Futures &amp; Perps Shifted'!$AE$32:$AO$76,MATCH($R397,'Futures &amp; Perps Shifted'!$AE$30:$AO$30,0),FALSE),0),0)))</f>
        <v/>
      </c>
    </row>
    <row r="398" spans="23:23" x14ac:dyDescent="0.25">
      <c r="W398" t="str">
        <f>IF($C398="","",IF(DefaultScenario,IF(OR(AND(Default_Exchange="ALL",NOT(ISERROR(MATCH($C398,$AE$6:$AE$37,0)))),$C398=Default_Exchange),IF($G398&gt;0,-LGD,0),0),IF(OR($J398="SWAP",$J398="FUTURE",$J398="CME FUTURE"),IF('Futures &amp; Perps Shifted'!$AE$31,VLOOKUP($M398,'Futures &amp; Perps Shifted'!$AE$32:$AO$76,MATCH($R398,'Futures &amp; Perps Shifted'!$AE$30:$AO$30,0),FALSE),0),0)))</f>
        <v/>
      </c>
    </row>
    <row r="399" spans="23:23" x14ac:dyDescent="0.25">
      <c r="W399" t="str">
        <f>IF($C399="","",IF(DefaultScenario,IF(OR(AND(Default_Exchange="ALL",NOT(ISERROR(MATCH($C399,$AE$6:$AE$37,0)))),$C399=Default_Exchange),IF($G399&gt;0,-LGD,0),0),IF(OR($J399="SWAP",$J399="FUTURE",$J399="CME FUTURE"),IF('Futures &amp; Perps Shifted'!$AE$31,VLOOKUP($M399,'Futures &amp; Perps Shifted'!$AE$32:$AO$76,MATCH($R399,'Futures &amp; Perps Shifted'!$AE$30:$AO$30,0),FALSE),0),0)))</f>
        <v/>
      </c>
    </row>
    <row r="400" spans="23:23" x14ac:dyDescent="0.25">
      <c r="W400" t="str">
        <f>IF($C400="","",IF(DefaultScenario,IF(OR(AND(Default_Exchange="ALL",NOT(ISERROR(MATCH($C400,$AE$6:$AE$37,0)))),$C400=Default_Exchange),IF($G400&gt;0,-LGD,0),0),IF(OR($J400="SWAP",$J400="FUTURE",$J400="CME FUTURE"),IF('Futures &amp; Perps Shifted'!$AE$31,VLOOKUP($M400,'Futures &amp; Perps Shifted'!$AE$32:$AO$76,MATCH($R400,'Futures &amp; Perps Shifted'!$AE$30:$AO$30,0),FALSE),0),0)))</f>
        <v/>
      </c>
    </row>
    <row r="401" spans="23:23" x14ac:dyDescent="0.25">
      <c r="W401" t="str">
        <f>IF($C401="","",IF(DefaultScenario,IF(OR(AND(Default_Exchange="ALL",NOT(ISERROR(MATCH($C401,$AE$6:$AE$37,0)))),$C401=Default_Exchange),IF($G401&gt;0,-LGD,0),0),IF(OR($J401="SWAP",$J401="FUTURE",$J401="CME FUTURE"),IF('Futures &amp; Perps Shifted'!$AE$31,VLOOKUP($M401,'Futures &amp; Perps Shifted'!$AE$32:$AO$76,MATCH($R401,'Futures &amp; Perps Shifted'!$AE$30:$AO$30,0),FALSE),0),0)))</f>
        <v/>
      </c>
    </row>
    <row r="402" spans="23:23" x14ac:dyDescent="0.25">
      <c r="W402" t="str">
        <f>IF($C402="","",IF(DefaultScenario,IF(OR(AND(Default_Exchange="ALL",NOT(ISERROR(MATCH($C402,$AE$6:$AE$37,0)))),$C402=Default_Exchange),IF($G402&gt;0,-LGD,0),0),IF(OR($J402="SWAP",$J402="FUTURE",$J402="CME FUTURE"),IF('Futures &amp; Perps Shifted'!$AE$31,VLOOKUP($M402,'Futures &amp; Perps Shifted'!$AE$32:$AO$76,MATCH($R402,'Futures &amp; Perps Shifted'!$AE$30:$AO$30,0),FALSE),0),0)))</f>
        <v/>
      </c>
    </row>
    <row r="403" spans="23:23" x14ac:dyDescent="0.25">
      <c r="W403" t="str">
        <f>IF($C403="","",IF(DefaultScenario,IF(OR(AND(Default_Exchange="ALL",NOT(ISERROR(MATCH($C403,$AE$6:$AE$37,0)))),$C403=Default_Exchange),IF($G403&gt;0,-LGD,0),0),IF(OR($J403="SWAP",$J403="FUTURE",$J403="CME FUTURE"),IF('Futures &amp; Perps Shifted'!$AE$31,VLOOKUP($M403,'Futures &amp; Perps Shifted'!$AE$32:$AO$76,MATCH($R403,'Futures &amp; Perps Shifted'!$AE$30:$AO$30,0),FALSE),0),0)))</f>
        <v/>
      </c>
    </row>
    <row r="404" spans="23:23" x14ac:dyDescent="0.25">
      <c r="W404" t="str">
        <f>IF($C404="","",IF(DefaultScenario,IF(OR(AND(Default_Exchange="ALL",NOT(ISERROR(MATCH($C404,$AE$6:$AE$37,0)))),$C404=Default_Exchange),IF($G404&gt;0,-LGD,0),0),IF(OR($J404="SWAP",$J404="FUTURE",$J404="CME FUTURE"),IF('Futures &amp; Perps Shifted'!$AE$31,VLOOKUP($M404,'Futures &amp; Perps Shifted'!$AE$32:$AO$76,MATCH($R404,'Futures &amp; Perps Shifted'!$AE$30:$AO$30,0),FALSE),0),0)))</f>
        <v/>
      </c>
    </row>
    <row r="405" spans="23:23" x14ac:dyDescent="0.25">
      <c r="W405" t="str">
        <f>IF($C405="","",IF(DefaultScenario,IF(OR(AND(Default_Exchange="ALL",NOT(ISERROR(MATCH($C405,$AE$6:$AE$37,0)))),$C405=Default_Exchange),IF($G405&gt;0,-LGD,0),0),IF(OR($J405="SWAP",$J405="FUTURE",$J405="CME FUTURE"),IF('Futures &amp; Perps Shifted'!$AE$31,VLOOKUP($M405,'Futures &amp; Perps Shifted'!$AE$32:$AO$76,MATCH($R405,'Futures &amp; Perps Shifted'!$AE$30:$AO$30,0),FALSE),0),0)))</f>
        <v/>
      </c>
    </row>
    <row r="406" spans="23:23" x14ac:dyDescent="0.25">
      <c r="W406" t="str">
        <f>IF($C406="","",IF(DefaultScenario,IF(OR(AND(Default_Exchange="ALL",NOT(ISERROR(MATCH($C406,$AE$6:$AE$37,0)))),$C406=Default_Exchange),IF($G406&gt;0,-LGD,0),0),IF(OR($J406="SWAP",$J406="FUTURE",$J406="CME FUTURE"),IF('Futures &amp; Perps Shifted'!$AE$31,VLOOKUP($M406,'Futures &amp; Perps Shifted'!$AE$32:$AO$76,MATCH($R406,'Futures &amp; Perps Shifted'!$AE$30:$AO$30,0),FALSE),0),0)))</f>
        <v/>
      </c>
    </row>
    <row r="407" spans="23:23" x14ac:dyDescent="0.25">
      <c r="W407" t="str">
        <f>IF($C407="","",IF(DefaultScenario,IF(OR(AND(Default_Exchange="ALL",NOT(ISERROR(MATCH($C407,$AE$6:$AE$37,0)))),$C407=Default_Exchange),IF($G407&gt;0,-LGD,0),0),IF(OR($J407="SWAP",$J407="FUTURE",$J407="CME FUTURE"),IF('Futures &amp; Perps Shifted'!$AE$31,VLOOKUP($M407,'Futures &amp; Perps Shifted'!$AE$32:$AO$76,MATCH($R407,'Futures &amp; Perps Shifted'!$AE$30:$AO$30,0),FALSE),0),0)))</f>
        <v/>
      </c>
    </row>
    <row r="408" spans="23:23" x14ac:dyDescent="0.25">
      <c r="W408" t="str">
        <f>IF($C408="","",IF(DefaultScenario,IF(OR(AND(Default_Exchange="ALL",NOT(ISERROR(MATCH($C408,$AE$6:$AE$37,0)))),$C408=Default_Exchange),IF($G408&gt;0,-LGD,0),0),IF(OR($J408="SWAP",$J408="FUTURE",$J408="CME FUTURE"),IF('Futures &amp; Perps Shifted'!$AE$31,VLOOKUP($M408,'Futures &amp; Perps Shifted'!$AE$32:$AO$76,MATCH($R408,'Futures &amp; Perps Shifted'!$AE$30:$AO$30,0),FALSE),0),0)))</f>
        <v/>
      </c>
    </row>
    <row r="409" spans="23:23" x14ac:dyDescent="0.25">
      <c r="W409" t="str">
        <f>IF($C409="","",IF(DefaultScenario,IF(OR(AND(Default_Exchange="ALL",NOT(ISERROR(MATCH($C409,$AE$6:$AE$37,0)))),$C409=Default_Exchange),IF($G409&gt;0,-LGD,0),0),IF(OR($J409="SWAP",$J409="FUTURE",$J409="CME FUTURE"),IF('Futures &amp; Perps Shifted'!$AE$31,VLOOKUP($M409,'Futures &amp; Perps Shifted'!$AE$32:$AO$76,MATCH($R409,'Futures &amp; Perps Shifted'!$AE$30:$AO$30,0),FALSE),0),0)))</f>
        <v/>
      </c>
    </row>
    <row r="410" spans="23:23" x14ac:dyDescent="0.25">
      <c r="W410" t="str">
        <f>IF($C410="","",IF(DefaultScenario,IF(OR(AND(Default_Exchange="ALL",NOT(ISERROR(MATCH($C410,$AE$6:$AE$37,0)))),$C410=Default_Exchange),IF($G410&gt;0,-LGD,0),0),IF(OR($J410="SWAP",$J410="FUTURE",$J410="CME FUTURE"),IF('Futures &amp; Perps Shifted'!$AE$31,VLOOKUP($M410,'Futures &amp; Perps Shifted'!$AE$32:$AO$76,MATCH($R410,'Futures &amp; Perps Shifted'!$AE$30:$AO$30,0),FALSE),0),0)))</f>
        <v/>
      </c>
    </row>
    <row r="411" spans="23:23" x14ac:dyDescent="0.25">
      <c r="W411" t="str">
        <f>IF($C411="","",IF(DefaultScenario,IF(OR(AND(Default_Exchange="ALL",NOT(ISERROR(MATCH($C411,$AE$6:$AE$37,0)))),$C411=Default_Exchange),IF($G411&gt;0,-LGD,0),0),IF(OR($J411="SWAP",$J411="FUTURE",$J411="CME FUTURE"),IF('Futures &amp; Perps Shifted'!$AE$31,VLOOKUP($M411,'Futures &amp; Perps Shifted'!$AE$32:$AO$76,MATCH($R411,'Futures &amp; Perps Shifted'!$AE$30:$AO$30,0),FALSE),0),0)))</f>
        <v/>
      </c>
    </row>
    <row r="412" spans="23:23" x14ac:dyDescent="0.25">
      <c r="W412" t="str">
        <f>IF($C412="","",IF(DefaultScenario,IF(OR(AND(Default_Exchange="ALL",NOT(ISERROR(MATCH($C412,$AE$6:$AE$37,0)))),$C412=Default_Exchange),IF($G412&gt;0,-LGD,0),0),IF(OR($J412="SWAP",$J412="FUTURE",$J412="CME FUTURE"),IF('Futures &amp; Perps Shifted'!$AE$31,VLOOKUP($M412,'Futures &amp; Perps Shifted'!$AE$32:$AO$76,MATCH($R412,'Futures &amp; Perps Shifted'!$AE$30:$AO$30,0),FALSE),0),0)))</f>
        <v/>
      </c>
    </row>
    <row r="413" spans="23:23" x14ac:dyDescent="0.25">
      <c r="W413" t="str">
        <f>IF($C413="","",IF(DefaultScenario,IF(OR(AND(Default_Exchange="ALL",NOT(ISERROR(MATCH($C413,$AE$6:$AE$37,0)))),$C413=Default_Exchange),IF($G413&gt;0,-LGD,0),0),IF(OR($J413="SWAP",$J413="FUTURE",$J413="CME FUTURE"),IF('Futures &amp; Perps Shifted'!$AE$31,VLOOKUP($M413,'Futures &amp; Perps Shifted'!$AE$32:$AO$76,MATCH($R413,'Futures &amp; Perps Shifted'!$AE$30:$AO$30,0),FALSE),0),0)))</f>
        <v/>
      </c>
    </row>
    <row r="414" spans="23:23" x14ac:dyDescent="0.25">
      <c r="W414" t="str">
        <f>IF($C414="","",IF(DefaultScenario,IF(OR(AND(Default_Exchange="ALL",NOT(ISERROR(MATCH($C414,$AE$6:$AE$37,0)))),$C414=Default_Exchange),IF($G414&gt;0,-LGD,0),0),IF(OR($J414="SWAP",$J414="FUTURE",$J414="CME FUTURE"),IF('Futures &amp; Perps Shifted'!$AE$31,VLOOKUP($M414,'Futures &amp; Perps Shifted'!$AE$32:$AO$76,MATCH($R414,'Futures &amp; Perps Shifted'!$AE$30:$AO$30,0),FALSE),0),0)))</f>
        <v/>
      </c>
    </row>
    <row r="415" spans="23:23" x14ac:dyDescent="0.25">
      <c r="W415" t="str">
        <f>IF($C415="","",IF(DefaultScenario,IF(OR(AND(Default_Exchange="ALL",NOT(ISERROR(MATCH($C415,$AE$6:$AE$37,0)))),$C415=Default_Exchange),IF($G415&gt;0,-LGD,0),0),IF(OR($J415="SWAP",$J415="FUTURE",$J415="CME FUTURE"),IF('Futures &amp; Perps Shifted'!$AE$31,VLOOKUP($M415,'Futures &amp; Perps Shifted'!$AE$32:$AO$76,MATCH($R415,'Futures &amp; Perps Shifted'!$AE$30:$AO$30,0),FALSE),0),0)))</f>
        <v/>
      </c>
    </row>
    <row r="416" spans="23:23" x14ac:dyDescent="0.25">
      <c r="W416" t="str">
        <f>IF($C416="","",IF(DefaultScenario,IF(OR(AND(Default_Exchange="ALL",NOT(ISERROR(MATCH($C416,$AE$6:$AE$37,0)))),$C416=Default_Exchange),IF($G416&gt;0,-LGD,0),0),IF(OR($J416="SWAP",$J416="FUTURE",$J416="CME FUTURE"),IF('Futures &amp; Perps Shifted'!$AE$31,VLOOKUP($M416,'Futures &amp; Perps Shifted'!$AE$32:$AO$76,MATCH($R416,'Futures &amp; Perps Shifted'!$AE$30:$AO$30,0),FALSE),0),0)))</f>
        <v/>
      </c>
    </row>
    <row r="417" spans="23:23" x14ac:dyDescent="0.25">
      <c r="W417" t="str">
        <f>IF($C417="","",IF(DefaultScenario,IF(OR(AND(Default_Exchange="ALL",NOT(ISERROR(MATCH($C417,$AE$6:$AE$37,0)))),$C417=Default_Exchange),IF($G417&gt;0,-LGD,0),0),IF(OR($J417="SWAP",$J417="FUTURE",$J417="CME FUTURE"),IF('Futures &amp; Perps Shifted'!$AE$31,VLOOKUP($M417,'Futures &amp; Perps Shifted'!$AE$32:$AO$76,MATCH($R417,'Futures &amp; Perps Shifted'!$AE$30:$AO$30,0),FALSE),0),0)))</f>
        <v/>
      </c>
    </row>
    <row r="418" spans="23:23" x14ac:dyDescent="0.25">
      <c r="W418" t="str">
        <f>IF($C418="","",IF(DefaultScenario,IF(OR(AND(Default_Exchange="ALL",NOT(ISERROR(MATCH($C418,$AE$6:$AE$37,0)))),$C418=Default_Exchange),IF($G418&gt;0,-LGD,0),0),IF(OR($J418="SWAP",$J418="FUTURE",$J418="CME FUTURE"),IF('Futures &amp; Perps Shifted'!$AE$31,VLOOKUP($M418,'Futures &amp; Perps Shifted'!$AE$32:$AO$76,MATCH($R418,'Futures &amp; Perps Shifted'!$AE$30:$AO$30,0),FALSE),0),0)))</f>
        <v/>
      </c>
    </row>
    <row r="419" spans="23:23" x14ac:dyDescent="0.25">
      <c r="W419" t="str">
        <f>IF($C419="","",IF(DefaultScenario,IF(OR(AND(Default_Exchange="ALL",NOT(ISERROR(MATCH($C419,$AE$6:$AE$37,0)))),$C419=Default_Exchange),IF($G419&gt;0,-LGD,0),0),IF(OR($J419="SWAP",$J419="FUTURE",$J419="CME FUTURE"),IF('Futures &amp; Perps Shifted'!$AE$31,VLOOKUP($M419,'Futures &amp; Perps Shifted'!$AE$32:$AO$76,MATCH($R419,'Futures &amp; Perps Shifted'!$AE$30:$AO$30,0),FALSE),0),0)))</f>
        <v/>
      </c>
    </row>
    <row r="420" spans="23:23" x14ac:dyDescent="0.25">
      <c r="W420" t="str">
        <f>IF($C420="","",IF(DefaultScenario,IF(OR(AND(Default_Exchange="ALL",NOT(ISERROR(MATCH($C420,$AE$6:$AE$37,0)))),$C420=Default_Exchange),IF($G420&gt;0,-LGD,0),0),IF(OR($J420="SWAP",$J420="FUTURE",$J420="CME FUTURE"),IF('Futures &amp; Perps Shifted'!$AE$31,VLOOKUP($M420,'Futures &amp; Perps Shifted'!$AE$32:$AO$76,MATCH($R420,'Futures &amp; Perps Shifted'!$AE$30:$AO$30,0),FALSE),0),0)))</f>
        <v/>
      </c>
    </row>
    <row r="421" spans="23:23" x14ac:dyDescent="0.25">
      <c r="W421" t="str">
        <f>IF($C421="","",IF(DefaultScenario,IF(OR(AND(Default_Exchange="ALL",NOT(ISERROR(MATCH($C421,$AE$6:$AE$37,0)))),$C421=Default_Exchange),IF($G421&gt;0,-LGD,0),0),IF(OR($J421="SWAP",$J421="FUTURE",$J421="CME FUTURE"),IF('Futures &amp; Perps Shifted'!$AE$31,VLOOKUP($M421,'Futures &amp; Perps Shifted'!$AE$32:$AO$76,MATCH($R421,'Futures &amp; Perps Shifted'!$AE$30:$AO$30,0),FALSE),0),0)))</f>
        <v/>
      </c>
    </row>
    <row r="422" spans="23:23" x14ac:dyDescent="0.25">
      <c r="W422" t="str">
        <f>IF($C422="","",IF(DefaultScenario,IF(OR(AND(Default_Exchange="ALL",NOT(ISERROR(MATCH($C422,$AE$6:$AE$37,0)))),$C422=Default_Exchange),IF($G422&gt;0,-LGD,0),0),IF(OR($J422="SWAP",$J422="FUTURE",$J422="CME FUTURE"),IF('Futures &amp; Perps Shifted'!$AE$31,VLOOKUP($M422,'Futures &amp; Perps Shifted'!$AE$32:$AO$76,MATCH($R422,'Futures &amp; Perps Shifted'!$AE$30:$AO$30,0),FALSE),0),0)))</f>
        <v/>
      </c>
    </row>
    <row r="423" spans="23:23" x14ac:dyDescent="0.25">
      <c r="W423" t="str">
        <f>IF($C423="","",IF(DefaultScenario,IF(OR(AND(Default_Exchange="ALL",NOT(ISERROR(MATCH($C423,$AE$6:$AE$37,0)))),$C423=Default_Exchange),IF($G423&gt;0,-LGD,0),0),IF(OR($J423="SWAP",$J423="FUTURE",$J423="CME FUTURE"),IF('Futures &amp; Perps Shifted'!$AE$31,VLOOKUP($M423,'Futures &amp; Perps Shifted'!$AE$32:$AO$76,MATCH($R423,'Futures &amp; Perps Shifted'!$AE$30:$AO$30,0),FALSE),0),0)))</f>
        <v/>
      </c>
    </row>
    <row r="424" spans="23:23" x14ac:dyDescent="0.25">
      <c r="W424" t="str">
        <f>IF($C424="","",IF(DefaultScenario,IF(OR(AND(Default_Exchange="ALL",NOT(ISERROR(MATCH($C424,$AE$6:$AE$37,0)))),$C424=Default_Exchange),IF($G424&gt;0,-LGD,0),0),IF(OR($J424="SWAP",$J424="FUTURE",$J424="CME FUTURE"),IF('Futures &amp; Perps Shifted'!$AE$31,VLOOKUP($M424,'Futures &amp; Perps Shifted'!$AE$32:$AO$76,MATCH($R424,'Futures &amp; Perps Shifted'!$AE$30:$AO$30,0),FALSE),0),0)))</f>
        <v/>
      </c>
    </row>
    <row r="425" spans="23:23" x14ac:dyDescent="0.25">
      <c r="W425" t="str">
        <f>IF($C425="","",IF(DefaultScenario,IF(OR(AND(Default_Exchange="ALL",NOT(ISERROR(MATCH($C425,$AE$6:$AE$37,0)))),$C425=Default_Exchange),IF($G425&gt;0,-LGD,0),0),IF(OR($J425="SWAP",$J425="FUTURE",$J425="CME FUTURE"),IF('Futures &amp; Perps Shifted'!$AE$31,VLOOKUP($M425,'Futures &amp; Perps Shifted'!$AE$32:$AO$76,MATCH($R425,'Futures &amp; Perps Shifted'!$AE$30:$AO$30,0),FALSE),0),0)))</f>
        <v/>
      </c>
    </row>
    <row r="426" spans="23:23" x14ac:dyDescent="0.25">
      <c r="W426" t="str">
        <f>IF($C426="","",IF(DefaultScenario,IF(OR(AND(Default_Exchange="ALL",NOT(ISERROR(MATCH($C426,$AE$6:$AE$37,0)))),$C426=Default_Exchange),IF($G426&gt;0,-LGD,0),0),IF(OR($J426="SWAP",$J426="FUTURE",$J426="CME FUTURE"),IF('Futures &amp; Perps Shifted'!$AE$31,VLOOKUP($M426,'Futures &amp; Perps Shifted'!$AE$32:$AO$76,MATCH($R426,'Futures &amp; Perps Shifted'!$AE$30:$AO$30,0),FALSE),0),0)))</f>
        <v/>
      </c>
    </row>
    <row r="427" spans="23:23" x14ac:dyDescent="0.25">
      <c r="W427" t="str">
        <f>IF($C427="","",IF(DefaultScenario,IF(OR(AND(Default_Exchange="ALL",NOT(ISERROR(MATCH($C427,$AE$6:$AE$37,0)))),$C427=Default_Exchange),IF($G427&gt;0,-LGD,0),0),IF(OR($J427="SWAP",$J427="FUTURE",$J427="CME FUTURE"),IF('Futures &amp; Perps Shifted'!$AE$31,VLOOKUP($M427,'Futures &amp; Perps Shifted'!$AE$32:$AO$76,MATCH($R427,'Futures &amp; Perps Shifted'!$AE$30:$AO$30,0),FALSE),0),0)))</f>
        <v/>
      </c>
    </row>
    <row r="428" spans="23:23" x14ac:dyDescent="0.25">
      <c r="W428" t="str">
        <f>IF($C428="","",IF(DefaultScenario,IF(OR(AND(Default_Exchange="ALL",NOT(ISERROR(MATCH($C428,$AE$6:$AE$37,0)))),$C428=Default_Exchange),IF($G428&gt;0,-LGD,0),0),IF(OR($J428="SWAP",$J428="FUTURE",$J428="CME FUTURE"),IF('Futures &amp; Perps Shifted'!$AE$31,VLOOKUP($M428,'Futures &amp; Perps Shifted'!$AE$32:$AO$76,MATCH($R428,'Futures &amp; Perps Shifted'!$AE$30:$AO$30,0),FALSE),0),0)))</f>
        <v/>
      </c>
    </row>
    <row r="429" spans="23:23" x14ac:dyDescent="0.25">
      <c r="W429" t="str">
        <f>IF($C429="","",IF(DefaultScenario,IF(OR(AND(Default_Exchange="ALL",NOT(ISERROR(MATCH($C429,$AE$6:$AE$37,0)))),$C429=Default_Exchange),IF($G429&gt;0,-LGD,0),0),IF(OR($J429="SWAP",$J429="FUTURE",$J429="CME FUTURE"),IF('Futures &amp; Perps Shifted'!$AE$31,VLOOKUP($M429,'Futures &amp; Perps Shifted'!$AE$32:$AO$76,MATCH($R429,'Futures &amp; Perps Shifted'!$AE$30:$AO$30,0),FALSE),0),0)))</f>
        <v/>
      </c>
    </row>
    <row r="430" spans="23:23" x14ac:dyDescent="0.25">
      <c r="W430" t="str">
        <f>IF($C430="","",IF(DefaultScenario,IF(OR(AND(Default_Exchange="ALL",NOT(ISERROR(MATCH($C430,$AE$6:$AE$37,0)))),$C430=Default_Exchange),IF($G430&gt;0,-LGD,0),0),IF(OR($J430="SWAP",$J430="FUTURE",$J430="CME FUTURE"),IF('Futures &amp; Perps Shifted'!$AE$31,VLOOKUP($M430,'Futures &amp; Perps Shifted'!$AE$32:$AO$76,MATCH($R430,'Futures &amp; Perps Shifted'!$AE$30:$AO$30,0),FALSE),0),0)))</f>
        <v/>
      </c>
    </row>
    <row r="431" spans="23:23" x14ac:dyDescent="0.25">
      <c r="W431" t="str">
        <f>IF($C431="","",IF(DefaultScenario,IF(OR(AND(Default_Exchange="ALL",NOT(ISERROR(MATCH($C431,$AE$6:$AE$37,0)))),$C431=Default_Exchange),IF($G431&gt;0,-LGD,0),0),IF(OR($J431="SWAP",$J431="FUTURE",$J431="CME FUTURE"),IF('Futures &amp; Perps Shifted'!$AE$31,VLOOKUP($M431,'Futures &amp; Perps Shifted'!$AE$32:$AO$76,MATCH($R431,'Futures &amp; Perps Shifted'!$AE$30:$AO$30,0),FALSE),0),0)))</f>
        <v/>
      </c>
    </row>
    <row r="432" spans="23:23" x14ac:dyDescent="0.25">
      <c r="W432" t="str">
        <f>IF($C432="","",IF(DefaultScenario,IF(OR(AND(Default_Exchange="ALL",NOT(ISERROR(MATCH($C432,$AE$6:$AE$37,0)))),$C432=Default_Exchange),IF($G432&gt;0,-LGD,0),0),IF(OR($J432="SWAP",$J432="FUTURE",$J432="CME FUTURE"),IF('Futures &amp; Perps Shifted'!$AE$31,VLOOKUP($M432,'Futures &amp; Perps Shifted'!$AE$32:$AO$76,MATCH($R432,'Futures &amp; Perps Shifted'!$AE$30:$AO$30,0),FALSE),0),0)))</f>
        <v/>
      </c>
    </row>
    <row r="433" spans="23:23" x14ac:dyDescent="0.25">
      <c r="W433" t="str">
        <f>IF($C433="","",IF(DefaultScenario,IF(OR(AND(Default_Exchange="ALL",NOT(ISERROR(MATCH($C433,$AE$6:$AE$37,0)))),$C433=Default_Exchange),IF($G433&gt;0,-LGD,0),0),IF(OR($J433="SWAP",$J433="FUTURE",$J433="CME FUTURE"),IF('Futures &amp; Perps Shifted'!$AE$31,VLOOKUP($M433,'Futures &amp; Perps Shifted'!$AE$32:$AO$76,MATCH($R433,'Futures &amp; Perps Shifted'!$AE$30:$AO$30,0),FALSE),0),0)))</f>
        <v/>
      </c>
    </row>
    <row r="434" spans="23:23" x14ac:dyDescent="0.25">
      <c r="W434" t="str">
        <f>IF($C434="","",IF(DefaultScenario,IF(OR(AND(Default_Exchange="ALL",NOT(ISERROR(MATCH($C434,$AE$6:$AE$37,0)))),$C434=Default_Exchange),IF($G434&gt;0,-LGD,0),0),IF(OR($J434="SWAP",$J434="FUTURE",$J434="CME FUTURE"),IF('Futures &amp; Perps Shifted'!$AE$31,VLOOKUP($M434,'Futures &amp; Perps Shifted'!$AE$32:$AO$76,MATCH($R434,'Futures &amp; Perps Shifted'!$AE$30:$AO$30,0),FALSE),0),0)))</f>
        <v/>
      </c>
    </row>
    <row r="435" spans="23:23" x14ac:dyDescent="0.25">
      <c r="W435" t="str">
        <f>IF($C435="","",IF(DefaultScenario,IF(OR(AND(Default_Exchange="ALL",NOT(ISERROR(MATCH($C435,$AE$6:$AE$37,0)))),$C435=Default_Exchange),IF($G435&gt;0,-LGD,0),0),IF(OR($J435="SWAP",$J435="FUTURE",$J435="CME FUTURE"),IF('Futures &amp; Perps Shifted'!$AE$31,VLOOKUP($M435,'Futures &amp; Perps Shifted'!$AE$32:$AO$76,MATCH($R435,'Futures &amp; Perps Shifted'!$AE$30:$AO$30,0),FALSE),0),0)))</f>
        <v/>
      </c>
    </row>
    <row r="436" spans="23:23" x14ac:dyDescent="0.25">
      <c r="W436" t="str">
        <f>IF($C436="","",IF(DefaultScenario,IF(OR(AND(Default_Exchange="ALL",NOT(ISERROR(MATCH($C436,$AE$6:$AE$37,0)))),$C436=Default_Exchange),IF($G436&gt;0,-LGD,0),0),IF(OR($J436="SWAP",$J436="FUTURE",$J436="CME FUTURE"),IF('Futures &amp; Perps Shifted'!$AE$31,VLOOKUP($M436,'Futures &amp; Perps Shifted'!$AE$32:$AO$76,MATCH($R436,'Futures &amp; Perps Shifted'!$AE$30:$AO$30,0),FALSE),0),0)))</f>
        <v/>
      </c>
    </row>
    <row r="437" spans="23:23" x14ac:dyDescent="0.25">
      <c r="W437" t="str">
        <f>IF($C437="","",IF(DefaultScenario,IF(OR(AND(Default_Exchange="ALL",NOT(ISERROR(MATCH($C437,$AE$6:$AE$37,0)))),$C437=Default_Exchange),IF($G437&gt;0,-LGD,0),0),IF(OR($J437="SWAP",$J437="FUTURE",$J437="CME FUTURE"),IF('Futures &amp; Perps Shifted'!$AE$31,VLOOKUP($M437,'Futures &amp; Perps Shifted'!$AE$32:$AO$76,MATCH($R437,'Futures &amp; Perps Shifted'!$AE$30:$AO$30,0),FALSE),0),0)))</f>
        <v/>
      </c>
    </row>
    <row r="438" spans="23:23" x14ac:dyDescent="0.25">
      <c r="W438" t="str">
        <f>IF($C438="","",IF(DefaultScenario,IF(OR(AND(Default_Exchange="ALL",NOT(ISERROR(MATCH($C438,$AE$6:$AE$37,0)))),$C438=Default_Exchange),IF($G438&gt;0,-LGD,0),0),IF(OR($J438="SWAP",$J438="FUTURE",$J438="CME FUTURE"),IF('Futures &amp; Perps Shifted'!$AE$31,VLOOKUP($M438,'Futures &amp; Perps Shifted'!$AE$32:$AO$76,MATCH($R438,'Futures &amp; Perps Shifted'!$AE$30:$AO$30,0),FALSE),0),0)))</f>
        <v/>
      </c>
    </row>
    <row r="439" spans="23:23" x14ac:dyDescent="0.25">
      <c r="W439" t="str">
        <f>IF($C439="","",IF(DefaultScenario,IF(OR(AND(Default_Exchange="ALL",NOT(ISERROR(MATCH($C439,$AE$6:$AE$37,0)))),$C439=Default_Exchange),IF($G439&gt;0,-LGD,0),0),IF(OR($J439="SWAP",$J439="FUTURE",$J439="CME FUTURE"),IF('Futures &amp; Perps Shifted'!$AE$31,VLOOKUP($M439,'Futures &amp; Perps Shifted'!$AE$32:$AO$76,MATCH($R439,'Futures &amp; Perps Shifted'!$AE$30:$AO$30,0),FALSE),0),0)))</f>
        <v/>
      </c>
    </row>
    <row r="440" spans="23:23" x14ac:dyDescent="0.25">
      <c r="W440" t="str">
        <f>IF($C440="","",IF(DefaultScenario,IF(OR(AND(Default_Exchange="ALL",NOT(ISERROR(MATCH($C440,$AE$6:$AE$37,0)))),$C440=Default_Exchange),IF($G440&gt;0,-LGD,0),0),IF(OR($J440="SWAP",$J440="FUTURE",$J440="CME FUTURE"),IF('Futures &amp; Perps Shifted'!$AE$31,VLOOKUP($M440,'Futures &amp; Perps Shifted'!$AE$32:$AO$76,MATCH($R440,'Futures &amp; Perps Shifted'!$AE$30:$AO$30,0),FALSE),0),0)))</f>
        <v/>
      </c>
    </row>
    <row r="441" spans="23:23" x14ac:dyDescent="0.25">
      <c r="W441" t="str">
        <f>IF($C441="","",IF(DefaultScenario,IF(OR(AND(Default_Exchange="ALL",NOT(ISERROR(MATCH($C441,$AE$6:$AE$37,0)))),$C441=Default_Exchange),IF($G441&gt;0,-LGD,0),0),IF(OR($J441="SWAP",$J441="FUTURE",$J441="CME FUTURE"),IF('Futures &amp; Perps Shifted'!$AE$31,VLOOKUP($M441,'Futures &amp; Perps Shifted'!$AE$32:$AO$76,MATCH($R441,'Futures &amp; Perps Shifted'!$AE$30:$AO$30,0),FALSE),0),0)))</f>
        <v/>
      </c>
    </row>
    <row r="442" spans="23:23" x14ac:dyDescent="0.25">
      <c r="W442" t="str">
        <f>IF($C442="","",IF(DefaultScenario,IF(OR(AND(Default_Exchange="ALL",NOT(ISERROR(MATCH($C442,$AE$6:$AE$37,0)))),$C442=Default_Exchange),IF($G442&gt;0,-LGD,0),0),IF(OR($J442="SWAP",$J442="FUTURE",$J442="CME FUTURE"),IF('Futures &amp; Perps Shifted'!$AE$31,VLOOKUP($M442,'Futures &amp; Perps Shifted'!$AE$32:$AO$76,MATCH($R442,'Futures &amp; Perps Shifted'!$AE$30:$AO$30,0),FALSE),0),0)))</f>
        <v/>
      </c>
    </row>
    <row r="443" spans="23:23" x14ac:dyDescent="0.25">
      <c r="W443" t="str">
        <f>IF($C443="","",IF(DefaultScenario,IF(OR(AND(Default_Exchange="ALL",NOT(ISERROR(MATCH($C443,$AE$6:$AE$37,0)))),$C443=Default_Exchange),IF($G443&gt;0,-LGD,0),0),IF(OR($J443="SWAP",$J443="FUTURE",$J443="CME FUTURE"),IF('Futures &amp; Perps Shifted'!$AE$31,VLOOKUP($M443,'Futures &amp; Perps Shifted'!$AE$32:$AO$76,MATCH($R443,'Futures &amp; Perps Shifted'!$AE$30:$AO$30,0),FALSE),0),0)))</f>
        <v/>
      </c>
    </row>
    <row r="444" spans="23:23" x14ac:dyDescent="0.25">
      <c r="W444" t="str">
        <f>IF($C444="","",IF(DefaultScenario,IF(OR(AND(Default_Exchange="ALL",NOT(ISERROR(MATCH($C444,$AE$6:$AE$37,0)))),$C444=Default_Exchange),IF($G444&gt;0,-LGD,0),0),IF(OR($J444="SWAP",$J444="FUTURE",$J444="CME FUTURE"),IF('Futures &amp; Perps Shifted'!$AE$31,VLOOKUP($M444,'Futures &amp; Perps Shifted'!$AE$32:$AO$76,MATCH($R444,'Futures &amp; Perps Shifted'!$AE$30:$AO$30,0),FALSE),0),0)))</f>
        <v/>
      </c>
    </row>
    <row r="445" spans="23:23" x14ac:dyDescent="0.25">
      <c r="W445" t="str">
        <f>IF($C445="","",IF(DefaultScenario,IF(OR(AND(Default_Exchange="ALL",NOT(ISERROR(MATCH($C445,$AE$6:$AE$37,0)))),$C445=Default_Exchange),IF($G445&gt;0,-LGD,0),0),IF(OR($J445="SWAP",$J445="FUTURE",$J445="CME FUTURE"),IF('Futures &amp; Perps Shifted'!$AE$31,VLOOKUP($M445,'Futures &amp; Perps Shifted'!$AE$32:$AO$76,MATCH($R445,'Futures &amp; Perps Shifted'!$AE$30:$AO$30,0),FALSE),0),0)))</f>
        <v/>
      </c>
    </row>
    <row r="446" spans="23:23" x14ac:dyDescent="0.25">
      <c r="W446" t="str">
        <f>IF($C446="","",IF(DefaultScenario,IF(OR(AND(Default_Exchange="ALL",NOT(ISERROR(MATCH($C446,$AE$6:$AE$37,0)))),$C446=Default_Exchange),IF($G446&gt;0,-LGD,0),0),IF(OR($J446="SWAP",$J446="FUTURE",$J446="CME FUTURE"),IF('Futures &amp; Perps Shifted'!$AE$31,VLOOKUP($M446,'Futures &amp; Perps Shifted'!$AE$32:$AO$76,MATCH($R446,'Futures &amp; Perps Shifted'!$AE$30:$AO$30,0),FALSE),0),0)))</f>
        <v/>
      </c>
    </row>
    <row r="447" spans="23:23" x14ac:dyDescent="0.25">
      <c r="W447" t="str">
        <f>IF($C447="","",IF(DefaultScenario,IF(OR(AND(Default_Exchange="ALL",NOT(ISERROR(MATCH($C447,$AE$6:$AE$37,0)))),$C447=Default_Exchange),IF($G447&gt;0,-LGD,0),0),IF(OR($J447="SWAP",$J447="FUTURE",$J447="CME FUTURE"),IF('Futures &amp; Perps Shifted'!$AE$31,VLOOKUP($M447,'Futures &amp; Perps Shifted'!$AE$32:$AO$76,MATCH($R447,'Futures &amp; Perps Shifted'!$AE$30:$AO$30,0),FALSE),0),0)))</f>
        <v/>
      </c>
    </row>
    <row r="448" spans="23:23" x14ac:dyDescent="0.25">
      <c r="W448" t="str">
        <f>IF($C448="","",IF(DefaultScenario,IF(OR(AND(Default_Exchange="ALL",NOT(ISERROR(MATCH($C448,$AE$6:$AE$37,0)))),$C448=Default_Exchange),IF($G448&gt;0,-LGD,0),0),IF(OR($J448="SWAP",$J448="FUTURE",$J448="CME FUTURE"),IF('Futures &amp; Perps Shifted'!$AE$31,VLOOKUP($M448,'Futures &amp; Perps Shifted'!$AE$32:$AO$76,MATCH($R448,'Futures &amp; Perps Shifted'!$AE$30:$AO$30,0),FALSE),0),0)))</f>
        <v/>
      </c>
    </row>
    <row r="449" spans="23:23" x14ac:dyDescent="0.25">
      <c r="W449" t="str">
        <f>IF($C449="","",IF(DefaultScenario,IF(OR(AND(Default_Exchange="ALL",NOT(ISERROR(MATCH($C449,$AE$6:$AE$37,0)))),$C449=Default_Exchange),IF($G449&gt;0,-LGD,0),0),IF(OR($J449="SWAP",$J449="FUTURE",$J449="CME FUTURE"),IF('Futures &amp; Perps Shifted'!$AE$31,VLOOKUP($M449,'Futures &amp; Perps Shifted'!$AE$32:$AO$76,MATCH($R449,'Futures &amp; Perps Shifted'!$AE$30:$AO$30,0),FALSE),0),0)))</f>
        <v/>
      </c>
    </row>
    <row r="450" spans="23:23" x14ac:dyDescent="0.25">
      <c r="W450" t="str">
        <f>IF($C450="","",IF(DefaultScenario,IF(OR(AND(Default_Exchange="ALL",NOT(ISERROR(MATCH($C450,$AE$6:$AE$37,0)))),$C450=Default_Exchange),IF($G450&gt;0,-LGD,0),0),IF(OR($J450="SWAP",$J450="FUTURE",$J450="CME FUTURE"),IF('Futures &amp; Perps Shifted'!$AE$31,VLOOKUP($M450,'Futures &amp; Perps Shifted'!$AE$32:$AO$76,MATCH($R450,'Futures &amp; Perps Shifted'!$AE$30:$AO$30,0),FALSE),0),0)))</f>
        <v/>
      </c>
    </row>
    <row r="451" spans="23:23" x14ac:dyDescent="0.25">
      <c r="W451" t="str">
        <f>IF($C451="","",IF(DefaultScenario,IF(OR(AND(Default_Exchange="ALL",NOT(ISERROR(MATCH($C451,$AE$6:$AE$37,0)))),$C451=Default_Exchange),IF($G451&gt;0,-LGD,0),0),IF(OR($J451="SWAP",$J451="FUTURE",$J451="CME FUTURE"),IF('Futures &amp; Perps Shifted'!$AE$31,VLOOKUP($M451,'Futures &amp; Perps Shifted'!$AE$32:$AO$76,MATCH($R451,'Futures &amp; Perps Shifted'!$AE$30:$AO$30,0),FALSE),0),0)))</f>
        <v/>
      </c>
    </row>
    <row r="452" spans="23:23" x14ac:dyDescent="0.25">
      <c r="W452" t="str">
        <f>IF($C452="","",IF(DefaultScenario,IF(OR(AND(Default_Exchange="ALL",NOT(ISERROR(MATCH($C452,$AE$6:$AE$37,0)))),$C452=Default_Exchange),IF($G452&gt;0,-LGD,0),0),IF(OR($J452="SWAP",$J452="FUTURE",$J452="CME FUTURE"),IF('Futures &amp; Perps Shifted'!$AE$31,VLOOKUP($M452,'Futures &amp; Perps Shifted'!$AE$32:$AO$76,MATCH($R452,'Futures &amp; Perps Shifted'!$AE$30:$AO$30,0),FALSE),0),0)))</f>
        <v/>
      </c>
    </row>
    <row r="453" spans="23:23" x14ac:dyDescent="0.25">
      <c r="W453" t="str">
        <f>IF($C453="","",IF(DefaultScenario,IF(OR(AND(Default_Exchange="ALL",NOT(ISERROR(MATCH($C453,$AE$6:$AE$37,0)))),$C453=Default_Exchange),IF($G453&gt;0,-LGD,0),0),IF(OR($J453="SWAP",$J453="FUTURE",$J453="CME FUTURE"),IF('Futures &amp; Perps Shifted'!$AE$31,VLOOKUP($M453,'Futures &amp; Perps Shifted'!$AE$32:$AO$76,MATCH($R453,'Futures &amp; Perps Shifted'!$AE$30:$AO$30,0),FALSE),0),0)))</f>
        <v/>
      </c>
    </row>
    <row r="454" spans="23:23" x14ac:dyDescent="0.25">
      <c r="W454" t="str">
        <f>IF($C454="","",IF(DefaultScenario,IF(OR(AND(Default_Exchange="ALL",NOT(ISERROR(MATCH($C454,$AE$6:$AE$37,0)))),$C454=Default_Exchange),IF($G454&gt;0,-LGD,0),0),IF(OR($J454="SWAP",$J454="FUTURE",$J454="CME FUTURE"),IF('Futures &amp; Perps Shifted'!$AE$31,VLOOKUP($M454,'Futures &amp; Perps Shifted'!$AE$32:$AO$76,MATCH($R454,'Futures &amp; Perps Shifted'!$AE$30:$AO$30,0),FALSE),0),0)))</f>
        <v/>
      </c>
    </row>
    <row r="455" spans="23:23" x14ac:dyDescent="0.25">
      <c r="W455" t="str">
        <f>IF($C455="","",IF(DefaultScenario,IF(OR(AND(Default_Exchange="ALL",NOT(ISERROR(MATCH($C455,$AE$6:$AE$37,0)))),$C455=Default_Exchange),IF($G455&gt;0,-LGD,0),0),IF(OR($J455="SWAP",$J455="FUTURE",$J455="CME FUTURE"),IF('Futures &amp; Perps Shifted'!$AE$31,VLOOKUP($M455,'Futures &amp; Perps Shifted'!$AE$32:$AO$76,MATCH($R455,'Futures &amp; Perps Shifted'!$AE$30:$AO$30,0),FALSE),0),0)))</f>
        <v/>
      </c>
    </row>
    <row r="456" spans="23:23" x14ac:dyDescent="0.25">
      <c r="W456" t="str">
        <f>IF($C456="","",IF(DefaultScenario,IF(OR(AND(Default_Exchange="ALL",NOT(ISERROR(MATCH($C456,$AE$6:$AE$37,0)))),$C456=Default_Exchange),IF($G456&gt;0,-LGD,0),0),IF(OR($J456="SWAP",$J456="FUTURE",$J456="CME FUTURE"),IF('Futures &amp; Perps Shifted'!$AE$31,VLOOKUP($M456,'Futures &amp; Perps Shifted'!$AE$32:$AO$76,MATCH($R456,'Futures &amp; Perps Shifted'!$AE$30:$AO$30,0),FALSE),0),0)))</f>
        <v/>
      </c>
    </row>
    <row r="457" spans="23:23" x14ac:dyDescent="0.25">
      <c r="W457" t="str">
        <f>IF($C457="","",IF(DefaultScenario,IF(OR(AND(Default_Exchange="ALL",NOT(ISERROR(MATCH($C457,$AE$6:$AE$37,0)))),$C457=Default_Exchange),IF($G457&gt;0,-LGD,0),0),IF(OR($J457="SWAP",$J457="FUTURE",$J457="CME FUTURE"),IF('Futures &amp; Perps Shifted'!$AE$31,VLOOKUP($M457,'Futures &amp; Perps Shifted'!$AE$32:$AO$76,MATCH($R457,'Futures &amp; Perps Shifted'!$AE$30:$AO$30,0),FALSE),0),0)))</f>
        <v/>
      </c>
    </row>
    <row r="458" spans="23:23" x14ac:dyDescent="0.25">
      <c r="W458" t="str">
        <f>IF($C458="","",IF(DefaultScenario,IF(OR(AND(Default_Exchange="ALL",NOT(ISERROR(MATCH($C458,$AE$6:$AE$37,0)))),$C458=Default_Exchange),IF($G458&gt;0,-LGD,0),0),IF(OR($J458="SWAP",$J458="FUTURE",$J458="CME FUTURE"),IF('Futures &amp; Perps Shifted'!$AE$31,VLOOKUP($M458,'Futures &amp; Perps Shifted'!$AE$32:$AO$76,MATCH($R458,'Futures &amp; Perps Shifted'!$AE$30:$AO$30,0),FALSE),0),0)))</f>
        <v/>
      </c>
    </row>
    <row r="459" spans="23:23" x14ac:dyDescent="0.25">
      <c r="W459" t="str">
        <f>IF($C459="","",IF(DefaultScenario,IF(OR(AND(Default_Exchange="ALL",NOT(ISERROR(MATCH($C459,$AE$6:$AE$37,0)))),$C459=Default_Exchange),IF($G459&gt;0,-LGD,0),0),IF(OR($J459="SWAP",$J459="FUTURE",$J459="CME FUTURE"),IF('Futures &amp; Perps Shifted'!$AE$31,VLOOKUP($M459,'Futures &amp; Perps Shifted'!$AE$32:$AO$76,MATCH($R459,'Futures &amp; Perps Shifted'!$AE$30:$AO$30,0),FALSE),0),0)))</f>
        <v/>
      </c>
    </row>
    <row r="460" spans="23:23" x14ac:dyDescent="0.25">
      <c r="W460" t="str">
        <f>IF($C460="","",IF(DefaultScenario,IF(OR(AND(Default_Exchange="ALL",NOT(ISERROR(MATCH($C460,$AE$6:$AE$37,0)))),$C460=Default_Exchange),IF($G460&gt;0,-LGD,0),0),IF(OR($J460="SWAP",$J460="FUTURE",$J460="CME FUTURE"),IF('Futures &amp; Perps Shifted'!$AE$31,VLOOKUP($M460,'Futures &amp; Perps Shifted'!$AE$32:$AO$76,MATCH($R460,'Futures &amp; Perps Shifted'!$AE$30:$AO$30,0),FALSE),0),0)))</f>
        <v/>
      </c>
    </row>
    <row r="461" spans="23:23" x14ac:dyDescent="0.25">
      <c r="W461" t="str">
        <f>IF($C461="","",IF(DefaultScenario,IF(OR(AND(Default_Exchange="ALL",NOT(ISERROR(MATCH($C461,$AE$6:$AE$37,0)))),$C461=Default_Exchange),IF($G461&gt;0,-LGD,0),0),IF(OR($J461="SWAP",$J461="FUTURE",$J461="CME FUTURE"),IF('Futures &amp; Perps Shifted'!$AE$31,VLOOKUP($M461,'Futures &amp; Perps Shifted'!$AE$32:$AO$76,MATCH($R461,'Futures &amp; Perps Shifted'!$AE$30:$AO$30,0),FALSE),0),0)))</f>
        <v/>
      </c>
    </row>
    <row r="462" spans="23:23" x14ac:dyDescent="0.25">
      <c r="W462" t="str">
        <f>IF($C462="","",IF(DefaultScenario,IF(OR(AND(Default_Exchange="ALL",NOT(ISERROR(MATCH($C462,$AE$6:$AE$37,0)))),$C462=Default_Exchange),IF($G462&gt;0,-LGD,0),0),IF(OR($J462="SWAP",$J462="FUTURE",$J462="CME FUTURE"),IF('Futures &amp; Perps Shifted'!$AE$31,VLOOKUP($M462,'Futures &amp; Perps Shifted'!$AE$32:$AO$76,MATCH($R462,'Futures &amp; Perps Shifted'!$AE$30:$AO$30,0),FALSE),0),0)))</f>
        <v/>
      </c>
    </row>
    <row r="463" spans="23:23" x14ac:dyDescent="0.25">
      <c r="W463" t="str">
        <f>IF($C463="","",IF(DefaultScenario,IF(OR(AND(Default_Exchange="ALL",NOT(ISERROR(MATCH($C463,$AE$6:$AE$37,0)))),$C463=Default_Exchange),IF($G463&gt;0,-LGD,0),0),IF(OR($J463="SWAP",$J463="FUTURE",$J463="CME FUTURE"),IF('Futures &amp; Perps Shifted'!$AE$31,VLOOKUP($M463,'Futures &amp; Perps Shifted'!$AE$32:$AO$76,MATCH($R463,'Futures &amp; Perps Shifted'!$AE$30:$AO$30,0),FALSE),0),0)))</f>
        <v/>
      </c>
    </row>
    <row r="464" spans="23:23" x14ac:dyDescent="0.25">
      <c r="W464" t="str">
        <f>IF($C464="","",IF(DefaultScenario,IF(OR(AND(Default_Exchange="ALL",NOT(ISERROR(MATCH($C464,$AE$6:$AE$37,0)))),$C464=Default_Exchange),IF($G464&gt;0,-LGD,0),0),IF(OR($J464="SWAP",$J464="FUTURE",$J464="CME FUTURE"),IF('Futures &amp; Perps Shifted'!$AE$31,VLOOKUP($M464,'Futures &amp; Perps Shifted'!$AE$32:$AO$76,MATCH($R464,'Futures &amp; Perps Shifted'!$AE$30:$AO$30,0),FALSE),0),0)))</f>
        <v/>
      </c>
    </row>
    <row r="465" spans="23:23" x14ac:dyDescent="0.25">
      <c r="W465" t="str">
        <f>IF($C465="","",IF(DefaultScenario,IF(OR(AND(Default_Exchange="ALL",NOT(ISERROR(MATCH($C465,$AE$6:$AE$37,0)))),$C465=Default_Exchange),IF($G465&gt;0,-LGD,0),0),IF(OR($J465="SWAP",$J465="FUTURE",$J465="CME FUTURE"),IF('Futures &amp; Perps Shifted'!$AE$31,VLOOKUP($M465,'Futures &amp; Perps Shifted'!$AE$32:$AO$76,MATCH($R465,'Futures &amp; Perps Shifted'!$AE$30:$AO$30,0),FALSE),0),0)))</f>
        <v/>
      </c>
    </row>
    <row r="466" spans="23:23" x14ac:dyDescent="0.25">
      <c r="W466" t="str">
        <f>IF($C466="","",IF(DefaultScenario,IF(OR(AND(Default_Exchange="ALL",NOT(ISERROR(MATCH($C466,$AE$6:$AE$37,0)))),$C466=Default_Exchange),IF($G466&gt;0,-LGD,0),0),IF(OR($J466="SWAP",$J466="FUTURE",$J466="CME FUTURE"),IF('Futures &amp; Perps Shifted'!$AE$31,VLOOKUP($M466,'Futures &amp; Perps Shifted'!$AE$32:$AO$76,MATCH($R466,'Futures &amp; Perps Shifted'!$AE$30:$AO$30,0),FALSE),0),0)))</f>
        <v/>
      </c>
    </row>
    <row r="467" spans="23:23" x14ac:dyDescent="0.25">
      <c r="W467" t="str">
        <f>IF($C467="","",IF(DefaultScenario,IF(OR(AND(Default_Exchange="ALL",NOT(ISERROR(MATCH($C467,$AE$6:$AE$37,0)))),$C467=Default_Exchange),IF($G467&gt;0,-LGD,0),0),IF(OR($J467="SWAP",$J467="FUTURE",$J467="CME FUTURE"),IF('Futures &amp; Perps Shifted'!$AE$31,VLOOKUP($M467,'Futures &amp; Perps Shifted'!$AE$32:$AO$76,MATCH($R467,'Futures &amp; Perps Shifted'!$AE$30:$AO$30,0),FALSE),0),0)))</f>
        <v/>
      </c>
    </row>
    <row r="468" spans="23:23" x14ac:dyDescent="0.25">
      <c r="W468" t="str">
        <f>IF($C468="","",IF(DefaultScenario,IF(OR(AND(Default_Exchange="ALL",NOT(ISERROR(MATCH($C468,$AE$6:$AE$37,0)))),$C468=Default_Exchange),IF($G468&gt;0,-LGD,0),0),IF(OR($J468="SWAP",$J468="FUTURE",$J468="CME FUTURE"),IF('Futures &amp; Perps Shifted'!$AE$31,VLOOKUP($M468,'Futures &amp; Perps Shifted'!$AE$32:$AO$76,MATCH($R468,'Futures &amp; Perps Shifted'!$AE$30:$AO$30,0),FALSE),0),0)))</f>
        <v/>
      </c>
    </row>
    <row r="469" spans="23:23" x14ac:dyDescent="0.25">
      <c r="W469" t="str">
        <f>IF($C469="","",IF(DefaultScenario,IF(OR(AND(Default_Exchange="ALL",NOT(ISERROR(MATCH($C469,$AE$6:$AE$37,0)))),$C469=Default_Exchange),IF($G469&gt;0,-LGD,0),0),IF(OR($J469="SWAP",$J469="FUTURE",$J469="CME FUTURE"),IF('Futures &amp; Perps Shifted'!$AE$31,VLOOKUP($M469,'Futures &amp; Perps Shifted'!$AE$32:$AO$76,MATCH($R469,'Futures &amp; Perps Shifted'!$AE$30:$AO$30,0),FALSE),0),0)))</f>
        <v/>
      </c>
    </row>
    <row r="470" spans="23:23" x14ac:dyDescent="0.25">
      <c r="W470" t="str">
        <f>IF($C470="","",IF(DefaultScenario,IF(OR(AND(Default_Exchange="ALL",NOT(ISERROR(MATCH($C470,$AE$6:$AE$37,0)))),$C470=Default_Exchange),IF($G470&gt;0,-LGD,0),0),IF(OR($J470="SWAP",$J470="FUTURE",$J470="CME FUTURE"),IF('Futures &amp; Perps Shifted'!$AE$31,VLOOKUP($M470,'Futures &amp; Perps Shifted'!$AE$32:$AO$76,MATCH($R470,'Futures &amp; Perps Shifted'!$AE$30:$AO$30,0),FALSE),0),0)))</f>
        <v/>
      </c>
    </row>
    <row r="471" spans="23:23" x14ac:dyDescent="0.25">
      <c r="W471" t="str">
        <f>IF($C471="","",IF(DefaultScenario,IF(OR(AND(Default_Exchange="ALL",NOT(ISERROR(MATCH($C471,$AE$6:$AE$37,0)))),$C471=Default_Exchange),IF($G471&gt;0,-LGD,0),0),IF(OR($J471="SWAP",$J471="FUTURE",$J471="CME FUTURE"),IF('Futures &amp; Perps Shifted'!$AE$31,VLOOKUP($M471,'Futures &amp; Perps Shifted'!$AE$32:$AO$76,MATCH($R471,'Futures &amp; Perps Shifted'!$AE$30:$AO$30,0),FALSE),0),0)))</f>
        <v/>
      </c>
    </row>
    <row r="472" spans="23:23" x14ac:dyDescent="0.25">
      <c r="W472" t="str">
        <f>IF($C472="","",IF(DefaultScenario,IF(OR(AND(Default_Exchange="ALL",NOT(ISERROR(MATCH($C472,$AE$6:$AE$37,0)))),$C472=Default_Exchange),IF($G472&gt;0,-LGD,0),0),IF(OR($J472="SWAP",$J472="FUTURE",$J472="CME FUTURE"),IF('Futures &amp; Perps Shifted'!$AE$31,VLOOKUP($M472,'Futures &amp; Perps Shifted'!$AE$32:$AO$76,MATCH($R472,'Futures &amp; Perps Shifted'!$AE$30:$AO$30,0),FALSE),0),0)))</f>
        <v/>
      </c>
    </row>
    <row r="473" spans="23:23" x14ac:dyDescent="0.25">
      <c r="W473" t="str">
        <f>IF($C473="","",IF(DefaultScenario,IF(OR(AND(Default_Exchange="ALL",NOT(ISERROR(MATCH($C473,$AE$6:$AE$37,0)))),$C473=Default_Exchange),IF($G473&gt;0,-LGD,0),0),IF(OR($J473="SWAP",$J473="FUTURE",$J473="CME FUTURE"),IF('Futures &amp; Perps Shifted'!$AE$31,VLOOKUP($M473,'Futures &amp; Perps Shifted'!$AE$32:$AO$76,MATCH($R473,'Futures &amp; Perps Shifted'!$AE$30:$AO$30,0),FALSE),0),0)))</f>
        <v/>
      </c>
    </row>
    <row r="474" spans="23:23" x14ac:dyDescent="0.25">
      <c r="W474" t="str">
        <f>IF($C474="","",IF(DefaultScenario,IF(OR(AND(Default_Exchange="ALL",NOT(ISERROR(MATCH($C474,$AE$6:$AE$37,0)))),$C474=Default_Exchange),IF($G474&gt;0,-LGD,0),0),IF(OR($J474="SWAP",$J474="FUTURE",$J474="CME FUTURE"),IF('Futures &amp; Perps Shifted'!$AE$31,VLOOKUP($M474,'Futures &amp; Perps Shifted'!$AE$32:$AO$76,MATCH($R474,'Futures &amp; Perps Shifted'!$AE$30:$AO$30,0),FALSE),0),0)))</f>
        <v/>
      </c>
    </row>
    <row r="475" spans="23:23" x14ac:dyDescent="0.25">
      <c r="W475" t="str">
        <f>IF($C475="","",IF(DefaultScenario,IF(OR(AND(Default_Exchange="ALL",NOT(ISERROR(MATCH($C475,$AE$6:$AE$37,0)))),$C475=Default_Exchange),IF($G475&gt;0,-LGD,0),0),IF(OR($J475="SWAP",$J475="FUTURE",$J475="CME FUTURE"),IF('Futures &amp; Perps Shifted'!$AE$31,VLOOKUP($M475,'Futures &amp; Perps Shifted'!$AE$32:$AO$76,MATCH($R475,'Futures &amp; Perps Shifted'!$AE$30:$AO$30,0),FALSE),0),0)))</f>
        <v/>
      </c>
    </row>
    <row r="476" spans="23:23" x14ac:dyDescent="0.25">
      <c r="W476" t="str">
        <f>IF($C476="","",IF(DefaultScenario,IF(OR(AND(Default_Exchange="ALL",NOT(ISERROR(MATCH($C476,$AE$6:$AE$37,0)))),$C476=Default_Exchange),IF($G476&gt;0,-LGD,0),0),IF(OR($J476="SWAP",$J476="FUTURE",$J476="CME FUTURE"),IF('Futures &amp; Perps Shifted'!$AE$31,VLOOKUP($M476,'Futures &amp; Perps Shifted'!$AE$32:$AO$76,MATCH($R476,'Futures &amp; Perps Shifted'!$AE$30:$AO$30,0),FALSE),0),0)))</f>
        <v/>
      </c>
    </row>
    <row r="477" spans="23:23" x14ac:dyDescent="0.25">
      <c r="W477" t="str">
        <f>IF($C477="","",IF(DefaultScenario,IF(OR(AND(Default_Exchange="ALL",NOT(ISERROR(MATCH($C477,$AE$6:$AE$37,0)))),$C477=Default_Exchange),IF($G477&gt;0,-LGD,0),0),IF(OR($J477="SWAP",$J477="FUTURE",$J477="CME FUTURE"),IF('Futures &amp; Perps Shifted'!$AE$31,VLOOKUP($M477,'Futures &amp; Perps Shifted'!$AE$32:$AO$76,MATCH($R477,'Futures &amp; Perps Shifted'!$AE$30:$AO$30,0),FALSE),0),0)))</f>
        <v/>
      </c>
    </row>
    <row r="478" spans="23:23" x14ac:dyDescent="0.25">
      <c r="W478" t="str">
        <f>IF($C478="","",IF(DefaultScenario,IF(OR(AND(Default_Exchange="ALL",NOT(ISERROR(MATCH($C478,$AE$6:$AE$37,0)))),$C478=Default_Exchange),IF($G478&gt;0,-LGD,0),0),IF(OR($J478="SWAP",$J478="FUTURE",$J478="CME FUTURE"),IF('Futures &amp; Perps Shifted'!$AE$31,VLOOKUP($M478,'Futures &amp; Perps Shifted'!$AE$32:$AO$76,MATCH($R478,'Futures &amp; Perps Shifted'!$AE$30:$AO$30,0),FALSE),0),0)))</f>
        <v/>
      </c>
    </row>
    <row r="479" spans="23:23" x14ac:dyDescent="0.25">
      <c r="W479" t="str">
        <f>IF($C479="","",IF(DefaultScenario,IF(OR(AND(Default_Exchange="ALL",NOT(ISERROR(MATCH($C479,$AE$6:$AE$37,0)))),$C479=Default_Exchange),IF($G479&gt;0,-LGD,0),0),IF(OR($J479="SWAP",$J479="FUTURE",$J479="CME FUTURE"),IF('Futures &amp; Perps Shifted'!$AE$31,VLOOKUP($M479,'Futures &amp; Perps Shifted'!$AE$32:$AO$76,MATCH($R479,'Futures &amp; Perps Shifted'!$AE$30:$AO$30,0),FALSE),0),0)))</f>
        <v/>
      </c>
    </row>
    <row r="480" spans="23:23" x14ac:dyDescent="0.25">
      <c r="W480" t="str">
        <f>IF($C480="","",IF(DefaultScenario,IF(OR(AND(Default_Exchange="ALL",NOT(ISERROR(MATCH($C480,$AE$6:$AE$37,0)))),$C480=Default_Exchange),IF($G480&gt;0,-LGD,0),0),IF(OR($J480="SWAP",$J480="FUTURE",$J480="CME FUTURE"),IF('Futures &amp; Perps Shifted'!$AE$31,VLOOKUP($M480,'Futures &amp; Perps Shifted'!$AE$32:$AO$76,MATCH($R480,'Futures &amp; Perps Shifted'!$AE$30:$AO$30,0),FALSE),0),0)))</f>
        <v/>
      </c>
    </row>
    <row r="481" spans="23:23" x14ac:dyDescent="0.25">
      <c r="W481" t="str">
        <f>IF($C481="","",IF(DefaultScenario,IF(OR(AND(Default_Exchange="ALL",NOT(ISERROR(MATCH($C481,$AE$6:$AE$37,0)))),$C481=Default_Exchange),IF($G481&gt;0,-LGD,0),0),IF(OR($J481="SWAP",$J481="FUTURE",$J481="CME FUTURE"),IF('Futures &amp; Perps Shifted'!$AE$31,VLOOKUP($M481,'Futures &amp; Perps Shifted'!$AE$32:$AO$76,MATCH($R481,'Futures &amp; Perps Shifted'!$AE$30:$AO$30,0),FALSE),0),0)))</f>
        <v/>
      </c>
    </row>
    <row r="482" spans="23:23" x14ac:dyDescent="0.25">
      <c r="W482" t="str">
        <f>IF($C482="","",IF(DefaultScenario,IF(OR(AND(Default_Exchange="ALL",NOT(ISERROR(MATCH($C482,$AE$6:$AE$37,0)))),$C482=Default_Exchange),IF($G482&gt;0,-LGD,0),0),IF(OR($J482="SWAP",$J482="FUTURE",$J482="CME FUTURE"),IF('Futures &amp; Perps Shifted'!$AE$31,VLOOKUP($M482,'Futures &amp; Perps Shifted'!$AE$32:$AO$76,MATCH($R482,'Futures &amp; Perps Shifted'!$AE$30:$AO$30,0),FALSE),0),0)))</f>
        <v/>
      </c>
    </row>
    <row r="483" spans="23:23" x14ac:dyDescent="0.25">
      <c r="W483" t="str">
        <f>IF($C483="","",IF(DefaultScenario,IF(OR(AND(Default_Exchange="ALL",NOT(ISERROR(MATCH($C483,$AE$6:$AE$37,0)))),$C483=Default_Exchange),IF($G483&gt;0,-LGD,0),0),IF(OR($J483="SWAP",$J483="FUTURE",$J483="CME FUTURE"),IF('Futures &amp; Perps Shifted'!$AE$31,VLOOKUP($M483,'Futures &amp; Perps Shifted'!$AE$32:$AO$76,MATCH($R483,'Futures &amp; Perps Shifted'!$AE$30:$AO$30,0),FALSE),0),0)))</f>
        <v/>
      </c>
    </row>
    <row r="484" spans="23:23" x14ac:dyDescent="0.25">
      <c r="W484" t="str">
        <f>IF($C484="","",IF(DefaultScenario,IF(OR(AND(Default_Exchange="ALL",NOT(ISERROR(MATCH($C484,$AE$6:$AE$37,0)))),$C484=Default_Exchange),IF($G484&gt;0,-LGD,0),0),IF(OR($J484="SWAP",$J484="FUTURE",$J484="CME FUTURE"),IF('Futures &amp; Perps Shifted'!$AE$31,VLOOKUP($M484,'Futures &amp; Perps Shifted'!$AE$32:$AO$76,MATCH($R484,'Futures &amp; Perps Shifted'!$AE$30:$AO$30,0),FALSE),0),0)))</f>
        <v/>
      </c>
    </row>
    <row r="485" spans="23:23" x14ac:dyDescent="0.25">
      <c r="W485" t="str">
        <f>IF($C485="","",IF(DefaultScenario,IF(OR(AND(Default_Exchange="ALL",NOT(ISERROR(MATCH($C485,$AE$6:$AE$37,0)))),$C485=Default_Exchange),IF($G485&gt;0,-LGD,0),0),IF(OR($J485="SWAP",$J485="FUTURE",$J485="CME FUTURE"),IF('Futures &amp; Perps Shifted'!$AE$31,VLOOKUP($M485,'Futures &amp; Perps Shifted'!$AE$32:$AO$76,MATCH($R485,'Futures &amp; Perps Shifted'!$AE$30:$AO$30,0),FALSE),0),0)))</f>
        <v/>
      </c>
    </row>
    <row r="486" spans="23:23" x14ac:dyDescent="0.25">
      <c r="W486" t="str">
        <f>IF($C486="","",IF(DefaultScenario,IF(OR(AND(Default_Exchange="ALL",NOT(ISERROR(MATCH($C486,$AE$6:$AE$37,0)))),$C486=Default_Exchange),IF($G486&gt;0,-LGD,0),0),IF(OR($J486="SWAP",$J486="FUTURE",$J486="CME FUTURE"),IF('Futures &amp; Perps Shifted'!$AE$31,VLOOKUP($M486,'Futures &amp; Perps Shifted'!$AE$32:$AO$76,MATCH($R486,'Futures &amp; Perps Shifted'!$AE$30:$AO$30,0),FALSE),0),0)))</f>
        <v/>
      </c>
    </row>
    <row r="487" spans="23:23" x14ac:dyDescent="0.25">
      <c r="W487" t="str">
        <f>IF($C487="","",IF(DefaultScenario,IF(OR(AND(Default_Exchange="ALL",NOT(ISERROR(MATCH($C487,$AE$6:$AE$37,0)))),$C487=Default_Exchange),IF($G487&gt;0,-LGD,0),0),IF(OR($J487="SWAP",$J487="FUTURE",$J487="CME FUTURE"),IF('Futures &amp; Perps Shifted'!$AE$31,VLOOKUP($M487,'Futures &amp; Perps Shifted'!$AE$32:$AO$76,MATCH($R487,'Futures &amp; Perps Shifted'!$AE$30:$AO$30,0),FALSE),0),0)))</f>
        <v/>
      </c>
    </row>
    <row r="488" spans="23:23" x14ac:dyDescent="0.25">
      <c r="W488" t="str">
        <f>IF($C488="","",IF(DefaultScenario,IF(OR(AND(Default_Exchange="ALL",NOT(ISERROR(MATCH($C488,$AE$6:$AE$37,0)))),$C488=Default_Exchange),IF($G488&gt;0,-LGD,0),0),IF(OR($J488="SWAP",$J488="FUTURE",$J488="CME FUTURE"),IF('Futures &amp; Perps Shifted'!$AE$31,VLOOKUP($M488,'Futures &amp; Perps Shifted'!$AE$32:$AO$76,MATCH($R488,'Futures &amp; Perps Shifted'!$AE$30:$AO$30,0),FALSE),0),0)))</f>
        <v/>
      </c>
    </row>
    <row r="489" spans="23:23" x14ac:dyDescent="0.25">
      <c r="W489" t="str">
        <f>IF($C489="","",IF(DefaultScenario,IF(OR(AND(Default_Exchange="ALL",NOT(ISERROR(MATCH($C489,$AE$6:$AE$37,0)))),$C489=Default_Exchange),IF($G489&gt;0,-LGD,0),0),IF(OR($J489="SWAP",$J489="FUTURE",$J489="CME FUTURE"),IF('Futures &amp; Perps Shifted'!$AE$31,VLOOKUP($M489,'Futures &amp; Perps Shifted'!$AE$32:$AO$76,MATCH($R489,'Futures &amp; Perps Shifted'!$AE$30:$AO$30,0),FALSE),0),0)))</f>
        <v/>
      </c>
    </row>
    <row r="490" spans="23:23" x14ac:dyDescent="0.25">
      <c r="W490" t="str">
        <f>IF($C490="","",IF(DefaultScenario,IF(OR(AND(Default_Exchange="ALL",NOT(ISERROR(MATCH($C490,$AE$6:$AE$37,0)))),$C490=Default_Exchange),IF($G490&gt;0,-LGD,0),0),IF(OR($J490="SWAP",$J490="FUTURE",$J490="CME FUTURE"),IF('Futures &amp; Perps Shifted'!$AE$31,VLOOKUP($M490,'Futures &amp; Perps Shifted'!$AE$32:$AO$76,MATCH($R490,'Futures &amp; Perps Shifted'!$AE$30:$AO$30,0),FALSE),0),0)))</f>
        <v/>
      </c>
    </row>
    <row r="491" spans="23:23" x14ac:dyDescent="0.25">
      <c r="W491" t="str">
        <f>IF($C491="","",IF(DefaultScenario,IF(OR(AND(Default_Exchange="ALL",NOT(ISERROR(MATCH($C491,$AE$6:$AE$37,0)))),$C491=Default_Exchange),IF($G491&gt;0,-LGD,0),0),IF(OR($J491="SWAP",$J491="FUTURE",$J491="CME FUTURE"),IF('Futures &amp; Perps Shifted'!$AE$31,VLOOKUP($M491,'Futures &amp; Perps Shifted'!$AE$32:$AO$76,MATCH($R491,'Futures &amp; Perps Shifted'!$AE$30:$AO$30,0),FALSE),0),0)))</f>
        <v/>
      </c>
    </row>
    <row r="492" spans="23:23" x14ac:dyDescent="0.25">
      <c r="W492" t="str">
        <f>IF($C492="","",IF(DefaultScenario,IF(OR(AND(Default_Exchange="ALL",NOT(ISERROR(MATCH($C492,$AE$6:$AE$37,0)))),$C492=Default_Exchange),IF($G492&gt;0,-LGD,0),0),IF(OR($J492="SWAP",$J492="FUTURE",$J492="CME FUTURE"),IF('Futures &amp; Perps Shifted'!$AE$31,VLOOKUP($M492,'Futures &amp; Perps Shifted'!$AE$32:$AO$76,MATCH($R492,'Futures &amp; Perps Shifted'!$AE$30:$AO$30,0),FALSE),0),0)))</f>
        <v/>
      </c>
    </row>
    <row r="493" spans="23:23" x14ac:dyDescent="0.25">
      <c r="W493" t="str">
        <f>IF($C493="","",IF(DefaultScenario,IF(OR(AND(Default_Exchange="ALL",NOT(ISERROR(MATCH($C493,$AE$6:$AE$37,0)))),$C493=Default_Exchange),IF($G493&gt;0,-LGD,0),0),IF(OR($J493="SWAP",$J493="FUTURE",$J493="CME FUTURE"),IF('Futures &amp; Perps Shifted'!$AE$31,VLOOKUP($M493,'Futures &amp; Perps Shifted'!$AE$32:$AO$76,MATCH($R493,'Futures &amp; Perps Shifted'!$AE$30:$AO$30,0),FALSE),0),0)))</f>
        <v/>
      </c>
    </row>
    <row r="494" spans="23:23" x14ac:dyDescent="0.25">
      <c r="W494" t="str">
        <f>IF($C494="","",IF(DefaultScenario,IF(OR(AND(Default_Exchange="ALL",NOT(ISERROR(MATCH($C494,$AE$6:$AE$37,0)))),$C494=Default_Exchange),IF($G494&gt;0,-LGD,0),0),IF(OR($J494="SWAP",$J494="FUTURE",$J494="CME FUTURE"),IF('Futures &amp; Perps Shifted'!$AE$31,VLOOKUP($M494,'Futures &amp; Perps Shifted'!$AE$32:$AO$76,MATCH($R494,'Futures &amp; Perps Shifted'!$AE$30:$AO$30,0),FALSE),0),0)))</f>
        <v/>
      </c>
    </row>
    <row r="495" spans="23:23" x14ac:dyDescent="0.25">
      <c r="W495" t="str">
        <f>IF($C495="","",IF(DefaultScenario,IF(OR(AND(Default_Exchange="ALL",NOT(ISERROR(MATCH($C495,$AE$6:$AE$37,0)))),$C495=Default_Exchange),IF($G495&gt;0,-LGD,0),0),IF(OR($J495="SWAP",$J495="FUTURE",$J495="CME FUTURE"),IF('Futures &amp; Perps Shifted'!$AE$31,VLOOKUP($M495,'Futures &amp; Perps Shifted'!$AE$32:$AO$76,MATCH($R495,'Futures &amp; Perps Shifted'!$AE$30:$AO$30,0),FALSE),0),0)))</f>
        <v/>
      </c>
    </row>
    <row r="496" spans="23:23" x14ac:dyDescent="0.25">
      <c r="W496" t="str">
        <f>IF($C496="","",IF(DefaultScenario,IF(OR(AND(Default_Exchange="ALL",NOT(ISERROR(MATCH($C496,$AE$6:$AE$37,0)))),$C496=Default_Exchange),IF($G496&gt;0,-LGD,0),0),IF(OR($J496="SWAP",$J496="FUTURE",$J496="CME FUTURE"),IF('Futures &amp; Perps Shifted'!$AE$31,VLOOKUP($M496,'Futures &amp; Perps Shifted'!$AE$32:$AO$76,MATCH($R496,'Futures &amp; Perps Shifted'!$AE$30:$AO$30,0),FALSE),0),0)))</f>
        <v/>
      </c>
    </row>
    <row r="497" spans="23:23" x14ac:dyDescent="0.25">
      <c r="W497" t="str">
        <f>IF($C497="","",IF(DefaultScenario,IF(OR(AND(Default_Exchange="ALL",NOT(ISERROR(MATCH($C497,$AE$6:$AE$37,0)))),$C497=Default_Exchange),IF($G497&gt;0,-LGD,0),0),IF(OR($J497="SWAP",$J497="FUTURE",$J497="CME FUTURE"),IF('Futures &amp; Perps Shifted'!$AE$31,VLOOKUP($M497,'Futures &amp; Perps Shifted'!$AE$32:$AO$76,MATCH($R497,'Futures &amp; Perps Shifted'!$AE$30:$AO$30,0),FALSE),0),0)))</f>
        <v/>
      </c>
    </row>
    <row r="498" spans="23:23" x14ac:dyDescent="0.25">
      <c r="W498" t="str">
        <f>IF($C498="","",IF(DefaultScenario,IF(OR(AND(Default_Exchange="ALL",NOT(ISERROR(MATCH($C498,$AE$6:$AE$37,0)))),$C498=Default_Exchange),IF($G498&gt;0,-LGD,0),0),IF(OR($J498="SWAP",$J498="FUTURE",$J498="CME FUTURE"),IF('Futures &amp; Perps Shifted'!$AE$31,VLOOKUP($M498,'Futures &amp; Perps Shifted'!$AE$32:$AO$76,MATCH($R498,'Futures &amp; Perps Shifted'!$AE$30:$AO$30,0),FALSE),0),0)))</f>
        <v/>
      </c>
    </row>
    <row r="499" spans="23:23" x14ac:dyDescent="0.25">
      <c r="W499" t="str">
        <f>IF($C499="","",IF(DefaultScenario,IF(OR(AND(Default_Exchange="ALL",NOT(ISERROR(MATCH($C499,$AE$6:$AE$37,0)))),$C499=Default_Exchange),IF($G499&gt;0,-LGD,0),0),IF(OR($J499="SWAP",$J499="FUTURE",$J499="CME FUTURE"),IF('Futures &amp; Perps Shifted'!$AE$31,VLOOKUP($M499,'Futures &amp; Perps Shifted'!$AE$32:$AO$76,MATCH($R499,'Futures &amp; Perps Shifted'!$AE$30:$AO$30,0),FALSE),0),0)))</f>
        <v/>
      </c>
    </row>
    <row r="500" spans="23:23" x14ac:dyDescent="0.25">
      <c r="W500" t="str">
        <f>IF($C500="","",IF(DefaultScenario,IF(OR(AND(Default_Exchange="ALL",NOT(ISERROR(MATCH($C500,$AE$6:$AE$37,0)))),$C500=Default_Exchange),IF($G500&gt;0,-LGD,0),0),IF(OR($J500="SWAP",$J500="FUTURE",$J500="CME FUTURE"),IF('Futures &amp; Perps Shifted'!$AE$31,VLOOKUP($M500,'Futures &amp; Perps Shifted'!$AE$32:$AO$76,MATCH($R500,'Futures &amp; Perps Shifted'!$AE$30:$AO$30,0),FALSE),0),0)))</f>
        <v/>
      </c>
    </row>
    <row r="501" spans="23:23" x14ac:dyDescent="0.25">
      <c r="W501" t="str">
        <f>IF($C501="","",IF(DefaultScenario,IF(OR(AND(Default_Exchange="ALL",NOT(ISERROR(MATCH($C501,$AE$6:$AE$37,0)))),$C501=Default_Exchange),IF($G501&gt;0,-LGD,0),0),IF(OR($J501="SWAP",$J501="FUTURE",$J501="CME FUTURE"),IF('Futures &amp; Perps Shifted'!$AE$31,VLOOKUP($M501,'Futures &amp; Perps Shifted'!$AE$32:$AO$76,MATCH($R501,'Futures &amp; Perps Shifted'!$AE$30:$AO$30,0),FALSE),0),0)))</f>
        <v/>
      </c>
    </row>
    <row r="502" spans="23:23" x14ac:dyDescent="0.25">
      <c r="W502" t="str">
        <f>IF($C502="","",IF(DefaultScenario,IF(OR(AND(Default_Exchange="ALL",NOT(ISERROR(MATCH($C502,$AE$6:$AE$37,0)))),$C502=Default_Exchange),IF($G502&gt;0,-LGD,0),0),IF(OR($J502="SWAP",$J502="FUTURE",$J502="CME FUTURE"),IF('Futures &amp; Perps Shifted'!$AE$31,VLOOKUP($M502,'Futures &amp; Perps Shifted'!$AE$32:$AO$76,MATCH($R502,'Futures &amp; Perps Shifted'!$AE$30:$AO$30,0),FALSE),0),0)))</f>
        <v/>
      </c>
    </row>
    <row r="503" spans="23:23" x14ac:dyDescent="0.25">
      <c r="W503" t="str">
        <f>IF($C503="","",IF(DefaultScenario,IF(OR(AND(Default_Exchange="ALL",NOT(ISERROR(MATCH($C503,$AE$6:$AE$37,0)))),$C503=Default_Exchange),IF($G503&gt;0,-LGD,0),0),IF(OR($J503="SWAP",$J503="FUTURE",$J503="CME FUTURE"),IF('Futures &amp; Perps Shifted'!$AE$31,VLOOKUP($M503,'Futures &amp; Perps Shifted'!$AE$32:$AO$76,MATCH($R503,'Futures &amp; Perps Shifted'!$AE$30:$AO$30,0),FALSE),0),0)))</f>
        <v/>
      </c>
    </row>
    <row r="504" spans="23:23" x14ac:dyDescent="0.25">
      <c r="W504" t="str">
        <f>IF($C504="","",IF(DefaultScenario,IF(OR(AND(Default_Exchange="ALL",NOT(ISERROR(MATCH($C504,$AE$6:$AE$37,0)))),$C504=Default_Exchange),IF($G504&gt;0,-LGD,0),0),IF(OR($J504="SWAP",$J504="FUTURE",$J504="CME FUTURE"),IF('Futures &amp; Perps Shifted'!$AE$31,VLOOKUP($M504,'Futures &amp; Perps Shifted'!$AE$32:$AO$76,MATCH($R504,'Futures &amp; Perps Shifted'!$AE$30:$AO$30,0),FALSE),0),0)))</f>
        <v/>
      </c>
    </row>
    <row r="505" spans="23:23" x14ac:dyDescent="0.25">
      <c r="W505" t="str">
        <f>IF($C505="","",IF(DefaultScenario,IF(OR(AND(Default_Exchange="ALL",NOT(ISERROR(MATCH($C505,$AE$6:$AE$37,0)))),$C505=Default_Exchange),IF($G505&gt;0,-LGD,0),0),IF(OR($J505="SWAP",$J505="FUTURE",$J505="CME FUTURE"),IF('Futures &amp; Perps Shifted'!$AE$31,VLOOKUP($M505,'Futures &amp; Perps Shifted'!$AE$32:$AO$76,MATCH($R505,'Futures &amp; Perps Shifted'!$AE$30:$AO$30,0),FALSE),0),0)))</f>
        <v/>
      </c>
    </row>
    <row r="506" spans="23:23" x14ac:dyDescent="0.25">
      <c r="W506" t="str">
        <f>IF($C506="","",IF(DefaultScenario,IF(OR(AND(Default_Exchange="ALL",NOT(ISERROR(MATCH($C506,$AE$6:$AE$37,0)))),$C506=Default_Exchange),IF($G506&gt;0,-LGD,0),0),IF(OR($J506="SWAP",$J506="FUTURE",$J506="CME FUTURE"),IF('Futures &amp; Perps Shifted'!$AE$31,VLOOKUP($M506,'Futures &amp; Perps Shifted'!$AE$32:$AO$76,MATCH($R506,'Futures &amp; Perps Shifted'!$AE$30:$AO$30,0),FALSE),0),0)))</f>
        <v/>
      </c>
    </row>
    <row r="507" spans="23:23" x14ac:dyDescent="0.25">
      <c r="W507" t="str">
        <f>IF($C507="","",IF(DefaultScenario,IF(OR(AND(Default_Exchange="ALL",NOT(ISERROR(MATCH($C507,$AE$6:$AE$37,0)))),$C507=Default_Exchange),IF($G507&gt;0,-LGD,0),0),IF(OR($J507="SWAP",$J507="FUTURE",$J507="CME FUTURE"),IF('Futures &amp; Perps Shifted'!$AE$31,VLOOKUP($M507,'Futures &amp; Perps Shifted'!$AE$32:$AO$76,MATCH($R507,'Futures &amp; Perps Shifted'!$AE$30:$AO$30,0),FALSE),0),0)))</f>
        <v/>
      </c>
    </row>
    <row r="508" spans="23:23" x14ac:dyDescent="0.25">
      <c r="W508" t="str">
        <f>IF($C508="","",IF(DefaultScenario,IF(OR(AND(Default_Exchange="ALL",NOT(ISERROR(MATCH($C508,$AE$6:$AE$37,0)))),$C508=Default_Exchange),IF($G508&gt;0,-LGD,0),0),IF(OR($J508="SWAP",$J508="FUTURE",$J508="CME FUTURE"),IF('Futures &amp; Perps Shifted'!$AE$31,VLOOKUP($M508,'Futures &amp; Perps Shifted'!$AE$32:$AO$76,MATCH($R508,'Futures &amp; Perps Shifted'!$AE$30:$AO$30,0),FALSE),0),0)))</f>
        <v/>
      </c>
    </row>
    <row r="509" spans="23:23" x14ac:dyDescent="0.25">
      <c r="W509" t="str">
        <f>IF($C509="","",IF(DefaultScenario,IF(OR(AND(Default_Exchange="ALL",NOT(ISERROR(MATCH($C509,$AE$6:$AE$37,0)))),$C509=Default_Exchange),IF($G509&gt;0,-LGD,0),0),IF(OR($J509="SWAP",$J509="FUTURE",$J509="CME FUTURE"),IF('Futures &amp; Perps Shifted'!$AE$31,VLOOKUP($M509,'Futures &amp; Perps Shifted'!$AE$32:$AO$76,MATCH($R509,'Futures &amp; Perps Shifted'!$AE$30:$AO$30,0),FALSE),0),0)))</f>
        <v/>
      </c>
    </row>
    <row r="510" spans="23:23" x14ac:dyDescent="0.25">
      <c r="W510" t="str">
        <f>IF($C510="","",IF(DefaultScenario,IF(OR(AND(Default_Exchange="ALL",NOT(ISERROR(MATCH($C510,$AE$6:$AE$37,0)))),$C510=Default_Exchange),IF($G510&gt;0,-LGD,0),0),IF(OR($J510="SWAP",$J510="FUTURE",$J510="CME FUTURE"),IF('Futures &amp; Perps Shifted'!$AE$31,VLOOKUP($M510,'Futures &amp; Perps Shifted'!$AE$32:$AO$76,MATCH($R510,'Futures &amp; Perps Shifted'!$AE$30:$AO$30,0),FALSE),0),0)))</f>
        <v/>
      </c>
    </row>
    <row r="511" spans="23:23" x14ac:dyDescent="0.25">
      <c r="W511" t="str">
        <f>IF($C511="","",IF(DefaultScenario,IF(OR(AND(Default_Exchange="ALL",NOT(ISERROR(MATCH($C511,$AE$6:$AE$37,0)))),$C511=Default_Exchange),IF($G511&gt;0,-LGD,0),0),IF(OR($J511="SWAP",$J511="FUTURE",$J511="CME FUTURE"),IF('Futures &amp; Perps Shifted'!$AE$31,VLOOKUP($M511,'Futures &amp; Perps Shifted'!$AE$32:$AO$76,MATCH($R511,'Futures &amp; Perps Shifted'!$AE$30:$AO$30,0),FALSE),0),0)))</f>
        <v/>
      </c>
    </row>
    <row r="512" spans="23:23" x14ac:dyDescent="0.25">
      <c r="W512" t="str">
        <f>IF($C512="","",IF(DefaultScenario,IF(OR(AND(Default_Exchange="ALL",NOT(ISERROR(MATCH($C512,$AE$6:$AE$37,0)))),$C512=Default_Exchange),IF($G512&gt;0,-LGD,0),0),IF(OR($J512="SWAP",$J512="FUTURE",$J512="CME FUTURE"),IF('Futures &amp; Perps Shifted'!$AE$31,VLOOKUP($M512,'Futures &amp; Perps Shifted'!$AE$32:$AO$76,MATCH($R512,'Futures &amp; Perps Shifted'!$AE$30:$AO$30,0),FALSE),0),0)))</f>
        <v/>
      </c>
    </row>
    <row r="513" spans="23:23" x14ac:dyDescent="0.25">
      <c r="W513" t="str">
        <f>IF($C513="","",IF(DefaultScenario,IF(OR(AND(Default_Exchange="ALL",NOT(ISERROR(MATCH($C513,$AE$6:$AE$37,0)))),$C513=Default_Exchange),IF($G513&gt;0,-LGD,0),0),IF(OR($J513="SWAP",$J513="FUTURE",$J513="CME FUTURE"),IF('Futures &amp; Perps Shifted'!$AE$31,VLOOKUP($M513,'Futures &amp; Perps Shifted'!$AE$32:$AO$76,MATCH($R513,'Futures &amp; Perps Shifted'!$AE$30:$AO$30,0),FALSE),0),0)))</f>
        <v/>
      </c>
    </row>
    <row r="514" spans="23:23" x14ac:dyDescent="0.25">
      <c r="W514" t="str">
        <f>IF($C514="","",IF(DefaultScenario,IF(OR(AND(Default_Exchange="ALL",NOT(ISERROR(MATCH($C514,$AE$6:$AE$37,0)))),$C514=Default_Exchange),IF($G514&gt;0,-LGD,0),0),IF(OR($J514="SWAP",$J514="FUTURE",$J514="CME FUTURE"),IF('Futures &amp; Perps Shifted'!$AE$31,VLOOKUP($M514,'Futures &amp; Perps Shifted'!$AE$32:$AO$76,MATCH($R514,'Futures &amp; Perps Shifted'!$AE$30:$AO$30,0),FALSE),0),0)))</f>
        <v/>
      </c>
    </row>
    <row r="515" spans="23:23" x14ac:dyDescent="0.25">
      <c r="W515" t="str">
        <f>IF($C515="","",IF(DefaultScenario,IF(OR(AND(Default_Exchange="ALL",NOT(ISERROR(MATCH($C515,$AE$6:$AE$37,0)))),$C515=Default_Exchange),IF($G515&gt;0,-LGD,0),0),IF(OR($J515="SWAP",$J515="FUTURE",$J515="CME FUTURE"),IF('Futures &amp; Perps Shifted'!$AE$31,VLOOKUP($M515,'Futures &amp; Perps Shifted'!$AE$32:$AO$76,MATCH($R515,'Futures &amp; Perps Shifted'!$AE$30:$AO$30,0),FALSE),0),0)))</f>
        <v/>
      </c>
    </row>
    <row r="516" spans="23:23" x14ac:dyDescent="0.25">
      <c r="W516" t="str">
        <f>IF($C516="","",IF(DefaultScenario,IF(OR(AND(Default_Exchange="ALL",NOT(ISERROR(MATCH($C516,$AE$6:$AE$37,0)))),$C516=Default_Exchange),IF($G516&gt;0,-LGD,0),0),IF(OR($J516="SWAP",$J516="FUTURE",$J516="CME FUTURE"),IF('Futures &amp; Perps Shifted'!$AE$31,VLOOKUP($M516,'Futures &amp; Perps Shifted'!$AE$32:$AO$76,MATCH($R516,'Futures &amp; Perps Shifted'!$AE$30:$AO$30,0),FALSE),0),0)))</f>
        <v/>
      </c>
    </row>
    <row r="517" spans="23:23" x14ac:dyDescent="0.25">
      <c r="W517" t="str">
        <f>IF($C517="","",IF(DefaultScenario,IF(OR(AND(Default_Exchange="ALL",NOT(ISERROR(MATCH($C517,$AE$6:$AE$37,0)))),$C517=Default_Exchange),IF($G517&gt;0,-LGD,0),0),IF(OR($J517="SWAP",$J517="FUTURE",$J517="CME FUTURE"),IF('Futures &amp; Perps Shifted'!$AE$31,VLOOKUP($M517,'Futures &amp; Perps Shifted'!$AE$32:$AO$76,MATCH($R517,'Futures &amp; Perps Shifted'!$AE$30:$AO$30,0),FALSE),0),0)))</f>
        <v/>
      </c>
    </row>
    <row r="518" spans="23:23" x14ac:dyDescent="0.25">
      <c r="W518" t="str">
        <f>IF($C518="","",IF(DefaultScenario,IF(OR(AND(Default_Exchange="ALL",NOT(ISERROR(MATCH($C518,$AE$6:$AE$37,0)))),$C518=Default_Exchange),IF($G518&gt;0,-LGD,0),0),IF(OR($J518="SWAP",$J518="FUTURE",$J518="CME FUTURE"),IF('Futures &amp; Perps Shifted'!$AE$31,VLOOKUP($M518,'Futures &amp; Perps Shifted'!$AE$32:$AO$76,MATCH($R518,'Futures &amp; Perps Shifted'!$AE$30:$AO$30,0),FALSE),0),0)))</f>
        <v/>
      </c>
    </row>
    <row r="519" spans="23:23" x14ac:dyDescent="0.25">
      <c r="W519" t="str">
        <f>IF($C519="","",IF(DefaultScenario,IF(OR(AND(Default_Exchange="ALL",NOT(ISERROR(MATCH($C519,$AE$6:$AE$37,0)))),$C519=Default_Exchange),IF($G519&gt;0,-LGD,0),0),IF(OR($J519="SWAP",$J519="FUTURE",$J519="CME FUTURE"),IF('Futures &amp; Perps Shifted'!$AE$31,VLOOKUP($M519,'Futures &amp; Perps Shifted'!$AE$32:$AO$76,MATCH($R519,'Futures &amp; Perps Shifted'!$AE$30:$AO$30,0),FALSE),0),0)))</f>
        <v/>
      </c>
    </row>
    <row r="520" spans="23:23" x14ac:dyDescent="0.25">
      <c r="W520" t="str">
        <f>IF($C520="","",IF(DefaultScenario,IF(OR(AND(Default_Exchange="ALL",NOT(ISERROR(MATCH($C520,$AE$6:$AE$37,0)))),$C520=Default_Exchange),IF($G520&gt;0,-LGD,0),0),IF(OR($J520="SWAP",$J520="FUTURE",$J520="CME FUTURE"),IF('Futures &amp; Perps Shifted'!$AE$31,VLOOKUP($M520,'Futures &amp; Perps Shifted'!$AE$32:$AO$76,MATCH($R520,'Futures &amp; Perps Shifted'!$AE$30:$AO$30,0),FALSE),0),0)))</f>
        <v/>
      </c>
    </row>
    <row r="521" spans="23:23" x14ac:dyDescent="0.25">
      <c r="W521" t="str">
        <f>IF($C521="","",IF(DefaultScenario,IF(OR(AND(Default_Exchange="ALL",NOT(ISERROR(MATCH($C521,$AE$6:$AE$37,0)))),$C521=Default_Exchange),IF($G521&gt;0,-LGD,0),0),IF(OR($J521="SWAP",$J521="FUTURE",$J521="CME FUTURE"),IF('Futures &amp; Perps Shifted'!$AE$31,VLOOKUP($M521,'Futures &amp; Perps Shifted'!$AE$32:$AO$76,MATCH($R521,'Futures &amp; Perps Shifted'!$AE$30:$AO$30,0),FALSE),0),0)))</f>
        <v/>
      </c>
    </row>
    <row r="522" spans="23:23" x14ac:dyDescent="0.25">
      <c r="W522" t="str">
        <f>IF($C522="","",IF(DefaultScenario,IF(OR(AND(Default_Exchange="ALL",NOT(ISERROR(MATCH($C522,$AE$6:$AE$37,0)))),$C522=Default_Exchange),IF($G522&gt;0,-LGD,0),0),IF(OR($J522="SWAP",$J522="FUTURE",$J522="CME FUTURE"),IF('Futures &amp; Perps Shifted'!$AE$31,VLOOKUP($M522,'Futures &amp; Perps Shifted'!$AE$32:$AO$76,MATCH($R522,'Futures &amp; Perps Shifted'!$AE$30:$AO$30,0),FALSE),0),0)))</f>
        <v/>
      </c>
    </row>
    <row r="523" spans="23:23" x14ac:dyDescent="0.25">
      <c r="W523" t="str">
        <f>IF($C523="","",IF(DefaultScenario,IF(OR(AND(Default_Exchange="ALL",NOT(ISERROR(MATCH($C523,$AE$6:$AE$37,0)))),$C523=Default_Exchange),IF($G523&gt;0,-LGD,0),0),IF(OR($J523="SWAP",$J523="FUTURE",$J523="CME FUTURE"),IF('Futures &amp; Perps Shifted'!$AE$31,VLOOKUP($M523,'Futures &amp; Perps Shifted'!$AE$32:$AO$76,MATCH($R523,'Futures &amp; Perps Shifted'!$AE$30:$AO$30,0),FALSE),0),0)))</f>
        <v/>
      </c>
    </row>
    <row r="524" spans="23:23" x14ac:dyDescent="0.25">
      <c r="W524" t="str">
        <f>IF($C524="","",IF(DefaultScenario,IF(OR(AND(Default_Exchange="ALL",NOT(ISERROR(MATCH($C524,$AE$6:$AE$37,0)))),$C524=Default_Exchange),IF($G524&gt;0,-LGD,0),0),IF(OR($J524="SWAP",$J524="FUTURE",$J524="CME FUTURE"),IF('Futures &amp; Perps Shifted'!$AE$31,VLOOKUP($M524,'Futures &amp; Perps Shifted'!$AE$32:$AO$76,MATCH($R524,'Futures &amp; Perps Shifted'!$AE$30:$AO$30,0),FALSE),0),0)))</f>
        <v/>
      </c>
    </row>
    <row r="525" spans="23:23" x14ac:dyDescent="0.25">
      <c r="W525" t="str">
        <f>IF($C525="","",IF(DefaultScenario,IF(OR(AND(Default_Exchange="ALL",NOT(ISERROR(MATCH($C525,$AE$6:$AE$37,0)))),$C525=Default_Exchange),IF($G525&gt;0,-LGD,0),0),IF(OR($J525="SWAP",$J525="FUTURE",$J525="CME FUTURE"),IF('Futures &amp; Perps Shifted'!$AE$31,VLOOKUP($M525,'Futures &amp; Perps Shifted'!$AE$32:$AO$76,MATCH($R525,'Futures &amp; Perps Shifted'!$AE$30:$AO$30,0),FALSE),0),0)))</f>
        <v/>
      </c>
    </row>
    <row r="526" spans="23:23" x14ac:dyDescent="0.25">
      <c r="W526" t="str">
        <f>IF($C526="","",IF(DefaultScenario,IF(OR(AND(Default_Exchange="ALL",NOT(ISERROR(MATCH($C526,$AE$6:$AE$37,0)))),$C526=Default_Exchange),IF($G526&gt;0,-LGD,0),0),IF(OR($J526="SWAP",$J526="FUTURE",$J526="CME FUTURE"),IF('Futures &amp; Perps Shifted'!$AE$31,VLOOKUP($M526,'Futures &amp; Perps Shifted'!$AE$32:$AO$76,MATCH($R526,'Futures &amp; Perps Shifted'!$AE$30:$AO$30,0),FALSE),0),0)))</f>
        <v/>
      </c>
    </row>
    <row r="527" spans="23:23" x14ac:dyDescent="0.25">
      <c r="W527" t="str">
        <f>IF($C527="","",IF(DefaultScenario,IF(OR(AND(Default_Exchange="ALL",NOT(ISERROR(MATCH($C527,$AE$6:$AE$37,0)))),$C527=Default_Exchange),IF($G527&gt;0,-LGD,0),0),IF(OR($J527="SWAP",$J527="FUTURE",$J527="CME FUTURE"),IF('Futures &amp; Perps Shifted'!$AE$31,VLOOKUP($M527,'Futures &amp; Perps Shifted'!$AE$32:$AO$76,MATCH($R527,'Futures &amp; Perps Shifted'!$AE$30:$AO$30,0),FALSE),0),0)))</f>
        <v/>
      </c>
    </row>
    <row r="528" spans="23:23" x14ac:dyDescent="0.25">
      <c r="W528" t="str">
        <f>IF($C528="","",IF(DefaultScenario,IF(OR(AND(Default_Exchange="ALL",NOT(ISERROR(MATCH($C528,$AE$6:$AE$37,0)))),$C528=Default_Exchange),IF($G528&gt;0,-LGD,0),0),IF(OR($J528="SWAP",$J528="FUTURE",$J528="CME FUTURE"),IF('Futures &amp; Perps Shifted'!$AE$31,VLOOKUP($M528,'Futures &amp; Perps Shifted'!$AE$32:$AO$76,MATCH($R528,'Futures &amp; Perps Shifted'!$AE$30:$AO$30,0),FALSE),0),0)))</f>
        <v/>
      </c>
    </row>
    <row r="529" spans="23:23" x14ac:dyDescent="0.25">
      <c r="W529" t="str">
        <f>IF($C529="","",IF(DefaultScenario,IF(OR(AND(Default_Exchange="ALL",NOT(ISERROR(MATCH($C529,$AE$6:$AE$37,0)))),$C529=Default_Exchange),IF($G529&gt;0,-LGD,0),0),IF(OR($J529="SWAP",$J529="FUTURE",$J529="CME FUTURE"),IF('Futures &amp; Perps Shifted'!$AE$31,VLOOKUP($M529,'Futures &amp; Perps Shifted'!$AE$32:$AO$76,MATCH($R529,'Futures &amp; Perps Shifted'!$AE$30:$AO$30,0),FALSE),0),0)))</f>
        <v/>
      </c>
    </row>
    <row r="530" spans="23:23" x14ac:dyDescent="0.25">
      <c r="W530" t="str">
        <f>IF($C530="","",IF(DefaultScenario,IF(OR(AND(Default_Exchange="ALL",NOT(ISERROR(MATCH($C530,$AE$6:$AE$37,0)))),$C530=Default_Exchange),IF($G530&gt;0,-LGD,0),0),IF(OR($J530="SWAP",$J530="FUTURE",$J530="CME FUTURE"),IF('Futures &amp; Perps Shifted'!$AE$31,VLOOKUP($M530,'Futures &amp; Perps Shifted'!$AE$32:$AO$76,MATCH($R530,'Futures &amp; Perps Shifted'!$AE$30:$AO$30,0),FALSE),0),0)))</f>
        <v/>
      </c>
    </row>
    <row r="531" spans="23:23" x14ac:dyDescent="0.25">
      <c r="W531" t="str">
        <f>IF($C531="","",IF(DefaultScenario,IF(OR(AND(Default_Exchange="ALL",NOT(ISERROR(MATCH($C531,$AE$6:$AE$37,0)))),$C531=Default_Exchange),IF($G531&gt;0,-LGD,0),0),IF(OR($J531="SWAP",$J531="FUTURE",$J531="CME FUTURE"),IF('Futures &amp; Perps Shifted'!$AE$31,VLOOKUP($M531,'Futures &amp; Perps Shifted'!$AE$32:$AO$76,MATCH($R531,'Futures &amp; Perps Shifted'!$AE$30:$AO$30,0),FALSE),0),0)))</f>
        <v/>
      </c>
    </row>
    <row r="532" spans="23:23" x14ac:dyDescent="0.25">
      <c r="W532" t="str">
        <f>IF($C532="","",IF(DefaultScenario,IF(OR(AND(Default_Exchange="ALL",NOT(ISERROR(MATCH($C532,$AE$6:$AE$37,0)))),$C532=Default_Exchange),IF($G532&gt;0,-LGD,0),0),IF(OR($J532="SWAP",$J532="FUTURE",$J532="CME FUTURE"),IF('Futures &amp; Perps Shifted'!$AE$31,VLOOKUP($M532,'Futures &amp; Perps Shifted'!$AE$32:$AO$76,MATCH($R532,'Futures &amp; Perps Shifted'!$AE$30:$AO$30,0),FALSE),0),0)))</f>
        <v/>
      </c>
    </row>
    <row r="533" spans="23:23" x14ac:dyDescent="0.25">
      <c r="W533" t="str">
        <f>IF($C533="","",IF(DefaultScenario,IF(OR(AND(Default_Exchange="ALL",NOT(ISERROR(MATCH($C533,$AE$6:$AE$37,0)))),$C533=Default_Exchange),IF($G533&gt;0,-LGD,0),0),IF(OR($J533="SWAP",$J533="FUTURE",$J533="CME FUTURE"),IF('Futures &amp; Perps Shifted'!$AE$31,VLOOKUP($M533,'Futures &amp; Perps Shifted'!$AE$32:$AO$76,MATCH($R533,'Futures &amp; Perps Shifted'!$AE$30:$AO$30,0),FALSE),0),0)))</f>
        <v/>
      </c>
    </row>
    <row r="534" spans="23:23" x14ac:dyDescent="0.25">
      <c r="W534" t="str">
        <f>IF($C534="","",IF(DefaultScenario,IF(OR(AND(Default_Exchange="ALL",NOT(ISERROR(MATCH($C534,$AE$6:$AE$37,0)))),$C534=Default_Exchange),IF($G534&gt;0,-LGD,0),0),IF(OR($J534="SWAP",$J534="FUTURE",$J534="CME FUTURE"),IF('Futures &amp; Perps Shifted'!$AE$31,VLOOKUP($M534,'Futures &amp; Perps Shifted'!$AE$32:$AO$76,MATCH($R534,'Futures &amp; Perps Shifted'!$AE$30:$AO$30,0),FALSE),0),0)))</f>
        <v/>
      </c>
    </row>
    <row r="535" spans="23:23" x14ac:dyDescent="0.25">
      <c r="W535" t="str">
        <f>IF($C535="","",IF(DefaultScenario,IF(OR(AND(Default_Exchange="ALL",NOT(ISERROR(MATCH($C535,$AE$6:$AE$37,0)))),$C535=Default_Exchange),IF($G535&gt;0,-LGD,0),0),IF(OR($J535="SWAP",$J535="FUTURE",$J535="CME FUTURE"),IF('Futures &amp; Perps Shifted'!$AE$31,VLOOKUP($M535,'Futures &amp; Perps Shifted'!$AE$32:$AO$76,MATCH($R535,'Futures &amp; Perps Shifted'!$AE$30:$AO$30,0),FALSE),0),0)))</f>
        <v/>
      </c>
    </row>
    <row r="536" spans="23:23" x14ac:dyDescent="0.25">
      <c r="W536" t="str">
        <f>IF($C536="","",IF(DefaultScenario,IF(OR(AND(Default_Exchange="ALL",NOT(ISERROR(MATCH($C536,$AE$6:$AE$37,0)))),$C536=Default_Exchange),IF($G536&gt;0,-LGD,0),0),IF(OR($J536="SWAP",$J536="FUTURE",$J536="CME FUTURE"),IF('Futures &amp; Perps Shifted'!$AE$31,VLOOKUP($M536,'Futures &amp; Perps Shifted'!$AE$32:$AO$76,MATCH($R536,'Futures &amp; Perps Shifted'!$AE$30:$AO$30,0),FALSE),0),0)))</f>
        <v/>
      </c>
    </row>
    <row r="537" spans="23:23" x14ac:dyDescent="0.25">
      <c r="W537" t="str">
        <f>IF($C537="","",IF(DefaultScenario,IF(OR(AND(Default_Exchange="ALL",NOT(ISERROR(MATCH($C537,$AE$6:$AE$37,0)))),$C537=Default_Exchange),IF($G537&gt;0,-LGD,0),0),IF(OR($J537="SWAP",$J537="FUTURE",$J537="CME FUTURE"),IF('Futures &amp; Perps Shifted'!$AE$31,VLOOKUP($M537,'Futures &amp; Perps Shifted'!$AE$32:$AO$76,MATCH($R537,'Futures &amp; Perps Shifted'!$AE$30:$AO$30,0),FALSE),0),0)))</f>
        <v/>
      </c>
    </row>
    <row r="538" spans="23:23" x14ac:dyDescent="0.25">
      <c r="W538" t="str">
        <f>IF($C538="","",IF(DefaultScenario,IF(OR(AND(Default_Exchange="ALL",NOT(ISERROR(MATCH($C538,$AE$6:$AE$37,0)))),$C538=Default_Exchange),IF($G538&gt;0,-LGD,0),0),IF(OR($J538="SWAP",$J538="FUTURE",$J538="CME FUTURE"),IF('Futures &amp; Perps Shifted'!$AE$31,VLOOKUP($M538,'Futures &amp; Perps Shifted'!$AE$32:$AO$76,MATCH($R538,'Futures &amp; Perps Shifted'!$AE$30:$AO$30,0),FALSE),0),0)))</f>
        <v/>
      </c>
    </row>
    <row r="539" spans="23:23" x14ac:dyDescent="0.25">
      <c r="W539" t="str">
        <f>IF($C539="","",IF(DefaultScenario,IF(OR(AND(Default_Exchange="ALL",NOT(ISERROR(MATCH($C539,$AE$6:$AE$37,0)))),$C539=Default_Exchange),IF($G539&gt;0,-LGD,0),0),IF(OR($J539="SWAP",$J539="FUTURE",$J539="CME FUTURE"),IF('Futures &amp; Perps Shifted'!$AE$31,VLOOKUP($M539,'Futures &amp; Perps Shifted'!$AE$32:$AO$76,MATCH($R539,'Futures &amp; Perps Shifted'!$AE$30:$AO$30,0),FALSE),0),0)))</f>
        <v/>
      </c>
    </row>
    <row r="540" spans="23:23" x14ac:dyDescent="0.25">
      <c r="W540" t="str">
        <f>IF($C540="","",IF(DefaultScenario,IF(OR(AND(Default_Exchange="ALL",NOT(ISERROR(MATCH($C540,$AE$6:$AE$37,0)))),$C540=Default_Exchange),IF($G540&gt;0,-LGD,0),0),IF(OR($J540="SWAP",$J540="FUTURE",$J540="CME FUTURE"),IF('Futures &amp; Perps Shifted'!$AE$31,VLOOKUP($M540,'Futures &amp; Perps Shifted'!$AE$32:$AO$76,MATCH($R540,'Futures &amp; Perps Shifted'!$AE$30:$AO$30,0),FALSE),0),0)))</f>
        <v/>
      </c>
    </row>
    <row r="541" spans="23:23" x14ac:dyDescent="0.25">
      <c r="W541" t="str">
        <f>IF($C541="","",IF(DefaultScenario,IF(OR(AND(Default_Exchange="ALL",NOT(ISERROR(MATCH($C541,$AE$6:$AE$37,0)))),$C541=Default_Exchange),IF($G541&gt;0,-LGD,0),0),IF(OR($J541="SWAP",$J541="FUTURE",$J541="CME FUTURE"),IF('Futures &amp; Perps Shifted'!$AE$31,VLOOKUP($M541,'Futures &amp; Perps Shifted'!$AE$32:$AO$76,MATCH($R541,'Futures &amp; Perps Shifted'!$AE$30:$AO$30,0),FALSE),0),0)))</f>
        <v/>
      </c>
    </row>
    <row r="542" spans="23:23" x14ac:dyDescent="0.25">
      <c r="W542" t="str">
        <f>IF($C542="","",IF(DefaultScenario,IF(OR(AND(Default_Exchange="ALL",NOT(ISERROR(MATCH($C542,$AE$6:$AE$37,0)))),$C542=Default_Exchange),IF($G542&gt;0,-LGD,0),0),IF(OR($J542="SWAP",$J542="FUTURE",$J542="CME FUTURE"),IF('Futures &amp; Perps Shifted'!$AE$31,VLOOKUP($M542,'Futures &amp; Perps Shifted'!$AE$32:$AO$76,MATCH($R542,'Futures &amp; Perps Shifted'!$AE$30:$AO$30,0),FALSE),0),0)))</f>
        <v/>
      </c>
    </row>
    <row r="543" spans="23:23" x14ac:dyDescent="0.25">
      <c r="W543" t="str">
        <f>IF($C543="","",IF(DefaultScenario,IF(OR(AND(Default_Exchange="ALL",NOT(ISERROR(MATCH($C543,$AE$6:$AE$37,0)))),$C543=Default_Exchange),IF($G543&gt;0,-LGD,0),0),IF(OR($J543="SWAP",$J543="FUTURE",$J543="CME FUTURE"),IF('Futures &amp; Perps Shifted'!$AE$31,VLOOKUP($M543,'Futures &amp; Perps Shifted'!$AE$32:$AO$76,MATCH($R543,'Futures &amp; Perps Shifted'!$AE$30:$AO$30,0),FALSE),0),0)))</f>
        <v/>
      </c>
    </row>
    <row r="544" spans="23:23" x14ac:dyDescent="0.25">
      <c r="W544" t="str">
        <f>IF($C544="","",IF(DefaultScenario,IF(OR(AND(Default_Exchange="ALL",NOT(ISERROR(MATCH($C544,$AE$6:$AE$37,0)))),$C544=Default_Exchange),IF($G544&gt;0,-LGD,0),0),IF(OR($J544="SWAP",$J544="FUTURE",$J544="CME FUTURE"),IF('Futures &amp; Perps Shifted'!$AE$31,VLOOKUP($M544,'Futures &amp; Perps Shifted'!$AE$32:$AO$76,MATCH($R544,'Futures &amp; Perps Shifted'!$AE$30:$AO$30,0),FALSE),0),0)))</f>
        <v/>
      </c>
    </row>
    <row r="545" spans="23:23" x14ac:dyDescent="0.25">
      <c r="W545" t="str">
        <f>IF($C545="","",IF(DefaultScenario,IF(OR(AND(Default_Exchange="ALL",NOT(ISERROR(MATCH($C545,$AE$6:$AE$37,0)))),$C545=Default_Exchange),IF($G545&gt;0,-LGD,0),0),IF(OR($J545="SWAP",$J545="FUTURE",$J545="CME FUTURE"),IF('Futures &amp; Perps Shifted'!$AE$31,VLOOKUP($M545,'Futures &amp; Perps Shifted'!$AE$32:$AO$76,MATCH($R545,'Futures &amp; Perps Shifted'!$AE$30:$AO$30,0),FALSE),0),0)))</f>
        <v/>
      </c>
    </row>
    <row r="546" spans="23:23" x14ac:dyDescent="0.25">
      <c r="W546" t="str">
        <f>IF($C546="","",IF(DefaultScenario,IF(OR(AND(Default_Exchange="ALL",NOT(ISERROR(MATCH($C546,$AE$6:$AE$37,0)))),$C546=Default_Exchange),IF($G546&gt;0,-LGD,0),0),IF(OR($J546="SWAP",$J546="FUTURE",$J546="CME FUTURE"),IF('Futures &amp; Perps Shifted'!$AE$31,VLOOKUP($M546,'Futures &amp; Perps Shifted'!$AE$32:$AO$76,MATCH($R546,'Futures &amp; Perps Shifted'!$AE$30:$AO$30,0),FALSE),0),0)))</f>
        <v/>
      </c>
    </row>
    <row r="547" spans="23:23" x14ac:dyDescent="0.25">
      <c r="W547" t="str">
        <f>IF($C547="","",IF(DefaultScenario,IF(OR(AND(Default_Exchange="ALL",NOT(ISERROR(MATCH($C547,$AE$6:$AE$37,0)))),$C547=Default_Exchange),IF($G547&gt;0,-LGD,0),0),IF(OR($J547="SWAP",$J547="FUTURE",$J547="CME FUTURE"),IF('Futures &amp; Perps Shifted'!$AE$31,VLOOKUP($M547,'Futures &amp; Perps Shifted'!$AE$32:$AO$76,MATCH($R547,'Futures &amp; Perps Shifted'!$AE$30:$AO$30,0),FALSE),0),0)))</f>
        <v/>
      </c>
    </row>
    <row r="548" spans="23:23" x14ac:dyDescent="0.25">
      <c r="W548" t="str">
        <f>IF($C548="","",IF(DefaultScenario,IF(OR(AND(Default_Exchange="ALL",NOT(ISERROR(MATCH($C548,$AE$6:$AE$37,0)))),$C548=Default_Exchange),IF($G548&gt;0,-LGD,0),0),IF(OR($J548="SWAP",$J548="FUTURE",$J548="CME FUTURE"),IF('Futures &amp; Perps Shifted'!$AE$31,VLOOKUP($M548,'Futures &amp; Perps Shifted'!$AE$32:$AO$76,MATCH($R548,'Futures &amp; Perps Shifted'!$AE$30:$AO$30,0),FALSE),0),0)))</f>
        <v/>
      </c>
    </row>
    <row r="549" spans="23:23" x14ac:dyDescent="0.25">
      <c r="W549" t="str">
        <f>IF($C549="","",IF(DefaultScenario,IF(OR(AND(Default_Exchange="ALL",NOT(ISERROR(MATCH($C549,$AE$6:$AE$37,0)))),$C549=Default_Exchange),IF($G549&gt;0,-LGD,0),0),IF(OR($J549="SWAP",$J549="FUTURE",$J549="CME FUTURE"),IF('Futures &amp; Perps Shifted'!$AE$31,VLOOKUP($M549,'Futures &amp; Perps Shifted'!$AE$32:$AO$76,MATCH($R549,'Futures &amp; Perps Shifted'!$AE$30:$AO$30,0),FALSE),0),0)))</f>
        <v/>
      </c>
    </row>
    <row r="550" spans="23:23" x14ac:dyDescent="0.25">
      <c r="W550" t="str">
        <f>IF($C550="","",IF(DefaultScenario,IF(OR(AND(Default_Exchange="ALL",NOT(ISERROR(MATCH($C550,$AE$6:$AE$37,0)))),$C550=Default_Exchange),IF($G550&gt;0,-LGD,0),0),IF(OR($J550="SWAP",$J550="FUTURE",$J550="CME FUTURE"),IF('Futures &amp; Perps Shifted'!$AE$31,VLOOKUP($M550,'Futures &amp; Perps Shifted'!$AE$32:$AO$76,MATCH($R550,'Futures &amp; Perps Shifted'!$AE$30:$AO$30,0),FALSE),0),0)))</f>
        <v/>
      </c>
    </row>
    <row r="551" spans="23:23" x14ac:dyDescent="0.25">
      <c r="W551" t="str">
        <f>IF($C551="","",IF(DefaultScenario,IF(OR(AND(Default_Exchange="ALL",NOT(ISERROR(MATCH($C551,$AE$6:$AE$37,0)))),$C551=Default_Exchange),IF($G551&gt;0,-LGD,0),0),IF(OR($J551="SWAP",$J551="FUTURE",$J551="CME FUTURE"),IF('Futures &amp; Perps Shifted'!$AE$31,VLOOKUP($M551,'Futures &amp; Perps Shifted'!$AE$32:$AO$76,MATCH($R551,'Futures &amp; Perps Shifted'!$AE$30:$AO$30,0),FALSE),0),0)))</f>
        <v/>
      </c>
    </row>
    <row r="552" spans="23:23" x14ac:dyDescent="0.25">
      <c r="W552" t="str">
        <f>IF($C552="","",IF(DefaultScenario,IF(OR(AND(Default_Exchange="ALL",NOT(ISERROR(MATCH($C552,$AE$6:$AE$37,0)))),$C552=Default_Exchange),IF($G552&gt;0,-LGD,0),0),IF(OR($J552="SWAP",$J552="FUTURE",$J552="CME FUTURE"),IF('Futures &amp; Perps Shifted'!$AE$31,VLOOKUP($M552,'Futures &amp; Perps Shifted'!$AE$32:$AO$76,MATCH($R552,'Futures &amp; Perps Shifted'!$AE$30:$AO$30,0),FALSE),0),0)))</f>
        <v/>
      </c>
    </row>
    <row r="553" spans="23:23" x14ac:dyDescent="0.25">
      <c r="W553" t="str">
        <f>IF($C553="","",IF(DefaultScenario,IF(OR(AND(Default_Exchange="ALL",NOT(ISERROR(MATCH($C553,$AE$6:$AE$37,0)))),$C553=Default_Exchange),IF($G553&gt;0,-LGD,0),0),IF(OR($J553="SWAP",$J553="FUTURE",$J553="CME FUTURE"),IF('Futures &amp; Perps Shifted'!$AE$31,VLOOKUP($M553,'Futures &amp; Perps Shifted'!$AE$32:$AO$76,MATCH($R553,'Futures &amp; Perps Shifted'!$AE$30:$AO$30,0),FALSE),0),0)))</f>
        <v/>
      </c>
    </row>
    <row r="554" spans="23:23" x14ac:dyDescent="0.25">
      <c r="W554" t="str">
        <f>IF($C554="","",IF(DefaultScenario,IF(OR(AND(Default_Exchange="ALL",NOT(ISERROR(MATCH($C554,$AE$6:$AE$37,0)))),$C554=Default_Exchange),IF($G554&gt;0,-LGD,0),0),IF(OR($J554="SWAP",$J554="FUTURE",$J554="CME FUTURE"),IF('Futures &amp; Perps Shifted'!$AE$31,VLOOKUP($M554,'Futures &amp; Perps Shifted'!$AE$32:$AO$76,MATCH($R554,'Futures &amp; Perps Shifted'!$AE$30:$AO$30,0),FALSE),0),0)))</f>
        <v/>
      </c>
    </row>
  </sheetData>
  <autoFilter ref="A1:AH554" xr:uid="{A4F1DDC5-7D07-4F43-8FDC-F8BB31AED075}"/>
  <phoneticPr fontId="19" type="noConversion"/>
  <conditionalFormatting sqref="F74:F1048576">
    <cfRule type="cellIs" dxfId="57" priority="12" operator="lessThan">
      <formula>0</formula>
    </cfRule>
  </conditionalFormatting>
  <conditionalFormatting sqref="AQ2:AT1048576">
    <cfRule type="cellIs" dxfId="56" priority="8" operator="lessThan">
      <formula>0</formula>
    </cfRule>
  </conditionalFormatting>
  <conditionalFormatting sqref="F66:F73 F56:F63 F2:F54">
    <cfRule type="cellIs" dxfId="55" priority="7" operator="lessThan">
      <formula>0</formula>
    </cfRule>
  </conditionalFormatting>
  <conditionalFormatting sqref="F64:F65">
    <cfRule type="cellIs" dxfId="54" priority="2" operator="lessThan">
      <formula>0</formula>
    </cfRule>
  </conditionalFormatting>
  <conditionalFormatting sqref="F55">
    <cfRule type="cellIs" dxfId="53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567A-56A4-45B1-8EB0-C0C4671ADCDB}">
  <sheetPr codeName="Sheet10"/>
  <dimension ref="A1:AD1584"/>
  <sheetViews>
    <sheetView zoomScale="87" zoomScaleNormal="87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G33" sqref="G33"/>
    </sheetView>
  </sheetViews>
  <sheetFormatPr defaultRowHeight="15" x14ac:dyDescent="0.25"/>
  <cols>
    <col min="1" max="1" width="12.5703125" bestFit="1" customWidth="1"/>
    <col min="2" max="2" width="25.42578125" bestFit="1" customWidth="1"/>
    <col min="3" max="3" width="43.28515625" customWidth="1"/>
    <col min="4" max="4" width="13.7109375" bestFit="1" customWidth="1"/>
    <col min="5" max="5" width="19.5703125" style="52" bestFit="1" customWidth="1"/>
    <col min="6" max="6" width="1.85546875" style="164" customWidth="1"/>
    <col min="7" max="7" width="21.85546875" style="52" customWidth="1"/>
    <col min="8" max="8" width="20.42578125" customWidth="1"/>
    <col min="9" max="9" width="18.42578125" style="165" bestFit="1" customWidth="1"/>
    <col min="10" max="10" width="1.85546875" style="164" customWidth="1"/>
    <col min="11" max="11" width="19.7109375" customWidth="1"/>
    <col min="12" max="12" width="52.42578125" bestFit="1" customWidth="1"/>
    <col min="13" max="13" width="1.7109375" style="163" customWidth="1"/>
    <col min="14" max="14" width="20.28515625" style="161" customWidth="1"/>
    <col min="15" max="15" width="19.28515625" style="161" bestFit="1" customWidth="1"/>
    <col min="16" max="16" width="24.5703125" style="161" bestFit="1" customWidth="1"/>
    <col min="17" max="17" width="13" style="161" bestFit="1" customWidth="1"/>
    <col min="18" max="18" width="21.140625" style="162" bestFit="1" customWidth="1"/>
    <col min="19" max="19" width="31.7109375" style="161" bestFit="1" customWidth="1"/>
    <col min="20" max="20" width="3.28515625" style="161" customWidth="1"/>
    <col min="21" max="21" width="1.7109375" style="163" customWidth="1"/>
    <col min="23" max="23" width="13" bestFit="1" customWidth="1"/>
    <col min="24" max="24" width="21" customWidth="1"/>
    <col min="25" max="25" width="21.7109375" style="42" bestFit="1" customWidth="1"/>
    <col min="26" max="26" width="20.28515625" style="42" bestFit="1" customWidth="1"/>
    <col min="28" max="28" width="73.140625" bestFit="1" customWidth="1"/>
    <col min="29" max="29" width="17.85546875" style="1" bestFit="1" customWidth="1"/>
    <col min="30" max="30" width="17.42578125" style="1" bestFit="1" customWidth="1"/>
    <col min="31" max="31" width="5.5703125" bestFit="1" customWidth="1"/>
    <col min="32" max="32" width="14.28515625" bestFit="1" customWidth="1"/>
  </cols>
  <sheetData>
    <row r="1" spans="1:30" x14ac:dyDescent="0.25">
      <c r="A1" s="193" t="s">
        <v>989</v>
      </c>
      <c r="B1" s="193"/>
      <c r="C1" s="193"/>
      <c r="D1" s="193"/>
      <c r="E1" s="193"/>
      <c r="N1" s="191" t="s">
        <v>1009</v>
      </c>
      <c r="O1" s="191"/>
      <c r="P1" s="191"/>
      <c r="Q1" s="191"/>
      <c r="R1" s="191"/>
      <c r="S1" s="191"/>
      <c r="T1" s="191"/>
    </row>
    <row r="2" spans="1:30" s="82" customFormat="1" x14ac:dyDescent="0.25">
      <c r="A2" s="82" t="s">
        <v>82</v>
      </c>
      <c r="B2" s="82" t="s">
        <v>71</v>
      </c>
      <c r="C2" s="82" t="s">
        <v>74</v>
      </c>
      <c r="D2" s="82" t="s">
        <v>73</v>
      </c>
      <c r="E2" s="166" t="s">
        <v>72</v>
      </c>
      <c r="F2" s="167"/>
      <c r="G2" s="166" t="s">
        <v>1011</v>
      </c>
      <c r="I2" s="82" t="s">
        <v>1018</v>
      </c>
      <c r="J2" s="167"/>
      <c r="K2" s="82" t="s">
        <v>1010</v>
      </c>
      <c r="M2" s="168"/>
      <c r="N2" s="82" t="s">
        <v>321</v>
      </c>
      <c r="O2" s="82" t="s">
        <v>216</v>
      </c>
      <c r="P2" s="82" t="s">
        <v>71</v>
      </c>
      <c r="Q2" s="82" t="s">
        <v>73</v>
      </c>
      <c r="R2" s="192" t="s">
        <v>322</v>
      </c>
      <c r="S2" s="82" t="s">
        <v>405</v>
      </c>
      <c r="T2" s="82" t="s">
        <v>406</v>
      </c>
      <c r="U2" s="168"/>
      <c r="W2" s="82" t="s">
        <v>82</v>
      </c>
      <c r="X2" s="82" t="s">
        <v>74</v>
      </c>
      <c r="Y2" s="195" t="s">
        <v>1015</v>
      </c>
      <c r="Z2" s="195" t="s">
        <v>1011</v>
      </c>
      <c r="AB2" s="194" t="s">
        <v>57</v>
      </c>
      <c r="AC2" t="s">
        <v>1016</v>
      </c>
      <c r="AD2" t="s">
        <v>1017</v>
      </c>
    </row>
    <row r="3" spans="1:30" x14ac:dyDescent="0.25">
      <c r="A3" t="str">
        <f>IF(Summary_Exchange_Balances_00UTC!$B2="","",Summary_Exchange_Balances_00UTC!$N2)</f>
        <v>BINE</v>
      </c>
      <c r="B3" t="str">
        <f>IF(Summary_Exchange_Balances_00UTC!$B2="","",Summary_Exchange_Balances_00UTC!$B2)</f>
        <v>BINE-2-S1-E</v>
      </c>
      <c r="C3" t="str">
        <f>IF(Summary_Exchange_Balances_00UTC!$B2="","",Summary_Exchange_Balances_00UTC!$E2)</f>
        <v>AAVE</v>
      </c>
      <c r="D3" t="str">
        <f>IF(OR(Summary_Exchange_Balances_00UTC!$B2="",Summary_Exchange_Balances_00UTC!$D2=""),"",Summary_Exchange_Balances_00UTC!$D2)</f>
        <v/>
      </c>
      <c r="E3" s="52">
        <f>IF(Summary_Exchange_Balances_00UTC!$B2="","",Summary_Exchange_Balances_00UTC!$C2)</f>
        <v>628.35861419000003</v>
      </c>
      <c r="G3" s="52">
        <f ca="1">IF(Summary_Exchange_Balances_00UTC!$B2="","",VLOOKUP(IF(ISERROR(SEARCH(" ", $B3)),UPPER($B3&amp;$C3&amp;IF(OR(NOT(ISERROR(SEARCH("trade",$D3))),NOT(ISERROR(SEARCH("balance",$D3)))),"",$D3)),UPPER(LEFT($B3, SEARCH(" ",$B3)-1)&amp;$C3&amp;IF(OR(NOT(ISERROR(SEARCH("trade",$D3))),NOT(ISERROR(SEARCH("balance",$D3)))),"",$D3))),$L:$T,MATCH("balance",$L$2:$S$2,0),FALSE))</f>
        <v>565.14819660000001</v>
      </c>
      <c r="H3" s="35">
        <f ca="1">IF(Summary_Exchange_Balances_00UTC!$B2="","",(G3-E3)/E3)</f>
        <v>-0.10059608663355853</v>
      </c>
      <c r="I3" s="165">
        <f ca="1">IF(Summary_Exchange_Balances_00UTC!$B2="","",IF(ISERROR($G3),$E3,$G3))</f>
        <v>565.14819660000001</v>
      </c>
      <c r="K3" t="str">
        <f t="shared" ref="K3:K66" ca="1" si="0">UPPER($O3&amp;$N3)</f>
        <v>BINEAAVE</v>
      </c>
      <c r="L3" t="str">
        <f ca="1">UPPER($P3&amp;$N3&amp;Q3)</f>
        <v>BINE-2-S1-EAAVE</v>
      </c>
      <c r="N3" s="161" t="str">
        <f ca="1">IF(raw_exchange_data!$A2="","",OFFSET(raw_exchange_data!$A2,0,MATCH(N$2,raw_exchange_data!$1:$1,0)-1))</f>
        <v>AAVE</v>
      </c>
      <c r="O3" s="161" t="str">
        <f ca="1">IF(raw_exchange_data!$A2="","",OFFSET(raw_exchange_data!$A2,0,MATCH(O$2,raw_exchange_data!$1:$1,0)-1))</f>
        <v>BINE</v>
      </c>
      <c r="P3" s="161" t="str">
        <f ca="1">IF(raw_exchange_data!$A2="","",OFFSET(raw_exchange_data!$A2,0,MATCH(P$2,raw_exchange_data!$1:$1,0)-1))</f>
        <v>BINE-2-S1-E</v>
      </c>
      <c r="Q3" s="161" t="str">
        <f ca="1">IF(raw_exchange_data!$A2="","",TEXT(OFFSET(raw_exchange_data!$A2,0,MATCH(Q$2,raw_exchange_data!$1:$1,0)-1),""))</f>
        <v/>
      </c>
      <c r="R3" s="162">
        <f ca="1">IF(raw_exchange_data!$A2="","",OFFSET(raw_exchange_data!$A2,0,MATCH(R$2,raw_exchange_data!$1:$1,0)-1))</f>
        <v>565.14819660000001</v>
      </c>
      <c r="S3" s="190">
        <f ca="1">IF(raw_exchange_data!$A2="","",OFFSET(raw_exchange_data!$A2,0,MATCH(S$2,raw_exchange_data!$1:$1,0)-1))</f>
        <v>44937.666667673613</v>
      </c>
      <c r="T3" s="161">
        <v>1</v>
      </c>
      <c r="W3" t="str">
        <f>IF($A3="","",$A3)</f>
        <v>BINE</v>
      </c>
      <c r="X3" t="str">
        <f>IF($A3="","",$C3)</f>
        <v>AAVE</v>
      </c>
      <c r="Y3" s="42">
        <f>IF($A3="","",$E3)</f>
        <v>628.35861419000003</v>
      </c>
      <c r="Z3" s="42">
        <f ca="1">IF($A3="","",IF(ISERROR($G3),0,$G3))</f>
        <v>565.14819660000001</v>
      </c>
      <c r="AB3" s="3" t="s">
        <v>264</v>
      </c>
      <c r="AC3" s="32">
        <v>0</v>
      </c>
      <c r="AD3" s="32">
        <v>0</v>
      </c>
    </row>
    <row r="4" spans="1:30" x14ac:dyDescent="0.25">
      <c r="A4" t="str">
        <f>IF(Summary_Exchange_Balances_00UTC!$B3="","",Summary_Exchange_Balances_00UTC!$N3)</f>
        <v>BINE</v>
      </c>
      <c r="B4" t="str">
        <f>IF(Summary_Exchange_Balances_00UTC!$B3="","",Summary_Exchange_Balances_00UTC!$B3)</f>
        <v>BINE-2-S1-E</v>
      </c>
      <c r="C4" t="str">
        <f>IF(Summary_Exchange_Balances_00UTC!$B3="","",Summary_Exchange_Balances_00UTC!$E3)</f>
        <v>ADA</v>
      </c>
      <c r="D4" t="str">
        <f>IF(OR(Summary_Exchange_Balances_00UTC!$B3="",Summary_Exchange_Balances_00UTC!$D3=""),"",Summary_Exchange_Balances_00UTC!$D3)</f>
        <v/>
      </c>
      <c r="E4" s="52">
        <f>IF(Summary_Exchange_Balances_00UTC!$B3="","",Summary_Exchange_Balances_00UTC!$C3)</f>
        <v>291912.33526399999</v>
      </c>
      <c r="G4" s="52">
        <f ca="1">IF(Summary_Exchange_Balances_00UTC!$B3="","",VLOOKUP(IF(ISERROR(SEARCH(" ", $B4)),UPPER($B4&amp;$C4&amp;IF(OR(NOT(ISERROR(SEARCH("trade",$D4))),NOT(ISERROR(SEARCH("balance",$D4)))),"",$D4)),UPPER(LEFT($B4, SEARCH(" ",$B4)-1)&amp;$C4&amp;IF(OR(NOT(ISERROR(SEARCH("trade",$D4))),NOT(ISERROR(SEARCH("balance",$D4)))),"",$D4))),$L:$T,MATCH("balance",$L$2:$S$2,0),FALSE))</f>
        <v>331565.88807300001</v>
      </c>
      <c r="H4" s="35">
        <f ca="1">IF(Summary_Exchange_Balances_00UTC!$B3="","",(G4-E4)/E4)</f>
        <v>0.13584062068887254</v>
      </c>
      <c r="I4" s="165">
        <f ca="1">IF(Summary_Exchange_Balances_00UTC!$B3="","",IF(ISERROR($G4),$E4,$G4))</f>
        <v>331565.88807300001</v>
      </c>
      <c r="K4" t="str">
        <f t="shared" ca="1" si="0"/>
        <v>BINEADA</v>
      </c>
      <c r="L4" t="str">
        <f ca="1">UPPER($P4&amp;$N4&amp;Q4)</f>
        <v>BINE-2-S1-EADA</v>
      </c>
      <c r="N4" s="161" t="str">
        <f ca="1">IF(raw_exchange_data!$A3="","",OFFSET(raw_exchange_data!$A3,0,MATCH(N$2,raw_exchange_data!$1:$1,0)-1))</f>
        <v>ADA</v>
      </c>
      <c r="O4" s="161" t="str">
        <f ca="1">IF(raw_exchange_data!$A3="","",OFFSET(raw_exchange_data!$A3,0,MATCH(O$2,raw_exchange_data!$1:$1,0)-1))</f>
        <v>BINE</v>
      </c>
      <c r="P4" s="161" t="str">
        <f ca="1">IF(raw_exchange_data!$A3="","",OFFSET(raw_exchange_data!$A3,0,MATCH(P$2,raw_exchange_data!$1:$1,0)-1))</f>
        <v>BINE-2-S1-E</v>
      </c>
      <c r="Q4" s="161" t="str">
        <f ca="1">IF(raw_exchange_data!$A3="","",TEXT(OFFSET(raw_exchange_data!$A3,0,MATCH(Q$2,raw_exchange_data!$1:$1,0)-1),""))</f>
        <v/>
      </c>
      <c r="R4" s="162">
        <f ca="1">IF(raw_exchange_data!$A3="","",OFFSET(raw_exchange_data!$A3,0,MATCH(R$2,raw_exchange_data!$1:$1,0)-1))</f>
        <v>331565.88807300001</v>
      </c>
      <c r="S4" s="190">
        <f ca="1">IF(raw_exchange_data!$A3="","",OFFSET(raw_exchange_data!$A3,0,MATCH(S$2,raw_exchange_data!$1:$1,0)-1))</f>
        <v>44937.666667673613</v>
      </c>
      <c r="T4" s="161">
        <v>1</v>
      </c>
      <c r="W4" t="str">
        <f t="shared" ref="W4:W67" si="1">IF($A4="","",$A4)</f>
        <v>BINE</v>
      </c>
      <c r="X4" t="str">
        <f t="shared" ref="X4:X67" si="2">IF($A4="","",$C4)</f>
        <v>ADA</v>
      </c>
      <c r="Y4" s="42">
        <f t="shared" ref="Y4:Y67" si="3">IF($A4="","",$E4)</f>
        <v>291912.33526399999</v>
      </c>
      <c r="Z4" s="42">
        <f t="shared" ref="Z4:Z67" ca="1" si="4">IF($A4="","",IF(ISERROR($G4),0,$G4))</f>
        <v>331565.88807300001</v>
      </c>
      <c r="AB4" s="3" t="s">
        <v>802</v>
      </c>
      <c r="AC4" s="32">
        <v>180000</v>
      </c>
      <c r="AD4" s="32">
        <v>0</v>
      </c>
    </row>
    <row r="5" spans="1:30" x14ac:dyDescent="0.25">
      <c r="A5" t="str">
        <f>IF(Summary_Exchange_Balances_00UTC!$B4="","",Summary_Exchange_Balances_00UTC!$N4)</f>
        <v>BINE</v>
      </c>
      <c r="B5" t="str">
        <f>IF(Summary_Exchange_Balances_00UTC!$B4="","",Summary_Exchange_Balances_00UTC!$B4)</f>
        <v>BINE-2-S1-E</v>
      </c>
      <c r="C5" t="str">
        <f>IF(Summary_Exchange_Balances_00UTC!$B4="","",Summary_Exchange_Balances_00UTC!$E4)</f>
        <v>ALGO</v>
      </c>
      <c r="D5" t="str">
        <f>IF(OR(Summary_Exchange_Balances_00UTC!$B4="",Summary_Exchange_Balances_00UTC!$D4=""),"",Summary_Exchange_Balances_00UTC!$D4)</f>
        <v/>
      </c>
      <c r="E5" s="52">
        <f>IF(Summary_Exchange_Balances_00UTC!$B4="","",Summary_Exchange_Balances_00UTC!$C4)</f>
        <v>215007.15676099999</v>
      </c>
      <c r="G5" s="52">
        <f ca="1">IF(Summary_Exchange_Balances_00UTC!$B4="","",VLOOKUP(IF(ISERROR(SEARCH(" ", $B5)),UPPER($B5&amp;$C5&amp;IF(OR(NOT(ISERROR(SEARCH("trade",$D5))),NOT(ISERROR(SEARCH("balance",$D5)))),"",$D5)),UPPER(LEFT($B5, SEARCH(" ",$B5)-1)&amp;$C5&amp;IF(OR(NOT(ISERROR(SEARCH("trade",$D5))),NOT(ISERROR(SEARCH("balance",$D5)))),"",$D5))),$L:$T,MATCH("balance",$L$2:$S$2,0),FALSE))</f>
        <v>199718.09347699999</v>
      </c>
      <c r="H5" s="35">
        <f ca="1">IF(Summary_Exchange_Balances_00UTC!$B4="","",(G5-E5)/E5)</f>
        <v>-7.1109555208877018E-2</v>
      </c>
      <c r="I5" s="165">
        <f ca="1">IF(Summary_Exchange_Balances_00UTC!$B4="","",IF(ISERROR($G5),$E5,$G5))</f>
        <v>199718.09347699999</v>
      </c>
      <c r="K5" t="str">
        <f t="shared" ca="1" si="0"/>
        <v>BINEALGO</v>
      </c>
      <c r="L5" t="str">
        <f ca="1">UPPER($P5&amp;$N5&amp;Q5)</f>
        <v>BINE-2-S1-EALGO</v>
      </c>
      <c r="N5" s="161" t="str">
        <f ca="1">IF(raw_exchange_data!$A4="","",OFFSET(raw_exchange_data!$A4,0,MATCH(N$2,raw_exchange_data!$1:$1,0)-1))</f>
        <v>ALGO</v>
      </c>
      <c r="O5" s="161" t="str">
        <f ca="1">IF(raw_exchange_data!$A4="","",OFFSET(raw_exchange_data!$A4,0,MATCH(O$2,raw_exchange_data!$1:$1,0)-1))</f>
        <v>BINE</v>
      </c>
      <c r="P5" s="161" t="str">
        <f ca="1">IF(raw_exchange_data!$A4="","",OFFSET(raw_exchange_data!$A4,0,MATCH(P$2,raw_exchange_data!$1:$1,0)-1))</f>
        <v>BINE-2-S1-E</v>
      </c>
      <c r="Q5" s="161" t="str">
        <f ca="1">IF(raw_exchange_data!$A4="","",TEXT(OFFSET(raw_exchange_data!$A4,0,MATCH(Q$2,raw_exchange_data!$1:$1,0)-1),""))</f>
        <v/>
      </c>
      <c r="R5" s="162">
        <f ca="1">IF(raw_exchange_data!$A4="","",OFFSET(raw_exchange_data!$A4,0,MATCH(R$2,raw_exchange_data!$1:$1,0)-1))</f>
        <v>199718.09347699999</v>
      </c>
      <c r="S5" s="190">
        <f ca="1">IF(raw_exchange_data!$A4="","",OFFSET(raw_exchange_data!$A4,0,MATCH(S$2,raw_exchange_data!$1:$1,0)-1))</f>
        <v>44937.666667673613</v>
      </c>
      <c r="T5" s="161">
        <v>1</v>
      </c>
      <c r="W5" t="str">
        <f t="shared" si="1"/>
        <v>BINE</v>
      </c>
      <c r="X5" t="str">
        <f t="shared" si="2"/>
        <v>ALGO</v>
      </c>
      <c r="Y5" s="42">
        <f t="shared" si="3"/>
        <v>215007.15676099999</v>
      </c>
      <c r="Z5" s="42">
        <f t="shared" ca="1" si="4"/>
        <v>199718.09347699999</v>
      </c>
      <c r="AB5" s="3" t="s">
        <v>301</v>
      </c>
      <c r="AC5" s="32">
        <v>7000</v>
      </c>
      <c r="AD5" s="32">
        <v>0</v>
      </c>
    </row>
    <row r="6" spans="1:30" x14ac:dyDescent="0.25">
      <c r="A6" t="str">
        <f>IF(Summary_Exchange_Balances_00UTC!$B5="","",Summary_Exchange_Balances_00UTC!$N5)</f>
        <v>BINE</v>
      </c>
      <c r="B6" t="str">
        <f>IF(Summary_Exchange_Balances_00UTC!$B5="","",Summary_Exchange_Balances_00UTC!$B5)</f>
        <v>BINE-2-S1-E</v>
      </c>
      <c r="C6" t="str">
        <f>IF(Summary_Exchange_Balances_00UTC!$B5="","",Summary_Exchange_Balances_00UTC!$E5)</f>
        <v>ATOM</v>
      </c>
      <c r="D6" t="str">
        <f>IF(OR(Summary_Exchange_Balances_00UTC!$B5="",Summary_Exchange_Balances_00UTC!$D5=""),"",Summary_Exchange_Balances_00UTC!$D5)</f>
        <v/>
      </c>
      <c r="E6" s="52">
        <f>IF(Summary_Exchange_Balances_00UTC!$B5="","",Summary_Exchange_Balances_00UTC!$C5)</f>
        <v>4.2548999999999998E-3</v>
      </c>
      <c r="G6" s="52">
        <f ca="1">IF(Summary_Exchange_Balances_00UTC!$B5="","",VLOOKUP(IF(ISERROR(SEARCH(" ", $B6)),UPPER($B6&amp;$C6&amp;IF(OR(NOT(ISERROR(SEARCH("trade",$D6))),NOT(ISERROR(SEARCH("balance",$D6)))),"",$D6)),UPPER(LEFT($B6, SEARCH(" ",$B6)-1)&amp;$C6&amp;IF(OR(NOT(ISERROR(SEARCH("trade",$D6))),NOT(ISERROR(SEARCH("balance",$D6)))),"",$D6))),$L:$T,MATCH("balance",$L$2:$S$2,0),FALSE))</f>
        <v>4.2548999999999998E-3</v>
      </c>
      <c r="H6" s="35">
        <f ca="1">IF(Summary_Exchange_Balances_00UTC!$B5="","",(G6-E6)/E6)</f>
        <v>0</v>
      </c>
      <c r="I6" s="165">
        <f ca="1">IF(Summary_Exchange_Balances_00UTC!$B5="","",IF(ISERROR($G6),$E6,$G6))</f>
        <v>4.2548999999999998E-3</v>
      </c>
      <c r="K6" t="str">
        <f t="shared" ca="1" si="0"/>
        <v>BINEATOM</v>
      </c>
      <c r="L6" t="str">
        <f ca="1">UPPER($P6&amp;$N6&amp;Q6)</f>
        <v>BINE-2-S1-EATOM</v>
      </c>
      <c r="N6" s="161" t="str">
        <f ca="1">IF(raw_exchange_data!$A5="","",OFFSET(raw_exchange_data!$A5,0,MATCH(N$2,raw_exchange_data!$1:$1,0)-1))</f>
        <v>ATOM</v>
      </c>
      <c r="O6" s="161" t="str">
        <f ca="1">IF(raw_exchange_data!$A5="","",OFFSET(raw_exchange_data!$A5,0,MATCH(O$2,raw_exchange_data!$1:$1,0)-1))</f>
        <v>BINE</v>
      </c>
      <c r="P6" s="161" t="str">
        <f ca="1">IF(raw_exchange_data!$A5="","",OFFSET(raw_exchange_data!$A5,0,MATCH(P$2,raw_exchange_data!$1:$1,0)-1))</f>
        <v>BINE-2-S1-E</v>
      </c>
      <c r="Q6" s="161" t="str">
        <f ca="1">IF(raw_exchange_data!$A5="","",TEXT(OFFSET(raw_exchange_data!$A5,0,MATCH(Q$2,raw_exchange_data!$1:$1,0)-1),""))</f>
        <v/>
      </c>
      <c r="R6" s="162">
        <f ca="1">IF(raw_exchange_data!$A5="","",OFFSET(raw_exchange_data!$A5,0,MATCH(R$2,raw_exchange_data!$1:$1,0)-1))</f>
        <v>4.2548999999999998E-3</v>
      </c>
      <c r="S6" s="190">
        <f ca="1">IF(raw_exchange_data!$A5="","",OFFSET(raw_exchange_data!$A5,0,MATCH(S$2,raw_exchange_data!$1:$1,0)-1))</f>
        <v>44937.666667673613</v>
      </c>
      <c r="T6" s="161">
        <v>1</v>
      </c>
      <c r="W6" t="str">
        <f t="shared" si="1"/>
        <v>BINE</v>
      </c>
      <c r="X6" t="str">
        <f t="shared" si="2"/>
        <v>ATOM</v>
      </c>
      <c r="Y6" s="42">
        <f t="shared" si="3"/>
        <v>4.2548999999999998E-3</v>
      </c>
      <c r="Z6" s="42">
        <f t="shared" ca="1" si="4"/>
        <v>4.2548999999999998E-3</v>
      </c>
      <c r="AB6" s="3" t="s">
        <v>315</v>
      </c>
      <c r="AC6" s="32">
        <v>7000</v>
      </c>
      <c r="AD6" s="32">
        <v>0</v>
      </c>
    </row>
    <row r="7" spans="1:30" x14ac:dyDescent="0.25">
      <c r="A7" t="str">
        <f>IF(Summary_Exchange_Balances_00UTC!$B6="","",Summary_Exchange_Balances_00UTC!$N6)</f>
        <v>BINE</v>
      </c>
      <c r="B7" t="str">
        <f>IF(Summary_Exchange_Balances_00UTC!$B6="","",Summary_Exchange_Balances_00UTC!$B6)</f>
        <v>BINE-2-S1-E</v>
      </c>
      <c r="C7" t="str">
        <f>IF(Summary_Exchange_Balances_00UTC!$B6="","",Summary_Exchange_Balances_00UTC!$E6)</f>
        <v>AVAX</v>
      </c>
      <c r="D7" t="str">
        <f>IF(OR(Summary_Exchange_Balances_00UTC!$B6="",Summary_Exchange_Balances_00UTC!$D6=""),"",Summary_Exchange_Balances_00UTC!$D6)</f>
        <v/>
      </c>
      <c r="E7" s="52">
        <f>IF(Summary_Exchange_Balances_00UTC!$B6="","",Summary_Exchange_Balances_00UTC!$C6)</f>
        <v>3951.2305524499998</v>
      </c>
      <c r="G7" s="52">
        <f ca="1">IF(Summary_Exchange_Balances_00UTC!$B6="","",VLOOKUP(IF(ISERROR(SEARCH(" ", $B7)),UPPER($B7&amp;$C7&amp;IF(OR(NOT(ISERROR(SEARCH("trade",$D7))),NOT(ISERROR(SEARCH("balance",$D7)))),"",$D7)),UPPER(LEFT($B7, SEARCH(" ",$B7)-1)&amp;$C7&amp;IF(OR(NOT(ISERROR(SEARCH("trade",$D7))),NOT(ISERROR(SEARCH("balance",$D7)))),"",$D7))),$L:$T,MATCH("balance",$L$2:$S$2,0),FALSE))</f>
        <v>2593.0405524500002</v>
      </c>
      <c r="H7" s="35">
        <f ca="1">IF(Summary_Exchange_Balances_00UTC!$B6="","",(G7-E7)/E7)</f>
        <v>-0.34373848399148471</v>
      </c>
      <c r="I7" s="165">
        <f ca="1">IF(Summary_Exchange_Balances_00UTC!$B6="","",IF(ISERROR($G7),$E7,$G7))</f>
        <v>2593.0405524500002</v>
      </c>
      <c r="K7" t="str">
        <f t="shared" ca="1" si="0"/>
        <v>BINEAVAX</v>
      </c>
      <c r="L7" t="str">
        <f ca="1">UPPER($P7&amp;$N7&amp;Q7)</f>
        <v>BINE-2-S1-EAVAX</v>
      </c>
      <c r="N7" s="161" t="str">
        <f ca="1">IF(raw_exchange_data!$A6="","",OFFSET(raw_exchange_data!$A6,0,MATCH(N$2,raw_exchange_data!$1:$1,0)-1))</f>
        <v>AVAX</v>
      </c>
      <c r="O7" s="161" t="str">
        <f ca="1">IF(raw_exchange_data!$A6="","",OFFSET(raw_exchange_data!$A6,0,MATCH(O$2,raw_exchange_data!$1:$1,0)-1))</f>
        <v>BINE</v>
      </c>
      <c r="P7" s="161" t="str">
        <f ca="1">IF(raw_exchange_data!$A6="","",OFFSET(raw_exchange_data!$A6,0,MATCH(P$2,raw_exchange_data!$1:$1,0)-1))</f>
        <v>BINE-2-S1-E</v>
      </c>
      <c r="Q7" s="161" t="str">
        <f ca="1">IF(raw_exchange_data!$A6="","",TEXT(OFFSET(raw_exchange_data!$A6,0,MATCH(Q$2,raw_exchange_data!$1:$1,0)-1),""))</f>
        <v/>
      </c>
      <c r="R7" s="162">
        <f ca="1">IF(raw_exchange_data!$A6="","",OFFSET(raw_exchange_data!$A6,0,MATCH(R$2,raw_exchange_data!$1:$1,0)-1))</f>
        <v>2593.0405524500002</v>
      </c>
      <c r="S7" s="190">
        <f ca="1">IF(raw_exchange_data!$A6="","",OFFSET(raw_exchange_data!$A6,0,MATCH(S$2,raw_exchange_data!$1:$1,0)-1))</f>
        <v>44937.666667673613</v>
      </c>
      <c r="T7" s="161">
        <v>1</v>
      </c>
      <c r="W7" t="str">
        <f t="shared" si="1"/>
        <v>BINE</v>
      </c>
      <c r="X7" t="str">
        <f t="shared" si="2"/>
        <v>AVAX</v>
      </c>
      <c r="Y7" s="42">
        <f t="shared" si="3"/>
        <v>3951.2305524499998</v>
      </c>
      <c r="Z7" s="42">
        <f t="shared" ca="1" si="4"/>
        <v>2593.0405524500002</v>
      </c>
      <c r="AB7" s="3" t="s">
        <v>904</v>
      </c>
      <c r="AC7" s="32">
        <v>7000</v>
      </c>
      <c r="AD7" s="32">
        <v>0</v>
      </c>
    </row>
    <row r="8" spans="1:30" x14ac:dyDescent="0.25">
      <c r="A8" t="str">
        <f>IF(Summary_Exchange_Balances_00UTC!$B7="","",Summary_Exchange_Balances_00UTC!$N7)</f>
        <v>BINE</v>
      </c>
      <c r="B8" t="str">
        <f>IF(Summary_Exchange_Balances_00UTC!$B7="","",Summary_Exchange_Balances_00UTC!$B7)</f>
        <v>BINE-2-S1-E</v>
      </c>
      <c r="C8" t="str">
        <f>IF(Summary_Exchange_Balances_00UTC!$B7="","",Summary_Exchange_Balances_00UTC!$E7)</f>
        <v>BAT</v>
      </c>
      <c r="D8" t="str">
        <f>IF(OR(Summary_Exchange_Balances_00UTC!$B7="",Summary_Exchange_Balances_00UTC!$D7=""),"",Summary_Exchange_Balances_00UTC!$D7)</f>
        <v/>
      </c>
      <c r="E8" s="52">
        <f>IF(Summary_Exchange_Balances_00UTC!$B7="","",Summary_Exchange_Balances_00UTC!$C7)</f>
        <v>99068.070622019994</v>
      </c>
      <c r="G8" s="52">
        <f ca="1">IF(Summary_Exchange_Balances_00UTC!$B7="","",VLOOKUP(IF(ISERROR(SEARCH(" ", $B8)),UPPER($B8&amp;$C8&amp;IF(OR(NOT(ISERROR(SEARCH("trade",$D8))),NOT(ISERROR(SEARCH("balance",$D8)))),"",$D8)),UPPER(LEFT($B8, SEARCH(" ",$B8)-1)&amp;$C8&amp;IF(OR(NOT(ISERROR(SEARCH("trade",$D8))),NOT(ISERROR(SEARCH("balance",$D8)))),"",$D8))),$L:$T,MATCH("balance",$L$2:$S$2,0),FALSE))</f>
        <v>87121.825610889995</v>
      </c>
      <c r="H8" s="35">
        <f ca="1">IF(Summary_Exchange_Balances_00UTC!$B7="","",(G8-E8)/E8)</f>
        <v>-0.12058622860143489</v>
      </c>
      <c r="I8" s="165">
        <f ca="1">IF(Summary_Exchange_Balances_00UTC!$B7="","",IF(ISERROR($G8),$E8,$G8))</f>
        <v>87121.825610889995</v>
      </c>
      <c r="K8" t="str">
        <f t="shared" ca="1" si="0"/>
        <v>BINEBAT</v>
      </c>
      <c r="L8" t="str">
        <f ca="1">UPPER($P8&amp;$N8&amp;Q8)</f>
        <v>BINE-2-S1-EBAT</v>
      </c>
      <c r="N8" s="161" t="str">
        <f ca="1">IF(raw_exchange_data!$A7="","",OFFSET(raw_exchange_data!$A7,0,MATCH(N$2,raw_exchange_data!$1:$1,0)-1))</f>
        <v>BAT</v>
      </c>
      <c r="O8" s="161" t="str">
        <f ca="1">IF(raw_exchange_data!$A7="","",OFFSET(raw_exchange_data!$A7,0,MATCH(O$2,raw_exchange_data!$1:$1,0)-1))</f>
        <v>BINE</v>
      </c>
      <c r="P8" s="161" t="str">
        <f ca="1">IF(raw_exchange_data!$A7="","",OFFSET(raw_exchange_data!$A7,0,MATCH(P$2,raw_exchange_data!$1:$1,0)-1))</f>
        <v>BINE-2-S1-E</v>
      </c>
      <c r="Q8" s="161" t="str">
        <f ca="1">IF(raw_exchange_data!$A7="","",TEXT(OFFSET(raw_exchange_data!$A7,0,MATCH(Q$2,raw_exchange_data!$1:$1,0)-1),""))</f>
        <v/>
      </c>
      <c r="R8" s="162">
        <f ca="1">IF(raw_exchange_data!$A7="","",OFFSET(raw_exchange_data!$A7,0,MATCH(R$2,raw_exchange_data!$1:$1,0)-1))</f>
        <v>87121.825610889995</v>
      </c>
      <c r="S8" s="190">
        <f ca="1">IF(raw_exchange_data!$A7="","",OFFSET(raw_exchange_data!$A7,0,MATCH(S$2,raw_exchange_data!$1:$1,0)-1))</f>
        <v>44937.666667673613</v>
      </c>
      <c r="T8" s="161">
        <v>1</v>
      </c>
      <c r="W8" t="str">
        <f t="shared" si="1"/>
        <v>BINE</v>
      </c>
      <c r="X8" t="str">
        <f t="shared" si="2"/>
        <v>BAT</v>
      </c>
      <c r="Y8" s="42">
        <f t="shared" si="3"/>
        <v>99068.070622019994</v>
      </c>
      <c r="Z8" s="42">
        <f t="shared" ca="1" si="4"/>
        <v>87121.825610889995</v>
      </c>
      <c r="AB8" s="3" t="s">
        <v>428</v>
      </c>
      <c r="AC8" s="32">
        <v>8</v>
      </c>
      <c r="AD8" s="32">
        <v>0</v>
      </c>
    </row>
    <row r="9" spans="1:30" x14ac:dyDescent="0.25">
      <c r="A9" t="str">
        <f>IF(Summary_Exchange_Balances_00UTC!$B8="","",Summary_Exchange_Balances_00UTC!$N8)</f>
        <v>BINE</v>
      </c>
      <c r="B9" t="str">
        <f>IF(Summary_Exchange_Balances_00UTC!$B8="","",Summary_Exchange_Balances_00UTC!$B8)</f>
        <v>BINE-2-S1-E</v>
      </c>
      <c r="C9" t="str">
        <f>IF(Summary_Exchange_Balances_00UTC!$B8="","",Summary_Exchange_Balances_00UTC!$E8)</f>
        <v>BCH</v>
      </c>
      <c r="D9" t="str">
        <f>IF(OR(Summary_Exchange_Balances_00UTC!$B8="",Summary_Exchange_Balances_00UTC!$D8=""),"",Summary_Exchange_Balances_00UTC!$D8)</f>
        <v/>
      </c>
      <c r="E9" s="52">
        <f>IF(Summary_Exchange_Balances_00UTC!$B8="","",Summary_Exchange_Balances_00UTC!$C8)</f>
        <v>647.60989974999995</v>
      </c>
      <c r="G9" s="52">
        <f ca="1">IF(Summary_Exchange_Balances_00UTC!$B8="","",VLOOKUP(IF(ISERROR(SEARCH(" ", $B9)),UPPER($B9&amp;$C9&amp;IF(OR(NOT(ISERROR(SEARCH("trade",$D9))),NOT(ISERROR(SEARCH("balance",$D9)))),"",$D9)),UPPER(LEFT($B9, SEARCH(" ",$B9)-1)&amp;$C9&amp;IF(OR(NOT(ISERROR(SEARCH("trade",$D9))),NOT(ISERROR(SEARCH("balance",$D9)))),"",$D9))),$L:$T,MATCH("balance",$L$2:$S$2,0),FALSE))</f>
        <v>509.13674737000002</v>
      </c>
      <c r="H9" s="35">
        <f ca="1">IF(Summary_Exchange_Balances_00UTC!$B8="","",(G9-E9)/E9)</f>
        <v>-0.21382185855011698</v>
      </c>
      <c r="I9" s="165">
        <f ca="1">IF(Summary_Exchange_Balances_00UTC!$B8="","",IF(ISERROR($G9),$E9,$G9))</f>
        <v>509.13674737000002</v>
      </c>
      <c r="K9" t="str">
        <f t="shared" ca="1" si="0"/>
        <v>BINEBCH</v>
      </c>
      <c r="L9" t="str">
        <f ca="1">UPPER($P9&amp;$N9&amp;Q9)</f>
        <v>BINE-2-S1-EBCH</v>
      </c>
      <c r="N9" s="161" t="str">
        <f ca="1">IF(raw_exchange_data!$A8="","",OFFSET(raw_exchange_data!$A8,0,MATCH(N$2,raw_exchange_data!$1:$1,0)-1))</f>
        <v>BCH</v>
      </c>
      <c r="O9" s="161" t="str">
        <f ca="1">IF(raw_exchange_data!$A8="","",OFFSET(raw_exchange_data!$A8,0,MATCH(O$2,raw_exchange_data!$1:$1,0)-1))</f>
        <v>BINE</v>
      </c>
      <c r="P9" s="161" t="str">
        <f ca="1">IF(raw_exchange_data!$A8="","",OFFSET(raw_exchange_data!$A8,0,MATCH(P$2,raw_exchange_data!$1:$1,0)-1))</f>
        <v>BINE-2-S1-E</v>
      </c>
      <c r="Q9" s="161" t="str">
        <f ca="1">IF(raw_exchange_data!$A8="","",TEXT(OFFSET(raw_exchange_data!$A8,0,MATCH(Q$2,raw_exchange_data!$1:$1,0)-1),""))</f>
        <v/>
      </c>
      <c r="R9" s="162">
        <f ca="1">IF(raw_exchange_data!$A8="","",OFFSET(raw_exchange_data!$A8,0,MATCH(R$2,raw_exchange_data!$1:$1,0)-1))</f>
        <v>509.13674737000002</v>
      </c>
      <c r="S9" s="190">
        <f ca="1">IF(raw_exchange_data!$A8="","",OFFSET(raw_exchange_data!$A8,0,MATCH(S$2,raw_exchange_data!$1:$1,0)-1))</f>
        <v>44937.666667673613</v>
      </c>
      <c r="T9" s="161">
        <v>1</v>
      </c>
      <c r="W9" t="str">
        <f t="shared" si="1"/>
        <v>BINE</v>
      </c>
      <c r="X9" t="str">
        <f t="shared" si="2"/>
        <v>BCH</v>
      </c>
      <c r="Y9" s="42">
        <f t="shared" si="3"/>
        <v>647.60989974999995</v>
      </c>
      <c r="Z9" s="42">
        <f t="shared" ca="1" si="4"/>
        <v>509.13674737000002</v>
      </c>
      <c r="AB9" s="3" t="s">
        <v>121</v>
      </c>
      <c r="AC9" s="32">
        <v>377.09760540000002</v>
      </c>
      <c r="AD9" s="32">
        <v>377.09760540000002</v>
      </c>
    </row>
    <row r="10" spans="1:30" x14ac:dyDescent="0.25">
      <c r="A10" t="str">
        <f>IF(Summary_Exchange_Balances_00UTC!$B9="","",Summary_Exchange_Balances_00UTC!$N9)</f>
        <v>BINE</v>
      </c>
      <c r="B10" t="str">
        <f>IF(Summary_Exchange_Balances_00UTC!$B9="","",Summary_Exchange_Balances_00UTC!$B9)</f>
        <v>BINE-2-S1-E</v>
      </c>
      <c r="C10" t="str">
        <f>IF(Summary_Exchange_Balances_00UTC!$B9="","",Summary_Exchange_Balances_00UTC!$E9)</f>
        <v>BNB</v>
      </c>
      <c r="D10" t="str">
        <f>IF(OR(Summary_Exchange_Balances_00UTC!$B9="",Summary_Exchange_Balances_00UTC!$D9=""),"",Summary_Exchange_Balances_00UTC!$D9)</f>
        <v/>
      </c>
      <c r="E10" s="52">
        <f>IF(Summary_Exchange_Balances_00UTC!$B9="","",Summary_Exchange_Balances_00UTC!$C9)</f>
        <v>36.319834</v>
      </c>
      <c r="G10" s="52">
        <f ca="1">IF(Summary_Exchange_Balances_00UTC!$B9="","",VLOOKUP(IF(ISERROR(SEARCH(" ", $B10)),UPPER($B10&amp;$C10&amp;IF(OR(NOT(ISERROR(SEARCH("trade",$D10))),NOT(ISERROR(SEARCH("balance",$D10)))),"",$D10)),UPPER(LEFT($B10, SEARCH(" ",$B10)-1)&amp;$C10&amp;IF(OR(NOT(ISERROR(SEARCH("trade",$D10))),NOT(ISERROR(SEARCH("balance",$D10)))),"",$D10))),$L:$T,MATCH("balance",$L$2:$S$2,0),FALSE))</f>
        <v>38.506896650000002</v>
      </c>
      <c r="H10" s="35">
        <f ca="1">IF(Summary_Exchange_Balances_00UTC!$B9="","",(G10-E10)/E10)</f>
        <v>6.0216757873948472E-2</v>
      </c>
      <c r="I10" s="165">
        <f ca="1">IF(Summary_Exchange_Balances_00UTC!$B9="","",IF(ISERROR($G10),$E10,$G10))</f>
        <v>38.506896650000002</v>
      </c>
      <c r="K10" t="str">
        <f t="shared" ca="1" si="0"/>
        <v>BINEBNB</v>
      </c>
      <c r="L10" t="str">
        <f ca="1">UPPER($P10&amp;$N10&amp;Q10)</f>
        <v>BINE-2-S1-EBNB</v>
      </c>
      <c r="N10" s="161" t="str">
        <f ca="1">IF(raw_exchange_data!$A9="","",OFFSET(raw_exchange_data!$A9,0,MATCH(N$2,raw_exchange_data!$1:$1,0)-1))</f>
        <v>BNB</v>
      </c>
      <c r="O10" s="161" t="str">
        <f ca="1">IF(raw_exchange_data!$A9="","",OFFSET(raw_exchange_data!$A9,0,MATCH(O$2,raw_exchange_data!$1:$1,0)-1))</f>
        <v>BINE</v>
      </c>
      <c r="P10" s="161" t="str">
        <f ca="1">IF(raw_exchange_data!$A9="","",OFFSET(raw_exchange_data!$A9,0,MATCH(P$2,raw_exchange_data!$1:$1,0)-1))</f>
        <v>BINE-2-S1-E</v>
      </c>
      <c r="Q10" s="161" t="str">
        <f ca="1">IF(raw_exchange_data!$A9="","",TEXT(OFFSET(raw_exchange_data!$A9,0,MATCH(Q$2,raw_exchange_data!$1:$1,0)-1),""))</f>
        <v/>
      </c>
      <c r="R10" s="162">
        <f ca="1">IF(raw_exchange_data!$A9="","",OFFSET(raw_exchange_data!$A9,0,MATCH(R$2,raw_exchange_data!$1:$1,0)-1))</f>
        <v>38.506896650000002</v>
      </c>
      <c r="S10" s="190">
        <f ca="1">IF(raw_exchange_data!$A9="","",OFFSET(raw_exchange_data!$A9,0,MATCH(S$2,raw_exchange_data!$1:$1,0)-1))</f>
        <v>44937.666667673613</v>
      </c>
      <c r="T10" s="161">
        <v>1</v>
      </c>
      <c r="W10" t="str">
        <f t="shared" si="1"/>
        <v>BINE</v>
      </c>
      <c r="X10" t="str">
        <f t="shared" si="2"/>
        <v>BNB</v>
      </c>
      <c r="Y10" s="42">
        <f t="shared" si="3"/>
        <v>36.319834</v>
      </c>
      <c r="Z10" s="42">
        <f t="shared" ca="1" si="4"/>
        <v>38.506896650000002</v>
      </c>
      <c r="AB10" s="3" t="s">
        <v>116</v>
      </c>
      <c r="AC10" s="32">
        <v>93.480233909999924</v>
      </c>
      <c r="AD10" s="32">
        <v>-107.99711995069993</v>
      </c>
    </row>
    <row r="11" spans="1:30" x14ac:dyDescent="0.25">
      <c r="A11" t="str">
        <f>IF(Summary_Exchange_Balances_00UTC!$B10="","",Summary_Exchange_Balances_00UTC!$N10)</f>
        <v>BINE</v>
      </c>
      <c r="B11" t="str">
        <f>IF(Summary_Exchange_Balances_00UTC!$B10="","",Summary_Exchange_Balances_00UTC!$B10)</f>
        <v>BINE-2-S1-E</v>
      </c>
      <c r="C11" t="str">
        <f>IF(Summary_Exchange_Balances_00UTC!$B10="","",Summary_Exchange_Balances_00UTC!$E10)</f>
        <v>BTC</v>
      </c>
      <c r="D11" t="str">
        <f>IF(OR(Summary_Exchange_Balances_00UTC!$B10="",Summary_Exchange_Balances_00UTC!$D10=""),"",Summary_Exchange_Balances_00UTC!$D10)</f>
        <v/>
      </c>
      <c r="E11" s="52">
        <f>IF(Summary_Exchange_Balances_00UTC!$B10="","",Summary_Exchange_Balances_00UTC!$C10)</f>
        <v>54.877967439999999</v>
      </c>
      <c r="G11" s="52">
        <f ca="1">IF(Summary_Exchange_Balances_00UTC!$B10="","",VLOOKUP(IF(ISERROR(SEARCH(" ", $B11)),UPPER($B11&amp;$C11&amp;IF(OR(NOT(ISERROR(SEARCH("trade",$D11))),NOT(ISERROR(SEARCH("balance",$D11)))),"",$D11)),UPPER(LEFT($B11, SEARCH(" ",$B11)-1)&amp;$C11&amp;IF(OR(NOT(ISERROR(SEARCH("trade",$D11))),NOT(ISERROR(SEARCH("balance",$D11)))),"",$D11))),$L:$T,MATCH("balance",$L$2:$S$2,0),FALSE))</f>
        <v>4.9148701299999997</v>
      </c>
      <c r="H11" s="35">
        <f ca="1">IF(Summary_Exchange_Balances_00UTC!$B10="","",(G11-E11)/E11)</f>
        <v>-0.91044001155156495</v>
      </c>
      <c r="I11" s="165">
        <f ca="1">IF(Summary_Exchange_Balances_00UTC!$B10="","",IF(ISERROR($G11),$E11,$G11))</f>
        <v>4.9148701299999997</v>
      </c>
      <c r="K11" t="str">
        <f t="shared" ca="1" si="0"/>
        <v>BINEBTC</v>
      </c>
      <c r="L11" t="str">
        <f ca="1">UPPER($P11&amp;$N11&amp;Q11)</f>
        <v>BINE-2-S1-EBTC</v>
      </c>
      <c r="N11" s="161" t="str">
        <f ca="1">IF(raw_exchange_data!$A10="","",OFFSET(raw_exchange_data!$A10,0,MATCH(N$2,raw_exchange_data!$1:$1,0)-1))</f>
        <v>BTC</v>
      </c>
      <c r="O11" s="161" t="str">
        <f ca="1">IF(raw_exchange_data!$A10="","",OFFSET(raw_exchange_data!$A10,0,MATCH(O$2,raw_exchange_data!$1:$1,0)-1))</f>
        <v>BINE</v>
      </c>
      <c r="P11" s="161" t="str">
        <f ca="1">IF(raw_exchange_data!$A10="","",OFFSET(raw_exchange_data!$A10,0,MATCH(P$2,raw_exchange_data!$1:$1,0)-1))</f>
        <v>BINE-2-S1-E</v>
      </c>
      <c r="Q11" s="161" t="str">
        <f ca="1">IF(raw_exchange_data!$A10="","",TEXT(OFFSET(raw_exchange_data!$A10,0,MATCH(Q$2,raw_exchange_data!$1:$1,0)-1),""))</f>
        <v/>
      </c>
      <c r="R11" s="162">
        <f ca="1">IF(raw_exchange_data!$A10="","",OFFSET(raw_exchange_data!$A10,0,MATCH(R$2,raw_exchange_data!$1:$1,0)-1))</f>
        <v>4.9148701299999997</v>
      </c>
      <c r="S11" s="190">
        <f ca="1">IF(raw_exchange_data!$A10="","",OFFSET(raw_exchange_data!$A10,0,MATCH(S$2,raw_exchange_data!$1:$1,0)-1))</f>
        <v>44937.666667673613</v>
      </c>
      <c r="T11" s="161">
        <v>1</v>
      </c>
      <c r="W11" t="str">
        <f t="shared" si="1"/>
        <v>BINE</v>
      </c>
      <c r="X11" t="str">
        <f t="shared" si="2"/>
        <v>BTC</v>
      </c>
      <c r="Y11" s="42">
        <f t="shared" si="3"/>
        <v>54.877967439999999</v>
      </c>
      <c r="Z11" s="42">
        <f t="shared" ca="1" si="4"/>
        <v>4.9148701299999997</v>
      </c>
      <c r="AB11" s="3" t="s">
        <v>84</v>
      </c>
      <c r="AC11" s="32">
        <v>60547.668016710086</v>
      </c>
      <c r="AD11" s="32">
        <v>-166992.80437729327</v>
      </c>
    </row>
    <row r="12" spans="1:30" x14ac:dyDescent="0.25">
      <c r="A12" t="str">
        <f>IF(Summary_Exchange_Balances_00UTC!$B11="","",Summary_Exchange_Balances_00UTC!$N11)</f>
        <v>BINE</v>
      </c>
      <c r="B12" t="str">
        <f>IF(Summary_Exchange_Balances_00UTC!$B11="","",Summary_Exchange_Balances_00UTC!$B11)</f>
        <v>BINE-2-S1-E</v>
      </c>
      <c r="C12" t="str">
        <f>IF(Summary_Exchange_Balances_00UTC!$B11="","",Summary_Exchange_Balances_00UTC!$E11)</f>
        <v>BUSD</v>
      </c>
      <c r="D12" t="str">
        <f>IF(OR(Summary_Exchange_Balances_00UTC!$B11="",Summary_Exchange_Balances_00UTC!$D11=""),"",Summary_Exchange_Balances_00UTC!$D11)</f>
        <v/>
      </c>
      <c r="E12" s="52">
        <f>IF(Summary_Exchange_Balances_00UTC!$B11="","",Summary_Exchange_Balances_00UTC!$C11)</f>
        <v>926.54662797000003</v>
      </c>
      <c r="G12" s="52">
        <f ca="1">IF(Summary_Exchange_Balances_00UTC!$B11="","",VLOOKUP(IF(ISERROR(SEARCH(" ", $B12)),UPPER($B12&amp;$C12&amp;IF(OR(NOT(ISERROR(SEARCH("trade",$D12))),NOT(ISERROR(SEARCH("balance",$D12)))),"",$D12)),UPPER(LEFT($B12, SEARCH(" ",$B12)-1)&amp;$C12&amp;IF(OR(NOT(ISERROR(SEARCH("trade",$D12))),NOT(ISERROR(SEARCH("balance",$D12)))),"",$D12))),$L:$T,MATCH("balance",$L$2:$S$2,0),FALSE))</f>
        <v>407.36654134999998</v>
      </c>
      <c r="H12" s="35">
        <f ca="1">IF(Summary_Exchange_Balances_00UTC!$B11="","",(G12-E12)/E12)</f>
        <v>-0.56033886579187919</v>
      </c>
      <c r="I12" s="165">
        <f ca="1">IF(Summary_Exchange_Balances_00UTC!$B11="","",IF(ISERROR($G12),$E12,$G12))</f>
        <v>407.36654134999998</v>
      </c>
      <c r="K12" t="str">
        <f t="shared" ca="1" si="0"/>
        <v>BINEBUSD</v>
      </c>
      <c r="L12" t="str">
        <f ca="1">UPPER($P12&amp;$N12&amp;Q12)</f>
        <v>BINE-2-S1-EBUSD</v>
      </c>
      <c r="N12" s="161" t="str">
        <f ca="1">IF(raw_exchange_data!$A11="","",OFFSET(raw_exchange_data!$A11,0,MATCH(N$2,raw_exchange_data!$1:$1,0)-1))</f>
        <v>BUSD</v>
      </c>
      <c r="O12" s="161" t="str">
        <f ca="1">IF(raw_exchange_data!$A11="","",OFFSET(raw_exchange_data!$A11,0,MATCH(O$2,raw_exchange_data!$1:$1,0)-1))</f>
        <v>BINE</v>
      </c>
      <c r="P12" s="161" t="str">
        <f ca="1">IF(raw_exchange_data!$A11="","",OFFSET(raw_exchange_data!$A11,0,MATCH(P$2,raw_exchange_data!$1:$1,0)-1))</f>
        <v>BINE-2-S1-E</v>
      </c>
      <c r="Q12" s="161" t="str">
        <f ca="1">IF(raw_exchange_data!$A11="","",TEXT(OFFSET(raw_exchange_data!$A11,0,MATCH(Q$2,raw_exchange_data!$1:$1,0)-1),""))</f>
        <v/>
      </c>
      <c r="R12" s="162">
        <f ca="1">IF(raw_exchange_data!$A11="","",OFFSET(raw_exchange_data!$A11,0,MATCH(R$2,raw_exchange_data!$1:$1,0)-1))</f>
        <v>407.36654134999998</v>
      </c>
      <c r="S12" s="190">
        <f ca="1">IF(raw_exchange_data!$A11="","",OFFSET(raw_exchange_data!$A11,0,MATCH(S$2,raw_exchange_data!$1:$1,0)-1))</f>
        <v>44937.666667673613</v>
      </c>
      <c r="T12" s="161">
        <v>1</v>
      </c>
      <c r="W12" t="str">
        <f t="shared" si="1"/>
        <v>BINE</v>
      </c>
      <c r="X12" t="str">
        <f t="shared" si="2"/>
        <v>BUSD</v>
      </c>
      <c r="Y12" s="42">
        <f t="shared" si="3"/>
        <v>926.54662797000003</v>
      </c>
      <c r="Z12" s="42">
        <f t="shared" ca="1" si="4"/>
        <v>407.36654134999998</v>
      </c>
      <c r="AB12" s="3" t="s">
        <v>122</v>
      </c>
      <c r="AC12" s="32">
        <v>3340.353362260008</v>
      </c>
      <c r="AD12" s="32">
        <v>-31371.28952274</v>
      </c>
    </row>
    <row r="13" spans="1:30" x14ac:dyDescent="0.25">
      <c r="A13" t="str">
        <f>IF(Summary_Exchange_Balances_00UTC!$B12="","",Summary_Exchange_Balances_00UTC!$N12)</f>
        <v>BINE</v>
      </c>
      <c r="B13" t="str">
        <f>IF(Summary_Exchange_Balances_00UTC!$B12="","",Summary_Exchange_Balances_00UTC!$B12)</f>
        <v>BINE-2-S1-E</v>
      </c>
      <c r="C13" t="str">
        <f>IF(Summary_Exchange_Balances_00UTC!$B12="","",Summary_Exchange_Balances_00UTC!$E12)</f>
        <v>COMP</v>
      </c>
      <c r="D13" t="str">
        <f>IF(OR(Summary_Exchange_Balances_00UTC!$B12="",Summary_Exchange_Balances_00UTC!$D12=""),"",Summary_Exchange_Balances_00UTC!$D12)</f>
        <v/>
      </c>
      <c r="E13" s="52">
        <f>IF(Summary_Exchange_Balances_00UTC!$B12="","",Summary_Exchange_Balances_00UTC!$C12)</f>
        <v>2144.7124639100002</v>
      </c>
      <c r="G13" s="52">
        <f ca="1">IF(Summary_Exchange_Balances_00UTC!$B12="","",VLOOKUP(IF(ISERROR(SEARCH(" ", $B13)),UPPER($B13&amp;$C13&amp;IF(OR(NOT(ISERROR(SEARCH("trade",$D13))),NOT(ISERROR(SEARCH("balance",$D13)))),"",$D13)),UPPER(LEFT($B13, SEARCH(" ",$B13)-1)&amp;$C13&amp;IF(OR(NOT(ISERROR(SEARCH("trade",$D13))),NOT(ISERROR(SEARCH("balance",$D13)))),"",$D13))),$L:$T,MATCH("balance",$L$2:$S$2,0),FALSE))</f>
        <v>2006.1641766600001</v>
      </c>
      <c r="H13" s="35">
        <f ca="1">IF(Summary_Exchange_Balances_00UTC!$B12="","",(G13-E13)/E13)</f>
        <v>-6.4599935693670743E-2</v>
      </c>
      <c r="I13" s="165">
        <f ca="1">IF(Summary_Exchange_Balances_00UTC!$B12="","",IF(ISERROR($G13),$E13,$G13))</f>
        <v>2006.1641766600001</v>
      </c>
      <c r="K13" t="str">
        <f t="shared" ca="1" si="0"/>
        <v>BINECOMP</v>
      </c>
      <c r="L13" t="str">
        <f ca="1">UPPER($P13&amp;$N13&amp;Q13)</f>
        <v>BINE-2-S1-ECOMP</v>
      </c>
      <c r="N13" s="161" t="str">
        <f ca="1">IF(raw_exchange_data!$A12="","",OFFSET(raw_exchange_data!$A12,0,MATCH(N$2,raw_exchange_data!$1:$1,0)-1))</f>
        <v>COMP</v>
      </c>
      <c r="O13" s="161" t="str">
        <f ca="1">IF(raw_exchange_data!$A12="","",OFFSET(raw_exchange_data!$A12,0,MATCH(O$2,raw_exchange_data!$1:$1,0)-1))</f>
        <v>BINE</v>
      </c>
      <c r="P13" s="161" t="str">
        <f ca="1">IF(raw_exchange_data!$A12="","",OFFSET(raw_exchange_data!$A12,0,MATCH(P$2,raw_exchange_data!$1:$1,0)-1))</f>
        <v>BINE-2-S1-E</v>
      </c>
      <c r="Q13" s="161" t="str">
        <f ca="1">IF(raw_exchange_data!$A12="","",TEXT(OFFSET(raw_exchange_data!$A12,0,MATCH(Q$2,raw_exchange_data!$1:$1,0)-1),""))</f>
        <v/>
      </c>
      <c r="R13" s="162">
        <f ca="1">IF(raw_exchange_data!$A12="","",OFFSET(raw_exchange_data!$A12,0,MATCH(R$2,raw_exchange_data!$1:$1,0)-1))</f>
        <v>2006.1641766600001</v>
      </c>
      <c r="S13" s="190">
        <f ca="1">IF(raw_exchange_data!$A12="","",OFFSET(raw_exchange_data!$A12,0,MATCH(S$2,raw_exchange_data!$1:$1,0)-1))</f>
        <v>44937.666667673613</v>
      </c>
      <c r="T13" s="161">
        <v>1</v>
      </c>
      <c r="W13" t="str">
        <f t="shared" si="1"/>
        <v>BINE</v>
      </c>
      <c r="X13" t="str">
        <f t="shared" si="2"/>
        <v>COMP</v>
      </c>
      <c r="Y13" s="42">
        <f t="shared" si="3"/>
        <v>2144.7124639100002</v>
      </c>
      <c r="Z13" s="42">
        <f t="shared" ca="1" si="4"/>
        <v>2006.1641766600001</v>
      </c>
      <c r="AB13" s="3" t="s">
        <v>123</v>
      </c>
      <c r="AC13" s="32">
        <v>0.53247394999999997</v>
      </c>
      <c r="AD13" s="32">
        <v>0.53247394999999997</v>
      </c>
    </row>
    <row r="14" spans="1:30" x14ac:dyDescent="0.25">
      <c r="A14" t="str">
        <f>IF(Summary_Exchange_Balances_00UTC!$B13="","",Summary_Exchange_Balances_00UTC!$N13)</f>
        <v>BINE</v>
      </c>
      <c r="B14" t="str">
        <f>IF(Summary_Exchange_Balances_00UTC!$B13="","",Summary_Exchange_Balances_00UTC!$B13)</f>
        <v>BINE-2-S1-E</v>
      </c>
      <c r="C14" t="str">
        <f>IF(Summary_Exchange_Balances_00UTC!$B13="","",Summary_Exchange_Balances_00UTC!$E13)</f>
        <v>CRV</v>
      </c>
      <c r="D14" t="str">
        <f>IF(OR(Summary_Exchange_Balances_00UTC!$B13="",Summary_Exchange_Balances_00UTC!$D13=""),"",Summary_Exchange_Balances_00UTC!$D13)</f>
        <v/>
      </c>
      <c r="E14" s="52">
        <f>IF(Summary_Exchange_Balances_00UTC!$B13="","",Summary_Exchange_Balances_00UTC!$C13)</f>
        <v>1.5637979999999999E-2</v>
      </c>
      <c r="G14" s="52">
        <f ca="1">IF(Summary_Exchange_Balances_00UTC!$B13="","",VLOOKUP(IF(ISERROR(SEARCH(" ", $B14)),UPPER($B14&amp;$C14&amp;IF(OR(NOT(ISERROR(SEARCH("trade",$D14))),NOT(ISERROR(SEARCH("balance",$D14)))),"",$D14)),UPPER(LEFT($B14, SEARCH(" ",$B14)-1)&amp;$C14&amp;IF(OR(NOT(ISERROR(SEARCH("trade",$D14))),NOT(ISERROR(SEARCH("balance",$D14)))),"",$D14))),$L:$T,MATCH("balance",$L$2:$S$2,0),FALSE))</f>
        <v>1.5637979999999999E-2</v>
      </c>
      <c r="H14" s="35">
        <f ca="1">IF(Summary_Exchange_Balances_00UTC!$B13="","",(G14-E14)/E14)</f>
        <v>0</v>
      </c>
      <c r="I14" s="165">
        <f ca="1">IF(Summary_Exchange_Balances_00UTC!$B13="","",IF(ISERROR($G14),$E14,$G14))</f>
        <v>1.5637979999999999E-2</v>
      </c>
      <c r="K14" t="str">
        <f t="shared" ca="1" si="0"/>
        <v>BINECRV</v>
      </c>
      <c r="L14" t="str">
        <f ca="1">UPPER($P14&amp;$N14&amp;Q14)</f>
        <v>BINE-2-S1-ECRV</v>
      </c>
      <c r="N14" s="161" t="str">
        <f ca="1">IF(raw_exchange_data!$A13="","",OFFSET(raw_exchange_data!$A13,0,MATCH(N$2,raw_exchange_data!$1:$1,0)-1))</f>
        <v>CRV</v>
      </c>
      <c r="O14" s="161" t="str">
        <f ca="1">IF(raw_exchange_data!$A13="","",OFFSET(raw_exchange_data!$A13,0,MATCH(O$2,raw_exchange_data!$1:$1,0)-1))</f>
        <v>BINE</v>
      </c>
      <c r="P14" s="161" t="str">
        <f ca="1">IF(raw_exchange_data!$A13="","",OFFSET(raw_exchange_data!$A13,0,MATCH(P$2,raw_exchange_data!$1:$1,0)-1))</f>
        <v>BINE-2-S1-E</v>
      </c>
      <c r="Q14" s="161" t="str">
        <f ca="1">IF(raw_exchange_data!$A13="","",TEXT(OFFSET(raw_exchange_data!$A13,0,MATCH(Q$2,raw_exchange_data!$1:$1,0)-1),""))</f>
        <v/>
      </c>
      <c r="R14" s="162">
        <f ca="1">IF(raw_exchange_data!$A13="","",OFFSET(raw_exchange_data!$A13,0,MATCH(R$2,raw_exchange_data!$1:$1,0)-1))</f>
        <v>1.5637979999999999E-2</v>
      </c>
      <c r="S14" s="190">
        <f ca="1">IF(raw_exchange_data!$A13="","",OFFSET(raw_exchange_data!$A13,0,MATCH(S$2,raw_exchange_data!$1:$1,0)-1))</f>
        <v>44937.666667673613</v>
      </c>
      <c r="T14" s="161">
        <v>1</v>
      </c>
      <c r="W14" t="str">
        <f t="shared" si="1"/>
        <v>BINE</v>
      </c>
      <c r="X14" t="str">
        <f t="shared" si="2"/>
        <v>CRV</v>
      </c>
      <c r="Y14" s="42">
        <f t="shared" si="3"/>
        <v>1.5637979999999999E-2</v>
      </c>
      <c r="Z14" s="42">
        <f t="shared" ca="1" si="4"/>
        <v>1.5637979999999999E-2</v>
      </c>
      <c r="AB14" s="3" t="s">
        <v>35</v>
      </c>
      <c r="AC14" s="32">
        <v>0.37945432000000001</v>
      </c>
      <c r="AD14" s="32">
        <v>4.7912320000000001E-2</v>
      </c>
    </row>
    <row r="15" spans="1:30" x14ac:dyDescent="0.25">
      <c r="A15" t="str">
        <f>IF(Summary_Exchange_Balances_00UTC!$B14="","",Summary_Exchange_Balances_00UTC!$N14)</f>
        <v>BINE</v>
      </c>
      <c r="B15" t="str">
        <f>IF(Summary_Exchange_Balances_00UTC!$B14="","",Summary_Exchange_Balances_00UTC!$B14)</f>
        <v>BINE-2-S1-E</v>
      </c>
      <c r="C15" t="str">
        <f>IF(Summary_Exchange_Balances_00UTC!$B14="","",Summary_Exchange_Balances_00UTC!$E14)</f>
        <v>DASH</v>
      </c>
      <c r="D15" t="str">
        <f>IF(OR(Summary_Exchange_Balances_00UTC!$B14="",Summary_Exchange_Balances_00UTC!$D14=""),"",Summary_Exchange_Balances_00UTC!$D14)</f>
        <v/>
      </c>
      <c r="E15" s="52">
        <f>IF(Summary_Exchange_Balances_00UTC!$B14="","",Summary_Exchange_Balances_00UTC!$C14)</f>
        <v>897.22841947999996</v>
      </c>
      <c r="G15" s="52">
        <f ca="1">IF(Summary_Exchange_Balances_00UTC!$B14="","",VLOOKUP(IF(ISERROR(SEARCH(" ", $B15)),UPPER($B15&amp;$C15&amp;IF(OR(NOT(ISERROR(SEARCH("trade",$D15))),NOT(ISERROR(SEARCH("balance",$D15)))),"",$D15)),UPPER(LEFT($B15, SEARCH(" ",$B15)-1)&amp;$C15&amp;IF(OR(NOT(ISERROR(SEARCH("trade",$D15))),NOT(ISERROR(SEARCH("balance",$D15)))),"",$D15))),$L:$T,MATCH("balance",$L$2:$S$2,0),FALSE))</f>
        <v>897.22841947999996</v>
      </c>
      <c r="H15" s="35">
        <f ca="1">IF(Summary_Exchange_Balances_00UTC!$B14="","",(G15-E15)/E15)</f>
        <v>0</v>
      </c>
      <c r="I15" s="165">
        <f ca="1">IF(Summary_Exchange_Balances_00UTC!$B14="","",IF(ISERROR($G15),$E15,$G15))</f>
        <v>897.22841947999996</v>
      </c>
      <c r="K15" t="str">
        <f t="shared" ca="1" si="0"/>
        <v>BINEDASH</v>
      </c>
      <c r="L15" t="str">
        <f ca="1">UPPER($P15&amp;$N15&amp;Q15)</f>
        <v>BINE-2-S1-EDASH</v>
      </c>
      <c r="N15" s="161" t="str">
        <f ca="1">IF(raw_exchange_data!$A14="","",OFFSET(raw_exchange_data!$A14,0,MATCH(N$2,raw_exchange_data!$1:$1,0)-1))</f>
        <v>DASH</v>
      </c>
      <c r="O15" s="161" t="str">
        <f ca="1">IF(raw_exchange_data!$A14="","",OFFSET(raw_exchange_data!$A14,0,MATCH(O$2,raw_exchange_data!$1:$1,0)-1))</f>
        <v>BINE</v>
      </c>
      <c r="P15" s="161" t="str">
        <f ca="1">IF(raw_exchange_data!$A14="","",OFFSET(raw_exchange_data!$A14,0,MATCH(P$2,raw_exchange_data!$1:$1,0)-1))</f>
        <v>BINE-2-S1-E</v>
      </c>
      <c r="Q15" s="161" t="str">
        <f ca="1">IF(raw_exchange_data!$A14="","",TEXT(OFFSET(raw_exchange_data!$A14,0,MATCH(Q$2,raw_exchange_data!$1:$1,0)-1),""))</f>
        <v/>
      </c>
      <c r="R15" s="162">
        <f ca="1">IF(raw_exchange_data!$A14="","",OFFSET(raw_exchange_data!$A14,0,MATCH(R$2,raw_exchange_data!$1:$1,0)-1))</f>
        <v>897.22841947999996</v>
      </c>
      <c r="S15" s="190">
        <f ca="1">IF(raw_exchange_data!$A14="","",OFFSET(raw_exchange_data!$A14,0,MATCH(S$2,raw_exchange_data!$1:$1,0)-1))</f>
        <v>44937.666667673613</v>
      </c>
      <c r="T15" s="161">
        <v>1</v>
      </c>
      <c r="W15" t="str">
        <f t="shared" si="1"/>
        <v>BINE</v>
      </c>
      <c r="X15" t="str">
        <f t="shared" si="2"/>
        <v>DASH</v>
      </c>
      <c r="Y15" s="42">
        <f t="shared" si="3"/>
        <v>897.22841947999996</v>
      </c>
      <c r="Z15" s="42">
        <f t="shared" ca="1" si="4"/>
        <v>897.22841947999996</v>
      </c>
      <c r="AB15" s="3" t="s">
        <v>187</v>
      </c>
      <c r="AC15" s="32">
        <v>-257.03267692000009</v>
      </c>
      <c r="AD15" s="32">
        <v>-2638.1903738746</v>
      </c>
    </row>
    <row r="16" spans="1:30" x14ac:dyDescent="0.25">
      <c r="A16" t="str">
        <f>IF(Summary_Exchange_Balances_00UTC!$B15="","",Summary_Exchange_Balances_00UTC!$N15)</f>
        <v>BINE</v>
      </c>
      <c r="B16" t="str">
        <f>IF(Summary_Exchange_Balances_00UTC!$B15="","",Summary_Exchange_Balances_00UTC!$B15)</f>
        <v>BINE-2-S1-E</v>
      </c>
      <c r="C16" t="str">
        <f>IF(Summary_Exchange_Balances_00UTC!$B15="","",Summary_Exchange_Balances_00UTC!$E15)</f>
        <v>DOGE</v>
      </c>
      <c r="D16" t="str">
        <f>IF(OR(Summary_Exchange_Balances_00UTC!$B15="",Summary_Exchange_Balances_00UTC!$D15=""),"",Summary_Exchange_Balances_00UTC!$D15)</f>
        <v/>
      </c>
      <c r="E16" s="52">
        <f>IF(Summary_Exchange_Balances_00UTC!$B15="","",Summary_Exchange_Balances_00UTC!$C15)</f>
        <v>572364.17811884999</v>
      </c>
      <c r="G16" s="52">
        <f ca="1">IF(Summary_Exchange_Balances_00UTC!$B15="","",VLOOKUP(IF(ISERROR(SEARCH(" ", $B16)),UPPER($B16&amp;$C16&amp;IF(OR(NOT(ISERROR(SEARCH("trade",$D16))),NOT(ISERROR(SEARCH("balance",$D16)))),"",$D16)),UPPER(LEFT($B16, SEARCH(" ",$B16)-1)&amp;$C16&amp;IF(OR(NOT(ISERROR(SEARCH("trade",$D16))),NOT(ISERROR(SEARCH("balance",$D16)))),"",$D16))),$L:$T,MATCH("balance",$L$2:$S$2,0),FALSE))</f>
        <v>459902.98661089002</v>
      </c>
      <c r="H16" s="35">
        <f ca="1">IF(Summary_Exchange_Balances_00UTC!$B15="","",(G16-E16)/E16)</f>
        <v>-0.1964853773301789</v>
      </c>
      <c r="I16" s="165">
        <f ca="1">IF(Summary_Exchange_Balances_00UTC!$B15="","",IF(ISERROR($G16),$E16,$G16))</f>
        <v>459902.98661089002</v>
      </c>
      <c r="K16" t="str">
        <f t="shared" ca="1" si="0"/>
        <v>BINEDOGE</v>
      </c>
      <c r="L16" t="str">
        <f ca="1">UPPER($P16&amp;$N16&amp;Q16)</f>
        <v>BINE-2-S1-EDOGE</v>
      </c>
      <c r="N16" s="161" t="str">
        <f ca="1">IF(raw_exchange_data!$A15="","",OFFSET(raw_exchange_data!$A15,0,MATCH(N$2,raw_exchange_data!$1:$1,0)-1))</f>
        <v>DOGE</v>
      </c>
      <c r="O16" s="161" t="str">
        <f ca="1">IF(raw_exchange_data!$A15="","",OFFSET(raw_exchange_data!$A15,0,MATCH(O$2,raw_exchange_data!$1:$1,0)-1))</f>
        <v>BINE</v>
      </c>
      <c r="P16" s="161" t="str">
        <f ca="1">IF(raw_exchange_data!$A15="","",OFFSET(raw_exchange_data!$A15,0,MATCH(P$2,raw_exchange_data!$1:$1,0)-1))</f>
        <v>BINE-2-S1-E</v>
      </c>
      <c r="Q16" s="161" t="str">
        <f ca="1">IF(raw_exchange_data!$A15="","",TEXT(OFFSET(raw_exchange_data!$A15,0,MATCH(Q$2,raw_exchange_data!$1:$1,0)-1),""))</f>
        <v/>
      </c>
      <c r="R16" s="162">
        <f ca="1">IF(raw_exchange_data!$A15="","",OFFSET(raw_exchange_data!$A15,0,MATCH(R$2,raw_exchange_data!$1:$1,0)-1))</f>
        <v>459902.98661089002</v>
      </c>
      <c r="S16" s="190">
        <f ca="1">IF(raw_exchange_data!$A15="","",OFFSET(raw_exchange_data!$A15,0,MATCH(S$2,raw_exchange_data!$1:$1,0)-1))</f>
        <v>44937.666667673613</v>
      </c>
      <c r="T16" s="161">
        <v>1</v>
      </c>
      <c r="W16" t="str">
        <f t="shared" si="1"/>
        <v>BINE</v>
      </c>
      <c r="X16" t="str">
        <f t="shared" si="2"/>
        <v>DOGE</v>
      </c>
      <c r="Y16" s="42">
        <f t="shared" si="3"/>
        <v>572364.17811884999</v>
      </c>
      <c r="Z16" s="42">
        <f t="shared" ca="1" si="4"/>
        <v>459902.98661089002</v>
      </c>
      <c r="AB16" s="3" t="s">
        <v>124</v>
      </c>
      <c r="AC16" s="32">
        <v>-643.2489612599893</v>
      </c>
      <c r="AD16" s="32">
        <v>-104845.87120131</v>
      </c>
    </row>
    <row r="17" spans="1:30" x14ac:dyDescent="0.25">
      <c r="A17" t="str">
        <f>IF(Summary_Exchange_Balances_00UTC!$B16="","",Summary_Exchange_Balances_00UTC!$N16)</f>
        <v>BINE</v>
      </c>
      <c r="B17" t="str">
        <f>IF(Summary_Exchange_Balances_00UTC!$B16="","",Summary_Exchange_Balances_00UTC!$B16)</f>
        <v>BINE-2-S1-E</v>
      </c>
      <c r="C17" t="str">
        <f>IF(Summary_Exchange_Balances_00UTC!$B16="","",Summary_Exchange_Balances_00UTC!$E16)</f>
        <v>DOT</v>
      </c>
      <c r="D17" t="str">
        <f>IF(OR(Summary_Exchange_Balances_00UTC!$B16="",Summary_Exchange_Balances_00UTC!$D16=""),"",Summary_Exchange_Balances_00UTC!$D16)</f>
        <v/>
      </c>
      <c r="E17" s="52">
        <f>IF(Summary_Exchange_Balances_00UTC!$B16="","",Summary_Exchange_Balances_00UTC!$C16)</f>
        <v>4160.7489116799998</v>
      </c>
      <c r="G17" s="52">
        <f ca="1">IF(Summary_Exchange_Balances_00UTC!$B16="","",VLOOKUP(IF(ISERROR(SEARCH(" ", $B17)),UPPER($B17&amp;$C17&amp;IF(OR(NOT(ISERROR(SEARCH("trade",$D17))),NOT(ISERROR(SEARCH("balance",$D17)))),"",$D17)),UPPER(LEFT($B17, SEARCH(" ",$B17)-1)&amp;$C17&amp;IF(OR(NOT(ISERROR(SEARCH("trade",$D17))),NOT(ISERROR(SEARCH("balance",$D17)))),"",$D17))),$L:$T,MATCH("balance",$L$2:$S$2,0),FALSE))</f>
        <v>4886.50891168</v>
      </c>
      <c r="H17" s="35">
        <f ca="1">IF(Summary_Exchange_Balances_00UTC!$B16="","",(G17-E17)/E17)</f>
        <v>0.17443013635421648</v>
      </c>
      <c r="I17" s="165">
        <f ca="1">IF(Summary_Exchange_Balances_00UTC!$B16="","",IF(ISERROR($G17),$E17,$G17))</f>
        <v>4886.50891168</v>
      </c>
      <c r="K17" t="str">
        <f t="shared" ca="1" si="0"/>
        <v>BINEDOT</v>
      </c>
      <c r="L17" t="str">
        <f ca="1">UPPER($P17&amp;$N17&amp;Q17)</f>
        <v>BINE-2-S1-EDOT</v>
      </c>
      <c r="N17" s="161" t="str">
        <f ca="1">IF(raw_exchange_data!$A16="","",OFFSET(raw_exchange_data!$A16,0,MATCH(N$2,raw_exchange_data!$1:$1,0)-1))</f>
        <v>DOT</v>
      </c>
      <c r="O17" s="161" t="str">
        <f ca="1">IF(raw_exchange_data!$A16="","",OFFSET(raw_exchange_data!$A16,0,MATCH(O$2,raw_exchange_data!$1:$1,0)-1))</f>
        <v>BINE</v>
      </c>
      <c r="P17" s="161" t="str">
        <f ca="1">IF(raw_exchange_data!$A16="","",OFFSET(raw_exchange_data!$A16,0,MATCH(P$2,raw_exchange_data!$1:$1,0)-1))</f>
        <v>BINE-2-S1-E</v>
      </c>
      <c r="Q17" s="161" t="str">
        <f ca="1">IF(raw_exchange_data!$A16="","",TEXT(OFFSET(raw_exchange_data!$A16,0,MATCH(Q$2,raw_exchange_data!$1:$1,0)-1),""))</f>
        <v/>
      </c>
      <c r="R17" s="162">
        <f ca="1">IF(raw_exchange_data!$A16="","",OFFSET(raw_exchange_data!$A16,0,MATCH(R$2,raw_exchange_data!$1:$1,0)-1))</f>
        <v>4886.50891168</v>
      </c>
      <c r="S17" s="190">
        <f ca="1">IF(raw_exchange_data!$A16="","",OFFSET(raw_exchange_data!$A16,0,MATCH(S$2,raw_exchange_data!$1:$1,0)-1))</f>
        <v>44937.666667673613</v>
      </c>
      <c r="T17" s="161">
        <v>1</v>
      </c>
      <c r="W17" t="str">
        <f t="shared" si="1"/>
        <v>BINE</v>
      </c>
      <c r="X17" t="str">
        <f t="shared" si="2"/>
        <v>DOT</v>
      </c>
      <c r="Y17" s="42">
        <f t="shared" si="3"/>
        <v>4160.7489116799998</v>
      </c>
      <c r="Z17" s="42">
        <f t="shared" ca="1" si="4"/>
        <v>4886.50891168</v>
      </c>
      <c r="AB17" s="3" t="s">
        <v>20</v>
      </c>
      <c r="AC17" s="32">
        <v>6170.1765073500001</v>
      </c>
      <c r="AD17" s="32">
        <v>231.22837951150001</v>
      </c>
    </row>
    <row r="18" spans="1:30" x14ac:dyDescent="0.25">
      <c r="A18" t="str">
        <f>IF(Summary_Exchange_Balances_00UTC!$B17="","",Summary_Exchange_Balances_00UTC!$N17)</f>
        <v>BINE</v>
      </c>
      <c r="B18" t="str">
        <f>IF(Summary_Exchange_Balances_00UTC!$B17="","",Summary_Exchange_Balances_00UTC!$B17)</f>
        <v>BINE-2-S1-E</v>
      </c>
      <c r="C18" t="str">
        <f>IF(Summary_Exchange_Balances_00UTC!$B17="","",Summary_Exchange_Balances_00UTC!$E17)</f>
        <v>ENJ</v>
      </c>
      <c r="D18" t="str">
        <f>IF(OR(Summary_Exchange_Balances_00UTC!$B17="",Summary_Exchange_Balances_00UTC!$D17=""),"",Summary_Exchange_Balances_00UTC!$D17)</f>
        <v/>
      </c>
      <c r="E18" s="52">
        <f>IF(Summary_Exchange_Balances_00UTC!$B17="","",Summary_Exchange_Balances_00UTC!$C17)</f>
        <v>46415.886590100003</v>
      </c>
      <c r="G18" s="52">
        <f ca="1">IF(Summary_Exchange_Balances_00UTC!$B17="","",VLOOKUP(IF(ISERROR(SEARCH(" ", $B18)),UPPER($B18&amp;$C18&amp;IF(OR(NOT(ISERROR(SEARCH("trade",$D18))),NOT(ISERROR(SEARCH("balance",$D18)))),"",$D18)),UPPER(LEFT($B18, SEARCH(" ",$B18)-1)&amp;$C18&amp;IF(OR(NOT(ISERROR(SEARCH("trade",$D18))),NOT(ISERROR(SEARCH("balance",$D18)))),"",$D18))),$L:$T,MATCH("balance",$L$2:$S$2,0),FALSE))</f>
        <v>42616.186590099998</v>
      </c>
      <c r="H18" s="35">
        <f ca="1">IF(Summary_Exchange_Balances_00UTC!$B17="","",(G18-E18)/E18)</f>
        <v>-8.1862057996548929E-2</v>
      </c>
      <c r="I18" s="165">
        <f ca="1">IF(Summary_Exchange_Balances_00UTC!$B17="","",IF(ISERROR($G18),$E18,$G18))</f>
        <v>42616.186590099998</v>
      </c>
      <c r="K18" t="str">
        <f t="shared" ca="1" si="0"/>
        <v>BINEENJ</v>
      </c>
      <c r="L18" t="str">
        <f ca="1">UPPER($P18&amp;$N18&amp;Q18)</f>
        <v>BINE-2-S1-EENJ</v>
      </c>
      <c r="N18" s="161" t="str">
        <f ca="1">IF(raw_exchange_data!$A17="","",OFFSET(raw_exchange_data!$A17,0,MATCH(N$2,raw_exchange_data!$1:$1,0)-1))</f>
        <v>ENJ</v>
      </c>
      <c r="O18" s="161" t="str">
        <f ca="1">IF(raw_exchange_data!$A17="","",OFFSET(raw_exchange_data!$A17,0,MATCH(O$2,raw_exchange_data!$1:$1,0)-1))</f>
        <v>BINE</v>
      </c>
      <c r="P18" s="161" t="str">
        <f ca="1">IF(raw_exchange_data!$A17="","",OFFSET(raw_exchange_data!$A17,0,MATCH(P$2,raw_exchange_data!$1:$1,0)-1))</f>
        <v>BINE-2-S1-E</v>
      </c>
      <c r="Q18" s="161" t="str">
        <f ca="1">IF(raw_exchange_data!$A17="","",TEXT(OFFSET(raw_exchange_data!$A17,0,MATCH(Q$2,raw_exchange_data!$1:$1,0)-1),""))</f>
        <v/>
      </c>
      <c r="R18" s="162">
        <f ca="1">IF(raw_exchange_data!$A17="","",OFFSET(raw_exchange_data!$A17,0,MATCH(R$2,raw_exchange_data!$1:$1,0)-1))</f>
        <v>42616.186590099998</v>
      </c>
      <c r="S18" s="190">
        <f ca="1">IF(raw_exchange_data!$A17="","",OFFSET(raw_exchange_data!$A17,0,MATCH(S$2,raw_exchange_data!$1:$1,0)-1))</f>
        <v>44937.666667673613</v>
      </c>
      <c r="T18" s="161">
        <v>1</v>
      </c>
      <c r="W18" t="str">
        <f t="shared" si="1"/>
        <v>BINE</v>
      </c>
      <c r="X18" t="str">
        <f t="shared" si="2"/>
        <v>ENJ</v>
      </c>
      <c r="Y18" s="42">
        <f t="shared" si="3"/>
        <v>46415.886590100003</v>
      </c>
      <c r="Z18" s="42">
        <f t="shared" ca="1" si="4"/>
        <v>42616.186590099998</v>
      </c>
      <c r="AB18" s="3" t="s">
        <v>125</v>
      </c>
      <c r="AC18" s="32">
        <v>2.5033500000000001E-3</v>
      </c>
      <c r="AD18" s="32">
        <v>2.5033500000000001E-3</v>
      </c>
    </row>
    <row r="19" spans="1:30" x14ac:dyDescent="0.25">
      <c r="A19" t="str">
        <f>IF(Summary_Exchange_Balances_00UTC!$B18="","",Summary_Exchange_Balances_00UTC!$N18)</f>
        <v>BINE</v>
      </c>
      <c r="B19" t="str">
        <f>IF(Summary_Exchange_Balances_00UTC!$B18="","",Summary_Exchange_Balances_00UTC!$B18)</f>
        <v>BINE-2-S1-E</v>
      </c>
      <c r="C19" t="str">
        <f>IF(Summary_Exchange_Balances_00UTC!$B18="","",Summary_Exchange_Balances_00UTC!$E18)</f>
        <v>EOS</v>
      </c>
      <c r="D19" t="str">
        <f>IF(OR(Summary_Exchange_Balances_00UTC!$B18="",Summary_Exchange_Balances_00UTC!$D18=""),"",Summary_Exchange_Balances_00UTC!$D18)</f>
        <v/>
      </c>
      <c r="E19" s="52">
        <f>IF(Summary_Exchange_Balances_00UTC!$B18="","",Summary_Exchange_Balances_00UTC!$C18)</f>
        <v>91912.112699999998</v>
      </c>
      <c r="G19" s="52">
        <f ca="1">IF(Summary_Exchange_Balances_00UTC!$B18="","",VLOOKUP(IF(ISERROR(SEARCH(" ", $B19)),UPPER($B19&amp;$C19&amp;IF(OR(NOT(ISERROR(SEARCH("trade",$D19))),NOT(ISERROR(SEARCH("balance",$D19)))),"",$D19)),UPPER(LEFT($B19, SEARCH(" ",$B19)-1)&amp;$C19&amp;IF(OR(NOT(ISERROR(SEARCH("trade",$D19))),NOT(ISERROR(SEARCH("balance",$D19)))),"",$D19))),$L:$T,MATCH("balance",$L$2:$S$2,0),FALSE))</f>
        <v>91884.112699999998</v>
      </c>
      <c r="H19" s="35">
        <f ca="1">IF(Summary_Exchange_Balances_00UTC!$B18="","",(G19-E19)/E19)</f>
        <v>-3.0463884658371039E-4</v>
      </c>
      <c r="I19" s="165">
        <f ca="1">IF(Summary_Exchange_Balances_00UTC!$B18="","",IF(ISERROR($G19),$E19,$G19))</f>
        <v>91884.112699999998</v>
      </c>
      <c r="K19" t="str">
        <f t="shared" ca="1" si="0"/>
        <v>BINEEOS</v>
      </c>
      <c r="L19" t="str">
        <f ca="1">UPPER($P19&amp;$N19&amp;Q19)</f>
        <v>BINE-2-S1-EEOS</v>
      </c>
      <c r="N19" s="161" t="str">
        <f ca="1">IF(raw_exchange_data!$A18="","",OFFSET(raw_exchange_data!$A18,0,MATCH(N$2,raw_exchange_data!$1:$1,0)-1))</f>
        <v>EOS</v>
      </c>
      <c r="O19" s="161" t="str">
        <f ca="1">IF(raw_exchange_data!$A18="","",OFFSET(raw_exchange_data!$A18,0,MATCH(O$2,raw_exchange_data!$1:$1,0)-1))</f>
        <v>BINE</v>
      </c>
      <c r="P19" s="161" t="str">
        <f ca="1">IF(raw_exchange_data!$A18="","",OFFSET(raw_exchange_data!$A18,0,MATCH(P$2,raw_exchange_data!$1:$1,0)-1))</f>
        <v>BINE-2-S1-E</v>
      </c>
      <c r="Q19" s="161" t="str">
        <f ca="1">IF(raw_exchange_data!$A18="","",TEXT(OFFSET(raw_exchange_data!$A18,0,MATCH(Q$2,raw_exchange_data!$1:$1,0)-1),""))</f>
        <v/>
      </c>
      <c r="R19" s="162">
        <f ca="1">IF(raw_exchange_data!$A18="","",OFFSET(raw_exchange_data!$A18,0,MATCH(R$2,raw_exchange_data!$1:$1,0)-1))</f>
        <v>91884.112699999998</v>
      </c>
      <c r="S19" s="190">
        <f ca="1">IF(raw_exchange_data!$A18="","",OFFSET(raw_exchange_data!$A18,0,MATCH(S$2,raw_exchange_data!$1:$1,0)-1))</f>
        <v>44937.666667673613</v>
      </c>
      <c r="T19" s="161">
        <v>1</v>
      </c>
      <c r="W19" t="str">
        <f t="shared" si="1"/>
        <v>BINE</v>
      </c>
      <c r="X19" t="str">
        <f t="shared" si="2"/>
        <v>EOS</v>
      </c>
      <c r="Y19" s="42">
        <f t="shared" si="3"/>
        <v>91912.112699999998</v>
      </c>
      <c r="Z19" s="42">
        <f t="shared" ca="1" si="4"/>
        <v>91884.112699999998</v>
      </c>
      <c r="AB19" s="3" t="s">
        <v>126</v>
      </c>
      <c r="AC19" s="32">
        <v>115.29838952</v>
      </c>
      <c r="AD19" s="32">
        <v>115.29838952</v>
      </c>
    </row>
    <row r="20" spans="1:30" x14ac:dyDescent="0.25">
      <c r="A20" t="str">
        <f>IF(Summary_Exchange_Balances_00UTC!$B19="","",Summary_Exchange_Balances_00UTC!$N19)</f>
        <v>BINE</v>
      </c>
      <c r="B20" t="str">
        <f>IF(Summary_Exchange_Balances_00UTC!$B19="","",Summary_Exchange_Balances_00UTC!$B19)</f>
        <v>BINE-2-S1-E</v>
      </c>
      <c r="C20" t="str">
        <f>IF(Summary_Exchange_Balances_00UTC!$B19="","",Summary_Exchange_Balances_00UTC!$E19)</f>
        <v>ETH</v>
      </c>
      <c r="D20" t="str">
        <f>IF(OR(Summary_Exchange_Balances_00UTC!$B19="",Summary_Exchange_Balances_00UTC!$D19=""),"",Summary_Exchange_Balances_00UTC!$D19)</f>
        <v/>
      </c>
      <c r="E20" s="52">
        <f>IF(Summary_Exchange_Balances_00UTC!$B19="","",Summary_Exchange_Balances_00UTC!$C19)</f>
        <v>30.1417</v>
      </c>
      <c r="G20" s="52">
        <f ca="1">IF(Summary_Exchange_Balances_00UTC!$B19="","",VLOOKUP(IF(ISERROR(SEARCH(" ", $B20)),UPPER($B20&amp;$C20&amp;IF(OR(NOT(ISERROR(SEARCH("trade",$D20))),NOT(ISERROR(SEARCH("balance",$D20)))),"",$D20)),UPPER(LEFT($B20, SEARCH(" ",$B20)-1)&amp;$C20&amp;IF(OR(NOT(ISERROR(SEARCH("trade",$D20))),NOT(ISERROR(SEARCH("balance",$D20)))),"",$D20))),$L:$T,MATCH("balance",$L$2:$S$2,0),FALSE))</f>
        <v>29.909700000000001</v>
      </c>
      <c r="H20" s="35">
        <f ca="1">IF(Summary_Exchange_Balances_00UTC!$B19="","",(G20-E20)/E20)</f>
        <v>-7.6969779408593182E-3</v>
      </c>
      <c r="I20" s="165">
        <f ca="1">IF(Summary_Exchange_Balances_00UTC!$B19="","",IF(ISERROR($G20),$E20,$G20))</f>
        <v>29.909700000000001</v>
      </c>
      <c r="K20" t="str">
        <f t="shared" ca="1" si="0"/>
        <v>BINEETH</v>
      </c>
      <c r="L20" t="str">
        <f ca="1">UPPER($P20&amp;$N20&amp;Q20)</f>
        <v>BINE-2-S1-EETH</v>
      </c>
      <c r="N20" s="161" t="str">
        <f ca="1">IF(raw_exchange_data!$A19="","",OFFSET(raw_exchange_data!$A19,0,MATCH(N$2,raw_exchange_data!$1:$1,0)-1))</f>
        <v>ETH</v>
      </c>
      <c r="O20" s="161" t="str">
        <f ca="1">IF(raw_exchange_data!$A19="","",OFFSET(raw_exchange_data!$A19,0,MATCH(O$2,raw_exchange_data!$1:$1,0)-1))</f>
        <v>BINE</v>
      </c>
      <c r="P20" s="161" t="str">
        <f ca="1">IF(raw_exchange_data!$A19="","",OFFSET(raw_exchange_data!$A19,0,MATCH(P$2,raw_exchange_data!$1:$1,0)-1))</f>
        <v>BINE-2-S1-E</v>
      </c>
      <c r="Q20" s="161" t="str">
        <f ca="1">IF(raw_exchange_data!$A19="","",TEXT(OFFSET(raw_exchange_data!$A19,0,MATCH(Q$2,raw_exchange_data!$1:$1,0)-1),""))</f>
        <v/>
      </c>
      <c r="R20" s="162">
        <f ca="1">IF(raw_exchange_data!$A19="","",OFFSET(raw_exchange_data!$A19,0,MATCH(R$2,raw_exchange_data!$1:$1,0)-1))</f>
        <v>29.909700000000001</v>
      </c>
      <c r="S20" s="190">
        <f ca="1">IF(raw_exchange_data!$A19="","",OFFSET(raw_exchange_data!$A19,0,MATCH(S$2,raw_exchange_data!$1:$1,0)-1))</f>
        <v>44937.666667673613</v>
      </c>
      <c r="T20" s="161">
        <v>1</v>
      </c>
      <c r="W20" t="str">
        <f t="shared" si="1"/>
        <v>BINE</v>
      </c>
      <c r="X20" t="str">
        <f t="shared" si="2"/>
        <v>ETH</v>
      </c>
      <c r="Y20" s="42">
        <f t="shared" si="3"/>
        <v>30.1417</v>
      </c>
      <c r="Z20" s="42">
        <f t="shared" ca="1" si="4"/>
        <v>29.909700000000001</v>
      </c>
      <c r="AB20" s="3" t="s">
        <v>87</v>
      </c>
      <c r="AC20" s="32">
        <v>2583.0907684399999</v>
      </c>
      <c r="AD20" s="32">
        <v>2600.0416461899999</v>
      </c>
    </row>
    <row r="21" spans="1:30" x14ac:dyDescent="0.25">
      <c r="A21" t="str">
        <f>IF(Summary_Exchange_Balances_00UTC!$B20="","",Summary_Exchange_Balances_00UTC!$N20)</f>
        <v>BINE</v>
      </c>
      <c r="B21" t="str">
        <f>IF(Summary_Exchange_Balances_00UTC!$B20="","",Summary_Exchange_Balances_00UTC!$B20)</f>
        <v>BINE-2-S1-E</v>
      </c>
      <c r="C21" t="str">
        <f>IF(Summary_Exchange_Balances_00UTC!$B20="","",Summary_Exchange_Balances_00UTC!$E20)</f>
        <v>EUR</v>
      </c>
      <c r="D21" t="str">
        <f>IF(OR(Summary_Exchange_Balances_00UTC!$B20="",Summary_Exchange_Balances_00UTC!$D20=""),"",Summary_Exchange_Balances_00UTC!$D20)</f>
        <v/>
      </c>
      <c r="E21" s="52">
        <f>IF(Summary_Exchange_Balances_00UTC!$B20="","",Summary_Exchange_Balances_00UTC!$C20)</f>
        <v>799777.3893865</v>
      </c>
      <c r="G21" s="52">
        <f ca="1">IF(Summary_Exchange_Balances_00UTC!$B20="","",VLOOKUP(IF(ISERROR(SEARCH(" ", $B21)),UPPER($B21&amp;$C21&amp;IF(OR(NOT(ISERROR(SEARCH("trade",$D21))),NOT(ISERROR(SEARCH("balance",$D21)))),"",$D21)),UPPER(LEFT($B21, SEARCH(" ",$B21)-1)&amp;$C21&amp;IF(OR(NOT(ISERROR(SEARCH("trade",$D21))),NOT(ISERROR(SEARCH("balance",$D21)))),"",$D21))),$L:$T,MATCH("balance",$L$2:$S$2,0),FALSE))</f>
        <v>799428.86637064</v>
      </c>
      <c r="H21" s="35">
        <f ca="1">IF(Summary_Exchange_Balances_00UTC!$B20="","",(G21-E21)/E21)</f>
        <v>-4.357750300084758E-4</v>
      </c>
      <c r="I21" s="165">
        <f ca="1">IF(Summary_Exchange_Balances_00UTC!$B20="","",IF(ISERROR($G21),$E21,$G21))</f>
        <v>799428.86637064</v>
      </c>
      <c r="K21" t="str">
        <f t="shared" ca="1" si="0"/>
        <v>BINEEUR</v>
      </c>
      <c r="L21" t="str">
        <f ca="1">UPPER($P21&amp;$N21&amp;Q21)</f>
        <v>BINE-2-S1-EEUR</v>
      </c>
      <c r="N21" s="161" t="str">
        <f ca="1">IF(raw_exchange_data!$A20="","",OFFSET(raw_exchange_data!$A20,0,MATCH(N$2,raw_exchange_data!$1:$1,0)-1))</f>
        <v>EUR</v>
      </c>
      <c r="O21" s="161" t="str">
        <f ca="1">IF(raw_exchange_data!$A20="","",OFFSET(raw_exchange_data!$A20,0,MATCH(O$2,raw_exchange_data!$1:$1,0)-1))</f>
        <v>BINE</v>
      </c>
      <c r="P21" s="161" t="str">
        <f ca="1">IF(raw_exchange_data!$A20="","",OFFSET(raw_exchange_data!$A20,0,MATCH(P$2,raw_exchange_data!$1:$1,0)-1))</f>
        <v>BINE-2-S1-E</v>
      </c>
      <c r="Q21" s="161" t="str">
        <f ca="1">IF(raw_exchange_data!$A20="","",TEXT(OFFSET(raw_exchange_data!$A20,0,MATCH(Q$2,raw_exchange_data!$1:$1,0)-1),""))</f>
        <v/>
      </c>
      <c r="R21" s="162">
        <f ca="1">IF(raw_exchange_data!$A20="","",OFFSET(raw_exchange_data!$A20,0,MATCH(R$2,raw_exchange_data!$1:$1,0)-1))</f>
        <v>799428.86637064</v>
      </c>
      <c r="S21" s="190">
        <f ca="1">IF(raw_exchange_data!$A20="","",OFFSET(raw_exchange_data!$A20,0,MATCH(S$2,raw_exchange_data!$1:$1,0)-1))</f>
        <v>44937.666667673613</v>
      </c>
      <c r="T21" s="161">
        <v>1</v>
      </c>
      <c r="W21" t="str">
        <f t="shared" si="1"/>
        <v>BINE</v>
      </c>
      <c r="X21" t="str">
        <f t="shared" si="2"/>
        <v>EUR</v>
      </c>
      <c r="Y21" s="42">
        <f t="shared" si="3"/>
        <v>799777.3893865</v>
      </c>
      <c r="Z21" s="42">
        <f t="shared" ca="1" si="4"/>
        <v>799428.86637064</v>
      </c>
      <c r="AB21" s="3" t="s">
        <v>127</v>
      </c>
      <c r="AC21" s="32">
        <v>14.7502</v>
      </c>
      <c r="AD21" s="32">
        <v>14.7502</v>
      </c>
    </row>
    <row r="22" spans="1:30" x14ac:dyDescent="0.25">
      <c r="A22" t="str">
        <f>IF(Summary_Exchange_Balances_00UTC!$B21="","",Summary_Exchange_Balances_00UTC!$N21)</f>
        <v>BINE</v>
      </c>
      <c r="B22" t="str">
        <f>IF(Summary_Exchange_Balances_00UTC!$B21="","",Summary_Exchange_Balances_00UTC!$B21)</f>
        <v>BINE-2-S1-E</v>
      </c>
      <c r="C22" t="str">
        <f>IF(Summary_Exchange_Balances_00UTC!$B21="","",Summary_Exchange_Balances_00UTC!$E21)</f>
        <v>FIL</v>
      </c>
      <c r="D22" t="str">
        <f>IF(OR(Summary_Exchange_Balances_00UTC!$B21="",Summary_Exchange_Balances_00UTC!$D21=""),"",Summary_Exchange_Balances_00UTC!$D21)</f>
        <v/>
      </c>
      <c r="E22" s="52">
        <f>IF(Summary_Exchange_Balances_00UTC!$B21="","",Summary_Exchange_Balances_00UTC!$C21)</f>
        <v>0.19800000000000001</v>
      </c>
      <c r="G22" s="52">
        <f ca="1">IF(Summary_Exchange_Balances_00UTC!$B21="","",VLOOKUP(IF(ISERROR(SEARCH(" ", $B22)),UPPER($B22&amp;$C22&amp;IF(OR(NOT(ISERROR(SEARCH("trade",$D22))),NOT(ISERROR(SEARCH("balance",$D22)))),"",$D22)),UPPER(LEFT($B22, SEARCH(" ",$B22)-1)&amp;$C22&amp;IF(OR(NOT(ISERROR(SEARCH("trade",$D22))),NOT(ISERROR(SEARCH("balance",$D22)))),"",$D22))),$L:$T,MATCH("balance",$L$2:$S$2,0),FALSE))</f>
        <v>0.19800000000000001</v>
      </c>
      <c r="H22" s="35">
        <f ca="1">IF(Summary_Exchange_Balances_00UTC!$B21="","",(G22-E22)/E22)</f>
        <v>0</v>
      </c>
      <c r="I22" s="165">
        <f ca="1">IF(Summary_Exchange_Balances_00UTC!$B21="","",IF(ISERROR($G22),$E22,$G22))</f>
        <v>0.19800000000000001</v>
      </c>
      <c r="K22" t="str">
        <f t="shared" ca="1" si="0"/>
        <v>BINEFIL</v>
      </c>
      <c r="L22" t="str">
        <f ca="1">UPPER($P22&amp;$N22&amp;Q22)</f>
        <v>BINE-2-S1-EFIL</v>
      </c>
      <c r="N22" s="161" t="str">
        <f ca="1">IF(raw_exchange_data!$A21="","",OFFSET(raw_exchange_data!$A21,0,MATCH(N$2,raw_exchange_data!$1:$1,0)-1))</f>
        <v>FIL</v>
      </c>
      <c r="O22" s="161" t="str">
        <f ca="1">IF(raw_exchange_data!$A21="","",OFFSET(raw_exchange_data!$A21,0,MATCH(O$2,raw_exchange_data!$1:$1,0)-1))</f>
        <v>BINE</v>
      </c>
      <c r="P22" s="161" t="str">
        <f ca="1">IF(raw_exchange_data!$A21="","",OFFSET(raw_exchange_data!$A21,0,MATCH(P$2,raw_exchange_data!$1:$1,0)-1))</f>
        <v>BINE-2-S1-E</v>
      </c>
      <c r="Q22" s="161" t="str">
        <f ca="1">IF(raw_exchange_data!$A21="","",TEXT(OFFSET(raw_exchange_data!$A21,0,MATCH(Q$2,raw_exchange_data!$1:$1,0)-1),""))</f>
        <v/>
      </c>
      <c r="R22" s="162">
        <f ca="1">IF(raw_exchange_data!$A21="","",OFFSET(raw_exchange_data!$A21,0,MATCH(R$2,raw_exchange_data!$1:$1,0)-1))</f>
        <v>0.19800000000000001</v>
      </c>
      <c r="S22" s="190">
        <f ca="1">IF(raw_exchange_data!$A21="","",OFFSET(raw_exchange_data!$A21,0,MATCH(S$2,raw_exchange_data!$1:$1,0)-1))</f>
        <v>44937.666667673613</v>
      </c>
      <c r="T22" s="161">
        <v>1</v>
      </c>
      <c r="W22" t="str">
        <f t="shared" si="1"/>
        <v>BINE</v>
      </c>
      <c r="X22" t="str">
        <f t="shared" si="2"/>
        <v>FIL</v>
      </c>
      <c r="Y22" s="42">
        <f t="shared" si="3"/>
        <v>0.19800000000000001</v>
      </c>
      <c r="Z22" s="42">
        <f t="shared" ca="1" si="4"/>
        <v>0.19800000000000001</v>
      </c>
      <c r="AB22" s="3" t="s">
        <v>457</v>
      </c>
      <c r="AC22" s="32">
        <v>25</v>
      </c>
      <c r="AD22" s="32">
        <v>0</v>
      </c>
    </row>
    <row r="23" spans="1:30" x14ac:dyDescent="0.25">
      <c r="A23" t="str">
        <f>IF(Summary_Exchange_Balances_00UTC!$B22="","",Summary_Exchange_Balances_00UTC!$N22)</f>
        <v>BINE</v>
      </c>
      <c r="B23" t="str">
        <f>IF(Summary_Exchange_Balances_00UTC!$B22="","",Summary_Exchange_Balances_00UTC!$B22)</f>
        <v>BINE-2-S1-E</v>
      </c>
      <c r="C23" t="str">
        <f>IF(Summary_Exchange_Balances_00UTC!$B22="","",Summary_Exchange_Balances_00UTC!$E22)</f>
        <v>FTM</v>
      </c>
      <c r="D23" t="str">
        <f>IF(OR(Summary_Exchange_Balances_00UTC!$B22="",Summary_Exchange_Balances_00UTC!$D22=""),"",Summary_Exchange_Balances_00UTC!$D22)</f>
        <v/>
      </c>
      <c r="E23" s="52">
        <f>IF(Summary_Exchange_Balances_00UTC!$B22="","",Summary_Exchange_Balances_00UTC!$C22)</f>
        <v>270803.45285949</v>
      </c>
      <c r="G23" s="52">
        <f ca="1">IF(Summary_Exchange_Balances_00UTC!$B22="","",VLOOKUP(IF(ISERROR(SEARCH(" ", $B23)),UPPER($B23&amp;$C23&amp;IF(OR(NOT(ISERROR(SEARCH("trade",$D23))),NOT(ISERROR(SEARCH("balance",$D23)))),"",$D23)),UPPER(LEFT($B23, SEARCH(" ",$B23)-1)&amp;$C23&amp;IF(OR(NOT(ISERROR(SEARCH("trade",$D23))),NOT(ISERROR(SEARCH("balance",$D23)))),"",$D23))),$L:$T,MATCH("balance",$L$2:$S$2,0),FALSE))</f>
        <v>212154.3196095</v>
      </c>
      <c r="H23" s="35">
        <f ca="1">IF(Summary_Exchange_Balances_00UTC!$B22="","",(G23-E23)/E23)</f>
        <v>-0.21657454006105634</v>
      </c>
      <c r="I23" s="165">
        <f ca="1">IF(Summary_Exchange_Balances_00UTC!$B22="","",IF(ISERROR($G23),$E23,$G23))</f>
        <v>212154.3196095</v>
      </c>
      <c r="K23" t="str">
        <f t="shared" ca="1" si="0"/>
        <v>BINEFTM</v>
      </c>
      <c r="L23" t="str">
        <f ca="1">UPPER($P23&amp;$N23&amp;Q23)</f>
        <v>BINE-2-S1-EFTM</v>
      </c>
      <c r="N23" s="161" t="str">
        <f ca="1">IF(raw_exchange_data!$A22="","",OFFSET(raw_exchange_data!$A22,0,MATCH(N$2,raw_exchange_data!$1:$1,0)-1))</f>
        <v>FTM</v>
      </c>
      <c r="O23" s="161" t="str">
        <f ca="1">IF(raw_exchange_data!$A22="","",OFFSET(raw_exchange_data!$A22,0,MATCH(O$2,raw_exchange_data!$1:$1,0)-1))</f>
        <v>BINE</v>
      </c>
      <c r="P23" s="161" t="str">
        <f ca="1">IF(raw_exchange_data!$A22="","",OFFSET(raw_exchange_data!$A22,0,MATCH(P$2,raw_exchange_data!$1:$1,0)-1))</f>
        <v>BINE-2-S1-E</v>
      </c>
      <c r="Q23" s="161" t="str">
        <f ca="1">IF(raw_exchange_data!$A22="","",TEXT(OFFSET(raw_exchange_data!$A22,0,MATCH(Q$2,raw_exchange_data!$1:$1,0)-1),""))</f>
        <v/>
      </c>
      <c r="R23" s="162">
        <f ca="1">IF(raw_exchange_data!$A22="","",OFFSET(raw_exchange_data!$A22,0,MATCH(R$2,raw_exchange_data!$1:$1,0)-1))</f>
        <v>212154.3196095</v>
      </c>
      <c r="S23" s="190">
        <f ca="1">IF(raw_exchange_data!$A22="","",OFFSET(raw_exchange_data!$A22,0,MATCH(S$2,raw_exchange_data!$1:$1,0)-1))</f>
        <v>44937.666667673613</v>
      </c>
      <c r="T23" s="161">
        <v>1</v>
      </c>
      <c r="W23" t="str">
        <f t="shared" si="1"/>
        <v>BINE</v>
      </c>
      <c r="X23" t="str">
        <f t="shared" si="2"/>
        <v>FTM</v>
      </c>
      <c r="Y23" s="42">
        <f t="shared" si="3"/>
        <v>270803.45285949</v>
      </c>
      <c r="Z23" s="42">
        <f t="shared" ca="1" si="4"/>
        <v>212154.3196095</v>
      </c>
      <c r="AB23" s="3" t="s">
        <v>113</v>
      </c>
      <c r="AC23" s="32">
        <v>0.58628509000000018</v>
      </c>
      <c r="AD23" s="32">
        <v>0.5862850985000001</v>
      </c>
    </row>
    <row r="24" spans="1:30" x14ac:dyDescent="0.25">
      <c r="A24" t="str">
        <f>IF(Summary_Exchange_Balances_00UTC!$B23="","",Summary_Exchange_Balances_00UTC!$N23)</f>
        <v>BINE</v>
      </c>
      <c r="B24" t="str">
        <f>IF(Summary_Exchange_Balances_00UTC!$B23="","",Summary_Exchange_Balances_00UTC!$B23)</f>
        <v>BINE-2-S1-E</v>
      </c>
      <c r="C24" t="str">
        <f>IF(Summary_Exchange_Balances_00UTC!$B23="","",Summary_Exchange_Balances_00UTC!$E23)</f>
        <v>GRT</v>
      </c>
      <c r="D24" t="str">
        <f>IF(OR(Summary_Exchange_Balances_00UTC!$B23="",Summary_Exchange_Balances_00UTC!$D23=""),"",Summary_Exchange_Balances_00UTC!$D23)</f>
        <v/>
      </c>
      <c r="E24" s="52">
        <f>IF(Summary_Exchange_Balances_00UTC!$B23="","",Summary_Exchange_Balances_00UTC!$C23)</f>
        <v>186945.44699999999</v>
      </c>
      <c r="G24" s="52">
        <f ca="1">IF(Summary_Exchange_Balances_00UTC!$B23="","",VLOOKUP(IF(ISERROR(SEARCH(" ", $B24)),UPPER($B24&amp;$C24&amp;IF(OR(NOT(ISERROR(SEARCH("trade",$D24))),NOT(ISERROR(SEARCH("balance",$D24)))),"",$D24)),UPPER(LEFT($B24, SEARCH(" ",$B24)-1)&amp;$C24&amp;IF(OR(NOT(ISERROR(SEARCH("trade",$D24))),NOT(ISERROR(SEARCH("balance",$D24)))),"",$D24))),$L:$T,MATCH("balance",$L$2:$S$2,0),FALSE))</f>
        <v>175995.44699999999</v>
      </c>
      <c r="H24" s="35">
        <f ca="1">IF(Summary_Exchange_Balances_00UTC!$B23="","",(G24-E24)/E24)</f>
        <v>-5.857323714334696E-2</v>
      </c>
      <c r="I24" s="165">
        <f ca="1">IF(Summary_Exchange_Balances_00UTC!$B23="","",IF(ISERROR($G24),$E24,$G24))</f>
        <v>175995.44699999999</v>
      </c>
      <c r="K24" t="str">
        <f t="shared" ca="1" si="0"/>
        <v>BINEGRT</v>
      </c>
      <c r="L24" t="str">
        <f ca="1">UPPER($P24&amp;$N24&amp;Q24)</f>
        <v>BINE-2-S1-EGRT</v>
      </c>
      <c r="N24" s="161" t="str">
        <f ca="1">IF(raw_exchange_data!$A23="","",OFFSET(raw_exchange_data!$A23,0,MATCH(N$2,raw_exchange_data!$1:$1,0)-1))</f>
        <v>GRT</v>
      </c>
      <c r="O24" s="161" t="str">
        <f ca="1">IF(raw_exchange_data!$A23="","",OFFSET(raw_exchange_data!$A23,0,MATCH(O$2,raw_exchange_data!$1:$1,0)-1))</f>
        <v>BINE</v>
      </c>
      <c r="P24" s="161" t="str">
        <f ca="1">IF(raw_exchange_data!$A23="","",OFFSET(raw_exchange_data!$A23,0,MATCH(P$2,raw_exchange_data!$1:$1,0)-1))</f>
        <v>BINE-2-S1-E</v>
      </c>
      <c r="Q24" s="161" t="str">
        <f ca="1">IF(raw_exchange_data!$A23="","",TEXT(OFFSET(raw_exchange_data!$A23,0,MATCH(Q$2,raw_exchange_data!$1:$1,0)-1),""))</f>
        <v/>
      </c>
      <c r="R24" s="162">
        <f ca="1">IF(raw_exchange_data!$A23="","",OFFSET(raw_exchange_data!$A23,0,MATCH(R$2,raw_exchange_data!$1:$1,0)-1))</f>
        <v>175995.44699999999</v>
      </c>
      <c r="S24" s="190">
        <f ca="1">IF(raw_exchange_data!$A23="","",OFFSET(raw_exchange_data!$A23,0,MATCH(S$2,raw_exchange_data!$1:$1,0)-1))</f>
        <v>44937.666667673613</v>
      </c>
      <c r="T24" s="161">
        <v>1</v>
      </c>
      <c r="W24" t="str">
        <f t="shared" si="1"/>
        <v>BINE</v>
      </c>
      <c r="X24" t="str">
        <f t="shared" si="2"/>
        <v>GRT</v>
      </c>
      <c r="Y24" s="42">
        <f t="shared" si="3"/>
        <v>186945.44699999999</v>
      </c>
      <c r="Z24" s="42">
        <f t="shared" ca="1" si="4"/>
        <v>175995.44699999999</v>
      </c>
      <c r="AB24" s="3" t="s">
        <v>14</v>
      </c>
      <c r="AC24" s="32">
        <v>187.07329370999855</v>
      </c>
      <c r="AD24" s="32">
        <v>4516.4744713686378</v>
      </c>
    </row>
    <row r="25" spans="1:30" x14ac:dyDescent="0.25">
      <c r="A25" t="str">
        <f>IF(Summary_Exchange_Balances_00UTC!$B24="","",Summary_Exchange_Balances_00UTC!$N24)</f>
        <v>BINE</v>
      </c>
      <c r="B25" t="str">
        <f>IF(Summary_Exchange_Balances_00UTC!$B24="","",Summary_Exchange_Balances_00UTC!$B24)</f>
        <v>BINE-2-S1-E</v>
      </c>
      <c r="C25" t="str">
        <f>IF(Summary_Exchange_Balances_00UTC!$B24="","",Summary_Exchange_Balances_00UTC!$E24)</f>
        <v>HBAR</v>
      </c>
      <c r="D25" t="str">
        <f>IF(OR(Summary_Exchange_Balances_00UTC!$B24="",Summary_Exchange_Balances_00UTC!$D24=""),"",Summary_Exchange_Balances_00UTC!$D24)</f>
        <v/>
      </c>
      <c r="E25" s="52">
        <f>IF(Summary_Exchange_Balances_00UTC!$B24="","",Summary_Exchange_Balances_00UTC!$C24)</f>
        <v>249422.74733057999</v>
      </c>
      <c r="G25" s="52">
        <f ca="1">IF(Summary_Exchange_Balances_00UTC!$B24="","",VLOOKUP(IF(ISERROR(SEARCH(" ", $B25)),UPPER($B25&amp;$C25&amp;IF(OR(NOT(ISERROR(SEARCH("trade",$D25))),NOT(ISERROR(SEARCH("balance",$D25)))),"",$D25)),UPPER(LEFT($B25, SEARCH(" ",$B25)-1)&amp;$C25&amp;IF(OR(NOT(ISERROR(SEARCH("trade",$D25))),NOT(ISERROR(SEARCH("balance",$D25)))),"",$D25))),$L:$T,MATCH("balance",$L$2:$S$2,0),FALSE))</f>
        <v>253604.74733057999</v>
      </c>
      <c r="H25" s="35">
        <f ca="1">IF(Summary_Exchange_Balances_00UTC!$B24="","",(G25-E25)/E25)</f>
        <v>1.6766714522862904E-2</v>
      </c>
      <c r="I25" s="165">
        <f ca="1">IF(Summary_Exchange_Balances_00UTC!$B24="","",IF(ISERROR($G25),$E25,$G25))</f>
        <v>253604.74733057999</v>
      </c>
      <c r="K25" t="str">
        <f t="shared" ca="1" si="0"/>
        <v>BINEHBAR</v>
      </c>
      <c r="L25" t="str">
        <f ca="1">UPPER($P25&amp;$N25&amp;Q25)</f>
        <v>BINE-2-S1-EHBAR</v>
      </c>
      <c r="N25" s="161" t="str">
        <f ca="1">IF(raw_exchange_data!$A24="","",OFFSET(raw_exchange_data!$A24,0,MATCH(N$2,raw_exchange_data!$1:$1,0)-1))</f>
        <v>HBAR</v>
      </c>
      <c r="O25" s="161" t="str">
        <f ca="1">IF(raw_exchange_data!$A24="","",OFFSET(raw_exchange_data!$A24,0,MATCH(O$2,raw_exchange_data!$1:$1,0)-1))</f>
        <v>BINE</v>
      </c>
      <c r="P25" s="161" t="str">
        <f ca="1">IF(raw_exchange_data!$A24="","",OFFSET(raw_exchange_data!$A24,0,MATCH(P$2,raw_exchange_data!$1:$1,0)-1))</f>
        <v>BINE-2-S1-E</v>
      </c>
      <c r="Q25" s="161" t="str">
        <f ca="1">IF(raw_exchange_data!$A24="","",TEXT(OFFSET(raw_exchange_data!$A24,0,MATCH(Q$2,raw_exchange_data!$1:$1,0)-1),""))</f>
        <v/>
      </c>
      <c r="R25" s="162">
        <f ca="1">IF(raw_exchange_data!$A24="","",OFFSET(raw_exchange_data!$A24,0,MATCH(R$2,raw_exchange_data!$1:$1,0)-1))</f>
        <v>253604.74733057999</v>
      </c>
      <c r="S25" s="190">
        <f ca="1">IF(raw_exchange_data!$A24="","",OFFSET(raw_exchange_data!$A24,0,MATCH(S$2,raw_exchange_data!$1:$1,0)-1))</f>
        <v>44937.666667673613</v>
      </c>
      <c r="T25" s="161">
        <v>1</v>
      </c>
      <c r="W25" t="str">
        <f t="shared" si="1"/>
        <v>BINE</v>
      </c>
      <c r="X25" t="str">
        <f t="shared" si="2"/>
        <v>HBAR</v>
      </c>
      <c r="Y25" s="42">
        <f t="shared" si="3"/>
        <v>249422.74733057999</v>
      </c>
      <c r="Z25" s="42">
        <f t="shared" ca="1" si="4"/>
        <v>253604.74733057999</v>
      </c>
      <c r="AB25" s="3" t="s">
        <v>128</v>
      </c>
      <c r="AC25" s="32">
        <v>0.33565571999999999</v>
      </c>
      <c r="AD25" s="32">
        <v>0.33565571999999999</v>
      </c>
    </row>
    <row r="26" spans="1:30" x14ac:dyDescent="0.25">
      <c r="A26" t="str">
        <f>IF(Summary_Exchange_Balances_00UTC!$B25="","",Summary_Exchange_Balances_00UTC!$N25)</f>
        <v>BINE</v>
      </c>
      <c r="B26" t="str">
        <f>IF(Summary_Exchange_Balances_00UTC!$B25="","",Summary_Exchange_Balances_00UTC!$B25)</f>
        <v>BINE-2-S1-E</v>
      </c>
      <c r="C26" t="str">
        <f>IF(Summary_Exchange_Balances_00UTC!$B25="","",Summary_Exchange_Balances_00UTC!$E25)</f>
        <v>LINK</v>
      </c>
      <c r="D26" t="str">
        <f>IF(OR(Summary_Exchange_Balances_00UTC!$B25="",Summary_Exchange_Balances_00UTC!$D25=""),"",Summary_Exchange_Balances_00UTC!$D25)</f>
        <v/>
      </c>
      <c r="E26" s="52">
        <f>IF(Summary_Exchange_Balances_00UTC!$B25="","",Summary_Exchange_Balances_00UTC!$C25)</f>
        <v>8419.0230946600004</v>
      </c>
      <c r="G26" s="52">
        <f ca="1">IF(Summary_Exchange_Balances_00UTC!$B25="","",VLOOKUP(IF(ISERROR(SEARCH(" ", $B26)),UPPER($B26&amp;$C26&amp;IF(OR(NOT(ISERROR(SEARCH("trade",$D26))),NOT(ISERROR(SEARCH("balance",$D26)))),"",$D26)),UPPER(LEFT($B26, SEARCH(" ",$B26)-1)&amp;$C26&amp;IF(OR(NOT(ISERROR(SEARCH("trade",$D26))),NOT(ISERROR(SEARCH("balance",$D26)))),"",$D26))),$L:$T,MATCH("balance",$L$2:$S$2,0),FALSE))</f>
        <v>6861.4950094100004</v>
      </c>
      <c r="H26" s="35">
        <f ca="1">IF(Summary_Exchange_Balances_00UTC!$B25="","",(G26-E26)/E26)</f>
        <v>-0.18500104676490381</v>
      </c>
      <c r="I26" s="165">
        <f ca="1">IF(Summary_Exchange_Balances_00UTC!$B25="","",IF(ISERROR($G26),$E26,$G26))</f>
        <v>6861.4950094100004</v>
      </c>
      <c r="K26" t="str">
        <f t="shared" ca="1" si="0"/>
        <v>BINELINK</v>
      </c>
      <c r="L26" t="str">
        <f ca="1">UPPER($P26&amp;$N26&amp;Q26)</f>
        <v>BINE-2-S1-ELINK</v>
      </c>
      <c r="N26" s="161" t="str">
        <f ca="1">IF(raw_exchange_data!$A25="","",OFFSET(raw_exchange_data!$A25,0,MATCH(N$2,raw_exchange_data!$1:$1,0)-1))</f>
        <v>LINK</v>
      </c>
      <c r="O26" s="161" t="str">
        <f ca="1">IF(raw_exchange_data!$A25="","",OFFSET(raw_exchange_data!$A25,0,MATCH(O$2,raw_exchange_data!$1:$1,0)-1))</f>
        <v>BINE</v>
      </c>
      <c r="P26" s="161" t="str">
        <f ca="1">IF(raw_exchange_data!$A25="","",OFFSET(raw_exchange_data!$A25,0,MATCH(P$2,raw_exchange_data!$1:$1,0)-1))</f>
        <v>BINE-2-S1-E</v>
      </c>
      <c r="Q26" s="161" t="str">
        <f ca="1">IF(raw_exchange_data!$A25="","",TEXT(OFFSET(raw_exchange_data!$A25,0,MATCH(Q$2,raw_exchange_data!$1:$1,0)-1),""))</f>
        <v/>
      </c>
      <c r="R26" s="162">
        <f ca="1">IF(raw_exchange_data!$A25="","",OFFSET(raw_exchange_data!$A25,0,MATCH(R$2,raw_exchange_data!$1:$1,0)-1))</f>
        <v>6861.4950094100004</v>
      </c>
      <c r="S26" s="190">
        <f ca="1">IF(raw_exchange_data!$A25="","",OFFSET(raw_exchange_data!$A25,0,MATCH(S$2,raw_exchange_data!$1:$1,0)-1))</f>
        <v>44937.666667673613</v>
      </c>
      <c r="T26" s="161">
        <v>1</v>
      </c>
      <c r="W26" t="str">
        <f t="shared" si="1"/>
        <v>BINE</v>
      </c>
      <c r="X26" t="str">
        <f t="shared" si="2"/>
        <v>LINK</v>
      </c>
      <c r="Y26" s="42">
        <f t="shared" si="3"/>
        <v>8419.0230946600004</v>
      </c>
      <c r="Z26" s="42">
        <f t="shared" ca="1" si="4"/>
        <v>6861.4950094100004</v>
      </c>
      <c r="AB26" s="3" t="s">
        <v>129</v>
      </c>
      <c r="AC26" s="32">
        <v>1367501156.8785999</v>
      </c>
      <c r="AD26" s="32">
        <v>1367501156.8785999</v>
      </c>
    </row>
    <row r="27" spans="1:30" x14ac:dyDescent="0.25">
      <c r="A27" t="str">
        <f>IF(Summary_Exchange_Balances_00UTC!$B26="","",Summary_Exchange_Balances_00UTC!$N26)</f>
        <v>BINE</v>
      </c>
      <c r="B27" t="str">
        <f>IF(Summary_Exchange_Balances_00UTC!$B26="","",Summary_Exchange_Balances_00UTC!$B26)</f>
        <v>BINE-2-S1-E</v>
      </c>
      <c r="C27" t="str">
        <f>IF(Summary_Exchange_Balances_00UTC!$B26="","",Summary_Exchange_Balances_00UTC!$E26)</f>
        <v>LTC</v>
      </c>
      <c r="D27" t="str">
        <f>IF(OR(Summary_Exchange_Balances_00UTC!$B26="",Summary_Exchange_Balances_00UTC!$D26=""),"",Summary_Exchange_Balances_00UTC!$D26)</f>
        <v/>
      </c>
      <c r="E27" s="52">
        <f>IF(Summary_Exchange_Balances_00UTC!$B26="","",Summary_Exchange_Balances_00UTC!$C26)</f>
        <v>975.24722336000002</v>
      </c>
      <c r="G27" s="52">
        <f ca="1">IF(Summary_Exchange_Balances_00UTC!$B26="","",VLOOKUP(IF(ISERROR(SEARCH(" ", $B27)),UPPER($B27&amp;$C27&amp;IF(OR(NOT(ISERROR(SEARCH("trade",$D27))),NOT(ISERROR(SEARCH("balance",$D27)))),"",$D27)),UPPER(LEFT($B27, SEARCH(" ",$B27)-1)&amp;$C27&amp;IF(OR(NOT(ISERROR(SEARCH("trade",$D27))),NOT(ISERROR(SEARCH("balance",$D27)))),"",$D27))),$L:$T,MATCH("balance",$L$2:$S$2,0),FALSE))</f>
        <v>670.78340326</v>
      </c>
      <c r="H27" s="35">
        <f ca="1">IF(Summary_Exchange_Balances_00UTC!$B26="","",(G27-E27)/E27)</f>
        <v>-0.31219142470463729</v>
      </c>
      <c r="I27" s="165">
        <f ca="1">IF(Summary_Exchange_Balances_00UTC!$B26="","",IF(ISERROR($G27),$E27,$G27))</f>
        <v>670.78340326</v>
      </c>
      <c r="K27" t="str">
        <f t="shared" ca="1" si="0"/>
        <v>BINELTC</v>
      </c>
      <c r="L27" t="str">
        <f ca="1">UPPER($P27&amp;$N27&amp;Q27)</f>
        <v>BINE-2-S1-ELTC</v>
      </c>
      <c r="N27" s="161" t="str">
        <f ca="1">IF(raw_exchange_data!$A26="","",OFFSET(raw_exchange_data!$A26,0,MATCH(N$2,raw_exchange_data!$1:$1,0)-1))</f>
        <v>LTC</v>
      </c>
      <c r="O27" s="161" t="str">
        <f ca="1">IF(raw_exchange_data!$A26="","",OFFSET(raw_exchange_data!$A26,0,MATCH(O$2,raw_exchange_data!$1:$1,0)-1))</f>
        <v>BINE</v>
      </c>
      <c r="P27" s="161" t="str">
        <f ca="1">IF(raw_exchange_data!$A26="","",OFFSET(raw_exchange_data!$A26,0,MATCH(P$2,raw_exchange_data!$1:$1,0)-1))</f>
        <v>BINE-2-S1-E</v>
      </c>
      <c r="Q27" s="161" t="str">
        <f ca="1">IF(raw_exchange_data!$A26="","",TEXT(OFFSET(raw_exchange_data!$A26,0,MATCH(Q$2,raw_exchange_data!$1:$1,0)-1),""))</f>
        <v/>
      </c>
      <c r="R27" s="162">
        <f ca="1">IF(raw_exchange_data!$A26="","",OFFSET(raw_exchange_data!$A26,0,MATCH(R$2,raw_exchange_data!$1:$1,0)-1))</f>
        <v>670.78340326</v>
      </c>
      <c r="S27" s="190">
        <f ca="1">IF(raw_exchange_data!$A26="","",OFFSET(raw_exchange_data!$A26,0,MATCH(S$2,raw_exchange_data!$1:$1,0)-1))</f>
        <v>44937.666667673613</v>
      </c>
      <c r="T27" s="161">
        <v>1</v>
      </c>
      <c r="W27" t="str">
        <f t="shared" si="1"/>
        <v>BINE</v>
      </c>
      <c r="X27" t="str">
        <f t="shared" si="2"/>
        <v>LTC</v>
      </c>
      <c r="Y27" s="42">
        <f t="shared" si="3"/>
        <v>975.24722336000002</v>
      </c>
      <c r="Z27" s="42">
        <f t="shared" ca="1" si="4"/>
        <v>670.78340326</v>
      </c>
      <c r="AB27" s="3" t="s">
        <v>88</v>
      </c>
      <c r="AC27" s="32">
        <v>19338435.62972004</v>
      </c>
      <c r="AD27" s="32">
        <v>15170263.684480339</v>
      </c>
    </row>
    <row r="28" spans="1:30" x14ac:dyDescent="0.25">
      <c r="A28" t="str">
        <f>IF(Summary_Exchange_Balances_00UTC!$B27="","",Summary_Exchange_Balances_00UTC!$N27)</f>
        <v>BINE</v>
      </c>
      <c r="B28" t="str">
        <f>IF(Summary_Exchange_Balances_00UTC!$B27="","",Summary_Exchange_Balances_00UTC!$B27)</f>
        <v>BINE-2-S1-E</v>
      </c>
      <c r="C28" t="str">
        <f>IF(Summary_Exchange_Balances_00UTC!$B27="","",Summary_Exchange_Balances_00UTC!$E27)</f>
        <v>MANA</v>
      </c>
      <c r="D28" t="str">
        <f>IF(OR(Summary_Exchange_Balances_00UTC!$B27="",Summary_Exchange_Balances_00UTC!$D27=""),"",Summary_Exchange_Balances_00UTC!$D27)</f>
        <v/>
      </c>
      <c r="E28" s="53">
        <f>IF(Summary_Exchange_Balances_00UTC!$B27="","",Summary_Exchange_Balances_00UTC!$C27)</f>
        <v>54984.847193989997</v>
      </c>
      <c r="G28" s="52">
        <f ca="1">IF(Summary_Exchange_Balances_00UTC!$B27="","",VLOOKUP(IF(ISERROR(SEARCH(" ", $B28)),UPPER($B28&amp;$C28&amp;IF(OR(NOT(ISERROR(SEARCH("trade",$D28))),NOT(ISERROR(SEARCH("balance",$D28)))),"",$D28)),UPPER(LEFT($B28, SEARCH(" ",$B28)-1)&amp;$C28&amp;IF(OR(NOT(ISERROR(SEARCH("trade",$D28))),NOT(ISERROR(SEARCH("balance",$D28)))),"",$D28))),$L:$T,MATCH("balance",$L$2:$S$2,0),FALSE))</f>
        <v>53181.847193989997</v>
      </c>
      <c r="H28" s="35">
        <f ca="1">IF(Summary_Exchange_Balances_00UTC!$B27="","",(G28-E28)/E28)</f>
        <v>-3.2790852244053759E-2</v>
      </c>
      <c r="I28" s="165">
        <f ca="1">IF(Summary_Exchange_Balances_00UTC!$B27="","",IF(ISERROR($G28),$E28,$G28))</f>
        <v>53181.847193989997</v>
      </c>
      <c r="K28" t="str">
        <f t="shared" ca="1" si="0"/>
        <v>BINEMANA</v>
      </c>
      <c r="L28" t="str">
        <f ca="1">UPPER($P28&amp;$N28&amp;Q28)</f>
        <v>BINE-2-S1-EMANA</v>
      </c>
      <c r="N28" s="161" t="str">
        <f ca="1">IF(raw_exchange_data!$A27="","",OFFSET(raw_exchange_data!$A27,0,MATCH(N$2,raw_exchange_data!$1:$1,0)-1))</f>
        <v>MANA</v>
      </c>
      <c r="O28" s="161" t="str">
        <f ca="1">IF(raw_exchange_data!$A27="","",OFFSET(raw_exchange_data!$A27,0,MATCH(O$2,raw_exchange_data!$1:$1,0)-1))</f>
        <v>BINE</v>
      </c>
      <c r="P28" s="161" t="str">
        <f ca="1">IF(raw_exchange_data!$A27="","",OFFSET(raw_exchange_data!$A27,0,MATCH(P$2,raw_exchange_data!$1:$1,0)-1))</f>
        <v>BINE-2-S1-E</v>
      </c>
      <c r="Q28" s="161" t="str">
        <f ca="1">IF(raw_exchange_data!$A27="","",TEXT(OFFSET(raw_exchange_data!$A27,0,MATCH(Q$2,raw_exchange_data!$1:$1,0)-1),""))</f>
        <v/>
      </c>
      <c r="R28" s="162">
        <f ca="1">IF(raw_exchange_data!$A27="","",OFFSET(raw_exchange_data!$A27,0,MATCH(R$2,raw_exchange_data!$1:$1,0)-1))</f>
        <v>53181.847193989997</v>
      </c>
      <c r="S28" s="190">
        <f ca="1">IF(raw_exchange_data!$A27="","",OFFSET(raw_exchange_data!$A27,0,MATCH(S$2,raw_exchange_data!$1:$1,0)-1))</f>
        <v>44937.666667673613</v>
      </c>
      <c r="T28" s="161">
        <v>1</v>
      </c>
      <c r="W28" t="str">
        <f t="shared" si="1"/>
        <v>BINE</v>
      </c>
      <c r="X28" t="str">
        <f t="shared" si="2"/>
        <v>MANA</v>
      </c>
      <c r="Y28" s="42">
        <f t="shared" si="3"/>
        <v>54984.847193989997</v>
      </c>
      <c r="Z28" s="42">
        <f t="shared" ca="1" si="4"/>
        <v>53181.847193989997</v>
      </c>
      <c r="AB28" s="3" t="s">
        <v>130</v>
      </c>
      <c r="AC28" s="32">
        <v>1.7855998900000001</v>
      </c>
      <c r="AD28" s="32">
        <v>1.7855998900000001</v>
      </c>
    </row>
    <row r="29" spans="1:30" x14ac:dyDescent="0.25">
      <c r="A29" t="str">
        <f>IF(Summary_Exchange_Balances_00UTC!$B28="","",Summary_Exchange_Balances_00UTC!$N28)</f>
        <v>BINE</v>
      </c>
      <c r="B29" t="str">
        <f>IF(Summary_Exchange_Balances_00UTC!$B28="","",Summary_Exchange_Balances_00UTC!$B28)</f>
        <v>BINE-2-S1-E</v>
      </c>
      <c r="C29" t="str">
        <f>IF(Summary_Exchange_Balances_00UTC!$B28="","",Summary_Exchange_Balances_00UTC!$E28)</f>
        <v>MATIC</v>
      </c>
      <c r="D29" t="str">
        <f>IF(OR(Summary_Exchange_Balances_00UTC!$B28="",Summary_Exchange_Balances_00UTC!$D28=""),"",Summary_Exchange_Balances_00UTC!$D28)</f>
        <v/>
      </c>
      <c r="E29" s="52">
        <f>IF(Summary_Exchange_Balances_00UTC!$B28="","",Summary_Exchange_Balances_00UTC!$C28)</f>
        <v>47252.316829759999</v>
      </c>
      <c r="G29" s="52">
        <f ca="1">IF(Summary_Exchange_Balances_00UTC!$B28="","",VLOOKUP(IF(ISERROR(SEARCH(" ", $B29)),UPPER($B29&amp;$C29&amp;IF(OR(NOT(ISERROR(SEARCH("trade",$D29))),NOT(ISERROR(SEARCH("balance",$D29)))),"",$D29)),UPPER(LEFT($B29, SEARCH(" ",$B29)-1)&amp;$C29&amp;IF(OR(NOT(ISERROR(SEARCH("trade",$D29))),NOT(ISERROR(SEARCH("balance",$D29)))),"",$D29))),$L:$T,MATCH("balance",$L$2:$S$2,0),FALSE))</f>
        <v>52972.316829759999</v>
      </c>
      <c r="H29" s="35">
        <f ca="1">IF(Summary_Exchange_Balances_00UTC!$B28="","",(G29-E29)/E29)</f>
        <v>0.1210522654499236</v>
      </c>
      <c r="I29" s="165">
        <f ca="1">IF(Summary_Exchange_Balances_00UTC!$B28="","",IF(ISERROR($G29),$E29,$G29))</f>
        <v>52972.316829759999</v>
      </c>
      <c r="K29" t="str">
        <f t="shared" ca="1" si="0"/>
        <v>BINEMATIC</v>
      </c>
      <c r="L29" t="str">
        <f ca="1">UPPER($P29&amp;$N29&amp;Q29)</f>
        <v>BINE-2-S1-EMATIC</v>
      </c>
      <c r="N29" s="161" t="str">
        <f ca="1">IF(raw_exchange_data!$A28="","",OFFSET(raw_exchange_data!$A28,0,MATCH(N$2,raw_exchange_data!$1:$1,0)-1))</f>
        <v>MATIC</v>
      </c>
      <c r="O29" s="161" t="str">
        <f ca="1">IF(raw_exchange_data!$A28="","",OFFSET(raw_exchange_data!$A28,0,MATCH(O$2,raw_exchange_data!$1:$1,0)-1))</f>
        <v>BINE</v>
      </c>
      <c r="P29" s="161" t="str">
        <f ca="1">IF(raw_exchange_data!$A28="","",OFFSET(raw_exchange_data!$A28,0,MATCH(P$2,raw_exchange_data!$1:$1,0)-1))</f>
        <v>BINE-2-S1-E</v>
      </c>
      <c r="Q29" s="161" t="str">
        <f ca="1">IF(raw_exchange_data!$A28="","",TEXT(OFFSET(raw_exchange_data!$A28,0,MATCH(Q$2,raw_exchange_data!$1:$1,0)-1),""))</f>
        <v/>
      </c>
      <c r="R29" s="162">
        <f ca="1">IF(raw_exchange_data!$A28="","",OFFSET(raw_exchange_data!$A28,0,MATCH(R$2,raw_exchange_data!$1:$1,0)-1))</f>
        <v>52972.316829759999</v>
      </c>
      <c r="S29" s="190">
        <f ca="1">IF(raw_exchange_data!$A28="","",OFFSET(raw_exchange_data!$A28,0,MATCH(S$2,raw_exchange_data!$1:$1,0)-1))</f>
        <v>44937.666667673613</v>
      </c>
      <c r="T29" s="161">
        <v>1</v>
      </c>
      <c r="W29" t="str">
        <f t="shared" si="1"/>
        <v>BINE</v>
      </c>
      <c r="X29" t="str">
        <f t="shared" si="2"/>
        <v>MATIC</v>
      </c>
      <c r="Y29" s="42">
        <f t="shared" si="3"/>
        <v>47252.316829759999</v>
      </c>
      <c r="Z29" s="42">
        <f t="shared" ca="1" si="4"/>
        <v>52972.316829759999</v>
      </c>
      <c r="AB29" s="3" t="s">
        <v>31</v>
      </c>
      <c r="AC29" s="32">
        <v>320.43154201000016</v>
      </c>
      <c r="AD29" s="32">
        <v>-4778.6118450699996</v>
      </c>
    </row>
    <row r="30" spans="1:30" x14ac:dyDescent="0.25">
      <c r="A30" t="str">
        <f>IF(Summary_Exchange_Balances_00UTC!$B29="","",Summary_Exchange_Balances_00UTC!$N29)</f>
        <v>BINE</v>
      </c>
      <c r="B30" t="str">
        <f>IF(Summary_Exchange_Balances_00UTC!$B29="","",Summary_Exchange_Balances_00UTC!$B29)</f>
        <v>BINE-2-S1-E</v>
      </c>
      <c r="C30" t="str">
        <f>IF(Summary_Exchange_Balances_00UTC!$B29="","",Summary_Exchange_Balances_00UTC!$E29)</f>
        <v>MKR</v>
      </c>
      <c r="D30" t="str">
        <f>IF(OR(Summary_Exchange_Balances_00UTC!$B29="",Summary_Exchange_Balances_00UTC!$D29=""),"",Summary_Exchange_Balances_00UTC!$D29)</f>
        <v/>
      </c>
      <c r="E30" s="53">
        <f>IF(Summary_Exchange_Balances_00UTC!$B29="","",Summary_Exchange_Balances_00UTC!$C29)</f>
        <v>11.133492329999999</v>
      </c>
      <c r="G30" s="52">
        <f ca="1">IF(Summary_Exchange_Balances_00UTC!$B29="","",VLOOKUP(IF(ISERROR(SEARCH(" ", $B30)),UPPER($B30&amp;$C30&amp;IF(OR(NOT(ISERROR(SEARCH("trade",$D30))),NOT(ISERROR(SEARCH("balance",$D30)))),"",$D30)),UPPER(LEFT($B30, SEARCH(" ",$B30)-1)&amp;$C30&amp;IF(OR(NOT(ISERROR(SEARCH("trade",$D30))),NOT(ISERROR(SEARCH("balance",$D30)))),"",$D30))),$L:$T,MATCH("balance",$L$2:$S$2,0),FALSE))</f>
        <v>12.45029233</v>
      </c>
      <c r="H30" s="35">
        <f ca="1">IF(Summary_Exchange_Balances_00UTC!$B29="","",(G30-E30)/E30)</f>
        <v>0.11827376001794046</v>
      </c>
      <c r="I30" s="165">
        <f ca="1">IF(Summary_Exchange_Balances_00UTC!$B29="","",IF(ISERROR($G30),$E30,$G30))</f>
        <v>12.45029233</v>
      </c>
      <c r="K30" t="str">
        <f t="shared" ca="1" si="0"/>
        <v>BINEMKR</v>
      </c>
      <c r="L30" t="str">
        <f ca="1">UPPER($P30&amp;$N30&amp;Q30)</f>
        <v>BINE-2-S1-EMKR</v>
      </c>
      <c r="N30" s="161" t="str">
        <f ca="1">IF(raw_exchange_data!$A29="","",OFFSET(raw_exchange_data!$A29,0,MATCH(N$2,raw_exchange_data!$1:$1,0)-1))</f>
        <v>MKR</v>
      </c>
      <c r="O30" s="161" t="str">
        <f ca="1">IF(raw_exchange_data!$A29="","",OFFSET(raw_exchange_data!$A29,0,MATCH(O$2,raw_exchange_data!$1:$1,0)-1))</f>
        <v>BINE</v>
      </c>
      <c r="P30" s="161" t="str">
        <f ca="1">IF(raw_exchange_data!$A29="","",OFFSET(raw_exchange_data!$A29,0,MATCH(P$2,raw_exchange_data!$1:$1,0)-1))</f>
        <v>BINE-2-S1-E</v>
      </c>
      <c r="Q30" s="161" t="str">
        <f ca="1">IF(raw_exchange_data!$A29="","",TEXT(OFFSET(raw_exchange_data!$A29,0,MATCH(Q$2,raw_exchange_data!$1:$1,0)-1),""))</f>
        <v/>
      </c>
      <c r="R30" s="162">
        <f ca="1">IF(raw_exchange_data!$A29="","",OFFSET(raw_exchange_data!$A29,0,MATCH(R$2,raw_exchange_data!$1:$1,0)-1))</f>
        <v>12.45029233</v>
      </c>
      <c r="S30" s="190">
        <f ca="1">IF(raw_exchange_data!$A29="","",OFFSET(raw_exchange_data!$A29,0,MATCH(S$2,raw_exchange_data!$1:$1,0)-1))</f>
        <v>44937.666667673613</v>
      </c>
      <c r="T30" s="161">
        <v>1</v>
      </c>
      <c r="W30" t="str">
        <f t="shared" si="1"/>
        <v>BINE</v>
      </c>
      <c r="X30" t="str">
        <f t="shared" si="2"/>
        <v>MKR</v>
      </c>
      <c r="Y30" s="42">
        <f t="shared" si="3"/>
        <v>11.133492329999999</v>
      </c>
      <c r="Z30" s="42">
        <f t="shared" ca="1" si="4"/>
        <v>12.45029233</v>
      </c>
      <c r="AB30" s="3" t="s">
        <v>131</v>
      </c>
      <c r="AC30" s="32">
        <v>0.30791584</v>
      </c>
      <c r="AD30" s="32">
        <v>0.30791584</v>
      </c>
    </row>
    <row r="31" spans="1:30" x14ac:dyDescent="0.25">
      <c r="A31" t="str">
        <f>IF(Summary_Exchange_Balances_00UTC!$B30="","",Summary_Exchange_Balances_00UTC!$N30)</f>
        <v>BINE</v>
      </c>
      <c r="B31" t="str">
        <f>IF(Summary_Exchange_Balances_00UTC!$B30="","",Summary_Exchange_Balances_00UTC!$B30)</f>
        <v>BINE-2-S1-E</v>
      </c>
      <c r="C31" t="str">
        <f>IF(Summary_Exchange_Balances_00UTC!$B30="","",Summary_Exchange_Balances_00UTC!$E30)</f>
        <v>OMG</v>
      </c>
      <c r="D31" t="str">
        <f>IF(OR(Summary_Exchange_Balances_00UTC!$B30="",Summary_Exchange_Balances_00UTC!$D30=""),"",Summary_Exchange_Balances_00UTC!$D30)</f>
        <v/>
      </c>
      <c r="E31" s="52">
        <f>IF(Summary_Exchange_Balances_00UTC!$B30="","",Summary_Exchange_Balances_00UTC!$C30)</f>
        <v>24199.849819300001</v>
      </c>
      <c r="G31" s="52">
        <f ca="1">IF(Summary_Exchange_Balances_00UTC!$B30="","",VLOOKUP(IF(ISERROR(SEARCH(" ", $B31)),UPPER($B31&amp;$C31&amp;IF(OR(NOT(ISERROR(SEARCH("trade",$D31))),NOT(ISERROR(SEARCH("balance",$D31)))),"",$D31)),UPPER(LEFT($B31, SEARCH(" ",$B31)-1)&amp;$C31&amp;IF(OR(NOT(ISERROR(SEARCH("trade",$D31))),NOT(ISERROR(SEARCH("balance",$D31)))),"",$D31))),$L:$T,MATCH("balance",$L$2:$S$2,0),FALSE))</f>
        <v>24234.849819300001</v>
      </c>
      <c r="H31" s="35">
        <f ca="1">IF(Summary_Exchange_Balances_00UTC!$B30="","",(G31-E31)/E31)</f>
        <v>1.4462899671421349E-3</v>
      </c>
      <c r="I31" s="165">
        <f ca="1">IF(Summary_Exchange_Balances_00UTC!$B30="","",IF(ISERROR($G31),$E31,$G31))</f>
        <v>24234.849819300001</v>
      </c>
      <c r="K31" t="str">
        <f t="shared" ca="1" si="0"/>
        <v>BINEOMG</v>
      </c>
      <c r="L31" t="str">
        <f ca="1">UPPER($P31&amp;$N31&amp;Q31)</f>
        <v>BINE-2-S1-EOMG</v>
      </c>
      <c r="N31" s="161" t="str">
        <f ca="1">IF(raw_exchange_data!$A30="","",OFFSET(raw_exchange_data!$A30,0,MATCH(N$2,raw_exchange_data!$1:$1,0)-1))</f>
        <v>OMG</v>
      </c>
      <c r="O31" s="161" t="str">
        <f ca="1">IF(raw_exchange_data!$A30="","",OFFSET(raw_exchange_data!$A30,0,MATCH(O$2,raw_exchange_data!$1:$1,0)-1))</f>
        <v>BINE</v>
      </c>
      <c r="P31" s="161" t="str">
        <f ca="1">IF(raw_exchange_data!$A30="","",OFFSET(raw_exchange_data!$A30,0,MATCH(P$2,raw_exchange_data!$1:$1,0)-1))</f>
        <v>BINE-2-S1-E</v>
      </c>
      <c r="Q31" s="161" t="str">
        <f ca="1">IF(raw_exchange_data!$A30="","",TEXT(OFFSET(raw_exchange_data!$A30,0,MATCH(Q$2,raw_exchange_data!$1:$1,0)-1),""))</f>
        <v/>
      </c>
      <c r="R31" s="162">
        <f ca="1">IF(raw_exchange_data!$A30="","",OFFSET(raw_exchange_data!$A30,0,MATCH(R$2,raw_exchange_data!$1:$1,0)-1))</f>
        <v>24234.849819300001</v>
      </c>
      <c r="S31" s="190">
        <f ca="1">IF(raw_exchange_data!$A30="","",OFFSET(raw_exchange_data!$A30,0,MATCH(S$2,raw_exchange_data!$1:$1,0)-1))</f>
        <v>44937.666667673613</v>
      </c>
      <c r="T31" s="161">
        <v>1</v>
      </c>
      <c r="W31" t="str">
        <f t="shared" si="1"/>
        <v>BINE</v>
      </c>
      <c r="X31" t="str">
        <f t="shared" si="2"/>
        <v>OMG</v>
      </c>
      <c r="Y31" s="42">
        <f t="shared" si="3"/>
        <v>24199.849819300001</v>
      </c>
      <c r="Z31" s="42">
        <f t="shared" ca="1" si="4"/>
        <v>24234.849819300001</v>
      </c>
      <c r="AB31" s="3" t="s">
        <v>188</v>
      </c>
      <c r="AC31" s="32">
        <v>14358.190304720001</v>
      </c>
      <c r="AD31" s="32">
        <v>1.5637979999999999E-2</v>
      </c>
    </row>
    <row r="32" spans="1:30" x14ac:dyDescent="0.25">
      <c r="A32" t="str">
        <f>IF(Summary_Exchange_Balances_00UTC!$B31="","",Summary_Exchange_Balances_00UTC!$N31)</f>
        <v>BINE</v>
      </c>
      <c r="B32" t="str">
        <f>IF(Summary_Exchange_Balances_00UTC!$B31="","",Summary_Exchange_Balances_00UTC!$B31)</f>
        <v>BINE-2-S1-E</v>
      </c>
      <c r="C32" t="str">
        <f>IF(Summary_Exchange_Balances_00UTC!$B31="","",Summary_Exchange_Balances_00UTC!$E31)</f>
        <v>OXT</v>
      </c>
      <c r="D32" t="str">
        <f>IF(OR(Summary_Exchange_Balances_00UTC!$B31="",Summary_Exchange_Balances_00UTC!$D31=""),"",Summary_Exchange_Balances_00UTC!$D31)</f>
        <v/>
      </c>
      <c r="E32" s="52">
        <f>IF(Summary_Exchange_Balances_00UTC!$B31="","",Summary_Exchange_Balances_00UTC!$C31)</f>
        <v>313858.75941951998</v>
      </c>
      <c r="G32" s="52">
        <f ca="1">IF(Summary_Exchange_Balances_00UTC!$B31="","",VLOOKUP(IF(ISERROR(SEARCH(" ", $B32)),UPPER($B32&amp;$C32&amp;IF(OR(NOT(ISERROR(SEARCH("trade",$D32))),NOT(ISERROR(SEARCH("balance",$D32)))),"",$D32)),UPPER(LEFT($B32, SEARCH(" ",$B32)-1)&amp;$C32&amp;IF(OR(NOT(ISERROR(SEARCH("trade",$D32))),NOT(ISERROR(SEARCH("balance",$D32)))),"",$D32))),$L:$T,MATCH("balance",$L$2:$S$2,0),FALSE))</f>
        <v>325444.75941951998</v>
      </c>
      <c r="H32" s="35">
        <f ca="1">IF(Summary_Exchange_Balances_00UTC!$B31="","",(G32-E32)/E32)</f>
        <v>3.6914693798663585E-2</v>
      </c>
      <c r="I32" s="165">
        <f ca="1">IF(Summary_Exchange_Balances_00UTC!$B31="","",IF(ISERROR($G32),$E32,$G32))</f>
        <v>325444.75941951998</v>
      </c>
      <c r="K32" t="str">
        <f t="shared" ca="1" si="0"/>
        <v>BINEOXT</v>
      </c>
      <c r="L32" t="str">
        <f ca="1">UPPER($P32&amp;$N32&amp;Q32)</f>
        <v>BINE-2-S1-EOXT</v>
      </c>
      <c r="N32" s="161" t="str">
        <f ca="1">IF(raw_exchange_data!$A31="","",OFFSET(raw_exchange_data!$A31,0,MATCH(N$2,raw_exchange_data!$1:$1,0)-1))</f>
        <v>OXT</v>
      </c>
      <c r="O32" s="161" t="str">
        <f ca="1">IF(raw_exchange_data!$A31="","",OFFSET(raw_exchange_data!$A31,0,MATCH(O$2,raw_exchange_data!$1:$1,0)-1))</f>
        <v>BINE</v>
      </c>
      <c r="P32" s="161" t="str">
        <f ca="1">IF(raw_exchange_data!$A31="","",OFFSET(raw_exchange_data!$A31,0,MATCH(P$2,raw_exchange_data!$1:$1,0)-1))</f>
        <v>BINE-2-S1-E</v>
      </c>
      <c r="Q32" s="161" t="str">
        <f ca="1">IF(raw_exchange_data!$A31="","",TEXT(OFFSET(raw_exchange_data!$A31,0,MATCH(Q$2,raw_exchange_data!$1:$1,0)-1),""))</f>
        <v/>
      </c>
      <c r="R32" s="162">
        <f ca="1">IF(raw_exchange_data!$A31="","",OFFSET(raw_exchange_data!$A31,0,MATCH(R$2,raw_exchange_data!$1:$1,0)-1))</f>
        <v>325444.75941951998</v>
      </c>
      <c r="S32" s="190">
        <f ca="1">IF(raw_exchange_data!$A31="","",OFFSET(raw_exchange_data!$A31,0,MATCH(S$2,raw_exchange_data!$1:$1,0)-1))</f>
        <v>44937.666667673613</v>
      </c>
      <c r="T32" s="161">
        <v>1</v>
      </c>
      <c r="W32" t="str">
        <f t="shared" si="1"/>
        <v>BINE</v>
      </c>
      <c r="X32" t="str">
        <f t="shared" si="2"/>
        <v>OXT</v>
      </c>
      <c r="Y32" s="42">
        <f t="shared" si="3"/>
        <v>313858.75941951998</v>
      </c>
      <c r="Z32" s="42">
        <f t="shared" ca="1" si="4"/>
        <v>325444.75941951998</v>
      </c>
      <c r="AB32" s="3" t="s">
        <v>189</v>
      </c>
      <c r="AC32" s="32">
        <v>493.34700187999999</v>
      </c>
      <c r="AD32" s="32">
        <v>0</v>
      </c>
    </row>
    <row r="33" spans="1:30" x14ac:dyDescent="0.25">
      <c r="A33" t="str">
        <f>IF(Summary_Exchange_Balances_00UTC!$B32="","",Summary_Exchange_Balances_00UTC!$N32)</f>
        <v>BINE</v>
      </c>
      <c r="B33" t="str">
        <f>IF(Summary_Exchange_Balances_00UTC!$B32="","",Summary_Exchange_Balances_00UTC!$B32)</f>
        <v>BINE-2-S1-E</v>
      </c>
      <c r="C33" t="str">
        <f>IF(Summary_Exchange_Balances_00UTC!$B32="","",Summary_Exchange_Balances_00UTC!$E32)</f>
        <v>SHIB</v>
      </c>
      <c r="D33" t="str">
        <f>IF(OR(Summary_Exchange_Balances_00UTC!$B32="",Summary_Exchange_Balances_00UTC!$D32=""),"",Summary_Exchange_Balances_00UTC!$D32)</f>
        <v/>
      </c>
      <c r="E33" s="52">
        <f>IF(Summary_Exchange_Balances_00UTC!$B32="","",Summary_Exchange_Balances_00UTC!$C32)</f>
        <v>81762615062.479996</v>
      </c>
      <c r="G33" s="52">
        <f ca="1">IF(Summary_Exchange_Balances_00UTC!$B32="","",VLOOKUP(IF(ISERROR(SEARCH(" ", $B33)),UPPER($B33&amp;$C33&amp;IF(OR(NOT(ISERROR(SEARCH("trade",$D33))),NOT(ISERROR(SEARCH("balance",$D33)))),"",$D33)),UPPER(LEFT($B33, SEARCH(" ",$B33)-1)&amp;$C33&amp;IF(OR(NOT(ISERROR(SEARCH("trade",$D33))),NOT(ISERROR(SEARCH("balance",$D33)))),"",$D33))),$L:$T,MATCH("balance",$L$2:$S$2,0),FALSE))</f>
        <v>23570492385.880001</v>
      </c>
      <c r="H33" s="35">
        <f ca="1">IF(Summary_Exchange_Balances_00UTC!$B32="","",(G33-E33)/E33)</f>
        <v>-0.7117204193154989</v>
      </c>
      <c r="I33" s="165">
        <f ca="1">IF(Summary_Exchange_Balances_00UTC!$B32="","",IF(ISERROR($G33),$E33,$G33))</f>
        <v>23570492385.880001</v>
      </c>
      <c r="K33" t="str">
        <f t="shared" ca="1" si="0"/>
        <v>BINESHIB</v>
      </c>
      <c r="L33" t="str">
        <f ca="1">UPPER($P33&amp;$N33&amp;Q33)</f>
        <v>BINE-2-S1-ESHIB</v>
      </c>
      <c r="N33" s="161" t="str">
        <f ca="1">IF(raw_exchange_data!$A32="","",OFFSET(raw_exchange_data!$A32,0,MATCH(N$2,raw_exchange_data!$1:$1,0)-1))</f>
        <v>SHIB</v>
      </c>
      <c r="O33" s="161" t="str">
        <f ca="1">IF(raw_exchange_data!$A32="","",OFFSET(raw_exchange_data!$A32,0,MATCH(O$2,raw_exchange_data!$1:$1,0)-1))</f>
        <v>BINE</v>
      </c>
      <c r="P33" s="161" t="str">
        <f ca="1">IF(raw_exchange_data!$A32="","",OFFSET(raw_exchange_data!$A32,0,MATCH(P$2,raw_exchange_data!$1:$1,0)-1))</f>
        <v>BINE-2-S1-E</v>
      </c>
      <c r="Q33" s="161" t="str">
        <f ca="1">IF(raw_exchange_data!$A32="","",TEXT(OFFSET(raw_exchange_data!$A32,0,MATCH(Q$2,raw_exchange_data!$1:$1,0)-1),""))</f>
        <v/>
      </c>
      <c r="R33" s="162">
        <f ca="1">IF(raw_exchange_data!$A32="","",OFFSET(raw_exchange_data!$A32,0,MATCH(R$2,raw_exchange_data!$1:$1,0)-1))</f>
        <v>23570492385.880001</v>
      </c>
      <c r="S33" s="190">
        <f ca="1">IF(raw_exchange_data!$A32="","",OFFSET(raw_exchange_data!$A32,0,MATCH(S$2,raw_exchange_data!$1:$1,0)-1))</f>
        <v>44937.666667673613</v>
      </c>
      <c r="T33" s="161">
        <v>1</v>
      </c>
      <c r="W33" t="str">
        <f t="shared" si="1"/>
        <v>BINE</v>
      </c>
      <c r="X33" t="str">
        <f t="shared" si="2"/>
        <v>SHIB</v>
      </c>
      <c r="Y33" s="42">
        <f t="shared" si="3"/>
        <v>81762615062.479996</v>
      </c>
      <c r="Z33" s="42">
        <f t="shared" ca="1" si="4"/>
        <v>23570492385.880001</v>
      </c>
      <c r="AB33" s="3" t="s">
        <v>416</v>
      </c>
      <c r="AC33" s="32">
        <v>174854.39192336</v>
      </c>
      <c r="AD33" s="32">
        <v>0</v>
      </c>
    </row>
    <row r="34" spans="1:30" x14ac:dyDescent="0.25">
      <c r="A34" t="str">
        <f>IF(Summary_Exchange_Balances_00UTC!$B33="","",Summary_Exchange_Balances_00UTC!$N33)</f>
        <v>BINE</v>
      </c>
      <c r="B34" t="str">
        <f>IF(Summary_Exchange_Balances_00UTC!$B33="","",Summary_Exchange_Balances_00UTC!$B33)</f>
        <v>BINE-2-S1-E</v>
      </c>
      <c r="C34" t="str">
        <f>IF(Summary_Exchange_Balances_00UTC!$B33="","",Summary_Exchange_Balances_00UTC!$E33)</f>
        <v>SOL</v>
      </c>
      <c r="D34" t="str">
        <f>IF(OR(Summary_Exchange_Balances_00UTC!$B33="",Summary_Exchange_Balances_00UTC!$D33=""),"",Summary_Exchange_Balances_00UTC!$D33)</f>
        <v/>
      </c>
      <c r="E34" s="52">
        <f>IF(Summary_Exchange_Balances_00UTC!$B33="","",Summary_Exchange_Balances_00UTC!$C33)</f>
        <v>5426.8777341900004</v>
      </c>
      <c r="G34" s="52">
        <f ca="1">IF(Summary_Exchange_Balances_00UTC!$B33="","",VLOOKUP(IF(ISERROR(SEARCH(" ", $B34)),UPPER($B34&amp;$C34&amp;IF(OR(NOT(ISERROR(SEARCH("trade",$D34))),NOT(ISERROR(SEARCH("balance",$D34)))),"",$D34)),UPPER(LEFT($B34, SEARCH(" ",$B34)-1)&amp;$C34&amp;IF(OR(NOT(ISERROR(SEARCH("trade",$D34))),NOT(ISERROR(SEARCH("balance",$D34)))),"",$D34))),$L:$T,MATCH("balance",$L$2:$S$2,0),FALSE))</f>
        <v>4846.3756729799998</v>
      </c>
      <c r="H34" s="35">
        <f ca="1">IF(Summary_Exchange_Balances_00UTC!$B33="","",(G34-E34)/E34)</f>
        <v>-0.10696796383540501</v>
      </c>
      <c r="I34" s="165">
        <f ca="1">IF(Summary_Exchange_Balances_00UTC!$B33="","",IF(ISERROR($G34),$E34,$G34))</f>
        <v>4846.3756729799998</v>
      </c>
      <c r="K34" t="str">
        <f t="shared" ca="1" si="0"/>
        <v>BINESOL</v>
      </c>
      <c r="L34" t="str">
        <f ca="1">UPPER($P34&amp;$N34&amp;Q34)</f>
        <v>BINE-2-S1-ESOL</v>
      </c>
      <c r="N34" s="161" t="str">
        <f ca="1">IF(raw_exchange_data!$A33="","",OFFSET(raw_exchange_data!$A33,0,MATCH(N$2,raw_exchange_data!$1:$1,0)-1))</f>
        <v>SOL</v>
      </c>
      <c r="O34" s="161" t="str">
        <f ca="1">IF(raw_exchange_data!$A33="","",OFFSET(raw_exchange_data!$A33,0,MATCH(O$2,raw_exchange_data!$1:$1,0)-1))</f>
        <v>BINE</v>
      </c>
      <c r="P34" s="161" t="str">
        <f ca="1">IF(raw_exchange_data!$A33="","",OFFSET(raw_exchange_data!$A33,0,MATCH(P$2,raw_exchange_data!$1:$1,0)-1))</f>
        <v>BINE-2-S1-E</v>
      </c>
      <c r="Q34" s="161" t="str">
        <f ca="1">IF(raw_exchange_data!$A33="","",TEXT(OFFSET(raw_exchange_data!$A33,0,MATCH(Q$2,raw_exchange_data!$1:$1,0)-1),""))</f>
        <v/>
      </c>
      <c r="R34" s="162">
        <f ca="1">IF(raw_exchange_data!$A33="","",OFFSET(raw_exchange_data!$A33,0,MATCH(R$2,raw_exchange_data!$1:$1,0)-1))</f>
        <v>4846.3756729799998</v>
      </c>
      <c r="S34" s="190">
        <f ca="1">IF(raw_exchange_data!$A33="","",OFFSET(raw_exchange_data!$A33,0,MATCH(S$2,raw_exchange_data!$1:$1,0)-1))</f>
        <v>44937.666667673613</v>
      </c>
      <c r="T34" s="161">
        <v>1</v>
      </c>
      <c r="W34" t="str">
        <f t="shared" si="1"/>
        <v>BINE</v>
      </c>
      <c r="X34" t="str">
        <f t="shared" si="2"/>
        <v>SOL</v>
      </c>
      <c r="Y34" s="42">
        <f t="shared" si="3"/>
        <v>5426.8777341900004</v>
      </c>
      <c r="Z34" s="42">
        <f t="shared" ca="1" si="4"/>
        <v>4846.3756729799998</v>
      </c>
      <c r="AB34" s="3" t="s">
        <v>132</v>
      </c>
      <c r="AC34" s="32">
        <v>0.23922472999993261</v>
      </c>
      <c r="AD34" s="32">
        <v>-100.10242440000002</v>
      </c>
    </row>
    <row r="35" spans="1:30" x14ac:dyDescent="0.25">
      <c r="A35" t="str">
        <f>IF(Summary_Exchange_Balances_00UTC!$B34="","",Summary_Exchange_Balances_00UTC!$N34)</f>
        <v>BINE</v>
      </c>
      <c r="B35" t="str">
        <f>IF(Summary_Exchange_Balances_00UTC!$B34="","",Summary_Exchange_Balances_00UTC!$B34)</f>
        <v>BINE-2-S1-E</v>
      </c>
      <c r="C35" t="str">
        <f>IF(Summary_Exchange_Balances_00UTC!$B34="","",Summary_Exchange_Balances_00UTC!$E34)</f>
        <v>SUSHI</v>
      </c>
      <c r="D35" t="str">
        <f>IF(OR(Summary_Exchange_Balances_00UTC!$B34="",Summary_Exchange_Balances_00UTC!$D34=""),"",Summary_Exchange_Balances_00UTC!$D34)</f>
        <v/>
      </c>
      <c r="E35" s="52">
        <f>IF(Summary_Exchange_Balances_00UTC!$B34="","",Summary_Exchange_Balances_00UTC!$C34)</f>
        <v>20883.602943549999</v>
      </c>
      <c r="G35" s="52">
        <f ca="1">IF(Summary_Exchange_Balances_00UTC!$B34="","",VLOOKUP(IF(ISERROR(SEARCH(" ", $B35)),UPPER($B35&amp;$C35&amp;IF(OR(NOT(ISERROR(SEARCH("trade",$D35))),NOT(ISERROR(SEARCH("balance",$D35)))),"",$D35)),UPPER(LEFT($B35, SEARCH(" ",$B35)-1)&amp;$C35&amp;IF(OR(NOT(ISERROR(SEARCH("trade",$D35))),NOT(ISERROR(SEARCH("balance",$D35)))),"",$D35))),$L:$T,MATCH("balance",$L$2:$S$2,0),FALSE))</f>
        <v>21505.602943549999</v>
      </c>
      <c r="H35" s="35">
        <f ca="1">IF(Summary_Exchange_Balances_00UTC!$B34="","",(G35-E35)/E35)</f>
        <v>2.9784132636562492E-2</v>
      </c>
      <c r="I35" s="165">
        <f ca="1">IF(Summary_Exchange_Balances_00UTC!$B34="","",IF(ISERROR($G35),$E35,$G35))</f>
        <v>21505.602943549999</v>
      </c>
      <c r="K35" t="str">
        <f t="shared" ca="1" si="0"/>
        <v>BINESUSHI</v>
      </c>
      <c r="L35" t="str">
        <f ca="1">UPPER($P35&amp;$N35&amp;Q35)</f>
        <v>BINE-2-S1-ESUSHI</v>
      </c>
      <c r="N35" s="161" t="str">
        <f ca="1">IF(raw_exchange_data!$A34="","",OFFSET(raw_exchange_data!$A34,0,MATCH(N$2,raw_exchange_data!$1:$1,0)-1))</f>
        <v>SUSHI</v>
      </c>
      <c r="O35" s="161" t="str">
        <f ca="1">IF(raw_exchange_data!$A34="","",OFFSET(raw_exchange_data!$A34,0,MATCH(O$2,raw_exchange_data!$1:$1,0)-1))</f>
        <v>BINE</v>
      </c>
      <c r="P35" s="161" t="str">
        <f ca="1">IF(raw_exchange_data!$A34="","",OFFSET(raw_exchange_data!$A34,0,MATCH(P$2,raw_exchange_data!$1:$1,0)-1))</f>
        <v>BINE-2-S1-E</v>
      </c>
      <c r="Q35" s="161" t="str">
        <f ca="1">IF(raw_exchange_data!$A34="","",TEXT(OFFSET(raw_exchange_data!$A34,0,MATCH(Q$2,raw_exchange_data!$1:$1,0)-1),""))</f>
        <v/>
      </c>
      <c r="R35" s="162">
        <f ca="1">IF(raw_exchange_data!$A34="","",OFFSET(raw_exchange_data!$A34,0,MATCH(R$2,raw_exchange_data!$1:$1,0)-1))</f>
        <v>21505.602943549999</v>
      </c>
      <c r="S35" s="190">
        <f ca="1">IF(raw_exchange_data!$A34="","",OFFSET(raw_exchange_data!$A34,0,MATCH(S$2,raw_exchange_data!$1:$1,0)-1))</f>
        <v>44937.666667673613</v>
      </c>
      <c r="T35" s="161">
        <v>1</v>
      </c>
      <c r="W35" t="str">
        <f t="shared" si="1"/>
        <v>BINE</v>
      </c>
      <c r="X35" t="str">
        <f t="shared" si="2"/>
        <v>SUSHI</v>
      </c>
      <c r="Y35" s="42">
        <f t="shared" si="3"/>
        <v>20883.602943549999</v>
      </c>
      <c r="Z35" s="42">
        <f t="shared" ca="1" si="4"/>
        <v>21505.602943549999</v>
      </c>
      <c r="AB35" s="3" t="s">
        <v>190</v>
      </c>
      <c r="AC35" s="32">
        <v>14676.585517289815</v>
      </c>
      <c r="AD35" s="32">
        <v>-596608.07171228994</v>
      </c>
    </row>
    <row r="36" spans="1:30" x14ac:dyDescent="0.25">
      <c r="A36" t="str">
        <f>IF(Summary_Exchange_Balances_00UTC!$B35="","",Summary_Exchange_Balances_00UTC!$N35)</f>
        <v>BINE</v>
      </c>
      <c r="B36" t="str">
        <f>IF(Summary_Exchange_Balances_00UTC!$B35="","",Summary_Exchange_Balances_00UTC!$B35)</f>
        <v>BINE-2-S1-E</v>
      </c>
      <c r="C36" t="str">
        <f>IF(Summary_Exchange_Balances_00UTC!$B35="","",Summary_Exchange_Balances_00UTC!$E35)</f>
        <v>UNI</v>
      </c>
      <c r="D36" t="str">
        <f>IF(OR(Summary_Exchange_Balances_00UTC!$B35="",Summary_Exchange_Balances_00UTC!$D35=""),"",Summary_Exchange_Balances_00UTC!$D35)</f>
        <v/>
      </c>
      <c r="E36" s="53">
        <f>IF(Summary_Exchange_Balances_00UTC!$B35="","",Summary_Exchange_Balances_00UTC!$C35)</f>
        <v>5710.7047593899997</v>
      </c>
      <c r="G36" s="52">
        <f ca="1">IF(Summary_Exchange_Balances_00UTC!$B35="","",VLOOKUP(IF(ISERROR(SEARCH(" ", $B36)),UPPER($B36&amp;$C36&amp;IF(OR(NOT(ISERROR(SEARCH("trade",$D36))),NOT(ISERROR(SEARCH("balance",$D36)))),"",$D36)),UPPER(LEFT($B36, SEARCH(" ",$B36)-1)&amp;$C36&amp;IF(OR(NOT(ISERROR(SEARCH("trade",$D36))),NOT(ISERROR(SEARCH("balance",$D36)))),"",$D36))),$L:$T,MATCH("balance",$L$2:$S$2,0),FALSE))</f>
        <v>6904.3047593900001</v>
      </c>
      <c r="H36" s="35">
        <f ca="1">IF(Summary_Exchange_Balances_00UTC!$B35="","",(G36-E36)/E36)</f>
        <v>0.2090109803063076</v>
      </c>
      <c r="I36" s="165">
        <f ca="1">IF(Summary_Exchange_Balances_00UTC!$B35="","",IF(ISERROR($G36),$E36,$G36))</f>
        <v>6904.3047593900001</v>
      </c>
      <c r="K36" t="str">
        <f t="shared" ca="1" si="0"/>
        <v>BINEUNI</v>
      </c>
      <c r="L36" t="str">
        <f ca="1">UPPER($P36&amp;$N36&amp;Q36)</f>
        <v>BINE-2-S1-EUNI</v>
      </c>
      <c r="N36" s="161" t="str">
        <f ca="1">IF(raw_exchange_data!$A35="","",OFFSET(raw_exchange_data!$A35,0,MATCH(N$2,raw_exchange_data!$1:$1,0)-1))</f>
        <v>UNI</v>
      </c>
      <c r="O36" s="161" t="str">
        <f ca="1">IF(raw_exchange_data!$A35="","",OFFSET(raw_exchange_data!$A35,0,MATCH(O$2,raw_exchange_data!$1:$1,0)-1))</f>
        <v>BINE</v>
      </c>
      <c r="P36" s="161" t="str">
        <f ca="1">IF(raw_exchange_data!$A35="","",OFFSET(raw_exchange_data!$A35,0,MATCH(P$2,raw_exchange_data!$1:$1,0)-1))</f>
        <v>BINE-2-S1-E</v>
      </c>
      <c r="Q36" s="161" t="str">
        <f ca="1">IF(raw_exchange_data!$A35="","",TEXT(OFFSET(raw_exchange_data!$A35,0,MATCH(Q$2,raw_exchange_data!$1:$1,0)-1),""))</f>
        <v/>
      </c>
      <c r="R36" s="162">
        <f ca="1">IF(raw_exchange_data!$A35="","",OFFSET(raw_exchange_data!$A35,0,MATCH(R$2,raw_exchange_data!$1:$1,0)-1))</f>
        <v>6904.3047593900001</v>
      </c>
      <c r="S36" s="190">
        <f ca="1">IF(raw_exchange_data!$A35="","",OFFSET(raw_exchange_data!$A35,0,MATCH(S$2,raw_exchange_data!$1:$1,0)-1))</f>
        <v>44937.666667673613</v>
      </c>
      <c r="T36" s="161">
        <v>1</v>
      </c>
      <c r="W36" t="str">
        <f t="shared" si="1"/>
        <v>BINE</v>
      </c>
      <c r="X36" t="str">
        <f t="shared" si="2"/>
        <v>UNI</v>
      </c>
      <c r="Y36" s="42">
        <f t="shared" si="3"/>
        <v>5710.7047593899997</v>
      </c>
      <c r="Z36" s="42">
        <f t="shared" ca="1" si="4"/>
        <v>6904.3047593900001</v>
      </c>
      <c r="AB36" s="3" t="s">
        <v>133</v>
      </c>
      <c r="AC36" s="32">
        <v>5.9800000000000001E-4</v>
      </c>
      <c r="AD36" s="32">
        <v>5.9800000000000001E-4</v>
      </c>
    </row>
    <row r="37" spans="1:30" x14ac:dyDescent="0.25">
      <c r="A37" t="str">
        <f>IF(Summary_Exchange_Balances_00UTC!$B36="","",Summary_Exchange_Balances_00UTC!$N36)</f>
        <v>BINE</v>
      </c>
      <c r="B37" t="str">
        <f>IF(Summary_Exchange_Balances_00UTC!$B36="","",Summary_Exchange_Balances_00UTC!$B36)</f>
        <v>BINE-2-S1-E</v>
      </c>
      <c r="C37" t="str">
        <f>IF(Summary_Exchange_Balances_00UTC!$B36="","",Summary_Exchange_Balances_00UTC!$E36)</f>
        <v>USDT</v>
      </c>
      <c r="D37" t="str">
        <f>IF(OR(Summary_Exchange_Balances_00UTC!$B36="",Summary_Exchange_Balances_00UTC!$D36=""),"",Summary_Exchange_Balances_00UTC!$D36)</f>
        <v/>
      </c>
      <c r="E37" s="52">
        <f>IF(Summary_Exchange_Balances_00UTC!$B36="","",Summary_Exchange_Balances_00UTC!$C36)</f>
        <v>618871.51817801001</v>
      </c>
      <c r="G37" s="52">
        <f ca="1">IF(Summary_Exchange_Balances_00UTC!$B36="","",VLOOKUP(IF(ISERROR(SEARCH(" ", $B37)),UPPER($B37&amp;$C37&amp;IF(OR(NOT(ISERROR(SEARCH("trade",$D37))),NOT(ISERROR(SEARCH("balance",$D37)))),"",$D37)),UPPER(LEFT($B37, SEARCH(" ",$B37)-1)&amp;$C37&amp;IF(OR(NOT(ISERROR(SEARCH("trade",$D37))),NOT(ISERROR(SEARCH("balance",$D37)))),"",$D37))),$L:$T,MATCH("balance",$L$2:$S$2,0),FALSE))</f>
        <v>523023.96738662</v>
      </c>
      <c r="H37" s="35">
        <f ca="1">IF(Summary_Exchange_Balances_00UTC!$B36="","",(G37-E37)/E37)</f>
        <v>-0.15487471627967334</v>
      </c>
      <c r="I37" s="165">
        <f ca="1">IF(Summary_Exchange_Balances_00UTC!$B36="","",IF(ISERROR($G37),$E37,$G37))</f>
        <v>523023.96738662</v>
      </c>
      <c r="K37" t="str">
        <f t="shared" ca="1" si="0"/>
        <v>BINEUSDT</v>
      </c>
      <c r="L37" t="str">
        <f ca="1">UPPER($P37&amp;$N37&amp;Q37)</f>
        <v>BINE-2-S1-EUSDT</v>
      </c>
      <c r="N37" s="161" t="str">
        <f ca="1">IF(raw_exchange_data!$A36="","",OFFSET(raw_exchange_data!$A36,0,MATCH(N$2,raw_exchange_data!$1:$1,0)-1))</f>
        <v>USDT</v>
      </c>
      <c r="O37" s="161" t="str">
        <f ca="1">IF(raw_exchange_data!$A36="","",OFFSET(raw_exchange_data!$A36,0,MATCH(O$2,raw_exchange_data!$1:$1,0)-1))</f>
        <v>BINE</v>
      </c>
      <c r="P37" s="161" t="str">
        <f ca="1">IF(raw_exchange_data!$A36="","",OFFSET(raw_exchange_data!$A36,0,MATCH(P$2,raw_exchange_data!$1:$1,0)-1))</f>
        <v>BINE-2-S1-E</v>
      </c>
      <c r="Q37" s="161" t="str">
        <f ca="1">IF(raw_exchange_data!$A36="","",TEXT(OFFSET(raw_exchange_data!$A36,0,MATCH(Q$2,raw_exchange_data!$1:$1,0)-1),""))</f>
        <v/>
      </c>
      <c r="R37" s="162">
        <f ca="1">IF(raw_exchange_data!$A36="","",OFFSET(raw_exchange_data!$A36,0,MATCH(R$2,raw_exchange_data!$1:$1,0)-1))</f>
        <v>523023.96738662</v>
      </c>
      <c r="S37" s="190">
        <f ca="1">IF(raw_exchange_data!$A36="","",OFFSET(raw_exchange_data!$A36,0,MATCH(S$2,raw_exchange_data!$1:$1,0)-1))</f>
        <v>44937.666667673613</v>
      </c>
      <c r="T37" s="161">
        <v>1</v>
      </c>
      <c r="W37" t="str">
        <f t="shared" si="1"/>
        <v>BINE</v>
      </c>
      <c r="X37" t="str">
        <f t="shared" si="2"/>
        <v>USDT</v>
      </c>
      <c r="Y37" s="42">
        <f t="shared" si="3"/>
        <v>618871.51817801001</v>
      </c>
      <c r="Z37" s="42">
        <f t="shared" ca="1" si="4"/>
        <v>523023.96738662</v>
      </c>
      <c r="AB37" s="3" t="s">
        <v>22</v>
      </c>
      <c r="AC37" s="32">
        <v>-160.86801493001258</v>
      </c>
      <c r="AD37" s="32">
        <v>35466.202426365446</v>
      </c>
    </row>
    <row r="38" spans="1:30" x14ac:dyDescent="0.25">
      <c r="A38" t="str">
        <f>IF(Summary_Exchange_Balances_00UTC!$B37="","",Summary_Exchange_Balances_00UTC!$N37)</f>
        <v>BINE</v>
      </c>
      <c r="B38" t="str">
        <f>IF(Summary_Exchange_Balances_00UTC!$B37="","",Summary_Exchange_Balances_00UTC!$B37)</f>
        <v>BINE-2-S1-E</v>
      </c>
      <c r="C38" t="str">
        <f>IF(Summary_Exchange_Balances_00UTC!$B37="","",Summary_Exchange_Balances_00UTC!$E37)</f>
        <v>XLM</v>
      </c>
      <c r="D38" t="str">
        <f>IF(OR(Summary_Exchange_Balances_00UTC!$B37="",Summary_Exchange_Balances_00UTC!$D37=""),"",Summary_Exchange_Balances_00UTC!$D37)</f>
        <v/>
      </c>
      <c r="E38" s="52">
        <f>IF(Summary_Exchange_Balances_00UTC!$B37="","",Summary_Exchange_Balances_00UTC!$C37)</f>
        <v>877798.90472430002</v>
      </c>
      <c r="G38" s="52">
        <f ca="1">IF(Summary_Exchange_Balances_00UTC!$B37="","",VLOOKUP(IF(ISERROR(SEARCH(" ", $B38)),UPPER($B38&amp;$C38&amp;IF(OR(NOT(ISERROR(SEARCH("trade",$D38))),NOT(ISERROR(SEARCH("balance",$D38)))),"",$D38)),UPPER(LEFT($B38, SEARCH(" ",$B38)-1)&amp;$C38&amp;IF(OR(NOT(ISERROR(SEARCH("trade",$D38))),NOT(ISERROR(SEARCH("balance",$D38)))),"",$D38))),$L:$T,MATCH("balance",$L$2:$S$2,0),FALSE))</f>
        <v>871995.90472430002</v>
      </c>
      <c r="H38" s="35">
        <f ca="1">IF(Summary_Exchange_Balances_00UTC!$B37="","",(G38-E38)/E38)</f>
        <v>-6.6108535437539792E-3</v>
      </c>
      <c r="I38" s="165">
        <f ca="1">IF(Summary_Exchange_Balances_00UTC!$B37="","",IF(ISERROR($G38),$E38,$G38))</f>
        <v>871995.90472430002</v>
      </c>
      <c r="K38" t="str">
        <f t="shared" ca="1" si="0"/>
        <v>BINEXLM</v>
      </c>
      <c r="L38" t="str">
        <f ca="1">UPPER($P38&amp;$N38&amp;Q38)</f>
        <v>BINE-2-S1-EXLM</v>
      </c>
      <c r="N38" s="161" t="str">
        <f ca="1">IF(raw_exchange_data!$A37="","",OFFSET(raw_exchange_data!$A37,0,MATCH(N$2,raw_exchange_data!$1:$1,0)-1))</f>
        <v>XLM</v>
      </c>
      <c r="O38" s="161" t="str">
        <f ca="1">IF(raw_exchange_data!$A37="","",OFFSET(raw_exchange_data!$A37,0,MATCH(O$2,raw_exchange_data!$1:$1,0)-1))</f>
        <v>BINE</v>
      </c>
      <c r="P38" s="161" t="str">
        <f ca="1">IF(raw_exchange_data!$A37="","",OFFSET(raw_exchange_data!$A37,0,MATCH(P$2,raw_exchange_data!$1:$1,0)-1))</f>
        <v>BINE-2-S1-E</v>
      </c>
      <c r="Q38" s="161" t="str">
        <f ca="1">IF(raw_exchange_data!$A37="","",TEXT(OFFSET(raw_exchange_data!$A37,0,MATCH(Q$2,raw_exchange_data!$1:$1,0)-1),""))</f>
        <v/>
      </c>
      <c r="R38" s="162">
        <f ca="1">IF(raw_exchange_data!$A37="","",OFFSET(raw_exchange_data!$A37,0,MATCH(R$2,raw_exchange_data!$1:$1,0)-1))</f>
        <v>871995.90472430002</v>
      </c>
      <c r="S38" s="190">
        <f ca="1">IF(raw_exchange_data!$A37="","",OFFSET(raw_exchange_data!$A37,0,MATCH(S$2,raw_exchange_data!$1:$1,0)-1))</f>
        <v>44937.666667673613</v>
      </c>
      <c r="T38" s="161">
        <v>1</v>
      </c>
      <c r="W38" t="str">
        <f t="shared" si="1"/>
        <v>BINE</v>
      </c>
      <c r="X38" t="str">
        <f t="shared" si="2"/>
        <v>XLM</v>
      </c>
      <c r="Y38" s="42">
        <f t="shared" si="3"/>
        <v>877798.90472430002</v>
      </c>
      <c r="Z38" s="42">
        <f t="shared" ca="1" si="4"/>
        <v>871995.90472430002</v>
      </c>
      <c r="AB38" s="3" t="s">
        <v>28</v>
      </c>
      <c r="AC38" s="32">
        <v>-54.50096747000498</v>
      </c>
      <c r="AD38" s="32">
        <v>-15094.33686127</v>
      </c>
    </row>
    <row r="39" spans="1:30" x14ac:dyDescent="0.25">
      <c r="A39" t="str">
        <f>IF(Summary_Exchange_Balances_00UTC!$B38="","",Summary_Exchange_Balances_00UTC!$N38)</f>
        <v>BINE</v>
      </c>
      <c r="B39" t="str">
        <f>IF(Summary_Exchange_Balances_00UTC!$B38="","",Summary_Exchange_Balances_00UTC!$B38)</f>
        <v>BINE-2-S1-E</v>
      </c>
      <c r="C39" t="str">
        <f>IF(Summary_Exchange_Balances_00UTC!$B38="","",Summary_Exchange_Balances_00UTC!$E38)</f>
        <v>XRP</v>
      </c>
      <c r="D39" t="str">
        <f>IF(OR(Summary_Exchange_Balances_00UTC!$B38="",Summary_Exchange_Balances_00UTC!$D38=""),"",Summary_Exchange_Balances_00UTC!$D38)</f>
        <v/>
      </c>
      <c r="E39" s="52">
        <f>IF(Summary_Exchange_Balances_00UTC!$B38="","",Summary_Exchange_Balances_00UTC!$C38)</f>
        <v>30000</v>
      </c>
      <c r="G39" s="52">
        <f ca="1">IF(Summary_Exchange_Balances_00UTC!$B38="","",VLOOKUP(IF(ISERROR(SEARCH(" ", $B39)),UPPER($B39&amp;$C39&amp;IF(OR(NOT(ISERROR(SEARCH("trade",$D39))),NOT(ISERROR(SEARCH("balance",$D39)))),"",$D39)),UPPER(LEFT($B39, SEARCH(" ",$B39)-1)&amp;$C39&amp;IF(OR(NOT(ISERROR(SEARCH("trade",$D39))),NOT(ISERROR(SEARCH("balance",$D39)))),"",$D39))),$L:$T,MATCH("balance",$L$2:$S$2,0),FALSE))</f>
        <v>30000</v>
      </c>
      <c r="H39" s="35">
        <f ca="1">IF(Summary_Exchange_Balances_00UTC!$B38="","",(G39-E39)/E39)</f>
        <v>0</v>
      </c>
      <c r="I39" s="165">
        <f ca="1">IF(Summary_Exchange_Balances_00UTC!$B38="","",IF(ISERROR($G39),$E39,$G39))</f>
        <v>30000</v>
      </c>
      <c r="K39" t="str">
        <f t="shared" ca="1" si="0"/>
        <v>BINEXRP</v>
      </c>
      <c r="L39" t="str">
        <f ca="1">UPPER($P39&amp;$N39&amp;Q39)</f>
        <v>BINE-2-S1-EXRP</v>
      </c>
      <c r="N39" s="161" t="str">
        <f ca="1">IF(raw_exchange_data!$A38="","",OFFSET(raw_exchange_data!$A38,0,MATCH(N$2,raw_exchange_data!$1:$1,0)-1))</f>
        <v>XRP</v>
      </c>
      <c r="O39" s="161" t="str">
        <f ca="1">IF(raw_exchange_data!$A38="","",OFFSET(raw_exchange_data!$A38,0,MATCH(O$2,raw_exchange_data!$1:$1,0)-1))</f>
        <v>BINE</v>
      </c>
      <c r="P39" s="161" t="str">
        <f ca="1">IF(raw_exchange_data!$A38="","",OFFSET(raw_exchange_data!$A38,0,MATCH(P$2,raw_exchange_data!$1:$1,0)-1))</f>
        <v>BINE-2-S1-E</v>
      </c>
      <c r="Q39" s="161" t="str">
        <f ca="1">IF(raw_exchange_data!$A38="","",TEXT(OFFSET(raw_exchange_data!$A38,0,MATCH(Q$2,raw_exchange_data!$1:$1,0)-1),""))</f>
        <v/>
      </c>
      <c r="R39" s="162">
        <f ca="1">IF(raw_exchange_data!$A38="","",OFFSET(raw_exchange_data!$A38,0,MATCH(R$2,raw_exchange_data!$1:$1,0)-1))</f>
        <v>30000</v>
      </c>
      <c r="S39" s="190">
        <f ca="1">IF(raw_exchange_data!$A38="","",OFFSET(raw_exchange_data!$A38,0,MATCH(S$2,raw_exchange_data!$1:$1,0)-1))</f>
        <v>44937.666667673613</v>
      </c>
      <c r="T39" s="161">
        <v>1</v>
      </c>
      <c r="W39" t="str">
        <f t="shared" si="1"/>
        <v>BINE</v>
      </c>
      <c r="X39" t="str">
        <f t="shared" si="2"/>
        <v>XRP</v>
      </c>
      <c r="Y39" s="42">
        <f t="shared" si="3"/>
        <v>30000</v>
      </c>
      <c r="Z39" s="42">
        <f t="shared" ca="1" si="4"/>
        <v>30000</v>
      </c>
      <c r="AB39" s="3" t="s">
        <v>23</v>
      </c>
      <c r="AC39" s="32">
        <v>604214.23350399034</v>
      </c>
      <c r="AD39" s="32">
        <v>4616657.7291478254</v>
      </c>
    </row>
    <row r="40" spans="1:30" x14ac:dyDescent="0.25">
      <c r="A40" t="str">
        <f>IF(Summary_Exchange_Balances_00UTC!$B39="","",Summary_Exchange_Balances_00UTC!$N39)</f>
        <v>BINE</v>
      </c>
      <c r="B40" t="str">
        <f>IF(Summary_Exchange_Balances_00UTC!$B39="","",Summary_Exchange_Balances_00UTC!$B39)</f>
        <v>BINE-2-S1-E</v>
      </c>
      <c r="C40" t="str">
        <f>IF(Summary_Exchange_Balances_00UTC!$B39="","",Summary_Exchange_Balances_00UTC!$E39)</f>
        <v>XTZ</v>
      </c>
      <c r="D40" t="str">
        <f>IF(OR(Summary_Exchange_Balances_00UTC!$B39="",Summary_Exchange_Balances_00UTC!$D39=""),"",Summary_Exchange_Balances_00UTC!$D39)</f>
        <v/>
      </c>
      <c r="E40" s="52">
        <f>IF(Summary_Exchange_Balances_00UTC!$B39="","",Summary_Exchange_Balances_00UTC!$C39)</f>
        <v>62752.228199999998</v>
      </c>
      <c r="G40" s="52">
        <f ca="1">IF(Summary_Exchange_Balances_00UTC!$B39="","",VLOOKUP(IF(ISERROR(SEARCH(" ", $B40)),UPPER($B40&amp;$C40&amp;IF(OR(NOT(ISERROR(SEARCH("trade",$D40))),NOT(ISERROR(SEARCH("balance",$D40)))),"",$D40)),UPPER(LEFT($B40, SEARCH(" ",$B40)-1)&amp;$C40&amp;IF(OR(NOT(ISERROR(SEARCH("trade",$D40))),NOT(ISERROR(SEARCH("balance",$D40)))),"",$D40))),$L:$T,MATCH("balance",$L$2:$S$2,0),FALSE))</f>
        <v>62167.228199999998</v>
      </c>
      <c r="H40" s="35">
        <f ca="1">IF(Summary_Exchange_Balances_00UTC!$B39="","",(G40-E40)/E40)</f>
        <v>-9.3223781334986922E-3</v>
      </c>
      <c r="I40" s="165">
        <f ca="1">IF(Summary_Exchange_Balances_00UTC!$B39="","",IF(ISERROR($G40),$E40,$G40))</f>
        <v>62167.228199999998</v>
      </c>
      <c r="K40" t="str">
        <f t="shared" ca="1" si="0"/>
        <v>BINEXTZ</v>
      </c>
      <c r="L40" t="str">
        <f ca="1">UPPER($P40&amp;$N40&amp;Q40)</f>
        <v>BINE-2-S1-EXTZ</v>
      </c>
      <c r="N40" s="161" t="str">
        <f ca="1">IF(raw_exchange_data!$A39="","",OFFSET(raw_exchange_data!$A39,0,MATCH(N$2,raw_exchange_data!$1:$1,0)-1))</f>
        <v>XTZ</v>
      </c>
      <c r="O40" s="161" t="str">
        <f ca="1">IF(raw_exchange_data!$A39="","",OFFSET(raw_exchange_data!$A39,0,MATCH(O$2,raw_exchange_data!$1:$1,0)-1))</f>
        <v>BINE</v>
      </c>
      <c r="P40" s="161" t="str">
        <f ca="1">IF(raw_exchange_data!$A39="","",OFFSET(raw_exchange_data!$A39,0,MATCH(P$2,raw_exchange_data!$1:$1,0)-1))</f>
        <v>BINE-2-S1-E</v>
      </c>
      <c r="Q40" s="161" t="str">
        <f ca="1">IF(raw_exchange_data!$A39="","",TEXT(OFFSET(raw_exchange_data!$A39,0,MATCH(Q$2,raw_exchange_data!$1:$1,0)-1),""))</f>
        <v/>
      </c>
      <c r="R40" s="162">
        <f ca="1">IF(raw_exchange_data!$A39="","",OFFSET(raw_exchange_data!$A39,0,MATCH(R$2,raw_exchange_data!$1:$1,0)-1))</f>
        <v>62167.228199999998</v>
      </c>
      <c r="S40" s="190">
        <f ca="1">IF(raw_exchange_data!$A39="","",OFFSET(raw_exchange_data!$A39,0,MATCH(S$2,raw_exchange_data!$1:$1,0)-1))</f>
        <v>44937.666667673613</v>
      </c>
      <c r="T40" s="161">
        <v>1</v>
      </c>
      <c r="W40" t="str">
        <f t="shared" si="1"/>
        <v>BINE</v>
      </c>
      <c r="X40" t="str">
        <f t="shared" si="2"/>
        <v>XTZ</v>
      </c>
      <c r="Y40" s="42">
        <f t="shared" si="3"/>
        <v>62752.228199999998</v>
      </c>
      <c r="Z40" s="42">
        <f t="shared" ca="1" si="4"/>
        <v>62167.228199999998</v>
      </c>
      <c r="AB40" s="3" t="s">
        <v>29</v>
      </c>
      <c r="AC40" s="32">
        <v>97694.361936399888</v>
      </c>
      <c r="AD40" s="32">
        <v>9256.5779163077004</v>
      </c>
    </row>
    <row r="41" spans="1:30" x14ac:dyDescent="0.25">
      <c r="A41" t="str">
        <f>IF(Summary_Exchange_Balances_00UTC!$B40="","",Summary_Exchange_Balances_00UTC!$N40)</f>
        <v>BINE</v>
      </c>
      <c r="B41" t="str">
        <f>IF(Summary_Exchange_Balances_00UTC!$B40="","",Summary_Exchange_Balances_00UTC!$B40)</f>
        <v>BINE-2-S1-E</v>
      </c>
      <c r="C41" t="str">
        <f>IF(Summary_Exchange_Balances_00UTC!$B40="","",Summary_Exchange_Balances_00UTC!$E40)</f>
        <v>YFI</v>
      </c>
      <c r="D41" t="str">
        <f>IF(OR(Summary_Exchange_Balances_00UTC!$B40="",Summary_Exchange_Balances_00UTC!$D40=""),"",Summary_Exchange_Balances_00UTC!$D40)</f>
        <v/>
      </c>
      <c r="E41" s="53">
        <f>IF(Summary_Exchange_Balances_00UTC!$B40="","",Summary_Exchange_Balances_00UTC!$C40)</f>
        <v>7.6026700000000003E-2</v>
      </c>
      <c r="G41" s="52">
        <f ca="1">IF(Summary_Exchange_Balances_00UTC!$B40="","",VLOOKUP(IF(ISERROR(SEARCH(" ", $B41)),UPPER($B41&amp;$C41&amp;IF(OR(NOT(ISERROR(SEARCH("trade",$D41))),NOT(ISERROR(SEARCH("balance",$D41)))),"",$D41)),UPPER(LEFT($B41, SEARCH(" ",$B41)-1)&amp;$C41&amp;IF(OR(NOT(ISERROR(SEARCH("trade",$D41))),NOT(ISERROR(SEARCH("balance",$D41)))),"",$D41))),$L:$T,MATCH("balance",$L$2:$S$2,0),FALSE))</f>
        <v>9.6790000000000001E-2</v>
      </c>
      <c r="H41" s="35">
        <f ca="1">IF(Summary_Exchange_Balances_00UTC!$B40="","",(G41-E41)/E41)</f>
        <v>0.27310536956095682</v>
      </c>
      <c r="I41" s="165">
        <f ca="1">IF(Summary_Exchange_Balances_00UTC!$B40="","",IF(ISERROR($G41),$E41,$G41))</f>
        <v>9.6790000000000001E-2</v>
      </c>
      <c r="K41" t="str">
        <f t="shared" ca="1" si="0"/>
        <v>BINEYFI</v>
      </c>
      <c r="L41" t="str">
        <f ca="1">UPPER($P41&amp;$N41&amp;Q41)</f>
        <v>BINE-2-S1-EYFI</v>
      </c>
      <c r="N41" s="161" t="str">
        <f ca="1">IF(raw_exchange_data!$A40="","",OFFSET(raw_exchange_data!$A40,0,MATCH(N$2,raw_exchange_data!$1:$1,0)-1))</f>
        <v>YFI</v>
      </c>
      <c r="O41" s="161" t="str">
        <f ca="1">IF(raw_exchange_data!$A40="","",OFFSET(raw_exchange_data!$A40,0,MATCH(O$2,raw_exchange_data!$1:$1,0)-1))</f>
        <v>BINE</v>
      </c>
      <c r="P41" s="161" t="str">
        <f ca="1">IF(raw_exchange_data!$A40="","",OFFSET(raw_exchange_data!$A40,0,MATCH(P$2,raw_exchange_data!$1:$1,0)-1))</f>
        <v>BINE-2-S1-E</v>
      </c>
      <c r="Q41" s="161" t="str">
        <f ca="1">IF(raw_exchange_data!$A40="","",TEXT(OFFSET(raw_exchange_data!$A40,0,MATCH(Q$2,raw_exchange_data!$1:$1,0)-1),""))</f>
        <v/>
      </c>
      <c r="R41" s="162">
        <f ca="1">IF(raw_exchange_data!$A40="","",OFFSET(raw_exchange_data!$A40,0,MATCH(R$2,raw_exchange_data!$1:$1,0)-1))</f>
        <v>9.6790000000000001E-2</v>
      </c>
      <c r="S41" s="190">
        <f ca="1">IF(raw_exchange_data!$A40="","",OFFSET(raw_exchange_data!$A40,0,MATCH(S$2,raw_exchange_data!$1:$1,0)-1))</f>
        <v>44937.666667673613</v>
      </c>
      <c r="T41" s="161">
        <v>1</v>
      </c>
      <c r="W41" t="str">
        <f t="shared" si="1"/>
        <v>BINE</v>
      </c>
      <c r="X41" t="str">
        <f t="shared" si="2"/>
        <v>YFI</v>
      </c>
      <c r="Y41" s="42">
        <f t="shared" si="3"/>
        <v>7.6026700000000003E-2</v>
      </c>
      <c r="Z41" s="42">
        <f t="shared" ca="1" si="4"/>
        <v>9.6790000000000001E-2</v>
      </c>
      <c r="AB41" s="3" t="s">
        <v>15</v>
      </c>
      <c r="AC41" s="32">
        <v>4336.7280614499978</v>
      </c>
      <c r="AD41" s="32">
        <v>39614.125847900876</v>
      </c>
    </row>
    <row r="42" spans="1:30" x14ac:dyDescent="0.25">
      <c r="A42" t="str">
        <f>IF(Summary_Exchange_Balances_00UTC!$B41="","",Summary_Exchange_Balances_00UTC!$N41)</f>
        <v>BINE</v>
      </c>
      <c r="B42" t="str">
        <f>IF(Summary_Exchange_Balances_00UTC!$B41="","",Summary_Exchange_Balances_00UTC!$B41)</f>
        <v>BINE-2-S1-E</v>
      </c>
      <c r="C42" t="str">
        <f>IF(Summary_Exchange_Balances_00UTC!$B41="","",Summary_Exchange_Balances_00UTC!$E41)</f>
        <v>ZIL</v>
      </c>
      <c r="D42" t="str">
        <f>IF(OR(Summary_Exchange_Balances_00UTC!$B41="",Summary_Exchange_Balances_00UTC!$D41=""),"",Summary_Exchange_Balances_00UTC!$D41)</f>
        <v/>
      </c>
      <c r="E42" s="52">
        <f>IF(Summary_Exchange_Balances_00UTC!$B41="","",Summary_Exchange_Balances_00UTC!$C41)</f>
        <v>18966318.7722039</v>
      </c>
      <c r="G42" s="52">
        <f ca="1">IF(Summary_Exchange_Balances_00UTC!$B41="","",VLOOKUP(IF(ISERROR(SEARCH(" ", $B42)),UPPER($B42&amp;$C42&amp;IF(OR(NOT(ISERROR(SEARCH("trade",$D42))),NOT(ISERROR(SEARCH("balance",$D42)))),"",$D42)),UPPER(LEFT($B42, SEARCH(" ",$B42)-1)&amp;$C42&amp;IF(OR(NOT(ISERROR(SEARCH("trade",$D42))),NOT(ISERROR(SEARCH("balance",$D42)))),"",$D42))),$L:$T,MATCH("balance",$L$2:$S$2,0),FALSE))</f>
        <v>18966318.7722039</v>
      </c>
      <c r="H42" s="35">
        <f ca="1">IF(Summary_Exchange_Balances_00UTC!$B41="","",(G42-E42)/E42)</f>
        <v>0</v>
      </c>
      <c r="I42" s="165">
        <f ca="1">IF(Summary_Exchange_Balances_00UTC!$B41="","",IF(ISERROR($G42),$E42,$G42))</f>
        <v>18966318.7722039</v>
      </c>
      <c r="K42" t="str">
        <f t="shared" ca="1" si="0"/>
        <v>BINEZIL</v>
      </c>
      <c r="L42" t="str">
        <f ca="1">UPPER($P42&amp;$N42&amp;Q42)</f>
        <v>BINE-2-S1-EZIL</v>
      </c>
      <c r="N42" s="161" t="str">
        <f ca="1">IF(raw_exchange_data!$A41="","",OFFSET(raw_exchange_data!$A41,0,MATCH(N$2,raw_exchange_data!$1:$1,0)-1))</f>
        <v>ZIL</v>
      </c>
      <c r="O42" s="161" t="str">
        <f ca="1">IF(raw_exchange_data!$A41="","",OFFSET(raw_exchange_data!$A41,0,MATCH(O$2,raw_exchange_data!$1:$1,0)-1))</f>
        <v>BINE</v>
      </c>
      <c r="P42" s="161" t="str">
        <f ca="1">IF(raw_exchange_data!$A41="","",OFFSET(raw_exchange_data!$A41,0,MATCH(P$2,raw_exchange_data!$1:$1,0)-1))</f>
        <v>BINE-2-S1-E</v>
      </c>
      <c r="Q42" s="161" t="str">
        <f ca="1">IF(raw_exchange_data!$A41="","",TEXT(OFFSET(raw_exchange_data!$A41,0,MATCH(Q$2,raw_exchange_data!$1:$1,0)-1),""))</f>
        <v/>
      </c>
      <c r="R42" s="162">
        <f ca="1">IF(raw_exchange_data!$A41="","",OFFSET(raw_exchange_data!$A41,0,MATCH(R$2,raw_exchange_data!$1:$1,0)-1))</f>
        <v>18966318.7722039</v>
      </c>
      <c r="S42" s="190">
        <f ca="1">IF(raw_exchange_data!$A41="","",OFFSET(raw_exchange_data!$A41,0,MATCH(S$2,raw_exchange_data!$1:$1,0)-1))</f>
        <v>44937.666667673613</v>
      </c>
      <c r="T42" s="161">
        <v>1</v>
      </c>
      <c r="W42" t="str">
        <f t="shared" si="1"/>
        <v>BINE</v>
      </c>
      <c r="X42" t="str">
        <f t="shared" si="2"/>
        <v>ZIL</v>
      </c>
      <c r="Y42" s="42">
        <f t="shared" si="3"/>
        <v>18966318.7722039</v>
      </c>
      <c r="Z42" s="42">
        <f t="shared" ca="1" si="4"/>
        <v>18966318.7722039</v>
      </c>
      <c r="AB42" s="3" t="s">
        <v>290</v>
      </c>
      <c r="AC42" s="32">
        <v>9823.8374246499989</v>
      </c>
      <c r="AD42" s="32">
        <v>9823.8364263999993</v>
      </c>
    </row>
    <row r="43" spans="1:30" x14ac:dyDescent="0.25">
      <c r="A43" t="str">
        <f>IF(Summary_Exchange_Balances_00UTC!$B42="","",Summary_Exchange_Balances_00UTC!$N42)</f>
        <v>BINE</v>
      </c>
      <c r="B43" t="str">
        <f>IF(Summary_Exchange_Balances_00UTC!$B42="","",Summary_Exchange_Balances_00UTC!$B42)</f>
        <v>BINE-2-S1-F</v>
      </c>
      <c r="C43" t="str">
        <f>IF(Summary_Exchange_Balances_00UTC!$B42="","",Summary_Exchange_Balances_00UTC!$E42)</f>
        <v>BTC</v>
      </c>
      <c r="D43" t="str">
        <f>IF(OR(Summary_Exchange_Balances_00UTC!$B42="",Summary_Exchange_Balances_00UTC!$D42=""),"",Summary_Exchange_Balances_00UTC!$D42)</f>
        <v>Balance</v>
      </c>
      <c r="E43" s="53">
        <f>IF(Summary_Exchange_Balances_00UTC!$B42="","",Summary_Exchange_Balances_00UTC!$C42)</f>
        <v>954.60935715000005</v>
      </c>
      <c r="G43" s="52">
        <f ca="1">IF(Summary_Exchange_Balances_00UTC!$B42="","",VLOOKUP(IF(ISERROR(SEARCH(" ", $B43)),UPPER($B43&amp;$C43&amp;IF(OR(NOT(ISERROR(SEARCH("trade",$D43))),NOT(ISERROR(SEARCH("balance",$D43)))),"",$D43)),UPPER(LEFT($B43, SEARCH(" ",$B43)-1)&amp;$C43&amp;IF(OR(NOT(ISERROR(SEARCH("trade",$D43))),NOT(ISERROR(SEARCH("balance",$D43)))),"",$D43))),$L:$T,MATCH("balance",$L$2:$S$2,0),FALSE))</f>
        <v>845.92093645</v>
      </c>
      <c r="H43" s="35">
        <f ca="1">IF(Summary_Exchange_Balances_00UTC!$B42="","",(G43-E43)/E43)</f>
        <v>-0.11385643759505029</v>
      </c>
      <c r="I43" s="165">
        <f ca="1">IF(Summary_Exchange_Balances_00UTC!$B42="","",IF(ISERROR($G43),$E43,$G43))</f>
        <v>845.92093645</v>
      </c>
      <c r="K43" t="str">
        <f t="shared" ca="1" si="0"/>
        <v>BINEBTC</v>
      </c>
      <c r="L43" t="str">
        <f ca="1">UPPER($P43&amp;$N43&amp;Q43)</f>
        <v>BINE-2-S1-FBTC</v>
      </c>
      <c r="N43" s="161" t="str">
        <f ca="1">IF(raw_exchange_data!$A42="","",OFFSET(raw_exchange_data!$A42,0,MATCH(N$2,raw_exchange_data!$1:$1,0)-1))</f>
        <v>BTC</v>
      </c>
      <c r="O43" s="161" t="str">
        <f ca="1">IF(raw_exchange_data!$A42="","",OFFSET(raw_exchange_data!$A42,0,MATCH(O$2,raw_exchange_data!$1:$1,0)-1))</f>
        <v>BINE</v>
      </c>
      <c r="P43" s="161" t="str">
        <f ca="1">IF(raw_exchange_data!$A42="","",OFFSET(raw_exchange_data!$A42,0,MATCH(P$2,raw_exchange_data!$1:$1,0)-1))</f>
        <v>BINE-2-S1-F</v>
      </c>
      <c r="Q43" s="161" t="str">
        <f ca="1">IF(raw_exchange_data!$A42="","",TEXT(OFFSET(raw_exchange_data!$A42,0,MATCH(Q$2,raw_exchange_data!$1:$1,0)-1),""))</f>
        <v/>
      </c>
      <c r="R43" s="162">
        <f ca="1">IF(raw_exchange_data!$A42="","",OFFSET(raw_exchange_data!$A42,0,MATCH(R$2,raw_exchange_data!$1:$1,0)-1))</f>
        <v>845.92093645</v>
      </c>
      <c r="S43" s="190">
        <f ca="1">IF(raw_exchange_data!$A42="","",OFFSET(raw_exchange_data!$A42,0,MATCH(S$2,raw_exchange_data!$1:$1,0)-1))</f>
        <v>44937.666927314815</v>
      </c>
      <c r="T43" s="161">
        <v>1</v>
      </c>
      <c r="W43" t="str">
        <f t="shared" si="1"/>
        <v>BINE</v>
      </c>
      <c r="X43" t="str">
        <f t="shared" si="2"/>
        <v>BTC</v>
      </c>
      <c r="Y43" s="42">
        <f t="shared" si="3"/>
        <v>954.60935715000005</v>
      </c>
      <c r="Z43" s="42">
        <f t="shared" ca="1" si="4"/>
        <v>845.92093645</v>
      </c>
      <c r="AB43" s="3" t="s">
        <v>272</v>
      </c>
      <c r="AC43" s="32">
        <v>4732.5387514900003</v>
      </c>
      <c r="AD43" s="32">
        <v>4732.7700830302147</v>
      </c>
    </row>
    <row r="44" spans="1:30" x14ac:dyDescent="0.25">
      <c r="A44" t="str">
        <f>IF(Summary_Exchange_Balances_00UTC!$B43="","",Summary_Exchange_Balances_00UTC!$N43)</f>
        <v>BINE</v>
      </c>
      <c r="B44" t="str">
        <f>IF(Summary_Exchange_Balances_00UTC!$B43="","",Summary_Exchange_Balances_00UTC!$B43)</f>
        <v>BINE-2-S1-F</v>
      </c>
      <c r="C44" t="str">
        <f>IF(Summary_Exchange_Balances_00UTC!$B43="","",Summary_Exchange_Balances_00UTC!$E43)</f>
        <v>BTC</v>
      </c>
      <c r="D44" t="str">
        <f>IF(OR(Summary_Exchange_Balances_00UTC!$B43="",Summary_Exchange_Balances_00UTC!$D43=""),"",Summary_Exchange_Balances_00UTC!$D43)</f>
        <v>Unrealized</v>
      </c>
      <c r="E44" s="52">
        <f>IF(Summary_Exchange_Balances_00UTC!$B43="","",Summary_Exchange_Balances_00UTC!$C43)</f>
        <v>-21.15213086</v>
      </c>
      <c r="G44" s="52">
        <f ca="1">IF(Summary_Exchange_Balances_00UTC!$B43="","",VLOOKUP(IF(ISERROR(SEARCH(" ", $B44)),UPPER($B44&amp;$C44&amp;IF(OR(NOT(ISERROR(SEARCH("trade",$D44))),NOT(ISERROR(SEARCH("balance",$D44)))),"",$D44)),UPPER(LEFT($B44, SEARCH(" ",$B44)-1)&amp;$C44&amp;IF(OR(NOT(ISERROR(SEARCH("trade",$D44))),NOT(ISERROR(SEARCH("balance",$D44)))),"",$D44))),$L:$T,MATCH("balance",$L$2:$S$2,0),FALSE))</f>
        <v>-18.338302779999999</v>
      </c>
      <c r="H44" s="35">
        <f ca="1">IF(Summary_Exchange_Balances_00UTC!$B43="","",(G44-E44)/E44)</f>
        <v>-0.13302811421808688</v>
      </c>
      <c r="I44" s="165">
        <f ca="1">IF(Summary_Exchange_Balances_00UTC!$B43="","",IF(ISERROR($G44),$E44,$G44))</f>
        <v>-18.338302779999999</v>
      </c>
      <c r="K44" t="str">
        <f t="shared" ca="1" si="0"/>
        <v>BINEBTC</v>
      </c>
      <c r="L44" t="str">
        <f ca="1">UPPER($P44&amp;$N44&amp;Q44)</f>
        <v>BINE-2-S1-FBTCUNREALIZED</v>
      </c>
      <c r="N44" s="161" t="str">
        <f ca="1">IF(raw_exchange_data!$A43="","",OFFSET(raw_exchange_data!$A43,0,MATCH(N$2,raw_exchange_data!$1:$1,0)-1))</f>
        <v>BTC</v>
      </c>
      <c r="O44" s="161" t="str">
        <f ca="1">IF(raw_exchange_data!$A43="","",OFFSET(raw_exchange_data!$A43,0,MATCH(O$2,raw_exchange_data!$1:$1,0)-1))</f>
        <v>BINE</v>
      </c>
      <c r="P44" s="161" t="str">
        <f ca="1">IF(raw_exchange_data!$A43="","",OFFSET(raw_exchange_data!$A43,0,MATCH(P$2,raw_exchange_data!$1:$1,0)-1))</f>
        <v>BINE-2-S1-F</v>
      </c>
      <c r="Q44" s="161" t="str">
        <f ca="1">IF(raw_exchange_data!$A43="","",TEXT(OFFSET(raw_exchange_data!$A43,0,MATCH(Q$2,raw_exchange_data!$1:$1,0)-1),""))</f>
        <v>Unrealized</v>
      </c>
      <c r="R44" s="162">
        <f ca="1">IF(raw_exchange_data!$A43="","",OFFSET(raw_exchange_data!$A43,0,MATCH(R$2,raw_exchange_data!$1:$1,0)-1))</f>
        <v>-18.338302779999999</v>
      </c>
      <c r="S44" s="190">
        <f ca="1">IF(raw_exchange_data!$A43="","",OFFSET(raw_exchange_data!$A43,0,MATCH(S$2,raw_exchange_data!$1:$1,0)-1))</f>
        <v>44937.666927314815</v>
      </c>
      <c r="T44" s="161">
        <v>1</v>
      </c>
      <c r="W44" t="str">
        <f t="shared" si="1"/>
        <v>BINE</v>
      </c>
      <c r="X44" t="str">
        <f t="shared" si="2"/>
        <v>BTC</v>
      </c>
      <c r="Y44" s="42">
        <f t="shared" si="3"/>
        <v>-21.15213086</v>
      </c>
      <c r="Z44" s="42">
        <f t="shared" ca="1" si="4"/>
        <v>-18.338302779999999</v>
      </c>
      <c r="AB44" s="3" t="s">
        <v>107</v>
      </c>
      <c r="AC44" s="32">
        <v>799428.87637064001</v>
      </c>
      <c r="AD44" s="32">
        <v>798437.89632148005</v>
      </c>
    </row>
    <row r="45" spans="1:30" x14ac:dyDescent="0.25">
      <c r="A45" t="str">
        <f>IF(Summary_Exchange_Balances_00UTC!$B44="","",Summary_Exchange_Balances_00UTC!$N44)</f>
        <v>BINE</v>
      </c>
      <c r="B45" t="str">
        <f>IF(Summary_Exchange_Balances_00UTC!$B44="","",Summary_Exchange_Balances_00UTC!$B44)</f>
        <v>BINE-2-S1-F</v>
      </c>
      <c r="C45" t="str">
        <f>IF(Summary_Exchange_Balances_00UTC!$B44="","",Summary_Exchange_Balances_00UTC!$E44)</f>
        <v>ETH</v>
      </c>
      <c r="D45" t="str">
        <f>IF(OR(Summary_Exchange_Balances_00UTC!$B44="",Summary_Exchange_Balances_00UTC!$D44=""),"",Summary_Exchange_Balances_00UTC!$D44)</f>
        <v>Balance</v>
      </c>
      <c r="E45" s="52">
        <f>IF(Summary_Exchange_Balances_00UTC!$B44="","",Summary_Exchange_Balances_00UTC!$C44)</f>
        <v>6682.76875475</v>
      </c>
      <c r="G45" s="52">
        <f ca="1">IF(Summary_Exchange_Balances_00UTC!$B44="","",VLOOKUP(IF(ISERROR(SEARCH(" ", $B45)),UPPER($B45&amp;$C45&amp;IF(OR(NOT(ISERROR(SEARCH("trade",$D45))),NOT(ISERROR(SEARCH("balance",$D45)))),"",$D45)),UPPER(LEFT($B45, SEARCH(" ",$B45)-1)&amp;$C45&amp;IF(OR(NOT(ISERROR(SEARCH("trade",$D45))),NOT(ISERROR(SEARCH("balance",$D45)))),"",$D45))),$L:$T,MATCH("balance",$L$2:$S$2,0),FALSE))</f>
        <v>6716.9052190700004</v>
      </c>
      <c r="H45" s="35">
        <f ca="1">IF(Summary_Exchange_Balances_00UTC!$B44="","",(G45-E45)/E45)</f>
        <v>5.1081319095078346E-3</v>
      </c>
      <c r="I45" s="165">
        <f ca="1">IF(Summary_Exchange_Balances_00UTC!$B44="","",IF(ISERROR($G45),$E45,$G45))</f>
        <v>6716.9052190700004</v>
      </c>
      <c r="K45" t="str">
        <f t="shared" ca="1" si="0"/>
        <v>BINEETH</v>
      </c>
      <c r="L45" t="str">
        <f ca="1">UPPER($P45&amp;$N45&amp;Q45)</f>
        <v>BINE-2-S1-FETH</v>
      </c>
      <c r="N45" s="161" t="str">
        <f ca="1">IF(raw_exchange_data!$A44="","",OFFSET(raw_exchange_data!$A44,0,MATCH(N$2,raw_exchange_data!$1:$1,0)-1))</f>
        <v>ETH</v>
      </c>
      <c r="O45" s="161" t="str">
        <f ca="1">IF(raw_exchange_data!$A44="","",OFFSET(raw_exchange_data!$A44,0,MATCH(O$2,raw_exchange_data!$1:$1,0)-1))</f>
        <v>BINE</v>
      </c>
      <c r="P45" s="161" t="str">
        <f ca="1">IF(raw_exchange_data!$A44="","",OFFSET(raw_exchange_data!$A44,0,MATCH(P$2,raw_exchange_data!$1:$1,0)-1))</f>
        <v>BINE-2-S1-F</v>
      </c>
      <c r="Q45" s="161" t="str">
        <f ca="1">IF(raw_exchange_data!$A44="","",TEXT(OFFSET(raw_exchange_data!$A44,0,MATCH(Q$2,raw_exchange_data!$1:$1,0)-1),""))</f>
        <v/>
      </c>
      <c r="R45" s="162">
        <f ca="1">IF(raw_exchange_data!$A44="","",OFFSET(raw_exchange_data!$A44,0,MATCH(R$2,raw_exchange_data!$1:$1,0)-1))</f>
        <v>6716.9052190700004</v>
      </c>
      <c r="S45" s="190">
        <f ca="1">IF(raw_exchange_data!$A44="","",OFFSET(raw_exchange_data!$A44,0,MATCH(S$2,raw_exchange_data!$1:$1,0)-1))</f>
        <v>44937.666927314815</v>
      </c>
      <c r="T45" s="161">
        <v>1</v>
      </c>
      <c r="W45" t="str">
        <f t="shared" si="1"/>
        <v>BINE</v>
      </c>
      <c r="X45" t="str">
        <f t="shared" si="2"/>
        <v>ETH</v>
      </c>
      <c r="Y45" s="42">
        <f t="shared" si="3"/>
        <v>6682.76875475</v>
      </c>
      <c r="Z45" s="42">
        <f t="shared" ca="1" si="4"/>
        <v>6716.9052190700004</v>
      </c>
      <c r="AB45" s="3" t="s">
        <v>258</v>
      </c>
      <c r="AC45" s="32">
        <v>-14658013.62696787</v>
      </c>
      <c r="AD45" s="32">
        <v>94677.421588559999</v>
      </c>
    </row>
    <row r="46" spans="1:30" x14ac:dyDescent="0.25">
      <c r="A46" t="str">
        <f>IF(Summary_Exchange_Balances_00UTC!$B45="","",Summary_Exchange_Balances_00UTC!$N45)</f>
        <v>BINE</v>
      </c>
      <c r="B46" t="str">
        <f>IF(Summary_Exchange_Balances_00UTC!$B45="","",Summary_Exchange_Balances_00UTC!$B45)</f>
        <v>BINE-2-S1-F</v>
      </c>
      <c r="C46" t="str">
        <f>IF(Summary_Exchange_Balances_00UTC!$B45="","",Summary_Exchange_Balances_00UTC!$E45)</f>
        <v>ETH</v>
      </c>
      <c r="D46" t="str">
        <f>IF(OR(Summary_Exchange_Balances_00UTC!$B45="",Summary_Exchange_Balances_00UTC!$D45=""),"",Summary_Exchange_Balances_00UTC!$D45)</f>
        <v>Unrealized</v>
      </c>
      <c r="E46" s="52">
        <f>IF(Summary_Exchange_Balances_00UTC!$B45="","",Summary_Exchange_Balances_00UTC!$C45)</f>
        <v>-114.70020413</v>
      </c>
      <c r="G46" s="52">
        <f ca="1">IF(Summary_Exchange_Balances_00UTC!$B45="","",VLOOKUP(IF(ISERROR(SEARCH(" ", $B46)),UPPER($B46&amp;$C46&amp;IF(OR(NOT(ISERROR(SEARCH("trade",$D46))),NOT(ISERROR(SEARCH("balance",$D46)))),"",$D46)),UPPER(LEFT($B46, SEARCH(" ",$B46)-1)&amp;$C46&amp;IF(OR(NOT(ISERROR(SEARCH("trade",$D46))),NOT(ISERROR(SEARCH("balance",$D46)))),"",$D46))),$L:$T,MATCH("balance",$L$2:$S$2,0),FALSE))</f>
        <v>-165.35606129999999</v>
      </c>
      <c r="H46" s="35">
        <f ca="1">IF(Summary_Exchange_Balances_00UTC!$B45="","",(G46-E46)/E46)</f>
        <v>0.44163702718948239</v>
      </c>
      <c r="I46" s="165">
        <f ca="1">IF(Summary_Exchange_Balances_00UTC!$B45="","",IF(ISERROR($G46),$E46,$G46))</f>
        <v>-165.35606129999999</v>
      </c>
      <c r="K46" t="str">
        <f t="shared" ca="1" si="0"/>
        <v>BINEETH</v>
      </c>
      <c r="L46" t="str">
        <f ca="1">UPPER($P46&amp;$N46&amp;Q46)</f>
        <v>BINE-2-S1-FETHUNREALIZED</v>
      </c>
      <c r="N46" s="161" t="str">
        <f ca="1">IF(raw_exchange_data!$A45="","",OFFSET(raw_exchange_data!$A45,0,MATCH(N$2,raw_exchange_data!$1:$1,0)-1))</f>
        <v>ETH</v>
      </c>
      <c r="O46" s="161" t="str">
        <f ca="1">IF(raw_exchange_data!$A45="","",OFFSET(raw_exchange_data!$A45,0,MATCH(O$2,raw_exchange_data!$1:$1,0)-1))</f>
        <v>BINE</v>
      </c>
      <c r="P46" s="161" t="str">
        <f ca="1">IF(raw_exchange_data!$A45="","",OFFSET(raw_exchange_data!$A45,0,MATCH(P$2,raw_exchange_data!$1:$1,0)-1))</f>
        <v>BINE-2-S1-F</v>
      </c>
      <c r="Q46" s="161" t="str">
        <f ca="1">IF(raw_exchange_data!$A45="","",TEXT(OFFSET(raw_exchange_data!$A45,0,MATCH(Q$2,raw_exchange_data!$1:$1,0)-1),""))</f>
        <v>Unrealized</v>
      </c>
      <c r="R46" s="162">
        <f ca="1">IF(raw_exchange_data!$A45="","",OFFSET(raw_exchange_data!$A45,0,MATCH(R$2,raw_exchange_data!$1:$1,0)-1))</f>
        <v>-165.35606129999999</v>
      </c>
      <c r="S46" s="190">
        <f ca="1">IF(raw_exchange_data!$A45="","",OFFSET(raw_exchange_data!$A45,0,MATCH(S$2,raw_exchange_data!$1:$1,0)-1))</f>
        <v>44937.666927314815</v>
      </c>
      <c r="T46" s="161">
        <v>1</v>
      </c>
      <c r="W46" t="str">
        <f t="shared" si="1"/>
        <v>BINE</v>
      </c>
      <c r="X46" t="str">
        <f t="shared" si="2"/>
        <v>ETH</v>
      </c>
      <c r="Y46" s="42">
        <f t="shared" si="3"/>
        <v>-114.70020413</v>
      </c>
      <c r="Z46" s="42">
        <f t="shared" ca="1" si="4"/>
        <v>-165.35606129999999</v>
      </c>
      <c r="AB46" s="3" t="s">
        <v>30</v>
      </c>
      <c r="AC46" s="32">
        <v>1.1855038499999999</v>
      </c>
      <c r="AD46" s="32">
        <v>1.1855110705536314</v>
      </c>
    </row>
    <row r="47" spans="1:30" x14ac:dyDescent="0.25">
      <c r="A47" t="str">
        <f>IF(Summary_Exchange_Balances_00UTC!$B46="","",Summary_Exchange_Balances_00UTC!$N46)</f>
        <v>BINE</v>
      </c>
      <c r="B47" t="str">
        <f>IF(Summary_Exchange_Balances_00UTC!$B46="","",Summary_Exchange_Balances_00UTC!$B46)</f>
        <v>BINE-2-S1-M</v>
      </c>
      <c r="C47" t="str">
        <f>IF(Summary_Exchange_Balances_00UTC!$B46="","",Summary_Exchange_Balances_00UTC!$E46)</f>
        <v>BNB</v>
      </c>
      <c r="D47" t="str">
        <f>IF(OR(Summary_Exchange_Balances_00UTC!$B46="",Summary_Exchange_Balances_00UTC!$D46=""),"",Summary_Exchange_Balances_00UTC!$D46)</f>
        <v/>
      </c>
      <c r="E47" s="52">
        <f>IF(Summary_Exchange_Balances_00UTC!$B46="","",Summary_Exchange_Balances_00UTC!$C46)</f>
        <v>2496.2188523499999</v>
      </c>
      <c r="G47" s="52">
        <f ca="1">IF(Summary_Exchange_Balances_00UTC!$B46="","",VLOOKUP(IF(ISERROR(SEARCH(" ", $B47)),UPPER($B47&amp;$C47&amp;IF(OR(NOT(ISERROR(SEARCH("trade",$D47))),NOT(ISERROR(SEARCH("balance",$D47)))),"",$D47)),UPPER(LEFT($B47, SEARCH(" ",$B47)-1)&amp;$C47&amp;IF(OR(NOT(ISERROR(SEARCH("trade",$D47))),NOT(ISERROR(SEARCH("balance",$D47)))),"",$D47))),$L:$T,MATCH("balance",$L$2:$S$2,0),FALSE))</f>
        <v>2496.7888121000001</v>
      </c>
      <c r="H47" s="35">
        <f ca="1">IF(Summary_Exchange_Balances_00UTC!$B46="","",(G47-E47)/E47)</f>
        <v>2.2832923862569436E-4</v>
      </c>
      <c r="I47" s="165">
        <f ca="1">IF(Summary_Exchange_Balances_00UTC!$B46="","",IF(ISERROR($G47),$E47,$G47))</f>
        <v>2496.7888121000001</v>
      </c>
      <c r="K47" t="str">
        <f t="shared" ca="1" si="0"/>
        <v>BINEAAVE</v>
      </c>
      <c r="L47" t="str">
        <f ca="1">UPPER($P47&amp;$N47&amp;Q47)</f>
        <v>BINE-2-S1-MAAVE</v>
      </c>
      <c r="N47" s="161" t="str">
        <f ca="1">IF(raw_exchange_data!$A46="","",OFFSET(raw_exchange_data!$A46,0,MATCH(N$2,raw_exchange_data!$1:$1,0)-1))</f>
        <v>AAVE</v>
      </c>
      <c r="O47" s="161" t="str">
        <f ca="1">IF(raw_exchange_data!$A46="","",OFFSET(raw_exchange_data!$A46,0,MATCH(O$2,raw_exchange_data!$1:$1,0)-1))</f>
        <v>BINE</v>
      </c>
      <c r="P47" s="161" t="str">
        <f ca="1">IF(raw_exchange_data!$A46="","",OFFSET(raw_exchange_data!$A46,0,MATCH(P$2,raw_exchange_data!$1:$1,0)-1))</f>
        <v>BINE-2-S1-M</v>
      </c>
      <c r="Q47" s="161" t="str">
        <f ca="1">IF(raw_exchange_data!$A46="","",TEXT(OFFSET(raw_exchange_data!$A46,0,MATCH(Q$2,raw_exchange_data!$1:$1,0)-1),""))</f>
        <v/>
      </c>
      <c r="R47" s="162">
        <f ca="1">IF(raw_exchange_data!$A46="","",OFFSET(raw_exchange_data!$A46,0,MATCH(R$2,raw_exchange_data!$1:$1,0)-1))</f>
        <v>-900</v>
      </c>
      <c r="S47" s="190">
        <f ca="1">IF(raw_exchange_data!$A46="","",OFFSET(raw_exchange_data!$A46,0,MATCH(S$2,raw_exchange_data!$1:$1,0)-1))</f>
        <v>44937.666671377316</v>
      </c>
      <c r="T47" s="161">
        <v>1</v>
      </c>
      <c r="W47" t="str">
        <f t="shared" si="1"/>
        <v>BINE</v>
      </c>
      <c r="X47" t="str">
        <f t="shared" si="2"/>
        <v>BNB</v>
      </c>
      <c r="Y47" s="42">
        <f t="shared" si="3"/>
        <v>2496.2188523499999</v>
      </c>
      <c r="Z47" s="42">
        <f t="shared" ca="1" si="4"/>
        <v>2496.7888121000001</v>
      </c>
      <c r="AB47" s="3" t="s">
        <v>973</v>
      </c>
      <c r="AC47" s="32">
        <v>1236499.76910984</v>
      </c>
      <c r="AD47" s="32">
        <v>0</v>
      </c>
    </row>
    <row r="48" spans="1:30" x14ac:dyDescent="0.25">
      <c r="A48" t="str">
        <f>IF(Summary_Exchange_Balances_00UTC!$B47="","",Summary_Exchange_Balances_00UTC!$N47)</f>
        <v>BINE</v>
      </c>
      <c r="B48" t="str">
        <f>IF(Summary_Exchange_Balances_00UTC!$B47="","",Summary_Exchange_Balances_00UTC!$B47)</f>
        <v>BINE-2-S1-M</v>
      </c>
      <c r="C48" t="str">
        <f>IF(Summary_Exchange_Balances_00UTC!$B47="","",Summary_Exchange_Balances_00UTC!$E47)</f>
        <v>BTC</v>
      </c>
      <c r="D48" t="str">
        <f>IF(OR(Summary_Exchange_Balances_00UTC!$B47="",Summary_Exchange_Balances_00UTC!$D47=""),"",Summary_Exchange_Balances_00UTC!$D47)</f>
        <v/>
      </c>
      <c r="E48" s="52">
        <f>IF(Summary_Exchange_Balances_00UTC!$B47="","",Summary_Exchange_Balances_00UTC!$C47)</f>
        <v>820.94862506000004</v>
      </c>
      <c r="G48" s="52">
        <f ca="1">IF(Summary_Exchange_Balances_00UTC!$B47="","",VLOOKUP(IF(ISERROR(SEARCH(" ", $B48)),UPPER($B48&amp;$C48&amp;IF(OR(NOT(ISERROR(SEARCH("trade",$D48))),NOT(ISERROR(SEARCH("balance",$D48)))),"",$D48)),UPPER(LEFT($B48, SEARCH(" ",$B48)-1)&amp;$C48&amp;IF(OR(NOT(ISERROR(SEARCH("trade",$D48))),NOT(ISERROR(SEARCH("balance",$D48)))),"",$D48))),$L:$T,MATCH("balance",$L$2:$S$2,0),FALSE))</f>
        <v>586.20072805999996</v>
      </c>
      <c r="H48" s="35">
        <f ca="1">IF(Summary_Exchange_Balances_00UTC!$B47="","",(G48-E48)/E48)</f>
        <v>-0.28594712243149595</v>
      </c>
      <c r="I48" s="165">
        <f ca="1">IF(Summary_Exchange_Balances_00UTC!$B47="","",IF(ISERROR($G48),$E48,$G48))</f>
        <v>586.20072805999996</v>
      </c>
      <c r="K48" t="str">
        <f t="shared" ca="1" si="0"/>
        <v>BINEADA</v>
      </c>
      <c r="L48" t="str">
        <f ca="1">UPPER($P48&amp;$N48&amp;Q48)</f>
        <v>BINE-2-S1-MADA</v>
      </c>
      <c r="N48" s="161" t="str">
        <f ca="1">IF(raw_exchange_data!$A47="","",OFFSET(raw_exchange_data!$A47,0,MATCH(N$2,raw_exchange_data!$1:$1,0)-1))</f>
        <v>ADA</v>
      </c>
      <c r="O48" s="161" t="str">
        <f ca="1">IF(raw_exchange_data!$A47="","",OFFSET(raw_exchange_data!$A47,0,MATCH(O$2,raw_exchange_data!$1:$1,0)-1))</f>
        <v>BINE</v>
      </c>
      <c r="P48" s="161" t="str">
        <f ca="1">IF(raw_exchange_data!$A47="","",OFFSET(raw_exchange_data!$A47,0,MATCH(P$2,raw_exchange_data!$1:$1,0)-1))</f>
        <v>BINE-2-S1-M</v>
      </c>
      <c r="Q48" s="161" t="str">
        <f ca="1">IF(raw_exchange_data!$A47="","",TEXT(OFFSET(raw_exchange_data!$A47,0,MATCH(Q$2,raw_exchange_data!$1:$1,0)-1),""))</f>
        <v/>
      </c>
      <c r="R48" s="162">
        <f ca="1">IF(raw_exchange_data!$A47="","",OFFSET(raw_exchange_data!$A47,0,MATCH(R$2,raw_exchange_data!$1:$1,0)-1))</f>
        <v>-450000</v>
      </c>
      <c r="S48" s="190">
        <f ca="1">IF(raw_exchange_data!$A47="","",OFFSET(raw_exchange_data!$A47,0,MATCH(S$2,raw_exchange_data!$1:$1,0)-1))</f>
        <v>44937.666671377316</v>
      </c>
      <c r="T48" s="161">
        <v>1</v>
      </c>
      <c r="W48" t="str">
        <f t="shared" si="1"/>
        <v>BINE</v>
      </c>
      <c r="X48" t="str">
        <f t="shared" si="2"/>
        <v>BTC</v>
      </c>
      <c r="Y48" s="42">
        <f t="shared" si="3"/>
        <v>820.94862506000004</v>
      </c>
      <c r="Z48" s="42">
        <f t="shared" ca="1" si="4"/>
        <v>586.20072805999996</v>
      </c>
      <c r="AB48" s="3" t="s">
        <v>191</v>
      </c>
      <c r="AC48" s="32">
        <v>859.78070533997379</v>
      </c>
      <c r="AD48" s="32">
        <v>-32867.680390499998</v>
      </c>
    </row>
    <row r="49" spans="1:30" x14ac:dyDescent="0.25">
      <c r="A49" t="str">
        <f>IF(Summary_Exchange_Balances_00UTC!$B48="","",Summary_Exchange_Balances_00UTC!$N48)</f>
        <v>BINE</v>
      </c>
      <c r="B49" t="str">
        <f>IF(Summary_Exchange_Balances_00UTC!$B48="","",Summary_Exchange_Balances_00UTC!$B48)</f>
        <v>BINE-2-S1-M</v>
      </c>
      <c r="C49" t="str">
        <f>IF(Summary_Exchange_Balances_00UTC!$B48="","",Summary_Exchange_Balances_00UTC!$E48)</f>
        <v>BUSD</v>
      </c>
      <c r="D49" t="str">
        <f>IF(OR(Summary_Exchange_Balances_00UTC!$B48="",Summary_Exchange_Balances_00UTC!$D48=""),"",Summary_Exchange_Balances_00UTC!$D48)</f>
        <v/>
      </c>
      <c r="E49" s="52">
        <f>IF(Summary_Exchange_Balances_00UTC!$B48="","",Summary_Exchange_Balances_00UTC!$C48)</f>
        <v>1957317.4125478</v>
      </c>
      <c r="G49" s="52">
        <f ca="1">IF(Summary_Exchange_Balances_00UTC!$B48="","",VLOOKUP(IF(ISERROR(SEARCH(" ", $B49)),UPPER($B49&amp;$C49&amp;IF(OR(NOT(ISERROR(SEARCH("trade",$D49))),NOT(ISERROR(SEARCH("balance",$D49)))),"",$D49)),UPPER(LEFT($B49, SEARCH(" ",$B49)-1)&amp;$C49&amp;IF(OR(NOT(ISERROR(SEARCH("trade",$D49))),NOT(ISERROR(SEARCH("balance",$D49)))),"",$D49))),$L:$T,MATCH("balance",$L$2:$S$2,0),FALSE))</f>
        <v>4361445.7647673003</v>
      </c>
      <c r="H49" s="35">
        <f ca="1">IF(Summary_Exchange_Balances_00UTC!$B48="","",(G49-E49)/E49)</f>
        <v>1.2282772006253682</v>
      </c>
      <c r="I49" s="165">
        <f ca="1">IF(Summary_Exchange_Balances_00UTC!$B48="","",IF(ISERROR($G49),$E49,$G49))</f>
        <v>4361445.7647673003</v>
      </c>
      <c r="K49" t="str">
        <f t="shared" ca="1" si="0"/>
        <v>BINEALGO</v>
      </c>
      <c r="L49" t="str">
        <f ca="1">UPPER($P49&amp;$N49&amp;Q49)</f>
        <v>BINE-2-S1-MALGO</v>
      </c>
      <c r="N49" s="161" t="str">
        <f ca="1">IF(raw_exchange_data!$A48="","",OFFSET(raw_exchange_data!$A48,0,MATCH(N$2,raw_exchange_data!$1:$1,0)-1))</f>
        <v>ALGO</v>
      </c>
      <c r="O49" s="161" t="str">
        <f ca="1">IF(raw_exchange_data!$A48="","",OFFSET(raw_exchange_data!$A48,0,MATCH(O$2,raw_exchange_data!$1:$1,0)-1))</f>
        <v>BINE</v>
      </c>
      <c r="P49" s="161" t="str">
        <f ca="1">IF(raw_exchange_data!$A48="","",OFFSET(raw_exchange_data!$A48,0,MATCH(P$2,raw_exchange_data!$1:$1,0)-1))</f>
        <v>BINE-2-S1-M</v>
      </c>
      <c r="Q49" s="161" t="str">
        <f ca="1">IF(raw_exchange_data!$A48="","",TEXT(OFFSET(raw_exchange_data!$A48,0,MATCH(Q$2,raw_exchange_data!$1:$1,0)-1),""))</f>
        <v/>
      </c>
      <c r="R49" s="162">
        <f ca="1">IF(raw_exchange_data!$A48="","",OFFSET(raw_exchange_data!$A48,0,MATCH(R$2,raw_exchange_data!$1:$1,0)-1))</f>
        <v>-244800</v>
      </c>
      <c r="S49" s="190">
        <f ca="1">IF(raw_exchange_data!$A48="","",OFFSET(raw_exchange_data!$A48,0,MATCH(S$2,raw_exchange_data!$1:$1,0)-1))</f>
        <v>44937.666671377316</v>
      </c>
      <c r="T49" s="161">
        <v>1</v>
      </c>
      <c r="W49" t="str">
        <f t="shared" si="1"/>
        <v>BINE</v>
      </c>
      <c r="X49" t="str">
        <f t="shared" si="2"/>
        <v>BUSD</v>
      </c>
      <c r="Y49" s="42">
        <f t="shared" si="3"/>
        <v>1957317.4125478</v>
      </c>
      <c r="Z49" s="42">
        <f t="shared" ca="1" si="4"/>
        <v>4361445.7647673003</v>
      </c>
      <c r="AB49" s="3" t="s">
        <v>109</v>
      </c>
      <c r="AC49" s="32">
        <v>3.2244594900000001</v>
      </c>
      <c r="AD49" s="32">
        <v>3.2244594900000001</v>
      </c>
    </row>
    <row r="50" spans="1:30" x14ac:dyDescent="0.25">
      <c r="A50" t="str">
        <f>IF(Summary_Exchange_Balances_00UTC!$B49="","",Summary_Exchange_Balances_00UTC!$N49)</f>
        <v>BINE</v>
      </c>
      <c r="B50" t="str">
        <f>IF(Summary_Exchange_Balances_00UTC!$B49="","",Summary_Exchange_Balances_00UTC!$B49)</f>
        <v>BINE-2-S1-M</v>
      </c>
      <c r="C50" t="str">
        <f>IF(Summary_Exchange_Balances_00UTC!$B49="","",Summary_Exchange_Balances_00UTC!$E49)</f>
        <v>ETC</v>
      </c>
      <c r="D50" t="str">
        <f>IF(OR(Summary_Exchange_Balances_00UTC!$B49="",Summary_Exchange_Balances_00UTC!$D49=""),"",Summary_Exchange_Balances_00UTC!$D49)</f>
        <v/>
      </c>
      <c r="E50" s="52">
        <f>IF(Summary_Exchange_Balances_00UTC!$B49="","",Summary_Exchange_Balances_00UTC!$C49)</f>
        <v>0.15721859999999999</v>
      </c>
      <c r="G50" s="52">
        <f ca="1">IF(Summary_Exchange_Balances_00UTC!$B49="","",VLOOKUP(IF(ISERROR(SEARCH(" ", $B50)),UPPER($B50&amp;$C50&amp;IF(OR(NOT(ISERROR(SEARCH("trade",$D50))),NOT(ISERROR(SEARCH("balance",$D50)))),"",$D50)),UPPER(LEFT($B50, SEARCH(" ",$B50)-1)&amp;$C50&amp;IF(OR(NOT(ISERROR(SEARCH("trade",$D50))),NOT(ISERROR(SEARCH("balance",$D50)))),"",$D50))),$L:$T,MATCH("balance",$L$2:$S$2,0),FALSE))</f>
        <v>0.15721859999999999</v>
      </c>
      <c r="H50" s="35">
        <f ca="1">IF(Summary_Exchange_Balances_00UTC!$B49="","",(G50-E50)/E50)</f>
        <v>0</v>
      </c>
      <c r="I50" s="165">
        <f ca="1">IF(Summary_Exchange_Balances_00UTC!$B49="","",IF(ISERROR($G50),$E50,$G50))</f>
        <v>0.15721859999999999</v>
      </c>
      <c r="K50" t="str">
        <f t="shared" ca="1" si="0"/>
        <v>BINEAVAX</v>
      </c>
      <c r="L50" t="str">
        <f ca="1">UPPER($P50&amp;$N50&amp;Q50)</f>
        <v>BINE-2-S1-MAVAX</v>
      </c>
      <c r="N50" s="161" t="str">
        <f ca="1">IF(raw_exchange_data!$A49="","",OFFSET(raw_exchange_data!$A49,0,MATCH(N$2,raw_exchange_data!$1:$1,0)-1))</f>
        <v>AVAX</v>
      </c>
      <c r="O50" s="161" t="str">
        <f ca="1">IF(raw_exchange_data!$A49="","",OFFSET(raw_exchange_data!$A49,0,MATCH(O$2,raw_exchange_data!$1:$1,0)-1))</f>
        <v>BINE</v>
      </c>
      <c r="P50" s="161" t="str">
        <f ca="1">IF(raw_exchange_data!$A49="","",OFFSET(raw_exchange_data!$A49,0,MATCH(P$2,raw_exchange_data!$1:$1,0)-1))</f>
        <v>BINE-2-S1-M</v>
      </c>
      <c r="Q50" s="161" t="str">
        <f ca="1">IF(raw_exchange_data!$A49="","",TEXT(OFFSET(raw_exchange_data!$A49,0,MATCH(Q$2,raw_exchange_data!$1:$1,0)-1),""))</f>
        <v/>
      </c>
      <c r="R50" s="162">
        <f ca="1">IF(raw_exchange_data!$A49="","",OFFSET(raw_exchange_data!$A49,0,MATCH(R$2,raw_exchange_data!$1:$1,0)-1))</f>
        <v>-6000</v>
      </c>
      <c r="S50" s="190">
        <f ca="1">IF(raw_exchange_data!$A49="","",OFFSET(raw_exchange_data!$A49,0,MATCH(S$2,raw_exchange_data!$1:$1,0)-1))</f>
        <v>44937.666671377316</v>
      </c>
      <c r="T50" s="161">
        <v>1</v>
      </c>
      <c r="W50" t="str">
        <f t="shared" si="1"/>
        <v>BINE</v>
      </c>
      <c r="X50" t="str">
        <f t="shared" si="2"/>
        <v>ETC</v>
      </c>
      <c r="Y50" s="42">
        <f t="shared" si="3"/>
        <v>0.15721859999999999</v>
      </c>
      <c r="Z50" s="42">
        <f t="shared" ca="1" si="4"/>
        <v>0.15721859999999999</v>
      </c>
      <c r="AB50" s="3" t="s">
        <v>798</v>
      </c>
      <c r="AC50" s="32">
        <v>652.31114422999997</v>
      </c>
      <c r="AD50" s="32">
        <v>0</v>
      </c>
    </row>
    <row r="51" spans="1:30" x14ac:dyDescent="0.25">
      <c r="A51" t="str">
        <f>IF(Summary_Exchange_Balances_00UTC!$B50="","",Summary_Exchange_Balances_00UTC!$N50)</f>
        <v>BINE</v>
      </c>
      <c r="B51" t="str">
        <f>IF(Summary_Exchange_Balances_00UTC!$B50="","",Summary_Exchange_Balances_00UTC!$B50)</f>
        <v>BINE-2-S1-M</v>
      </c>
      <c r="C51" t="str">
        <f>IF(Summary_Exchange_Balances_00UTC!$B50="","",Summary_Exchange_Balances_00UTC!$E50)</f>
        <v>ETH</v>
      </c>
      <c r="D51" t="str">
        <f>IF(OR(Summary_Exchange_Balances_00UTC!$B50="",Summary_Exchange_Balances_00UTC!$D50=""),"",Summary_Exchange_Balances_00UTC!$D50)</f>
        <v/>
      </c>
      <c r="E51" s="52">
        <f>IF(Summary_Exchange_Balances_00UTC!$B50="","",Summary_Exchange_Balances_00UTC!$C50)</f>
        <v>6859.0860000000002</v>
      </c>
      <c r="G51" s="52">
        <f ca="1">IF(Summary_Exchange_Balances_00UTC!$B50="","",VLOOKUP(IF(ISERROR(SEARCH(" ", $B51)),UPPER($B51&amp;$C51&amp;IF(OR(NOT(ISERROR(SEARCH("trade",$D51))),NOT(ISERROR(SEARCH("balance",$D51)))),"",$D51)),UPPER(LEFT($B51, SEARCH(" ",$B51)-1)&amp;$C51&amp;IF(OR(NOT(ISERROR(SEARCH("trade",$D51))),NOT(ISERROR(SEARCH("balance",$D51)))),"",$D51))),$L:$T,MATCH("balance",$L$2:$S$2,0),FALSE))</f>
        <v>4165.9602000000004</v>
      </c>
      <c r="H51" s="35">
        <f ca="1">IF(Summary_Exchange_Balances_00UTC!$B50="","",(G51-E51)/E51)</f>
        <v>-0.39263624920288209</v>
      </c>
      <c r="I51" s="165">
        <f ca="1">IF(Summary_Exchange_Balances_00UTC!$B50="","",IF(ISERROR($G51),$E51,$G51))</f>
        <v>4165.9602000000004</v>
      </c>
      <c r="K51" t="str">
        <f t="shared" ca="1" si="0"/>
        <v>BINEBAT</v>
      </c>
      <c r="L51" t="str">
        <f ca="1">UPPER($P51&amp;$N51&amp;Q51)</f>
        <v>BINE-2-S1-MBAT</v>
      </c>
      <c r="N51" s="161" t="str">
        <f ca="1">IF(raw_exchange_data!$A50="","",OFFSET(raw_exchange_data!$A50,0,MATCH(N$2,raw_exchange_data!$1:$1,0)-1))</f>
        <v>BAT</v>
      </c>
      <c r="O51" s="161" t="str">
        <f ca="1">IF(raw_exchange_data!$A50="","",OFFSET(raw_exchange_data!$A50,0,MATCH(O$2,raw_exchange_data!$1:$1,0)-1))</f>
        <v>BINE</v>
      </c>
      <c r="P51" s="161" t="str">
        <f ca="1">IF(raw_exchange_data!$A50="","",OFFSET(raw_exchange_data!$A50,0,MATCH(P$2,raw_exchange_data!$1:$1,0)-1))</f>
        <v>BINE-2-S1-M</v>
      </c>
      <c r="Q51" s="161" t="str">
        <f ca="1">IF(raw_exchange_data!$A50="","",TEXT(OFFSET(raw_exchange_data!$A50,0,MATCH(Q$2,raw_exchange_data!$1:$1,0)-1),""))</f>
        <v/>
      </c>
      <c r="R51" s="162">
        <f ca="1">IF(raw_exchange_data!$A50="","",OFFSET(raw_exchange_data!$A50,0,MATCH(R$2,raw_exchange_data!$1:$1,0)-1))</f>
        <v>-200000</v>
      </c>
      <c r="S51" s="190">
        <f ca="1">IF(raw_exchange_data!$A50="","",OFFSET(raw_exchange_data!$A50,0,MATCH(S$2,raw_exchange_data!$1:$1,0)-1))</f>
        <v>44937.666671377316</v>
      </c>
      <c r="T51" s="161">
        <v>1</v>
      </c>
      <c r="W51" t="str">
        <f t="shared" si="1"/>
        <v>BINE</v>
      </c>
      <c r="X51" t="str">
        <f t="shared" si="2"/>
        <v>ETH</v>
      </c>
      <c r="Y51" s="42">
        <f t="shared" si="3"/>
        <v>6859.0860000000002</v>
      </c>
      <c r="Z51" s="42">
        <f t="shared" ca="1" si="4"/>
        <v>4165.9602000000004</v>
      </c>
      <c r="AB51" s="3" t="s">
        <v>134</v>
      </c>
      <c r="AC51" s="32">
        <v>54.776400000000002</v>
      </c>
      <c r="AD51" s="32">
        <v>54.776400000000002</v>
      </c>
    </row>
    <row r="52" spans="1:30" x14ac:dyDescent="0.25">
      <c r="A52" t="str">
        <f>IF(Summary_Exchange_Balances_00UTC!$B51="","",Summary_Exchange_Balances_00UTC!$N51)</f>
        <v>BINE</v>
      </c>
      <c r="B52" t="str">
        <f>IF(Summary_Exchange_Balances_00UTC!$B51="","",Summary_Exchange_Balances_00UTC!$B51)</f>
        <v>BINE-2-S1-M</v>
      </c>
      <c r="C52" t="str">
        <f>IF(Summary_Exchange_Balances_00UTC!$B51="","",Summary_Exchange_Balances_00UTC!$E51)</f>
        <v>USDT</v>
      </c>
      <c r="D52" t="str">
        <f>IF(OR(Summary_Exchange_Balances_00UTC!$B51="",Summary_Exchange_Balances_00UTC!$D51=""),"",Summary_Exchange_Balances_00UTC!$D51)</f>
        <v/>
      </c>
      <c r="E52" s="52">
        <f>IF(Summary_Exchange_Balances_00UTC!$B51="","",Summary_Exchange_Balances_00UTC!$C51)</f>
        <v>1328887.8945897899</v>
      </c>
      <c r="G52" s="52">
        <f ca="1">IF(Summary_Exchange_Balances_00UTC!$B51="","",VLOOKUP(IF(ISERROR(SEARCH(" ", $B52)),UPPER($B52&amp;$C52&amp;IF(OR(NOT(ISERROR(SEARCH("trade",$D52))),NOT(ISERROR(SEARCH("balance",$D52)))),"",$D52)),UPPER(LEFT($B52, SEARCH(" ",$B52)-1)&amp;$C52&amp;IF(OR(NOT(ISERROR(SEARCH("trade",$D52))),NOT(ISERROR(SEARCH("balance",$D52)))),"",$D52))),$L:$T,MATCH("balance",$L$2:$S$2,0),FALSE))</f>
        <v>6914920.4233433902</v>
      </c>
      <c r="H52" s="35">
        <f ca="1">IF(Summary_Exchange_Balances_00UTC!$B51="","",(G52-E52)/E52)</f>
        <v>4.2035393290100922</v>
      </c>
      <c r="I52" s="165">
        <f ca="1">IF(Summary_Exchange_Balances_00UTC!$B51="","",IF(ISERROR($G52),$E52,$G52))</f>
        <v>6914920.4233433902</v>
      </c>
      <c r="K52" t="str">
        <f t="shared" ca="1" si="0"/>
        <v>BINEBCH</v>
      </c>
      <c r="L52" t="str">
        <f ca="1">UPPER($P52&amp;$N52&amp;Q52)</f>
        <v>BINE-2-S1-MBCH</v>
      </c>
      <c r="N52" s="161" t="str">
        <f ca="1">IF(raw_exchange_data!$A51="","",OFFSET(raw_exchange_data!$A51,0,MATCH(N$2,raw_exchange_data!$1:$1,0)-1))</f>
        <v>BCH</v>
      </c>
      <c r="O52" s="161" t="str">
        <f ca="1">IF(raw_exchange_data!$A51="","",OFFSET(raw_exchange_data!$A51,0,MATCH(O$2,raw_exchange_data!$1:$1,0)-1))</f>
        <v>BINE</v>
      </c>
      <c r="P52" s="161" t="str">
        <f ca="1">IF(raw_exchange_data!$A51="","",OFFSET(raw_exchange_data!$A51,0,MATCH(P$2,raw_exchange_data!$1:$1,0)-1))</f>
        <v>BINE-2-S1-M</v>
      </c>
      <c r="Q52" s="161" t="str">
        <f ca="1">IF(raw_exchange_data!$A51="","",TEXT(OFFSET(raw_exchange_data!$A51,0,MATCH(Q$2,raw_exchange_data!$1:$1,0)-1),""))</f>
        <v/>
      </c>
      <c r="R52" s="162">
        <f ca="1">IF(raw_exchange_data!$A51="","",OFFSET(raw_exchange_data!$A51,0,MATCH(R$2,raw_exchange_data!$1:$1,0)-1))</f>
        <v>-90</v>
      </c>
      <c r="S52" s="190">
        <f ca="1">IF(raw_exchange_data!$A51="","",OFFSET(raw_exchange_data!$A51,0,MATCH(S$2,raw_exchange_data!$1:$1,0)-1))</f>
        <v>44937.666671377316</v>
      </c>
      <c r="T52" s="161">
        <v>1</v>
      </c>
      <c r="W52" t="str">
        <f t="shared" si="1"/>
        <v>BINE</v>
      </c>
      <c r="X52" t="str">
        <f t="shared" si="2"/>
        <v>USDT</v>
      </c>
      <c r="Y52" s="42">
        <f t="shared" si="3"/>
        <v>1328887.8945897899</v>
      </c>
      <c r="Z52" s="42">
        <f t="shared" ca="1" si="4"/>
        <v>6914920.4233433902</v>
      </c>
      <c r="AB52" s="3" t="s">
        <v>177</v>
      </c>
      <c r="AC52" s="32">
        <v>0.01</v>
      </c>
      <c r="AD52" s="32">
        <v>0</v>
      </c>
    </row>
    <row r="53" spans="1:30" x14ac:dyDescent="0.25">
      <c r="A53" t="str">
        <f>IF(Summary_Exchange_Balances_00UTC!$B52="","",Summary_Exchange_Balances_00UTC!$N52)</f>
        <v>BINE</v>
      </c>
      <c r="B53" t="str">
        <f>IF(Summary_Exchange_Balances_00UTC!$B52="","",Summary_Exchange_Balances_00UTC!$B52)</f>
        <v>BINE-2-S1-P</v>
      </c>
      <c r="C53" t="str">
        <f>IF(Summary_Exchange_Balances_00UTC!$B52="","",Summary_Exchange_Balances_00UTC!$E52)</f>
        <v>BNB</v>
      </c>
      <c r="D53" t="str">
        <f>IF(OR(Summary_Exchange_Balances_00UTC!$B52="",Summary_Exchange_Balances_00UTC!$D52=""),"",Summary_Exchange_Balances_00UTC!$D52)</f>
        <v>Balance</v>
      </c>
      <c r="E53" s="52">
        <f>IF(Summary_Exchange_Balances_00UTC!$B52="","",Summary_Exchange_Balances_00UTC!$C52)</f>
        <v>47.01499536</v>
      </c>
      <c r="G53" s="52">
        <f ca="1">IF(Summary_Exchange_Balances_00UTC!$B52="","",VLOOKUP(IF(ISERROR(SEARCH(" ", $B53)),UPPER($B53&amp;$C53&amp;IF(OR(NOT(ISERROR(SEARCH("trade",$D53))),NOT(ISERROR(SEARCH("balance",$D53)))),"",$D53)),UPPER(LEFT($B53, SEARCH(" ",$B53)-1)&amp;$C53&amp;IF(OR(NOT(ISERROR(SEARCH("trade",$D53))),NOT(ISERROR(SEARCH("balance",$D53)))),"",$D53))),$L:$T,MATCH("balance",$L$2:$S$2,0),FALSE))</f>
        <v>48.386672320000002</v>
      </c>
      <c r="H53" s="35">
        <f ca="1">IF(Summary_Exchange_Balances_00UTC!$B52="","",(G53-E53)/E53)</f>
        <v>2.917530778205743E-2</v>
      </c>
      <c r="I53" s="165">
        <f ca="1">IF(Summary_Exchange_Balances_00UTC!$B52="","",IF(ISERROR($G53),$E53,$G53))</f>
        <v>48.386672320000002</v>
      </c>
      <c r="K53" t="str">
        <f t="shared" ca="1" si="0"/>
        <v>BINEBNB</v>
      </c>
      <c r="L53" t="str">
        <f ca="1">UPPER($P53&amp;$N53&amp;Q53)</f>
        <v>BINE-2-S1-MBNB</v>
      </c>
      <c r="N53" s="161" t="str">
        <f ca="1">IF(raw_exchange_data!$A52="","",OFFSET(raw_exchange_data!$A52,0,MATCH(N$2,raw_exchange_data!$1:$1,0)-1))</f>
        <v>BNB</v>
      </c>
      <c r="O53" s="161" t="str">
        <f ca="1">IF(raw_exchange_data!$A52="","",OFFSET(raw_exchange_data!$A52,0,MATCH(O$2,raw_exchange_data!$1:$1,0)-1))</f>
        <v>BINE</v>
      </c>
      <c r="P53" s="161" t="str">
        <f ca="1">IF(raw_exchange_data!$A52="","",OFFSET(raw_exchange_data!$A52,0,MATCH(P$2,raw_exchange_data!$1:$1,0)-1))</f>
        <v>BINE-2-S1-M</v>
      </c>
      <c r="Q53" s="161" t="str">
        <f ca="1">IF(raw_exchange_data!$A52="","",TEXT(OFFSET(raw_exchange_data!$A52,0,MATCH(Q$2,raw_exchange_data!$1:$1,0)-1),""))</f>
        <v/>
      </c>
      <c r="R53" s="162">
        <f ca="1">IF(raw_exchange_data!$A52="","",OFFSET(raw_exchange_data!$A52,0,MATCH(R$2,raw_exchange_data!$1:$1,0)-1))</f>
        <v>2496.7888121000001</v>
      </c>
      <c r="S53" s="190">
        <f ca="1">IF(raw_exchange_data!$A52="","",OFFSET(raw_exchange_data!$A52,0,MATCH(S$2,raw_exchange_data!$1:$1,0)-1))</f>
        <v>44937.666671377316</v>
      </c>
      <c r="T53" s="161">
        <v>1</v>
      </c>
      <c r="W53" t="str">
        <f t="shared" si="1"/>
        <v>BINE</v>
      </c>
      <c r="X53" t="str">
        <f t="shared" si="2"/>
        <v>BNB</v>
      </c>
      <c r="Y53" s="42">
        <f t="shared" si="3"/>
        <v>47.01499536</v>
      </c>
      <c r="Z53" s="42">
        <f t="shared" ca="1" si="4"/>
        <v>48.386672320000002</v>
      </c>
      <c r="AB53" s="3" t="s">
        <v>415</v>
      </c>
      <c r="AC53" s="32">
        <v>-264.17528263002168</v>
      </c>
      <c r="AD53" s="32">
        <v>-56514.343949300004</v>
      </c>
    </row>
    <row r="54" spans="1:30" x14ac:dyDescent="0.25">
      <c r="A54" t="str">
        <f>IF(Summary_Exchange_Balances_00UTC!$B53="","",Summary_Exchange_Balances_00UTC!$N53)</f>
        <v>BINE</v>
      </c>
      <c r="B54" t="str">
        <f>IF(Summary_Exchange_Balances_00UTC!$B53="","",Summary_Exchange_Balances_00UTC!$B53)</f>
        <v>BINE-2-S1-P</v>
      </c>
      <c r="C54" t="str">
        <f>IF(Summary_Exchange_Balances_00UTC!$B53="","",Summary_Exchange_Balances_00UTC!$E53)</f>
        <v>BUSD</v>
      </c>
      <c r="D54" t="str">
        <f>IF(OR(Summary_Exchange_Balances_00UTC!$B53="",Summary_Exchange_Balances_00UTC!$D53=""),"",Summary_Exchange_Balances_00UTC!$D53)</f>
        <v>Balance</v>
      </c>
      <c r="E54" s="52">
        <f>IF(Summary_Exchange_Balances_00UTC!$B53="","",Summary_Exchange_Balances_00UTC!$C53)</f>
        <v>16000004.791549399</v>
      </c>
      <c r="G54" s="52">
        <f ca="1">IF(Summary_Exchange_Balances_00UTC!$B53="","",VLOOKUP(IF(ISERROR(SEARCH(" ", $B54)),UPPER($B54&amp;$C54&amp;IF(OR(NOT(ISERROR(SEARCH("trade",$D54))),NOT(ISERROR(SEARCH("balance",$D54)))),"",$D54)),UPPER(LEFT($B54, SEARCH(" ",$B54)-1)&amp;$C54&amp;IF(OR(NOT(ISERROR(SEARCH("trade",$D54))),NOT(ISERROR(SEARCH("balance",$D54)))),"",$D54))),$L:$T,MATCH("balance",$L$2:$S$2,0),FALSE))</f>
        <v>16000004.7915495</v>
      </c>
      <c r="H54" s="35">
        <f ca="1">IF(Summary_Exchange_Balances_00UTC!$B53="","",(G54-E54)/E54)</f>
        <v>6.2864254960470857E-15</v>
      </c>
      <c r="I54" s="165">
        <f ca="1">IF(Summary_Exchange_Balances_00UTC!$B53="","",IF(ISERROR($G54),$E54,$G54))</f>
        <v>16000004.7915495</v>
      </c>
      <c r="K54" t="str">
        <f t="shared" ca="1" si="0"/>
        <v>BINEBTC</v>
      </c>
      <c r="L54" t="str">
        <f ca="1">UPPER($P54&amp;$N54&amp;Q54)</f>
        <v>BINE-2-S1-MBTC</v>
      </c>
      <c r="N54" s="161" t="str">
        <f ca="1">IF(raw_exchange_data!$A53="","",OFFSET(raw_exchange_data!$A53,0,MATCH(N$2,raw_exchange_data!$1:$1,0)-1))</f>
        <v>BTC</v>
      </c>
      <c r="O54" s="161" t="str">
        <f ca="1">IF(raw_exchange_data!$A53="","",OFFSET(raw_exchange_data!$A53,0,MATCH(O$2,raw_exchange_data!$1:$1,0)-1))</f>
        <v>BINE</v>
      </c>
      <c r="P54" s="161" t="str">
        <f ca="1">IF(raw_exchange_data!$A53="","",OFFSET(raw_exchange_data!$A53,0,MATCH(P$2,raw_exchange_data!$1:$1,0)-1))</f>
        <v>BINE-2-S1-M</v>
      </c>
      <c r="Q54" s="161" t="str">
        <f ca="1">IF(raw_exchange_data!$A53="","",TEXT(OFFSET(raw_exchange_data!$A53,0,MATCH(Q$2,raw_exchange_data!$1:$1,0)-1),""))</f>
        <v/>
      </c>
      <c r="R54" s="162">
        <f ca="1">IF(raw_exchange_data!$A53="","",OFFSET(raw_exchange_data!$A53,0,MATCH(R$2,raw_exchange_data!$1:$1,0)-1))</f>
        <v>586.20072805999996</v>
      </c>
      <c r="S54" s="190">
        <f ca="1">IF(raw_exchange_data!$A53="","",OFFSET(raw_exchange_data!$A53,0,MATCH(S$2,raw_exchange_data!$1:$1,0)-1))</f>
        <v>44937.666671377316</v>
      </c>
      <c r="T54" s="161">
        <v>1</v>
      </c>
      <c r="W54" t="str">
        <f t="shared" si="1"/>
        <v>BINE</v>
      </c>
      <c r="X54" t="str">
        <f t="shared" si="2"/>
        <v>BUSD</v>
      </c>
      <c r="Y54" s="42">
        <f t="shared" si="3"/>
        <v>16000004.791549399</v>
      </c>
      <c r="Z54" s="42">
        <f t="shared" ca="1" si="4"/>
        <v>16000004.7915495</v>
      </c>
      <c r="AB54" s="3" t="s">
        <v>135</v>
      </c>
      <c r="AC54" s="32">
        <v>-245478.40776092</v>
      </c>
      <c r="AD54" s="32">
        <v>-124899.26247875998</v>
      </c>
    </row>
    <row r="55" spans="1:30" x14ac:dyDescent="0.25">
      <c r="A55" t="str">
        <f>IF(Summary_Exchange_Balances_00UTC!$B54="","",Summary_Exchange_Balances_00UTC!$N54)</f>
        <v>BINE</v>
      </c>
      <c r="B55" t="str">
        <f>IF(Summary_Exchange_Balances_00UTC!$B54="","",Summary_Exchange_Balances_00UTC!$B54)</f>
        <v>BINE-2-S1-P</v>
      </c>
      <c r="C55" t="str">
        <f>IF(Summary_Exchange_Balances_00UTC!$B54="","",Summary_Exchange_Balances_00UTC!$E54)</f>
        <v>USDT</v>
      </c>
      <c r="D55" t="str">
        <f>IF(OR(Summary_Exchange_Balances_00UTC!$B54="",Summary_Exchange_Balances_00UTC!$D54=""),"",Summary_Exchange_Balances_00UTC!$D54)</f>
        <v>Balance</v>
      </c>
      <c r="E55" s="52">
        <f>IF(Summary_Exchange_Balances_00UTC!$B54="","",Summary_Exchange_Balances_00UTC!$C54)</f>
        <v>13400136.677891999</v>
      </c>
      <c r="G55" s="52">
        <f ca="1">IF(Summary_Exchange_Balances_00UTC!$B54="","",VLOOKUP(IF(ISERROR(SEARCH(" ", $B55)),UPPER($B55&amp;$C55&amp;IF(OR(NOT(ISERROR(SEARCH("trade",$D55))),NOT(ISERROR(SEARCH("balance",$D55)))),"",$D55)),UPPER(LEFT($B55, SEARCH(" ",$B55)-1)&amp;$C55&amp;IF(OR(NOT(ISERROR(SEARCH("trade",$D55))),NOT(ISERROR(SEARCH("balance",$D55)))),"",$D55))),$L:$T,MATCH("balance",$L$2:$S$2,0),FALSE))</f>
        <v>11184455.038044401</v>
      </c>
      <c r="H55" s="35">
        <f ca="1">IF(Summary_Exchange_Balances_00UTC!$B54="","",(G55-E55)/E55)</f>
        <v>-0.1653476895876074</v>
      </c>
      <c r="I55" s="165">
        <f ca="1">IF(Summary_Exchange_Balances_00UTC!$B54="","",IF(ISERROR($G55),$E55,$G55))</f>
        <v>11184455.038044401</v>
      </c>
      <c r="K55" t="str">
        <f t="shared" ca="1" si="0"/>
        <v>BINEBUSD</v>
      </c>
      <c r="L55" t="str">
        <f ca="1">UPPER($P55&amp;$N55&amp;Q55)</f>
        <v>BINE-2-S1-MBUSD</v>
      </c>
      <c r="N55" s="161" t="str">
        <f ca="1">IF(raw_exchange_data!$A54="","",OFFSET(raw_exchange_data!$A54,0,MATCH(N$2,raw_exchange_data!$1:$1,0)-1))</f>
        <v>BUSD</v>
      </c>
      <c r="O55" s="161" t="str">
        <f ca="1">IF(raw_exchange_data!$A54="","",OFFSET(raw_exchange_data!$A54,0,MATCH(O$2,raw_exchange_data!$1:$1,0)-1))</f>
        <v>BINE</v>
      </c>
      <c r="P55" s="161" t="str">
        <f ca="1">IF(raw_exchange_data!$A54="","",OFFSET(raw_exchange_data!$A54,0,MATCH(P$2,raw_exchange_data!$1:$1,0)-1))</f>
        <v>BINE-2-S1-M</v>
      </c>
      <c r="Q55" s="161" t="str">
        <f ca="1">IF(raw_exchange_data!$A54="","",TEXT(OFFSET(raw_exchange_data!$A54,0,MATCH(Q$2,raw_exchange_data!$1:$1,0)-1),""))</f>
        <v/>
      </c>
      <c r="R55" s="162">
        <f ca="1">IF(raw_exchange_data!$A54="","",OFFSET(raw_exchange_data!$A54,0,MATCH(R$2,raw_exchange_data!$1:$1,0)-1))</f>
        <v>4361445.7647673003</v>
      </c>
      <c r="S55" s="190">
        <f ca="1">IF(raw_exchange_data!$A54="","",OFFSET(raw_exchange_data!$A54,0,MATCH(S$2,raw_exchange_data!$1:$1,0)-1))</f>
        <v>44937.666671377316</v>
      </c>
      <c r="T55" s="161">
        <v>1</v>
      </c>
      <c r="W55" t="str">
        <f t="shared" si="1"/>
        <v>BINE</v>
      </c>
      <c r="X55" t="str">
        <f t="shared" si="2"/>
        <v>USDT</v>
      </c>
      <c r="Y55" s="42">
        <f t="shared" si="3"/>
        <v>13400136.677891999</v>
      </c>
      <c r="Z55" s="42">
        <f t="shared" ca="1" si="4"/>
        <v>11184455.038044401</v>
      </c>
      <c r="AB55" s="3" t="s">
        <v>136</v>
      </c>
      <c r="AC55" s="32">
        <v>5337.6979873099999</v>
      </c>
      <c r="AD55" s="32">
        <v>5337.6979873099999</v>
      </c>
    </row>
    <row r="56" spans="1:30" x14ac:dyDescent="0.25">
      <c r="A56" t="str">
        <f>IF(Summary_Exchange_Balances_00UTC!$B55="","",Summary_Exchange_Balances_00UTC!$N55)</f>
        <v>BINE</v>
      </c>
      <c r="B56" t="str">
        <f>IF(Summary_Exchange_Balances_00UTC!$B55="","",Summary_Exchange_Balances_00UTC!$B55)</f>
        <v>BINE-2-S1-P</v>
      </c>
      <c r="C56" t="str">
        <f>IF(Summary_Exchange_Balances_00UTC!$B55="","",Summary_Exchange_Balances_00UTC!$E55)</f>
        <v>USDT</v>
      </c>
      <c r="D56" t="str">
        <f>IF(OR(Summary_Exchange_Balances_00UTC!$B55="",Summary_Exchange_Balances_00UTC!$D55=""),"",Summary_Exchange_Balances_00UTC!$D55)</f>
        <v>Unrealized</v>
      </c>
      <c r="E56" s="52">
        <f>IF(Summary_Exchange_Balances_00UTC!$B55="","",Summary_Exchange_Balances_00UTC!$C55)</f>
        <v>878081.47598261002</v>
      </c>
      <c r="G56" s="52">
        <f ca="1">IF(Summary_Exchange_Balances_00UTC!$B55="","",VLOOKUP(IF(ISERROR(SEARCH(" ", $B56)),UPPER($B56&amp;$C56&amp;IF(OR(NOT(ISERROR(SEARCH("trade",$D56))),NOT(ISERROR(SEARCH("balance",$D56)))),"",$D56)),UPPER(LEFT($B56, SEARCH(" ",$B56)-1)&amp;$C56&amp;IF(OR(NOT(ISERROR(SEARCH("trade",$D56))),NOT(ISERROR(SEARCH("balance",$D56)))),"",$D56))),$L:$T,MATCH("balance",$L$2:$S$2,0),FALSE))</f>
        <v>-155125.90950678001</v>
      </c>
      <c r="H56" s="35">
        <f ca="1">IF(Summary_Exchange_Balances_00UTC!$B55="","",(G56-E56)/E56)</f>
        <v>-1.1766645963384976</v>
      </c>
      <c r="I56" s="165">
        <f ca="1">IF(Summary_Exchange_Balances_00UTC!$B55="","",IF(ISERROR($G56),$E56,$G56))</f>
        <v>-155125.90950678001</v>
      </c>
      <c r="K56" t="str">
        <f t="shared" ca="1" si="0"/>
        <v>BINECOMP</v>
      </c>
      <c r="L56" t="str">
        <f ca="1">UPPER($P56&amp;$N56&amp;Q56)</f>
        <v>BINE-2-S1-MCOMP</v>
      </c>
      <c r="N56" s="161" t="str">
        <f ca="1">IF(raw_exchange_data!$A55="","",OFFSET(raw_exchange_data!$A55,0,MATCH(N$2,raw_exchange_data!$1:$1,0)-1))</f>
        <v>COMP</v>
      </c>
      <c r="O56" s="161" t="str">
        <f ca="1">IF(raw_exchange_data!$A55="","",OFFSET(raw_exchange_data!$A55,0,MATCH(O$2,raw_exchange_data!$1:$1,0)-1))</f>
        <v>BINE</v>
      </c>
      <c r="P56" s="161" t="str">
        <f ca="1">IF(raw_exchange_data!$A55="","",OFFSET(raw_exchange_data!$A55,0,MATCH(P$2,raw_exchange_data!$1:$1,0)-1))</f>
        <v>BINE-2-S1-M</v>
      </c>
      <c r="Q56" s="161" t="str">
        <f ca="1">IF(raw_exchange_data!$A55="","",TEXT(OFFSET(raw_exchange_data!$A55,0,MATCH(Q$2,raw_exchange_data!$1:$1,0)-1),""))</f>
        <v/>
      </c>
      <c r="R56" s="162">
        <f ca="1">IF(raw_exchange_data!$A55="","",OFFSET(raw_exchange_data!$A55,0,MATCH(R$2,raw_exchange_data!$1:$1,0)-1))</f>
        <v>-4800</v>
      </c>
      <c r="S56" s="190">
        <f ca="1">IF(raw_exchange_data!$A55="","",OFFSET(raw_exchange_data!$A55,0,MATCH(S$2,raw_exchange_data!$1:$1,0)-1))</f>
        <v>44937.666671377316</v>
      </c>
      <c r="T56" s="161">
        <v>1</v>
      </c>
      <c r="W56" t="str">
        <f t="shared" si="1"/>
        <v>BINE</v>
      </c>
      <c r="X56" t="str">
        <f t="shared" si="2"/>
        <v>USDT</v>
      </c>
      <c r="Y56" s="42">
        <f t="shared" si="3"/>
        <v>878081.47598261002</v>
      </c>
      <c r="Z56" s="42">
        <f t="shared" ca="1" si="4"/>
        <v>-155125.90950678001</v>
      </c>
      <c r="AB56" s="3" t="s">
        <v>137</v>
      </c>
      <c r="AC56" s="32">
        <v>1637.96510048</v>
      </c>
      <c r="AD56" s="32">
        <v>1655.0617244</v>
      </c>
    </row>
    <row r="57" spans="1:30" x14ac:dyDescent="0.25">
      <c r="A57" t="str">
        <f>IF(Summary_Exchange_Balances_00UTC!$B56="","",Summary_Exchange_Balances_00UTC!$N56)</f>
        <v>BINE</v>
      </c>
      <c r="B57" t="str">
        <f>IF(Summary_Exchange_Balances_00UTC!$B56="","",Summary_Exchange_Balances_00UTC!$B56)</f>
        <v>BINE-2-S2-P</v>
      </c>
      <c r="C57" t="str">
        <f>IF(Summary_Exchange_Balances_00UTC!$B56="","",Summary_Exchange_Balances_00UTC!$E56)</f>
        <v>USDT</v>
      </c>
      <c r="D57" t="str">
        <f>IF(OR(Summary_Exchange_Balances_00UTC!$B56="",Summary_Exchange_Balances_00UTC!$D56=""),"",Summary_Exchange_Balances_00UTC!$D56)</f>
        <v>Balance</v>
      </c>
      <c r="E57" s="52">
        <f>IF(Summary_Exchange_Balances_00UTC!$B56="","",Summary_Exchange_Balances_00UTC!$C56)</f>
        <v>829745.80743815005</v>
      </c>
      <c r="G57" s="52">
        <f ca="1">IF(Summary_Exchange_Balances_00UTC!$B56="","",VLOOKUP(IF(ISERROR(SEARCH(" ", $B57)),UPPER($B57&amp;$C57&amp;IF(OR(NOT(ISERROR(SEARCH("trade",$D57))),NOT(ISERROR(SEARCH("balance",$D57)))),"",$D57)),UPPER(LEFT($B57, SEARCH(" ",$B57)-1)&amp;$C57&amp;IF(OR(NOT(ISERROR(SEARCH("trade",$D57))),NOT(ISERROR(SEARCH("balance",$D57)))),"",$D57))),$L:$T,MATCH("balance",$L$2:$S$2,0),FALSE))</f>
        <v>764460.49539845996</v>
      </c>
      <c r="H57" s="35">
        <f ca="1">IF(Summary_Exchange_Balances_00UTC!$B56="","",(G57-E57)/E57)</f>
        <v>-7.8681099023879694E-2</v>
      </c>
      <c r="I57" s="165">
        <f ca="1">IF(Summary_Exchange_Balances_00UTC!$B56="","",IF(ISERROR($G57),$E57,$G57))</f>
        <v>764460.49539845996</v>
      </c>
      <c r="K57" t="str">
        <f t="shared" ca="1" si="0"/>
        <v>BINEDASH</v>
      </c>
      <c r="L57" t="str">
        <f ca="1">UPPER($P57&amp;$N57&amp;Q57)</f>
        <v>BINE-2-S1-MDASH</v>
      </c>
      <c r="N57" s="161" t="str">
        <f ca="1">IF(raw_exchange_data!$A56="","",OFFSET(raw_exchange_data!$A56,0,MATCH(N$2,raw_exchange_data!$1:$1,0)-1))</f>
        <v>DASH</v>
      </c>
      <c r="O57" s="161" t="str">
        <f ca="1">IF(raw_exchange_data!$A56="","",OFFSET(raw_exchange_data!$A56,0,MATCH(O$2,raw_exchange_data!$1:$1,0)-1))</f>
        <v>BINE</v>
      </c>
      <c r="P57" s="161" t="str">
        <f ca="1">IF(raw_exchange_data!$A56="","",OFFSET(raw_exchange_data!$A56,0,MATCH(P$2,raw_exchange_data!$1:$1,0)-1))</f>
        <v>BINE-2-S1-M</v>
      </c>
      <c r="Q57" s="161" t="str">
        <f ca="1">IF(raw_exchange_data!$A56="","",TEXT(OFFSET(raw_exchange_data!$A56,0,MATCH(Q$2,raw_exchange_data!$1:$1,0)-1),""))</f>
        <v/>
      </c>
      <c r="R57" s="162">
        <f ca="1">IF(raw_exchange_data!$A56="","",OFFSET(raw_exchange_data!$A56,0,MATCH(R$2,raw_exchange_data!$1:$1,0)-1))</f>
        <v>-1000</v>
      </c>
      <c r="S57" s="190">
        <f ca="1">IF(raw_exchange_data!$A56="","",OFFSET(raw_exchange_data!$A56,0,MATCH(S$2,raw_exchange_data!$1:$1,0)-1))</f>
        <v>44937.666671377316</v>
      </c>
      <c r="T57" s="161">
        <v>1</v>
      </c>
      <c r="W57" t="str">
        <f t="shared" si="1"/>
        <v>BINE</v>
      </c>
      <c r="X57" t="str">
        <f t="shared" si="2"/>
        <v>USDT</v>
      </c>
      <c r="Y57" s="42">
        <f t="shared" si="3"/>
        <v>829745.80743815005</v>
      </c>
      <c r="Z57" s="42">
        <f t="shared" ca="1" si="4"/>
        <v>764460.49539845996</v>
      </c>
      <c r="AB57" s="3" t="s">
        <v>429</v>
      </c>
      <c r="AC57" s="32">
        <v>480000</v>
      </c>
      <c r="AD57" s="32">
        <v>0</v>
      </c>
    </row>
    <row r="58" spans="1:30" x14ac:dyDescent="0.25">
      <c r="A58" t="str">
        <f>IF(Summary_Exchange_Balances_00UTC!$B57="","",Summary_Exchange_Balances_00UTC!$N57)</f>
        <v>BINE</v>
      </c>
      <c r="B58" t="str">
        <f>IF(Summary_Exchange_Balances_00UTC!$B57="","",Summary_Exchange_Balances_00UTC!$B57)</f>
        <v>BINE-2-S2-P</v>
      </c>
      <c r="C58" t="str">
        <f>IF(Summary_Exchange_Balances_00UTC!$B57="","",Summary_Exchange_Balances_00UTC!$E57)</f>
        <v>USDT</v>
      </c>
      <c r="D58" t="str">
        <f>IF(OR(Summary_Exchange_Balances_00UTC!$B57="",Summary_Exchange_Balances_00UTC!$D57=""),"",Summary_Exchange_Balances_00UTC!$D57)</f>
        <v>Unrealized</v>
      </c>
      <c r="E58" s="52">
        <f>IF(Summary_Exchange_Balances_00UTC!$B57="","",Summary_Exchange_Balances_00UTC!$C57)</f>
        <v>-507.05590913999998</v>
      </c>
      <c r="G58" s="52">
        <f ca="1">IF(Summary_Exchange_Balances_00UTC!$B57="","",VLOOKUP(IF(ISERROR(SEARCH(" ", $B58)),UPPER($B58&amp;$C58&amp;IF(OR(NOT(ISERROR(SEARCH("trade",$D58))),NOT(ISERROR(SEARCH("balance",$D58)))),"",$D58)),UPPER(LEFT($B58, SEARCH(" ",$B58)-1)&amp;$C58&amp;IF(OR(NOT(ISERROR(SEARCH("trade",$D58))),NOT(ISERROR(SEARCH("balance",$D58)))),"",$D58))),$L:$T,MATCH("balance",$L$2:$S$2,0),FALSE))</f>
        <v>7207.4441638099997</v>
      </c>
      <c r="H58" s="35">
        <f ca="1">IF(Summary_Exchange_Balances_00UTC!$B57="","",(G58-E58)/E58)</f>
        <v>-15.214298727006843</v>
      </c>
      <c r="I58" s="165">
        <f ca="1">IF(Summary_Exchange_Balances_00UTC!$B57="","",IF(ISERROR($G58),$E58,$G58))</f>
        <v>7207.4441638099997</v>
      </c>
      <c r="K58" t="str">
        <f t="shared" ca="1" si="0"/>
        <v>BINEDOGE</v>
      </c>
      <c r="L58" t="str">
        <f ca="1">UPPER($P58&amp;$N58&amp;Q58)</f>
        <v>BINE-2-S1-MDOGE</v>
      </c>
      <c r="N58" s="161" t="str">
        <f ca="1">IF(raw_exchange_data!$A57="","",OFFSET(raw_exchange_data!$A57,0,MATCH(N$2,raw_exchange_data!$1:$1,0)-1))</f>
        <v>DOGE</v>
      </c>
      <c r="O58" s="161" t="str">
        <f ca="1">IF(raw_exchange_data!$A57="","",OFFSET(raw_exchange_data!$A57,0,MATCH(O$2,raw_exchange_data!$1:$1,0)-1))</f>
        <v>BINE</v>
      </c>
      <c r="P58" s="161" t="str">
        <f ca="1">IF(raw_exchange_data!$A57="","",OFFSET(raw_exchange_data!$A57,0,MATCH(P$2,raw_exchange_data!$1:$1,0)-1))</f>
        <v>BINE-2-S1-M</v>
      </c>
      <c r="Q58" s="161" t="str">
        <f ca="1">IF(raw_exchange_data!$A57="","",TEXT(OFFSET(raw_exchange_data!$A57,0,MATCH(Q$2,raw_exchange_data!$1:$1,0)-1),""))</f>
        <v/>
      </c>
      <c r="R58" s="162">
        <f ca="1">IF(raw_exchange_data!$A57="","",OFFSET(raw_exchange_data!$A57,0,MATCH(R$2,raw_exchange_data!$1:$1,0)-1))</f>
        <v>-1100000</v>
      </c>
      <c r="S58" s="190">
        <f ca="1">IF(raw_exchange_data!$A57="","",OFFSET(raw_exchange_data!$A57,0,MATCH(S$2,raw_exchange_data!$1:$1,0)-1))</f>
        <v>44937.666671377316</v>
      </c>
      <c r="T58" s="161">
        <v>1</v>
      </c>
      <c r="W58" t="str">
        <f t="shared" si="1"/>
        <v>BINE</v>
      </c>
      <c r="X58" t="str">
        <f t="shared" si="2"/>
        <v>USDT</v>
      </c>
      <c r="Y58" s="42">
        <f t="shared" si="3"/>
        <v>-507.05590913999998</v>
      </c>
      <c r="Z58" s="42">
        <f t="shared" ca="1" si="4"/>
        <v>7207.4441638099997</v>
      </c>
      <c r="AB58" s="3" t="s">
        <v>139</v>
      </c>
      <c r="AC58" s="32">
        <v>14.785856219999999</v>
      </c>
      <c r="AD58" s="32">
        <v>14.785856219999999</v>
      </c>
    </row>
    <row r="59" spans="1:30" x14ac:dyDescent="0.25">
      <c r="A59" t="str">
        <f>IF(Summary_Exchange_Balances_00UTC!$B58="","",Summary_Exchange_Balances_00UTC!$N58)</f>
        <v xml:space="preserve">BTFX </v>
      </c>
      <c r="B59" t="str">
        <f>IF(Summary_Exchange_Balances_00UTC!$B58="","",Summary_Exchange_Balances_00UTC!$B58)</f>
        <v>BTFX-1-M-E</v>
      </c>
      <c r="C59" t="str">
        <f>IF(Summary_Exchange_Balances_00UTC!$B58="","",Summary_Exchange_Balances_00UTC!$E58)</f>
        <v>BTC</v>
      </c>
      <c r="D59" t="str">
        <f>IF(OR(Summary_Exchange_Balances_00UTC!$B58="",Summary_Exchange_Balances_00UTC!$D58=""),"",Summary_Exchange_Balances_00UTC!$D58)</f>
        <v/>
      </c>
      <c r="E59" s="52">
        <f>IF(Summary_Exchange_Balances_00UTC!$B58="","",Summary_Exchange_Balances_00UTC!$C58)</f>
        <v>7.9996000000000008E-3</v>
      </c>
      <c r="G59" s="52">
        <f ca="1">IF(Summary_Exchange_Balances_00UTC!$B58="","",VLOOKUP(IF(ISERROR(SEARCH(" ", $B59)),UPPER($B59&amp;$C59&amp;IF(OR(NOT(ISERROR(SEARCH("trade",$D59))),NOT(ISERROR(SEARCH("balance",$D59)))),"",$D59)),UPPER(LEFT($B59, SEARCH(" ",$B59)-1)&amp;$C59&amp;IF(OR(NOT(ISERROR(SEARCH("trade",$D59))),NOT(ISERROR(SEARCH("balance",$D59)))),"",$D59))),$L:$T,MATCH("balance",$L$2:$S$2,0),FALSE))</f>
        <v>7.9996000000000008E-3</v>
      </c>
      <c r="H59" s="35">
        <f ca="1">IF(Summary_Exchange_Balances_00UTC!$B58="","",(G59-E59)/E59)</f>
        <v>0</v>
      </c>
      <c r="I59" s="165">
        <f ca="1">IF(Summary_Exchange_Balances_00UTC!$B58="","",IF(ISERROR($G59),$E59,$G59))</f>
        <v>7.9996000000000008E-3</v>
      </c>
      <c r="K59" t="str">
        <f t="shared" ca="1" si="0"/>
        <v>BINEDOT</v>
      </c>
      <c r="L59" t="str">
        <f ca="1">UPPER($P59&amp;$N59&amp;Q59)</f>
        <v>BINE-2-S1-MDOT</v>
      </c>
      <c r="N59" s="161" t="str">
        <f ca="1">IF(raw_exchange_data!$A58="","",OFFSET(raw_exchange_data!$A58,0,MATCH(N$2,raw_exchange_data!$1:$1,0)-1))</f>
        <v>DOT</v>
      </c>
      <c r="O59" s="161" t="str">
        <f ca="1">IF(raw_exchange_data!$A58="","",OFFSET(raw_exchange_data!$A58,0,MATCH(O$2,raw_exchange_data!$1:$1,0)-1))</f>
        <v>BINE</v>
      </c>
      <c r="P59" s="161" t="str">
        <f ca="1">IF(raw_exchange_data!$A58="","",OFFSET(raw_exchange_data!$A58,0,MATCH(P$2,raw_exchange_data!$1:$1,0)-1))</f>
        <v>BINE-2-S1-M</v>
      </c>
      <c r="Q59" s="161" t="str">
        <f ca="1">IF(raw_exchange_data!$A58="","",TEXT(OFFSET(raw_exchange_data!$A58,0,MATCH(Q$2,raw_exchange_data!$1:$1,0)-1),""))</f>
        <v/>
      </c>
      <c r="R59" s="162">
        <f ca="1">IF(raw_exchange_data!$A58="","",OFFSET(raw_exchange_data!$A58,0,MATCH(R$2,raw_exchange_data!$1:$1,0)-1))</f>
        <v>-10000</v>
      </c>
      <c r="S59" s="190">
        <f ca="1">IF(raw_exchange_data!$A58="","",OFFSET(raw_exchange_data!$A58,0,MATCH(S$2,raw_exchange_data!$1:$1,0)-1))</f>
        <v>44937.666671377316</v>
      </c>
      <c r="T59" s="161">
        <v>1</v>
      </c>
      <c r="W59" t="str">
        <f t="shared" si="1"/>
        <v xml:space="preserve">BTFX </v>
      </c>
      <c r="X59" t="str">
        <f t="shared" si="2"/>
        <v>BTC</v>
      </c>
      <c r="Y59" s="42">
        <f t="shared" si="3"/>
        <v>7.9996000000000008E-3</v>
      </c>
      <c r="Z59" s="42">
        <f t="shared" ca="1" si="4"/>
        <v>7.9996000000000008E-3</v>
      </c>
      <c r="AB59" s="3" t="s">
        <v>140</v>
      </c>
      <c r="AC59" s="32">
        <v>0.81765067999999996</v>
      </c>
      <c r="AD59" s="32">
        <v>0.81765067999999996</v>
      </c>
    </row>
    <row r="60" spans="1:30" x14ac:dyDescent="0.25">
      <c r="A60" t="str">
        <f>IF(Summary_Exchange_Balances_00UTC!$B59="","",Summary_Exchange_Balances_00UTC!$N59)</f>
        <v xml:space="preserve">BTFX </v>
      </c>
      <c r="B60" t="str">
        <f>IF(Summary_Exchange_Balances_00UTC!$B59="","",Summary_Exchange_Balances_00UTC!$B59)</f>
        <v>BTFX-1-M-E</v>
      </c>
      <c r="C60" t="str">
        <f>IF(Summary_Exchange_Balances_00UTC!$B59="","",Summary_Exchange_Balances_00UTC!$E59)</f>
        <v>ETH</v>
      </c>
      <c r="D60" t="str">
        <f>IF(OR(Summary_Exchange_Balances_00UTC!$B59="",Summary_Exchange_Balances_00UTC!$D59=""),"",Summary_Exchange_Balances_00UTC!$D59)</f>
        <v/>
      </c>
      <c r="E60" s="52">
        <f>IF(Summary_Exchange_Balances_00UTC!$B59="","",Summary_Exchange_Balances_00UTC!$C59)</f>
        <v>0.02</v>
      </c>
      <c r="G60" s="52">
        <f ca="1">IF(Summary_Exchange_Balances_00UTC!$B59="","",VLOOKUP(IF(ISERROR(SEARCH(" ", $B60)),UPPER($B60&amp;$C60&amp;IF(OR(NOT(ISERROR(SEARCH("trade",$D60))),NOT(ISERROR(SEARCH("balance",$D60)))),"",$D60)),UPPER(LEFT($B60, SEARCH(" ",$B60)-1)&amp;$C60&amp;IF(OR(NOT(ISERROR(SEARCH("trade",$D60))),NOT(ISERROR(SEARCH("balance",$D60)))),"",$D60))),$L:$T,MATCH("balance",$L$2:$S$2,0),FALSE))</f>
        <v>0.02</v>
      </c>
      <c r="H60" s="35">
        <f ca="1">IF(Summary_Exchange_Balances_00UTC!$B59="","",(G60-E60)/E60)</f>
        <v>0</v>
      </c>
      <c r="I60" s="165">
        <f ca="1">IF(Summary_Exchange_Balances_00UTC!$B59="","",IF(ISERROR($G60),$E60,$G60))</f>
        <v>0.02</v>
      </c>
      <c r="K60" t="str">
        <f t="shared" ca="1" si="0"/>
        <v>BINEENJ</v>
      </c>
      <c r="L60" t="str">
        <f ca="1">UPPER($P60&amp;$N60&amp;Q60)</f>
        <v>BINE-2-S1-MENJ</v>
      </c>
      <c r="N60" s="161" t="str">
        <f ca="1">IF(raw_exchange_data!$A59="","",OFFSET(raw_exchange_data!$A59,0,MATCH(N$2,raw_exchange_data!$1:$1,0)-1))</f>
        <v>ENJ</v>
      </c>
      <c r="O60" s="161" t="str">
        <f ca="1">IF(raw_exchange_data!$A59="","",OFFSET(raw_exchange_data!$A59,0,MATCH(O$2,raw_exchange_data!$1:$1,0)-1))</f>
        <v>BINE</v>
      </c>
      <c r="P60" s="161" t="str">
        <f ca="1">IF(raw_exchange_data!$A59="","",OFFSET(raw_exchange_data!$A59,0,MATCH(P$2,raw_exchange_data!$1:$1,0)-1))</f>
        <v>BINE-2-S1-M</v>
      </c>
      <c r="Q60" s="161" t="str">
        <f ca="1">IF(raw_exchange_data!$A59="","",TEXT(OFFSET(raw_exchange_data!$A59,0,MATCH(Q$2,raw_exchange_data!$1:$1,0)-1),""))</f>
        <v/>
      </c>
      <c r="R60" s="162">
        <f ca="1">IF(raw_exchange_data!$A59="","",OFFSET(raw_exchange_data!$A59,0,MATCH(R$2,raw_exchange_data!$1:$1,0)-1))</f>
        <v>-60000</v>
      </c>
      <c r="S60" s="190">
        <f ca="1">IF(raw_exchange_data!$A59="","",OFFSET(raw_exchange_data!$A59,0,MATCH(S$2,raw_exchange_data!$1:$1,0)-1))</f>
        <v>44937.666671377316</v>
      </c>
      <c r="T60" s="161">
        <v>1</v>
      </c>
      <c r="W60" t="str">
        <f t="shared" si="1"/>
        <v xml:space="preserve">BTFX </v>
      </c>
      <c r="X60" t="str">
        <f t="shared" si="2"/>
        <v>ETH</v>
      </c>
      <c r="Y60" s="42">
        <f t="shared" si="3"/>
        <v>0.02</v>
      </c>
      <c r="Z60" s="42">
        <f t="shared" ca="1" si="4"/>
        <v>0.02</v>
      </c>
      <c r="AB60" s="3" t="s">
        <v>141</v>
      </c>
      <c r="AC60" s="32">
        <v>9.1121815000000002</v>
      </c>
      <c r="AD60" s="32">
        <v>9.1121815000000002</v>
      </c>
    </row>
    <row r="61" spans="1:30" x14ac:dyDescent="0.25">
      <c r="A61" t="str">
        <f>IF(Summary_Exchange_Balances_00UTC!$B60="","",Summary_Exchange_Balances_00UTC!$N60)</f>
        <v xml:space="preserve">BTFX </v>
      </c>
      <c r="B61" t="str">
        <f>IF(Summary_Exchange_Balances_00UTC!$B60="","",Summary_Exchange_Balances_00UTC!$B60)</f>
        <v>BTFX-1-M-E</v>
      </c>
      <c r="C61" t="str">
        <f>IF(Summary_Exchange_Balances_00UTC!$B60="","",Summary_Exchange_Balances_00UTC!$E60)</f>
        <v>ETHW</v>
      </c>
      <c r="D61" t="str">
        <f>IF(OR(Summary_Exchange_Balances_00UTC!$B60="",Summary_Exchange_Balances_00UTC!$D60=""),"",Summary_Exchange_Balances_00UTC!$D60)</f>
        <v/>
      </c>
      <c r="E61" s="53">
        <f>IF(Summary_Exchange_Balances_00UTC!$B60="","",Summary_Exchange_Balances_00UTC!$C60)</f>
        <v>0.02</v>
      </c>
      <c r="G61" s="52">
        <f ca="1">IF(Summary_Exchange_Balances_00UTC!$B60="","",VLOOKUP(IF(ISERROR(SEARCH(" ", $B61)),UPPER($B61&amp;$C61&amp;IF(OR(NOT(ISERROR(SEARCH("trade",$D61))),NOT(ISERROR(SEARCH("balance",$D61)))),"",$D61)),UPPER(LEFT($B61, SEARCH(" ",$B61)-1)&amp;$C61&amp;IF(OR(NOT(ISERROR(SEARCH("trade",$D61))),NOT(ISERROR(SEARCH("balance",$D61)))),"",$D61))),$L:$T,MATCH("balance",$L$2:$S$2,0),FALSE))</f>
        <v>0.02</v>
      </c>
      <c r="H61" s="35">
        <f ca="1">IF(Summary_Exchange_Balances_00UTC!$B60="","",(G61-E61)/E61)</f>
        <v>0</v>
      </c>
      <c r="I61" s="165">
        <f ca="1">IF(Summary_Exchange_Balances_00UTC!$B60="","",IF(ISERROR($G61),$E61,$G61))</f>
        <v>0.02</v>
      </c>
      <c r="K61" t="str">
        <f t="shared" ca="1" si="0"/>
        <v>BINEEOS</v>
      </c>
      <c r="L61" t="str">
        <f ca="1">UPPER($P61&amp;$N61&amp;Q61)</f>
        <v>BINE-2-S1-MEOS</v>
      </c>
      <c r="N61" s="161" t="str">
        <f ca="1">IF(raw_exchange_data!$A60="","",OFFSET(raw_exchange_data!$A60,0,MATCH(N$2,raw_exchange_data!$1:$1,0)-1))</f>
        <v>EOS</v>
      </c>
      <c r="O61" s="161" t="str">
        <f ca="1">IF(raw_exchange_data!$A60="","",OFFSET(raw_exchange_data!$A60,0,MATCH(O$2,raw_exchange_data!$1:$1,0)-1))</f>
        <v>BINE</v>
      </c>
      <c r="P61" s="161" t="str">
        <f ca="1">IF(raw_exchange_data!$A60="","",OFFSET(raw_exchange_data!$A60,0,MATCH(P$2,raw_exchange_data!$1:$1,0)-1))</f>
        <v>BINE-2-S1-M</v>
      </c>
      <c r="Q61" s="161" t="str">
        <f ca="1">IF(raw_exchange_data!$A60="","",TEXT(OFFSET(raw_exchange_data!$A60,0,MATCH(Q$2,raw_exchange_data!$1:$1,0)-1),""))</f>
        <v/>
      </c>
      <c r="R61" s="162">
        <f ca="1">IF(raw_exchange_data!$A60="","",OFFSET(raw_exchange_data!$A60,0,MATCH(R$2,raw_exchange_data!$1:$1,0)-1))</f>
        <v>-118545.5</v>
      </c>
      <c r="S61" s="190">
        <f ca="1">IF(raw_exchange_data!$A60="","",OFFSET(raw_exchange_data!$A60,0,MATCH(S$2,raw_exchange_data!$1:$1,0)-1))</f>
        <v>44937.666671377316</v>
      </c>
      <c r="T61" s="161">
        <v>1</v>
      </c>
      <c r="W61" t="str">
        <f t="shared" si="1"/>
        <v xml:space="preserve">BTFX </v>
      </c>
      <c r="X61" t="str">
        <f t="shared" si="2"/>
        <v>ETHW</v>
      </c>
      <c r="Y61" s="42">
        <f t="shared" si="3"/>
        <v>0.02</v>
      </c>
      <c r="Z61" s="42">
        <f t="shared" ca="1" si="4"/>
        <v>0.02</v>
      </c>
      <c r="AB61" s="3" t="s">
        <v>43</v>
      </c>
      <c r="AC61" s="32">
        <v>9.3766399999999986E-3</v>
      </c>
      <c r="AD61" s="32">
        <v>9.3766442999999988E-3</v>
      </c>
    </row>
    <row r="62" spans="1:30" x14ac:dyDescent="0.25">
      <c r="A62" t="str">
        <f>IF(Summary_Exchange_Balances_00UTC!$B61="","",Summary_Exchange_Balances_00UTC!$N61)</f>
        <v xml:space="preserve">BTFX </v>
      </c>
      <c r="B62" t="str">
        <f>IF(Summary_Exchange_Balances_00UTC!$B61="","",Summary_Exchange_Balances_00UTC!$B61)</f>
        <v>BTFX-1-M-E</v>
      </c>
      <c r="C62" t="str">
        <f>IF(Summary_Exchange_Balances_00UTC!$B61="","",Summary_Exchange_Balances_00UTC!$E61)</f>
        <v>USD</v>
      </c>
      <c r="D62" t="str">
        <f>IF(OR(Summary_Exchange_Balances_00UTC!$B61="",Summary_Exchange_Balances_00UTC!$D61=""),"",Summary_Exchange_Balances_00UTC!$D61)</f>
        <v/>
      </c>
      <c r="E62" s="53">
        <f>IF(Summary_Exchange_Balances_00UTC!$B61="","",Summary_Exchange_Balances_00UTC!$C61)</f>
        <v>2.755467E-2</v>
      </c>
      <c r="G62" s="52">
        <f ca="1">IF(Summary_Exchange_Balances_00UTC!$B61="","",VLOOKUP(IF(ISERROR(SEARCH(" ", $B62)),UPPER($B62&amp;$C62&amp;IF(OR(NOT(ISERROR(SEARCH("trade",$D62))),NOT(ISERROR(SEARCH("balance",$D62)))),"",$D62)),UPPER(LEFT($B62, SEARCH(" ",$B62)-1)&amp;$C62&amp;IF(OR(NOT(ISERROR(SEARCH("trade",$D62))),NOT(ISERROR(SEARCH("balance",$D62)))),"",$D62))),$L:$T,MATCH("balance",$L$2:$S$2,0),FALSE))</f>
        <v>2.755467E-2</v>
      </c>
      <c r="H62" s="35">
        <f ca="1">IF(Summary_Exchange_Balances_00UTC!$B61="","",(G62-E62)/E62)</f>
        <v>0</v>
      </c>
      <c r="I62" s="165">
        <f ca="1">IF(Summary_Exchange_Balances_00UTC!$B61="","",IF(ISERROR($G62),$E62,$G62))</f>
        <v>2.755467E-2</v>
      </c>
      <c r="K62" t="str">
        <f t="shared" ca="1" si="0"/>
        <v>BINEETC</v>
      </c>
      <c r="L62" t="str">
        <f ca="1">UPPER($P62&amp;$N62&amp;Q62)</f>
        <v>BINE-2-S1-METC</v>
      </c>
      <c r="N62" s="161" t="str">
        <f ca="1">IF(raw_exchange_data!$A61="","",OFFSET(raw_exchange_data!$A61,0,MATCH(N$2,raw_exchange_data!$1:$1,0)-1))</f>
        <v>ETC</v>
      </c>
      <c r="O62" s="161" t="str">
        <f ca="1">IF(raw_exchange_data!$A61="","",OFFSET(raw_exchange_data!$A61,0,MATCH(O$2,raw_exchange_data!$1:$1,0)-1))</f>
        <v>BINE</v>
      </c>
      <c r="P62" s="161" t="str">
        <f ca="1">IF(raw_exchange_data!$A61="","",OFFSET(raw_exchange_data!$A61,0,MATCH(P$2,raw_exchange_data!$1:$1,0)-1))</f>
        <v>BINE-2-S1-M</v>
      </c>
      <c r="Q62" s="161" t="str">
        <f ca="1">IF(raw_exchange_data!$A61="","",TEXT(OFFSET(raw_exchange_data!$A61,0,MATCH(Q$2,raw_exchange_data!$1:$1,0)-1),""))</f>
        <v/>
      </c>
      <c r="R62" s="162">
        <f ca="1">IF(raw_exchange_data!$A61="","",OFFSET(raw_exchange_data!$A61,0,MATCH(R$2,raw_exchange_data!$1:$1,0)-1))</f>
        <v>0.15721859999999999</v>
      </c>
      <c r="S62" s="190">
        <f ca="1">IF(raw_exchange_data!$A61="","",OFFSET(raw_exchange_data!$A61,0,MATCH(S$2,raw_exchange_data!$1:$1,0)-1))</f>
        <v>44937.666671377316</v>
      </c>
      <c r="T62" s="161">
        <v>1</v>
      </c>
      <c r="W62" t="str">
        <f t="shared" si="1"/>
        <v xml:space="preserve">BTFX </v>
      </c>
      <c r="X62" t="str">
        <f t="shared" si="2"/>
        <v>USD</v>
      </c>
      <c r="Y62" s="42">
        <f t="shared" si="3"/>
        <v>2.755467E-2</v>
      </c>
      <c r="Z62" s="42">
        <f t="shared" ca="1" si="4"/>
        <v>2.755467E-2</v>
      </c>
      <c r="AB62" s="3" t="s">
        <v>142</v>
      </c>
      <c r="AC62" s="32">
        <v>0.24234807999999999</v>
      </c>
      <c r="AD62" s="32">
        <v>0.24234807999999999</v>
      </c>
    </row>
    <row r="63" spans="1:30" x14ac:dyDescent="0.25">
      <c r="A63" t="str">
        <f>IF(Summary_Exchange_Balances_00UTC!$B62="","",Summary_Exchange_Balances_00UTC!$N62)</f>
        <v xml:space="preserve">BTFX </v>
      </c>
      <c r="B63" t="str">
        <f>IF(Summary_Exchange_Balances_00UTC!$B62="","",Summary_Exchange_Balances_00UTC!$B62)</f>
        <v>BTFX-1-M-E</v>
      </c>
      <c r="C63" t="str">
        <f>IF(Summary_Exchange_Balances_00UTC!$B62="","",Summary_Exchange_Balances_00UTC!$E62)</f>
        <v>UST</v>
      </c>
      <c r="D63" t="str">
        <f>IF(OR(Summary_Exchange_Balances_00UTC!$B62="",Summary_Exchange_Balances_00UTC!$D62=""),"",Summary_Exchange_Balances_00UTC!$D62)</f>
        <v/>
      </c>
      <c r="E63" s="53">
        <f>IF(Summary_Exchange_Balances_00UTC!$B62="","",Summary_Exchange_Balances_00UTC!$C62)</f>
        <v>29.9885932</v>
      </c>
      <c r="G63" s="52">
        <f ca="1">IF(Summary_Exchange_Balances_00UTC!$B62="","",VLOOKUP(IF(ISERROR(SEARCH(" ", $B63)),UPPER($B63&amp;$C63&amp;IF(OR(NOT(ISERROR(SEARCH("trade",$D63))),NOT(ISERROR(SEARCH("balance",$D63)))),"",$D63)),UPPER(LEFT($B63, SEARCH(" ",$B63)-1)&amp;$C63&amp;IF(OR(NOT(ISERROR(SEARCH("trade",$D63))),NOT(ISERROR(SEARCH("balance",$D63)))),"",$D63))),$L:$T,MATCH("balance",$L$2:$S$2,0),FALSE))</f>
        <v>29.9885932</v>
      </c>
      <c r="H63" s="35">
        <f ca="1">IF(Summary_Exchange_Balances_00UTC!$B62="","",(G63-E63)/E63)</f>
        <v>0</v>
      </c>
      <c r="I63" s="165">
        <f ca="1">IF(Summary_Exchange_Balances_00UTC!$B62="","",IF(ISERROR($G63),$E63,$G63))</f>
        <v>29.9885932</v>
      </c>
      <c r="K63" t="str">
        <f t="shared" ca="1" si="0"/>
        <v>BINEETH</v>
      </c>
      <c r="L63" t="str">
        <f ca="1">UPPER($P63&amp;$N63&amp;Q63)</f>
        <v>BINE-2-S1-METH</v>
      </c>
      <c r="N63" s="161" t="str">
        <f ca="1">IF(raw_exchange_data!$A62="","",OFFSET(raw_exchange_data!$A62,0,MATCH(N$2,raw_exchange_data!$1:$1,0)-1))</f>
        <v>ETH</v>
      </c>
      <c r="O63" s="161" t="str">
        <f ca="1">IF(raw_exchange_data!$A62="","",OFFSET(raw_exchange_data!$A62,0,MATCH(O$2,raw_exchange_data!$1:$1,0)-1))</f>
        <v>BINE</v>
      </c>
      <c r="P63" s="161" t="str">
        <f ca="1">IF(raw_exchange_data!$A62="","",OFFSET(raw_exchange_data!$A62,0,MATCH(P$2,raw_exchange_data!$1:$1,0)-1))</f>
        <v>BINE-2-S1-M</v>
      </c>
      <c r="Q63" s="161" t="str">
        <f ca="1">IF(raw_exchange_data!$A62="","",TEXT(OFFSET(raw_exchange_data!$A62,0,MATCH(Q$2,raw_exchange_data!$1:$1,0)-1),""))</f>
        <v/>
      </c>
      <c r="R63" s="162">
        <f ca="1">IF(raw_exchange_data!$A62="","",OFFSET(raw_exchange_data!$A62,0,MATCH(R$2,raw_exchange_data!$1:$1,0)-1))</f>
        <v>4165.9602000000004</v>
      </c>
      <c r="S63" s="190">
        <f ca="1">IF(raw_exchange_data!$A62="","",OFFSET(raw_exchange_data!$A62,0,MATCH(S$2,raw_exchange_data!$1:$1,0)-1))</f>
        <v>44937.666671377316</v>
      </c>
      <c r="T63" s="161">
        <v>1</v>
      </c>
      <c r="W63" t="str">
        <f t="shared" si="1"/>
        <v xml:space="preserve">BTFX </v>
      </c>
      <c r="X63" t="str">
        <f t="shared" si="2"/>
        <v>UST</v>
      </c>
      <c r="Y63" s="42">
        <f t="shared" si="3"/>
        <v>29.9885932</v>
      </c>
      <c r="Z63" s="42">
        <f t="shared" ca="1" si="4"/>
        <v>29.9885932</v>
      </c>
      <c r="AB63" s="3" t="s">
        <v>143</v>
      </c>
      <c r="AC63" s="32">
        <v>1E-8</v>
      </c>
      <c r="AD63" s="32">
        <v>1E-8</v>
      </c>
    </row>
    <row r="64" spans="1:30" x14ac:dyDescent="0.25">
      <c r="A64" t="str">
        <f>IF(Summary_Exchange_Balances_00UTC!$B63="","",Summary_Exchange_Balances_00UTC!$N63)</f>
        <v>BTSE</v>
      </c>
      <c r="B64" t="str">
        <f>IF(Summary_Exchange_Balances_00UTC!$B63="","",Summary_Exchange_Balances_00UTC!$B63)</f>
        <v>BTSE</v>
      </c>
      <c r="C64" t="str">
        <f>IF(Summary_Exchange_Balances_00UTC!$B63="","",Summary_Exchange_Balances_00UTC!$E63)</f>
        <v>BCH</v>
      </c>
      <c r="D64" t="str">
        <f>IF(OR(Summary_Exchange_Balances_00UTC!$B63="",Summary_Exchange_Balances_00UTC!$D63=""),"",Summary_Exchange_Balances_00UTC!$D63)</f>
        <v/>
      </c>
      <c r="E64" s="53">
        <f>IF(Summary_Exchange_Balances_00UTC!$B63="","",Summary_Exchange_Balances_00UTC!$C63)</f>
        <v>0.21932823000000001</v>
      </c>
      <c r="G64" s="52">
        <f ca="1">IF(Summary_Exchange_Balances_00UTC!$B63="","",VLOOKUP(IF(ISERROR(SEARCH(" ", $B64)),UPPER($B64&amp;$C64&amp;IF(OR(NOT(ISERROR(SEARCH("trade",$D64))),NOT(ISERROR(SEARCH("balance",$D64)))),"",$D64)),UPPER(LEFT($B64, SEARCH(" ",$B64)-1)&amp;$C64&amp;IF(OR(NOT(ISERROR(SEARCH("trade",$D64))),NOT(ISERROR(SEARCH("balance",$D64)))),"",$D64))),$L:$T,MATCH("balance",$L$2:$S$2,0),FALSE))</f>
        <v>0.21932823000000001</v>
      </c>
      <c r="H64" s="35">
        <f ca="1">IF(Summary_Exchange_Balances_00UTC!$B63="","",(G64-E64)/E64)</f>
        <v>0</v>
      </c>
      <c r="I64" s="165">
        <f ca="1">IF(Summary_Exchange_Balances_00UTC!$B63="","",IF(ISERROR($G64),$E64,$G64))</f>
        <v>0.21932823000000001</v>
      </c>
      <c r="K64" t="str">
        <f t="shared" ca="1" si="0"/>
        <v>BINEFTM</v>
      </c>
      <c r="L64" t="str">
        <f ca="1">UPPER($P64&amp;$N64&amp;Q64)</f>
        <v>BINE-2-S1-MFTM</v>
      </c>
      <c r="N64" s="161" t="str">
        <f ca="1">IF(raw_exchange_data!$A63="","",OFFSET(raw_exchange_data!$A63,0,MATCH(N$2,raw_exchange_data!$1:$1,0)-1))</f>
        <v>FTM</v>
      </c>
      <c r="O64" s="161" t="str">
        <f ca="1">IF(raw_exchange_data!$A63="","",OFFSET(raw_exchange_data!$A63,0,MATCH(O$2,raw_exchange_data!$1:$1,0)-1))</f>
        <v>BINE</v>
      </c>
      <c r="P64" s="161" t="str">
        <f ca="1">IF(raw_exchange_data!$A63="","",OFFSET(raw_exchange_data!$A63,0,MATCH(P$2,raw_exchange_data!$1:$1,0)-1))</f>
        <v>BINE-2-S1-M</v>
      </c>
      <c r="Q64" s="161" t="str">
        <f ca="1">IF(raw_exchange_data!$A63="","",TEXT(OFFSET(raw_exchange_data!$A63,0,MATCH(Q$2,raw_exchange_data!$1:$1,0)-1),""))</f>
        <v/>
      </c>
      <c r="R64" s="162">
        <f ca="1">IF(raw_exchange_data!$A63="","",OFFSET(raw_exchange_data!$A63,0,MATCH(R$2,raw_exchange_data!$1:$1,0)-1))</f>
        <v>-300000</v>
      </c>
      <c r="S64" s="190">
        <f ca="1">IF(raw_exchange_data!$A63="","",OFFSET(raw_exchange_data!$A63,0,MATCH(S$2,raw_exchange_data!$1:$1,0)-1))</f>
        <v>44937.666671377316</v>
      </c>
      <c r="T64" s="161">
        <v>1</v>
      </c>
      <c r="W64" t="str">
        <f t="shared" si="1"/>
        <v>BTSE</v>
      </c>
      <c r="X64" t="str">
        <f t="shared" si="2"/>
        <v>BCH</v>
      </c>
      <c r="Y64" s="42">
        <f t="shared" si="3"/>
        <v>0.21932823000000001</v>
      </c>
      <c r="Z64" s="42">
        <f t="shared" ca="1" si="4"/>
        <v>0.21932823000000001</v>
      </c>
      <c r="AB64" s="3" t="s">
        <v>27</v>
      </c>
      <c r="AC64" s="32">
        <v>84706.436381390013</v>
      </c>
      <c r="AD64" s="32">
        <v>79696.744229862001</v>
      </c>
    </row>
    <row r="65" spans="1:30" x14ac:dyDescent="0.25">
      <c r="A65" t="str">
        <f>IF(Summary_Exchange_Balances_00UTC!$B64="","",Summary_Exchange_Balances_00UTC!$N64)</f>
        <v>BTSE</v>
      </c>
      <c r="B65" t="str">
        <f>IF(Summary_Exchange_Balances_00UTC!$B64="","",Summary_Exchange_Balances_00UTC!$B64)</f>
        <v>BTSE</v>
      </c>
      <c r="C65" t="str">
        <f>IF(Summary_Exchange_Balances_00UTC!$B64="","",Summary_Exchange_Balances_00UTC!$E64)</f>
        <v>BTC</v>
      </c>
      <c r="D65" t="str">
        <f>IF(OR(Summary_Exchange_Balances_00UTC!$B64="",Summary_Exchange_Balances_00UTC!$D64=""),"",Summary_Exchange_Balances_00UTC!$D64)</f>
        <v/>
      </c>
      <c r="E65" s="52">
        <f>IF(Summary_Exchange_Balances_00UTC!$B64="","",Summary_Exchange_Balances_00UTC!$C64)</f>
        <v>5.7861299999999997E-2</v>
      </c>
      <c r="G65" s="52">
        <f ca="1">IF(Summary_Exchange_Balances_00UTC!$B64="","",VLOOKUP(IF(ISERROR(SEARCH(" ", $B65)),UPPER($B65&amp;$C65&amp;IF(OR(NOT(ISERROR(SEARCH("trade",$D65))),NOT(ISERROR(SEARCH("balance",$D65)))),"",$D65)),UPPER(LEFT($B65, SEARCH(" ",$B65)-1)&amp;$C65&amp;IF(OR(NOT(ISERROR(SEARCH("trade",$D65))),NOT(ISERROR(SEARCH("balance",$D65)))),"",$D65))),$L:$T,MATCH("balance",$L$2:$S$2,0),FALSE))</f>
        <v>5.7861299999999997E-2</v>
      </c>
      <c r="H65" s="35">
        <f ca="1">IF(Summary_Exchange_Balances_00UTC!$B64="","",(G65-E65)/E65)</f>
        <v>0</v>
      </c>
      <c r="I65" s="165">
        <f ca="1">IF(Summary_Exchange_Balances_00UTC!$B64="","",IF(ISERROR($G65),$E65,$G65))</f>
        <v>5.7861299999999997E-2</v>
      </c>
      <c r="K65" t="str">
        <f t="shared" ca="1" si="0"/>
        <v>BINEGRT</v>
      </c>
      <c r="L65" t="str">
        <f ca="1">UPPER($P65&amp;$N65&amp;Q65)</f>
        <v>BINE-2-S1-MGRT</v>
      </c>
      <c r="N65" s="161" t="str">
        <f ca="1">IF(raw_exchange_data!$A64="","",OFFSET(raw_exchange_data!$A64,0,MATCH(N$2,raw_exchange_data!$1:$1,0)-1))</f>
        <v>GRT</v>
      </c>
      <c r="O65" s="161" t="str">
        <f ca="1">IF(raw_exchange_data!$A64="","",OFFSET(raw_exchange_data!$A64,0,MATCH(O$2,raw_exchange_data!$1:$1,0)-1))</f>
        <v>BINE</v>
      </c>
      <c r="P65" s="161" t="str">
        <f ca="1">IF(raw_exchange_data!$A64="","",OFFSET(raw_exchange_data!$A64,0,MATCH(P$2,raw_exchange_data!$1:$1,0)-1))</f>
        <v>BINE-2-S1-M</v>
      </c>
      <c r="Q65" s="161" t="str">
        <f ca="1">IF(raw_exchange_data!$A64="","",TEXT(OFFSET(raw_exchange_data!$A64,0,MATCH(Q$2,raw_exchange_data!$1:$1,0)-1),""))</f>
        <v/>
      </c>
      <c r="R65" s="162">
        <f ca="1">IF(raw_exchange_data!$A64="","",OFFSET(raw_exchange_data!$A64,0,MATCH(R$2,raw_exchange_data!$1:$1,0)-1))</f>
        <v>-240000</v>
      </c>
      <c r="S65" s="190">
        <f ca="1">IF(raw_exchange_data!$A64="","",OFFSET(raw_exchange_data!$A64,0,MATCH(S$2,raw_exchange_data!$1:$1,0)-1))</f>
        <v>44937.666671377316</v>
      </c>
      <c r="T65" s="161">
        <v>1</v>
      </c>
      <c r="W65" t="str">
        <f t="shared" si="1"/>
        <v>BTSE</v>
      </c>
      <c r="X65" t="str">
        <f t="shared" si="2"/>
        <v>BTC</v>
      </c>
      <c r="Y65" s="42">
        <f t="shared" si="3"/>
        <v>5.7861299999999997E-2</v>
      </c>
      <c r="Z65" s="42">
        <f t="shared" ca="1" si="4"/>
        <v>5.7861299999999997E-2</v>
      </c>
      <c r="AB65" s="3" t="s">
        <v>144</v>
      </c>
      <c r="AC65" s="32">
        <v>4.3289484800000002</v>
      </c>
      <c r="AD65" s="32">
        <v>4.3289484800000002</v>
      </c>
    </row>
    <row r="66" spans="1:30" x14ac:dyDescent="0.25">
      <c r="A66" t="str">
        <f>IF(Summary_Exchange_Balances_00UTC!$B65="","",Summary_Exchange_Balances_00UTC!$N65)</f>
        <v>BTSE</v>
      </c>
      <c r="B66" t="str">
        <f>IF(Summary_Exchange_Balances_00UTC!$B65="","",Summary_Exchange_Balances_00UTC!$B65)</f>
        <v>BTSE</v>
      </c>
      <c r="C66" t="str">
        <f>IF(Summary_Exchange_Balances_00UTC!$B65="","",Summary_Exchange_Balances_00UTC!$E65)</f>
        <v>ETH</v>
      </c>
      <c r="D66" t="str">
        <f>IF(OR(Summary_Exchange_Balances_00UTC!$B65="",Summary_Exchange_Balances_00UTC!$D65=""),"",Summary_Exchange_Balances_00UTC!$D65)</f>
        <v/>
      </c>
      <c r="E66" s="53">
        <f>IF(Summary_Exchange_Balances_00UTC!$B65="","",Summary_Exchange_Balances_00UTC!$C65)</f>
        <v>0.73541904000000002</v>
      </c>
      <c r="G66" s="52">
        <f ca="1">IF(Summary_Exchange_Balances_00UTC!$B65="","",VLOOKUP(IF(ISERROR(SEARCH(" ", $B66)),UPPER($B66&amp;$C66&amp;IF(OR(NOT(ISERROR(SEARCH("trade",$D66))),NOT(ISERROR(SEARCH("balance",$D66)))),"",$D66)),UPPER(LEFT($B66, SEARCH(" ",$B66)-1)&amp;$C66&amp;IF(OR(NOT(ISERROR(SEARCH("trade",$D66))),NOT(ISERROR(SEARCH("balance",$D66)))),"",$D66))),$L:$T,MATCH("balance",$L$2:$S$2,0),FALSE))</f>
        <v>0.73541904000000002</v>
      </c>
      <c r="H66" s="35">
        <f ca="1">IF(Summary_Exchange_Balances_00UTC!$B65="","",(G66-E66)/E66)</f>
        <v>0</v>
      </c>
      <c r="I66" s="165">
        <f ca="1">IF(Summary_Exchange_Balances_00UTC!$B65="","",IF(ISERROR($G66),$E66,$G66))</f>
        <v>0.73541904000000002</v>
      </c>
      <c r="K66" t="str">
        <f t="shared" ca="1" si="0"/>
        <v>BINEHBAR</v>
      </c>
      <c r="L66" t="str">
        <f ca="1">UPPER($P66&amp;$N66&amp;Q66)</f>
        <v>BINE-2-S1-MHBAR</v>
      </c>
      <c r="N66" s="161" t="str">
        <f ca="1">IF(raw_exchange_data!$A65="","",OFFSET(raw_exchange_data!$A65,0,MATCH(N$2,raw_exchange_data!$1:$1,0)-1))</f>
        <v>HBAR</v>
      </c>
      <c r="O66" s="161" t="str">
        <f ca="1">IF(raw_exchange_data!$A65="","",OFFSET(raw_exchange_data!$A65,0,MATCH(O$2,raw_exchange_data!$1:$1,0)-1))</f>
        <v>BINE</v>
      </c>
      <c r="P66" s="161" t="str">
        <f ca="1">IF(raw_exchange_data!$A65="","",OFFSET(raw_exchange_data!$A65,0,MATCH(P$2,raw_exchange_data!$1:$1,0)-1))</f>
        <v>BINE-2-S1-M</v>
      </c>
      <c r="Q66" s="161" t="str">
        <f ca="1">IF(raw_exchange_data!$A65="","",TEXT(OFFSET(raw_exchange_data!$A65,0,MATCH(Q$2,raw_exchange_data!$1:$1,0)-1),""))</f>
        <v/>
      </c>
      <c r="R66" s="162">
        <f ca="1">IF(raw_exchange_data!$A65="","",OFFSET(raw_exchange_data!$A65,0,MATCH(R$2,raw_exchange_data!$1:$1,0)-1))</f>
        <v>-628800</v>
      </c>
      <c r="S66" s="190">
        <f ca="1">IF(raw_exchange_data!$A65="","",OFFSET(raw_exchange_data!$A65,0,MATCH(S$2,raw_exchange_data!$1:$1,0)-1))</f>
        <v>44937.666671377316</v>
      </c>
      <c r="T66" s="161">
        <v>1</v>
      </c>
      <c r="W66" t="str">
        <f t="shared" si="1"/>
        <v>BTSE</v>
      </c>
      <c r="X66" t="str">
        <f t="shared" si="2"/>
        <v>ETH</v>
      </c>
      <c r="Y66" s="42">
        <f t="shared" si="3"/>
        <v>0.73541904000000002</v>
      </c>
      <c r="Z66" s="42">
        <f t="shared" ca="1" si="4"/>
        <v>0.73541904000000002</v>
      </c>
      <c r="AB66" s="3" t="s">
        <v>24</v>
      </c>
      <c r="AC66" s="32">
        <v>3291.4722521400031</v>
      </c>
      <c r="AD66" s="32">
        <v>13600.88031904439</v>
      </c>
    </row>
    <row r="67" spans="1:30" x14ac:dyDescent="0.25">
      <c r="A67" t="str">
        <f>IF(Summary_Exchange_Balances_00UTC!$B66="","",Summary_Exchange_Balances_00UTC!$N66)</f>
        <v>BTSE</v>
      </c>
      <c r="B67" t="str">
        <f>IF(Summary_Exchange_Balances_00UTC!$B66="","",Summary_Exchange_Balances_00UTC!$B66)</f>
        <v>BTSE</v>
      </c>
      <c r="C67" t="str">
        <f>IF(Summary_Exchange_Balances_00UTC!$B66="","",Summary_Exchange_Balances_00UTC!$E66)</f>
        <v>FLR</v>
      </c>
      <c r="D67" t="str">
        <f>IF(OR(Summary_Exchange_Balances_00UTC!$B66="",Summary_Exchange_Balances_00UTC!$D66=""),"",Summary_Exchange_Balances_00UTC!$D66)</f>
        <v/>
      </c>
      <c r="E67" s="53">
        <f>IF(Summary_Exchange_Balances_00UTC!$B66="","",Summary_Exchange_Balances_00UTC!$C66)</f>
        <v>22277.5319929</v>
      </c>
      <c r="G67" s="52">
        <f ca="1">IF(Summary_Exchange_Balances_00UTC!$B66="","",VLOOKUP(IF(ISERROR(SEARCH(" ", $B67)),UPPER($B67&amp;$C67&amp;IF(OR(NOT(ISERROR(SEARCH("trade",$D67))),NOT(ISERROR(SEARCH("balance",$D67)))),"",$D67)),UPPER(LEFT($B67, SEARCH(" ",$B67)-1)&amp;$C67&amp;IF(OR(NOT(ISERROR(SEARCH("trade",$D67))),NOT(ISERROR(SEARCH("balance",$D67)))),"",$D67))),$L:$T,MATCH("balance",$L$2:$S$2,0),FALSE))</f>
        <v>22277.5319929</v>
      </c>
      <c r="H67" s="35">
        <f ca="1">IF(Summary_Exchange_Balances_00UTC!$B66="","",(G67-E67)/E67)</f>
        <v>0</v>
      </c>
      <c r="I67" s="165">
        <f ca="1">IF(Summary_Exchange_Balances_00UTC!$B66="","",IF(ISERROR($G67),$E67,$G67))</f>
        <v>22277.5319929</v>
      </c>
      <c r="K67" t="str">
        <f t="shared" ref="K67:K130" ca="1" si="5">UPPER($O67&amp;$N67)</f>
        <v>BINELINK</v>
      </c>
      <c r="L67" t="str">
        <f ca="1">UPPER($P67&amp;$N67&amp;Q67)</f>
        <v>BINE-2-S1-MLINK</v>
      </c>
      <c r="N67" s="161" t="str">
        <f ca="1">IF(raw_exchange_data!$A66="","",OFFSET(raw_exchange_data!$A66,0,MATCH(N$2,raw_exchange_data!$1:$1,0)-1))</f>
        <v>LINK</v>
      </c>
      <c r="O67" s="161" t="str">
        <f ca="1">IF(raw_exchange_data!$A66="","",OFFSET(raw_exchange_data!$A66,0,MATCH(O$2,raw_exchange_data!$1:$1,0)-1))</f>
        <v>BINE</v>
      </c>
      <c r="P67" s="161" t="str">
        <f ca="1">IF(raw_exchange_data!$A66="","",OFFSET(raw_exchange_data!$A66,0,MATCH(P$2,raw_exchange_data!$1:$1,0)-1))</f>
        <v>BINE-2-S1-M</v>
      </c>
      <c r="Q67" s="161" t="str">
        <f ca="1">IF(raw_exchange_data!$A66="","",TEXT(OFFSET(raw_exchange_data!$A66,0,MATCH(Q$2,raw_exchange_data!$1:$1,0)-1),""))</f>
        <v/>
      </c>
      <c r="R67" s="162">
        <f ca="1">IF(raw_exchange_data!$A66="","",OFFSET(raw_exchange_data!$A66,0,MATCH(R$2,raw_exchange_data!$1:$1,0)-1))</f>
        <v>-21081.119999999999</v>
      </c>
      <c r="S67" s="190">
        <f ca="1">IF(raw_exchange_data!$A66="","",OFFSET(raw_exchange_data!$A66,0,MATCH(S$2,raw_exchange_data!$1:$1,0)-1))</f>
        <v>44937.666671377316</v>
      </c>
      <c r="T67" s="161">
        <v>1</v>
      </c>
      <c r="W67" t="str">
        <f t="shared" si="1"/>
        <v>BTSE</v>
      </c>
      <c r="X67" t="str">
        <f t="shared" si="2"/>
        <v>FLR</v>
      </c>
      <c r="Y67" s="42">
        <f t="shared" si="3"/>
        <v>22277.5319929</v>
      </c>
      <c r="Z67" s="42">
        <f t="shared" ca="1" si="4"/>
        <v>22277.5319929</v>
      </c>
      <c r="AB67" s="3" t="s">
        <v>145</v>
      </c>
      <c r="AC67" s="32">
        <v>0.66495972999999997</v>
      </c>
      <c r="AD67" s="32">
        <v>0.66495972999999997</v>
      </c>
    </row>
    <row r="68" spans="1:30" x14ac:dyDescent="0.25">
      <c r="A68" t="str">
        <f>IF(Summary_Exchange_Balances_00UTC!$B67="","",Summary_Exchange_Balances_00UTC!$N67)</f>
        <v>BTSE</v>
      </c>
      <c r="B68" t="str">
        <f>IF(Summary_Exchange_Balances_00UTC!$B67="","",Summary_Exchange_Balances_00UTC!$B67)</f>
        <v>BTSE</v>
      </c>
      <c r="C68" t="str">
        <f>IF(Summary_Exchange_Balances_00UTC!$B67="","",Summary_Exchange_Balances_00UTC!$E67)</f>
        <v>SGB</v>
      </c>
      <c r="D68" t="str">
        <f>IF(OR(Summary_Exchange_Balances_00UTC!$B67="",Summary_Exchange_Balances_00UTC!$D67=""),"",Summary_Exchange_Balances_00UTC!$D67)</f>
        <v/>
      </c>
      <c r="E68" s="53">
        <f>IF(Summary_Exchange_Balances_00UTC!$B67="","",Summary_Exchange_Balances_00UTC!$C67)</f>
        <v>22277.5319929</v>
      </c>
      <c r="G68" s="52">
        <f ca="1">IF(Summary_Exchange_Balances_00UTC!$B67="","",VLOOKUP(IF(ISERROR(SEARCH(" ", $B68)),UPPER($B68&amp;$C68&amp;IF(OR(NOT(ISERROR(SEARCH("trade",$D68))),NOT(ISERROR(SEARCH("balance",$D68)))),"",$D68)),UPPER(LEFT($B68, SEARCH(" ",$B68)-1)&amp;$C68&amp;IF(OR(NOT(ISERROR(SEARCH("trade",$D68))),NOT(ISERROR(SEARCH("balance",$D68)))),"",$D68))),$L:$T,MATCH("balance",$L$2:$S$2,0),FALSE))</f>
        <v>22277.5319929</v>
      </c>
      <c r="H68" s="35">
        <f ca="1">IF(Summary_Exchange_Balances_00UTC!$B67="","",(G68-E68)/E68)</f>
        <v>0</v>
      </c>
      <c r="I68" s="165">
        <f ca="1">IF(Summary_Exchange_Balances_00UTC!$B67="","",IF(ISERROR($G68),$E68,$G68))</f>
        <v>22277.5319929</v>
      </c>
      <c r="K68" t="str">
        <f t="shared" ca="1" si="5"/>
        <v>BINELTC</v>
      </c>
      <c r="L68" t="str">
        <f ca="1">UPPER($P68&amp;$N68&amp;Q68)</f>
        <v>BINE-2-S1-MLTC</v>
      </c>
      <c r="N68" s="161" t="str">
        <f ca="1">IF(raw_exchange_data!$A67="","",OFFSET(raw_exchange_data!$A67,0,MATCH(N$2,raw_exchange_data!$1:$1,0)-1))</f>
        <v>LTC</v>
      </c>
      <c r="O68" s="161" t="str">
        <f ca="1">IF(raw_exchange_data!$A67="","",OFFSET(raw_exchange_data!$A67,0,MATCH(O$2,raw_exchange_data!$1:$1,0)-1))</f>
        <v>BINE</v>
      </c>
      <c r="P68" s="161" t="str">
        <f ca="1">IF(raw_exchange_data!$A67="","",OFFSET(raw_exchange_data!$A67,0,MATCH(P$2,raw_exchange_data!$1:$1,0)-1))</f>
        <v>BINE-2-S1-M</v>
      </c>
      <c r="Q68" s="161" t="str">
        <f ca="1">IF(raw_exchange_data!$A67="","",TEXT(OFFSET(raw_exchange_data!$A67,0,MATCH(Q$2,raw_exchange_data!$1:$1,0)-1),""))</f>
        <v/>
      </c>
      <c r="R68" s="162">
        <f ca="1">IF(raw_exchange_data!$A67="","",OFFSET(raw_exchange_data!$A67,0,MATCH(R$2,raw_exchange_data!$1:$1,0)-1))</f>
        <v>-1659.578</v>
      </c>
      <c r="S68" s="190">
        <f ca="1">IF(raw_exchange_data!$A67="","",OFFSET(raw_exchange_data!$A67,0,MATCH(S$2,raw_exchange_data!$1:$1,0)-1))</f>
        <v>44937.666671377316</v>
      </c>
      <c r="T68" s="161">
        <v>1</v>
      </c>
      <c r="W68" t="str">
        <f t="shared" ref="W68:W131" si="6">IF($A68="","",$A68)</f>
        <v>BTSE</v>
      </c>
      <c r="X68" t="str">
        <f t="shared" ref="X68:X131" si="7">IF($A68="","",$C68)</f>
        <v>SGB</v>
      </c>
      <c r="Y68" s="42">
        <f t="shared" ref="Y68:Y131" si="8">IF($A68="","",$E68)</f>
        <v>22277.5319929</v>
      </c>
      <c r="Z68" s="42">
        <f t="shared" ref="Z68:Z131" ca="1" si="9">IF($A68="","",IF(ISERROR($G68),0,$G68))</f>
        <v>22277.5319929</v>
      </c>
      <c r="AB68" s="3" t="s">
        <v>192</v>
      </c>
      <c r="AC68" s="32">
        <v>9170.2734103799885</v>
      </c>
      <c r="AD68" s="32">
        <v>-36138.328465470004</v>
      </c>
    </row>
    <row r="69" spans="1:30" x14ac:dyDescent="0.25">
      <c r="A69" t="str">
        <f>IF(Summary_Exchange_Balances_00UTC!$B68="","",Summary_Exchange_Balances_00UTC!$N68)</f>
        <v>BTSE</v>
      </c>
      <c r="B69" t="str">
        <f>IF(Summary_Exchange_Balances_00UTC!$B68="","",Summary_Exchange_Balances_00UTC!$B68)</f>
        <v>BTSE</v>
      </c>
      <c r="C69" t="str">
        <f>IF(Summary_Exchange_Balances_00UTC!$B68="","",Summary_Exchange_Balances_00UTC!$E68)</f>
        <v>USD</v>
      </c>
      <c r="D69" t="str">
        <f>IF(OR(Summary_Exchange_Balances_00UTC!$B68="",Summary_Exchange_Balances_00UTC!$D68=""),"",Summary_Exchange_Balances_00UTC!$D68)</f>
        <v/>
      </c>
      <c r="E69" s="53">
        <f>IF(Summary_Exchange_Balances_00UTC!$B68="","",Summary_Exchange_Balances_00UTC!$C68)</f>
        <v>125335.8</v>
      </c>
      <c r="G69" s="52">
        <f ca="1">IF(Summary_Exchange_Balances_00UTC!$B68="","",VLOOKUP(IF(ISERROR(SEARCH(" ", $B69)),UPPER($B69&amp;$C69&amp;IF(OR(NOT(ISERROR(SEARCH("trade",$D69))),NOT(ISERROR(SEARCH("balance",$D69)))),"",$D69)),UPPER(LEFT($B69, SEARCH(" ",$B69)-1)&amp;$C69&amp;IF(OR(NOT(ISERROR(SEARCH("trade",$D69))),NOT(ISERROR(SEARCH("balance",$D69)))),"",$D69))),$L:$T,MATCH("balance",$L$2:$S$2,0),FALSE))</f>
        <v>125335.8</v>
      </c>
      <c r="H69" s="35">
        <f ca="1">IF(Summary_Exchange_Balances_00UTC!$B68="","",(G69-E69)/E69)</f>
        <v>0</v>
      </c>
      <c r="I69" s="165">
        <f ca="1">IF(Summary_Exchange_Balances_00UTC!$B68="","",IF(ISERROR($G69),$E69,$G69))</f>
        <v>125335.8</v>
      </c>
      <c r="K69" t="str">
        <f t="shared" ca="1" si="5"/>
        <v>BINEMANA</v>
      </c>
      <c r="L69" t="str">
        <f ca="1">UPPER($P69&amp;$N69&amp;Q69)</f>
        <v>BINE-2-S1-MMANA</v>
      </c>
      <c r="N69" s="161" t="str">
        <f ca="1">IF(raw_exchange_data!$A68="","",OFFSET(raw_exchange_data!$A68,0,MATCH(N$2,raw_exchange_data!$1:$1,0)-1))</f>
        <v>MANA</v>
      </c>
      <c r="O69" s="161" t="str">
        <f ca="1">IF(raw_exchange_data!$A68="","",OFFSET(raw_exchange_data!$A68,0,MATCH(O$2,raw_exchange_data!$1:$1,0)-1))</f>
        <v>BINE</v>
      </c>
      <c r="P69" s="161" t="str">
        <f ca="1">IF(raw_exchange_data!$A68="","",OFFSET(raw_exchange_data!$A68,0,MATCH(P$2,raw_exchange_data!$1:$1,0)-1))</f>
        <v>BINE-2-S1-M</v>
      </c>
      <c r="Q69" s="161" t="str">
        <f ca="1">IF(raw_exchange_data!$A68="","",TEXT(OFFSET(raw_exchange_data!$A68,0,MATCH(Q$2,raw_exchange_data!$1:$1,0)-1),""))</f>
        <v/>
      </c>
      <c r="R69" s="162">
        <f ca="1">IF(raw_exchange_data!$A68="","",OFFSET(raw_exchange_data!$A68,0,MATCH(R$2,raw_exchange_data!$1:$1,0)-1))</f>
        <v>-90000</v>
      </c>
      <c r="S69" s="190">
        <f ca="1">IF(raw_exchange_data!$A68="","",OFFSET(raw_exchange_data!$A68,0,MATCH(S$2,raw_exchange_data!$1:$1,0)-1))</f>
        <v>44937.666671377316</v>
      </c>
      <c r="T69" s="161">
        <v>1</v>
      </c>
      <c r="W69" t="str">
        <f t="shared" si="6"/>
        <v>BTSE</v>
      </c>
      <c r="X69" t="str">
        <f t="shared" si="7"/>
        <v>USD</v>
      </c>
      <c r="Y69" s="42">
        <f t="shared" si="8"/>
        <v>125335.8</v>
      </c>
      <c r="Z69" s="42">
        <f t="shared" ca="1" si="9"/>
        <v>125335.8</v>
      </c>
      <c r="AB69" s="3" t="s">
        <v>193</v>
      </c>
      <c r="AC69" s="32">
        <v>7021.2831775599916</v>
      </c>
      <c r="AD69" s="32">
        <v>-50126.396426869993</v>
      </c>
    </row>
    <row r="70" spans="1:30" x14ac:dyDescent="0.25">
      <c r="A70" t="str">
        <f>IF(Summary_Exchange_Balances_00UTC!$B69="","",Summary_Exchange_Balances_00UTC!$N69)</f>
        <v>BTSE</v>
      </c>
      <c r="B70" t="str">
        <f>IF(Summary_Exchange_Balances_00UTC!$B69="","",Summary_Exchange_Balances_00UTC!$B69)</f>
        <v>BTSE</v>
      </c>
      <c r="C70" t="str">
        <f>IF(Summary_Exchange_Balances_00UTC!$B69="","",Summary_Exchange_Balances_00UTC!$E69)</f>
        <v>XRP</v>
      </c>
      <c r="D70" t="str">
        <f>IF(OR(Summary_Exchange_Balances_00UTC!$B69="",Summary_Exchange_Balances_00UTC!$D69=""),"",Summary_Exchange_Balances_00UTC!$D69)</f>
        <v/>
      </c>
      <c r="E70" s="53">
        <f>IF(Summary_Exchange_Balances_00UTC!$B69="","",Summary_Exchange_Balances_00UTC!$C69)</f>
        <v>86647.684072849996</v>
      </c>
      <c r="G70" s="52">
        <f ca="1">IF(Summary_Exchange_Balances_00UTC!$B69="","",VLOOKUP(IF(ISERROR(SEARCH(" ", $B70)),UPPER($B70&amp;$C70&amp;IF(OR(NOT(ISERROR(SEARCH("trade",$D70))),NOT(ISERROR(SEARCH("balance",$D70)))),"",$D70)),UPPER(LEFT($B70, SEARCH(" ",$B70)-1)&amp;$C70&amp;IF(OR(NOT(ISERROR(SEARCH("trade",$D70))),NOT(ISERROR(SEARCH("balance",$D70)))),"",$D70))),$L:$T,MATCH("balance",$L$2:$S$2,0),FALSE))</f>
        <v>86647.684072849996</v>
      </c>
      <c r="H70" s="35">
        <f ca="1">IF(Summary_Exchange_Balances_00UTC!$B69="","",(G70-E70)/E70)</f>
        <v>0</v>
      </c>
      <c r="I70" s="165">
        <f ca="1">IF(Summary_Exchange_Balances_00UTC!$B69="","",IF(ISERROR($G70),$E70,$G70))</f>
        <v>86647.684072849996</v>
      </c>
      <c r="K70" t="str">
        <f t="shared" ca="1" si="5"/>
        <v>BINEMATIC</v>
      </c>
      <c r="L70" t="str">
        <f ca="1">UPPER($P70&amp;$N70&amp;Q70)</f>
        <v>BINE-2-S1-MMATIC</v>
      </c>
      <c r="N70" s="161" t="str">
        <f ca="1">IF(raw_exchange_data!$A69="","",OFFSET(raw_exchange_data!$A69,0,MATCH(N$2,raw_exchange_data!$1:$1,0)-1))</f>
        <v>MATIC</v>
      </c>
      <c r="O70" s="161" t="str">
        <f ca="1">IF(raw_exchange_data!$A69="","",OFFSET(raw_exchange_data!$A69,0,MATCH(O$2,raw_exchange_data!$1:$1,0)-1))</f>
        <v>BINE</v>
      </c>
      <c r="P70" s="161" t="str">
        <f ca="1">IF(raw_exchange_data!$A69="","",OFFSET(raw_exchange_data!$A69,0,MATCH(P$2,raw_exchange_data!$1:$1,0)-1))</f>
        <v>BINE-2-S1-M</v>
      </c>
      <c r="Q70" s="161" t="str">
        <f ca="1">IF(raw_exchange_data!$A69="","",TEXT(OFFSET(raw_exchange_data!$A69,0,MATCH(Q$2,raw_exchange_data!$1:$1,0)-1),""))</f>
        <v/>
      </c>
      <c r="R70" s="162">
        <f ca="1">IF(raw_exchange_data!$A69="","",OFFSET(raw_exchange_data!$A69,0,MATCH(R$2,raw_exchange_data!$1:$1,0)-1))</f>
        <v>-100000</v>
      </c>
      <c r="S70" s="190">
        <f ca="1">IF(raw_exchange_data!$A69="","",OFFSET(raw_exchange_data!$A69,0,MATCH(S$2,raw_exchange_data!$1:$1,0)-1))</f>
        <v>44937.666671377316</v>
      </c>
      <c r="T70" s="161">
        <v>1</v>
      </c>
      <c r="W70" t="str">
        <f t="shared" si="6"/>
        <v>BTSE</v>
      </c>
      <c r="X70" t="str">
        <f t="shared" si="7"/>
        <v>XRP</v>
      </c>
      <c r="Y70" s="42">
        <f t="shared" si="8"/>
        <v>86647.684072849996</v>
      </c>
      <c r="Z70" s="42">
        <f t="shared" ca="1" si="9"/>
        <v>86647.684072849996</v>
      </c>
      <c r="AB70" s="3" t="s">
        <v>797</v>
      </c>
      <c r="AC70" s="32">
        <v>511905.30166855</v>
      </c>
      <c r="AD70" s="32">
        <v>0</v>
      </c>
    </row>
    <row r="71" spans="1:30" x14ac:dyDescent="0.25">
      <c r="A71" t="str">
        <f>IF(Summary_Exchange_Balances_00UTC!$B70="","",Summary_Exchange_Balances_00UTC!$N70)</f>
        <v>BULL</v>
      </c>
      <c r="B71" t="str">
        <f>IF(Summary_Exchange_Balances_00UTC!$B70="","",Summary_Exchange_Balances_00UTC!$B70)</f>
        <v>BULL-1-M-E</v>
      </c>
      <c r="C71" t="str">
        <f>IF(Summary_Exchange_Balances_00UTC!$B70="","",Summary_Exchange_Balances_00UTC!$E70)</f>
        <v>BTC</v>
      </c>
      <c r="D71" t="str">
        <f>IF(OR(Summary_Exchange_Balances_00UTC!$B70="",Summary_Exchange_Balances_00UTC!$D70=""),"",Summary_Exchange_Balances_00UTC!$D70)</f>
        <v/>
      </c>
      <c r="E71" s="53">
        <f>IF(Summary_Exchange_Balances_00UTC!$B70="","",Summary_Exchange_Balances_00UTC!$C70)</f>
        <v>1799.26444287</v>
      </c>
      <c r="G71" s="52">
        <f ca="1">IF(Summary_Exchange_Balances_00UTC!$B70="","",VLOOKUP(IF(ISERROR(SEARCH(" ", $B71)),UPPER($B71&amp;$C71&amp;IF(OR(NOT(ISERROR(SEARCH("trade",$D71))),NOT(ISERROR(SEARCH("balance",$D71)))),"",$D71)),UPPER(LEFT($B71, SEARCH(" ",$B71)-1)&amp;$C71&amp;IF(OR(NOT(ISERROR(SEARCH("trade",$D71))),NOT(ISERROR(SEARCH("balance",$D71)))),"",$D71))),$L:$T,MATCH("balance",$L$2:$S$2,0),FALSE))</f>
        <v>1937.0666312200001</v>
      </c>
      <c r="H71" s="35">
        <f ca="1">IF(Summary_Exchange_Balances_00UTC!$B70="","",(G71-E71)/E71)</f>
        <v>7.6588068472132023E-2</v>
      </c>
      <c r="I71" s="165">
        <f ca="1">IF(Summary_Exchange_Balances_00UTC!$B70="","",IF(ISERROR($G71),$E71,$G71))</f>
        <v>1937.0666312200001</v>
      </c>
      <c r="K71" t="str">
        <f t="shared" ca="1" si="5"/>
        <v>BINEMKR</v>
      </c>
      <c r="L71" t="str">
        <f ca="1">UPPER($P71&amp;$N71&amp;Q71)</f>
        <v>BINE-2-S1-MMKR</v>
      </c>
      <c r="N71" s="161" t="str">
        <f ca="1">IF(raw_exchange_data!$A70="","",OFFSET(raw_exchange_data!$A70,0,MATCH(N$2,raw_exchange_data!$1:$1,0)-1))</f>
        <v>MKR</v>
      </c>
      <c r="O71" s="161" t="str">
        <f ca="1">IF(raw_exchange_data!$A70="","",OFFSET(raw_exchange_data!$A70,0,MATCH(O$2,raw_exchange_data!$1:$1,0)-1))</f>
        <v>BINE</v>
      </c>
      <c r="P71" s="161" t="str">
        <f ca="1">IF(raw_exchange_data!$A70="","",OFFSET(raw_exchange_data!$A70,0,MATCH(P$2,raw_exchange_data!$1:$1,0)-1))</f>
        <v>BINE-2-S1-M</v>
      </c>
      <c r="Q71" s="161" t="str">
        <f ca="1">IF(raw_exchange_data!$A70="","",TEXT(OFFSET(raw_exchange_data!$A70,0,MATCH(Q$2,raw_exchange_data!$1:$1,0)-1),""))</f>
        <v/>
      </c>
      <c r="R71" s="162">
        <f ca="1">IF(raw_exchange_data!$A70="","",OFFSET(raw_exchange_data!$A70,0,MATCH(R$2,raw_exchange_data!$1:$1,0)-1))</f>
        <v>-14</v>
      </c>
      <c r="S71" s="190">
        <f ca="1">IF(raw_exchange_data!$A70="","",OFFSET(raw_exchange_data!$A70,0,MATCH(S$2,raw_exchange_data!$1:$1,0)-1))</f>
        <v>44937.666671377316</v>
      </c>
      <c r="T71" s="161">
        <v>1</v>
      </c>
      <c r="W71" t="str">
        <f t="shared" si="6"/>
        <v>BULL</v>
      </c>
      <c r="X71" t="str">
        <f t="shared" si="7"/>
        <v>BTC</v>
      </c>
      <c r="Y71" s="42">
        <f t="shared" si="8"/>
        <v>1799.26444287</v>
      </c>
      <c r="Z71" s="42">
        <f t="shared" ca="1" si="9"/>
        <v>1937.0666312200001</v>
      </c>
      <c r="AB71" s="3" t="s">
        <v>413</v>
      </c>
      <c r="AC71" s="32">
        <v>12.353946090000001</v>
      </c>
      <c r="AD71" s="32">
        <v>-6.8190279999999603E-2</v>
      </c>
    </row>
    <row r="72" spans="1:30" x14ac:dyDescent="0.25">
      <c r="A72" t="str">
        <f>IF(Summary_Exchange_Balances_00UTC!$B71="","",Summary_Exchange_Balances_00UTC!$N71)</f>
        <v>BULL</v>
      </c>
      <c r="B72" t="str">
        <f>IF(Summary_Exchange_Balances_00UTC!$B71="","",Summary_Exchange_Balances_00UTC!$B71)</f>
        <v>BULL-1-M-E</v>
      </c>
      <c r="C72" t="str">
        <f>IF(Summary_Exchange_Balances_00UTC!$B71="","",Summary_Exchange_Balances_00UTC!$E71)</f>
        <v>USD</v>
      </c>
      <c r="D72" t="str">
        <f>IF(OR(Summary_Exchange_Balances_00UTC!$B71="",Summary_Exchange_Balances_00UTC!$D71=""),"",Summary_Exchange_Balances_00UTC!$D71)</f>
        <v/>
      </c>
      <c r="E72" s="53">
        <f>IF(Summary_Exchange_Balances_00UTC!$B71="","",Summary_Exchange_Balances_00UTC!$C71)</f>
        <v>46965458.007700004</v>
      </c>
      <c r="G72" s="52">
        <f ca="1">IF(Summary_Exchange_Balances_00UTC!$B71="","",VLOOKUP(IF(ISERROR(SEARCH(" ", $B72)),UPPER($B72&amp;$C72&amp;IF(OR(NOT(ISERROR(SEARCH("trade",$D72))),NOT(ISERROR(SEARCH("balance",$D72)))),"",$D72)),UPPER(LEFT($B72, SEARCH(" ",$B72)-1)&amp;$C72&amp;IF(OR(NOT(ISERROR(SEARCH("trade",$D72))),NOT(ISERROR(SEARCH("balance",$D72)))),"",$D72))),$L:$T,MATCH("balance",$L$2:$S$2,0),FALSE))</f>
        <v>44987283.694799997</v>
      </c>
      <c r="H72" s="35">
        <f ca="1">IF(Summary_Exchange_Balances_00UTC!$B71="","",(G72-E72)/E72)</f>
        <v>-4.2119770504009231E-2</v>
      </c>
      <c r="I72" s="165">
        <f ca="1">IF(Summary_Exchange_Balances_00UTC!$B71="","",IF(ISERROR($G72),$E72,$G72))</f>
        <v>44987283.694799997</v>
      </c>
      <c r="K72" t="str">
        <f t="shared" ca="1" si="5"/>
        <v>BINESHIB</v>
      </c>
      <c r="L72" t="str">
        <f ca="1">UPPER($P72&amp;$N72&amp;Q72)</f>
        <v>BINE-2-S1-MSHIB</v>
      </c>
      <c r="N72" s="161" t="str">
        <f ca="1">IF(raw_exchange_data!$A71="","",OFFSET(raw_exchange_data!$A71,0,MATCH(N$2,raw_exchange_data!$1:$1,0)-1))</f>
        <v>SHIB</v>
      </c>
      <c r="O72" s="161" t="str">
        <f ca="1">IF(raw_exchange_data!$A71="","",OFFSET(raw_exchange_data!$A71,0,MATCH(O$2,raw_exchange_data!$1:$1,0)-1))</f>
        <v>BINE</v>
      </c>
      <c r="P72" s="161" t="str">
        <f ca="1">IF(raw_exchange_data!$A71="","",OFFSET(raw_exchange_data!$A71,0,MATCH(P$2,raw_exchange_data!$1:$1,0)-1))</f>
        <v>BINE-2-S1-M</v>
      </c>
      <c r="Q72" s="161" t="str">
        <f ca="1">IF(raw_exchange_data!$A71="","",TEXT(OFFSET(raw_exchange_data!$A71,0,MATCH(Q$2,raw_exchange_data!$1:$1,0)-1),""))</f>
        <v/>
      </c>
      <c r="R72" s="162">
        <f ca="1">IF(raw_exchange_data!$A71="","",OFFSET(raw_exchange_data!$A71,0,MATCH(R$2,raw_exchange_data!$1:$1,0)-1))</f>
        <v>-6000000000</v>
      </c>
      <c r="S72" s="190">
        <f ca="1">IF(raw_exchange_data!$A71="","",OFFSET(raw_exchange_data!$A71,0,MATCH(S$2,raw_exchange_data!$1:$1,0)-1))</f>
        <v>44937.666671377316</v>
      </c>
      <c r="T72" s="161">
        <v>1</v>
      </c>
      <c r="W72" t="str">
        <f t="shared" si="6"/>
        <v>BULL</v>
      </c>
      <c r="X72" t="str">
        <f t="shared" si="7"/>
        <v>USD</v>
      </c>
      <c r="Y72" s="42">
        <f t="shared" si="8"/>
        <v>46965458.007700004</v>
      </c>
      <c r="Z72" s="42">
        <f t="shared" ca="1" si="9"/>
        <v>44987283.694799997</v>
      </c>
      <c r="AB72" s="3" t="s">
        <v>146</v>
      </c>
      <c r="AC72" s="32">
        <v>0.89105878000000005</v>
      </c>
      <c r="AD72" s="32">
        <v>0.89105878000000005</v>
      </c>
    </row>
    <row r="73" spans="1:30" x14ac:dyDescent="0.25">
      <c r="A73" t="str">
        <f>IF(Summary_Exchange_Balances_00UTC!$B72="","",Summary_Exchange_Balances_00UTC!$N72)</f>
        <v>BULL</v>
      </c>
      <c r="B73" t="str">
        <f>IF(Summary_Exchange_Balances_00UTC!$B72="","",Summary_Exchange_Balances_00UTC!$B72)</f>
        <v>BULL-2-M-E</v>
      </c>
      <c r="C73" t="str">
        <f>IF(Summary_Exchange_Balances_00UTC!$B72="","",Summary_Exchange_Balances_00UTC!$E72)</f>
        <v>EOS</v>
      </c>
      <c r="D73" t="str">
        <f>IF(OR(Summary_Exchange_Balances_00UTC!$B72="",Summary_Exchange_Balances_00UTC!$D72=""),"",Summary_Exchange_Balances_00UTC!$D72)</f>
        <v/>
      </c>
      <c r="E73" s="53">
        <f>IF(Summary_Exchange_Balances_00UTC!$B72="","",Summary_Exchange_Balances_00UTC!$C72)</f>
        <v>5111044.8589000003</v>
      </c>
      <c r="G73" s="52">
        <f ca="1">IF(Summary_Exchange_Balances_00UTC!$B72="","",VLOOKUP(IF(ISERROR(SEARCH(" ", $B73)),UPPER($B73&amp;$C73&amp;IF(OR(NOT(ISERROR(SEARCH("trade",$D73))),NOT(ISERROR(SEARCH("balance",$D73)))),"",$D73)),UPPER(LEFT($B73, SEARCH(" ",$B73)-1)&amp;$C73&amp;IF(OR(NOT(ISERROR(SEARCH("trade",$D73))),NOT(ISERROR(SEARCH("balance",$D73)))),"",$D73))),$L:$T,MATCH("balance",$L$2:$S$2,0),FALSE))</f>
        <v>4853393.7273000004</v>
      </c>
      <c r="H73" s="35">
        <f ca="1">IF(Summary_Exchange_Balances_00UTC!$B72="","",(G73-E73)/E73)</f>
        <v>-5.0410657451253844E-2</v>
      </c>
      <c r="I73" s="165">
        <f ca="1">IF(Summary_Exchange_Balances_00UTC!$B72="","",IF(ISERROR($G73),$E73,$G73))</f>
        <v>4853393.7273000004</v>
      </c>
      <c r="K73" t="str">
        <f t="shared" ca="1" si="5"/>
        <v>BINESOL</v>
      </c>
      <c r="L73" t="str">
        <f ca="1">UPPER($P73&amp;$N73&amp;Q73)</f>
        <v>BINE-2-S1-MSOL</v>
      </c>
      <c r="N73" s="161" t="str">
        <f ca="1">IF(raw_exchange_data!$A72="","",OFFSET(raw_exchange_data!$A72,0,MATCH(N$2,raw_exchange_data!$1:$1,0)-1))</f>
        <v>SOL</v>
      </c>
      <c r="O73" s="161" t="str">
        <f ca="1">IF(raw_exchange_data!$A72="","",OFFSET(raw_exchange_data!$A72,0,MATCH(O$2,raw_exchange_data!$1:$1,0)-1))</f>
        <v>BINE</v>
      </c>
      <c r="P73" s="161" t="str">
        <f ca="1">IF(raw_exchange_data!$A72="","",OFFSET(raw_exchange_data!$A72,0,MATCH(P$2,raw_exchange_data!$1:$1,0)-1))</f>
        <v>BINE-2-S1-M</v>
      </c>
      <c r="Q73" s="161" t="str">
        <f ca="1">IF(raw_exchange_data!$A72="","",TEXT(OFFSET(raw_exchange_data!$A72,0,MATCH(Q$2,raw_exchange_data!$1:$1,0)-1),""))</f>
        <v/>
      </c>
      <c r="R73" s="162">
        <f ca="1">IF(raw_exchange_data!$A72="","",OFFSET(raw_exchange_data!$A72,0,MATCH(R$2,raw_exchange_data!$1:$1,0)-1))</f>
        <v>-8500</v>
      </c>
      <c r="S73" s="190">
        <f ca="1">IF(raw_exchange_data!$A72="","",OFFSET(raw_exchange_data!$A72,0,MATCH(S$2,raw_exchange_data!$1:$1,0)-1))</f>
        <v>44937.666671377316</v>
      </c>
      <c r="T73" s="161">
        <v>1</v>
      </c>
      <c r="W73" t="str">
        <f t="shared" si="6"/>
        <v>BULL</v>
      </c>
      <c r="X73" t="str">
        <f t="shared" si="7"/>
        <v>EOS</v>
      </c>
      <c r="Y73" s="42">
        <f t="shared" si="8"/>
        <v>5111044.8589000003</v>
      </c>
      <c r="Z73" s="42">
        <f t="shared" ca="1" si="9"/>
        <v>4853393.7273000004</v>
      </c>
      <c r="AB73" s="3" t="s">
        <v>147</v>
      </c>
      <c r="AC73" s="32">
        <v>40.704174029999997</v>
      </c>
      <c r="AD73" s="32">
        <v>40.704174029999997</v>
      </c>
    </row>
    <row r="74" spans="1:30" x14ac:dyDescent="0.25">
      <c r="A74" t="str">
        <f>IF(Summary_Exchange_Balances_00UTC!$B73="","",Summary_Exchange_Balances_00UTC!$N73)</f>
        <v>BULL</v>
      </c>
      <c r="B74" t="str">
        <f>IF(Summary_Exchange_Balances_00UTC!$B73="","",Summary_Exchange_Balances_00UTC!$B73)</f>
        <v>BULL-2-M-E</v>
      </c>
      <c r="C74" t="str">
        <f>IF(Summary_Exchange_Balances_00UTC!$B73="","",Summary_Exchange_Balances_00UTC!$E73)</f>
        <v>LINK</v>
      </c>
      <c r="D74" t="str">
        <f>IF(OR(Summary_Exchange_Balances_00UTC!$B73="",Summary_Exchange_Balances_00UTC!$D73=""),"",Summary_Exchange_Balances_00UTC!$D73)</f>
        <v/>
      </c>
      <c r="E74" s="53">
        <f>IF(Summary_Exchange_Balances_00UTC!$B73="","",Summary_Exchange_Balances_00UTC!$C73)</f>
        <v>98449.309477839997</v>
      </c>
      <c r="G74" s="52">
        <f ca="1">IF(Summary_Exchange_Balances_00UTC!$B73="","",VLOOKUP(IF(ISERROR(SEARCH(" ", $B74)),UPPER($B74&amp;$C74&amp;IF(OR(NOT(ISERROR(SEARCH("trade",$D74))),NOT(ISERROR(SEARCH("balance",$D74)))),"",$D74)),UPPER(LEFT($B74, SEARCH(" ",$B74)-1)&amp;$C74&amp;IF(OR(NOT(ISERROR(SEARCH("trade",$D74))),NOT(ISERROR(SEARCH("balance",$D74)))),"",$D74))),$L:$T,MATCH("balance",$L$2:$S$2,0),FALSE))</f>
        <v>93678.473197590007</v>
      </c>
      <c r="H74" s="35">
        <f ca="1">IF(Summary_Exchange_Balances_00UTC!$B73="","",(G74-E74)/E74)</f>
        <v>-4.8459824711354224E-2</v>
      </c>
      <c r="I74" s="165">
        <f ca="1">IF(Summary_Exchange_Balances_00UTC!$B73="","",IF(ISERROR($G74),$E74,$G74))</f>
        <v>93678.473197590007</v>
      </c>
      <c r="K74" t="str">
        <f t="shared" ca="1" si="5"/>
        <v>BINESUSHI</v>
      </c>
      <c r="L74" t="str">
        <f ca="1">UPPER($P74&amp;$N74&amp;Q74)</f>
        <v>BINE-2-S1-MSUSHI</v>
      </c>
      <c r="N74" s="161" t="str">
        <f ca="1">IF(raw_exchange_data!$A73="","",OFFSET(raw_exchange_data!$A73,0,MATCH(N$2,raw_exchange_data!$1:$1,0)-1))</f>
        <v>SUSHI</v>
      </c>
      <c r="O74" s="161" t="str">
        <f ca="1">IF(raw_exchange_data!$A73="","",OFFSET(raw_exchange_data!$A73,0,MATCH(O$2,raw_exchange_data!$1:$1,0)-1))</f>
        <v>BINE</v>
      </c>
      <c r="P74" s="161" t="str">
        <f ca="1">IF(raw_exchange_data!$A73="","",OFFSET(raw_exchange_data!$A73,0,MATCH(P$2,raw_exchange_data!$1:$1,0)-1))</f>
        <v>BINE-2-S1-M</v>
      </c>
      <c r="Q74" s="161" t="str">
        <f ca="1">IF(raw_exchange_data!$A73="","",TEXT(OFFSET(raw_exchange_data!$A73,0,MATCH(Q$2,raw_exchange_data!$1:$1,0)-1),""))</f>
        <v/>
      </c>
      <c r="R74" s="162">
        <f ca="1">IF(raw_exchange_data!$A73="","",OFFSET(raw_exchange_data!$A73,0,MATCH(R$2,raw_exchange_data!$1:$1,0)-1))</f>
        <v>-43200</v>
      </c>
      <c r="S74" s="190">
        <f ca="1">IF(raw_exchange_data!$A73="","",OFFSET(raw_exchange_data!$A73,0,MATCH(S$2,raw_exchange_data!$1:$1,0)-1))</f>
        <v>44937.666671377316</v>
      </c>
      <c r="T74" s="161">
        <v>1</v>
      </c>
      <c r="W74" t="str">
        <f t="shared" si="6"/>
        <v>BULL</v>
      </c>
      <c r="X74" t="str">
        <f t="shared" si="7"/>
        <v>LINK</v>
      </c>
      <c r="Y74" s="42">
        <f t="shared" si="8"/>
        <v>98449.309477839997</v>
      </c>
      <c r="Z74" s="42">
        <f t="shared" ca="1" si="9"/>
        <v>93678.473197590007</v>
      </c>
      <c r="AB74" s="3" t="s">
        <v>148</v>
      </c>
      <c r="AC74" s="32">
        <v>3049025070.2014399</v>
      </c>
      <c r="AD74" s="32">
        <v>3049025070.2014399</v>
      </c>
    </row>
    <row r="75" spans="1:30" x14ac:dyDescent="0.25">
      <c r="A75" t="str">
        <f>IF(Summary_Exchange_Balances_00UTC!$B74="","",Summary_Exchange_Balances_00UTC!$N74)</f>
        <v>BULL</v>
      </c>
      <c r="B75" t="str">
        <f>IF(Summary_Exchange_Balances_00UTC!$B74="","",Summary_Exchange_Balances_00UTC!$B74)</f>
        <v>BULL-2-M-E</v>
      </c>
      <c r="C75" t="str">
        <f>IF(Summary_Exchange_Balances_00UTC!$B74="","",Summary_Exchange_Balances_00UTC!$E74)</f>
        <v>LTC</v>
      </c>
      <c r="D75" t="str">
        <f>IF(OR(Summary_Exchange_Balances_00UTC!$B74="",Summary_Exchange_Balances_00UTC!$D74=""),"",Summary_Exchange_Balances_00UTC!$D74)</f>
        <v/>
      </c>
      <c r="E75" s="53">
        <f>IF(Summary_Exchange_Balances_00UTC!$B74="","",Summary_Exchange_Balances_00UTC!$C74)</f>
        <v>7784.5861861900003</v>
      </c>
      <c r="G75" s="52">
        <f ca="1">IF(Summary_Exchange_Balances_00UTC!$B74="","",VLOOKUP(IF(ISERROR(SEARCH(" ", $B75)),UPPER($B75&amp;$C75&amp;IF(OR(NOT(ISERROR(SEARCH("trade",$D75))),NOT(ISERROR(SEARCH("balance",$D75)))),"",$D75)),UPPER(LEFT($B75, SEARCH(" ",$B75)-1)&amp;$C75&amp;IF(OR(NOT(ISERROR(SEARCH("trade",$D75))),NOT(ISERROR(SEARCH("balance",$D75)))),"",$D75))),$L:$T,MATCH("balance",$L$2:$S$2,0),FALSE))</f>
        <v>7396.5581823000002</v>
      </c>
      <c r="H75" s="35">
        <f ca="1">IF(Summary_Exchange_Balances_00UTC!$B74="","",(G75-E75)/E75)</f>
        <v>-4.9845681531327748E-2</v>
      </c>
      <c r="I75" s="165">
        <f ca="1">IF(Summary_Exchange_Balances_00UTC!$B74="","",IF(ISERROR($G75),$E75,$G75))</f>
        <v>7396.5581823000002</v>
      </c>
      <c r="K75" t="str">
        <f t="shared" ca="1" si="5"/>
        <v>BINEUNI</v>
      </c>
      <c r="L75" t="str">
        <f ca="1">UPPER($P75&amp;$N75&amp;Q75)</f>
        <v>BINE-2-S1-MUNI</v>
      </c>
      <c r="N75" s="161" t="str">
        <f ca="1">IF(raw_exchange_data!$A74="","",OFFSET(raw_exchange_data!$A74,0,MATCH(N$2,raw_exchange_data!$1:$1,0)-1))</f>
        <v>UNI</v>
      </c>
      <c r="O75" s="161" t="str">
        <f ca="1">IF(raw_exchange_data!$A74="","",OFFSET(raw_exchange_data!$A74,0,MATCH(O$2,raw_exchange_data!$1:$1,0)-1))</f>
        <v>BINE</v>
      </c>
      <c r="P75" s="161" t="str">
        <f ca="1">IF(raw_exchange_data!$A74="","",OFFSET(raw_exchange_data!$A74,0,MATCH(P$2,raw_exchange_data!$1:$1,0)-1))</f>
        <v>BINE-2-S1-M</v>
      </c>
      <c r="Q75" s="161" t="str">
        <f ca="1">IF(raw_exchange_data!$A74="","",TEXT(OFFSET(raw_exchange_data!$A74,0,MATCH(Q$2,raw_exchange_data!$1:$1,0)-1),""))</f>
        <v/>
      </c>
      <c r="R75" s="162">
        <f ca="1">IF(raw_exchange_data!$A74="","",OFFSET(raw_exchange_data!$A74,0,MATCH(R$2,raw_exchange_data!$1:$1,0)-1))</f>
        <v>-12000</v>
      </c>
      <c r="S75" s="190">
        <f ca="1">IF(raw_exchange_data!$A74="","",OFFSET(raw_exchange_data!$A74,0,MATCH(S$2,raw_exchange_data!$1:$1,0)-1))</f>
        <v>44937.666671377316</v>
      </c>
      <c r="T75" s="161">
        <v>1</v>
      </c>
      <c r="W75" t="str">
        <f t="shared" si="6"/>
        <v>BULL</v>
      </c>
      <c r="X75" t="str">
        <f t="shared" si="7"/>
        <v>LTC</v>
      </c>
      <c r="Y75" s="42">
        <f t="shared" si="8"/>
        <v>7784.5861861900003</v>
      </c>
      <c r="Z75" s="42">
        <f t="shared" ca="1" si="9"/>
        <v>7396.5581823000002</v>
      </c>
      <c r="AB75" s="3" t="s">
        <v>149</v>
      </c>
      <c r="AC75" s="32">
        <v>4.3068300000000002E-3</v>
      </c>
      <c r="AD75" s="32">
        <v>4.3068300000000002E-3</v>
      </c>
    </row>
    <row r="76" spans="1:30" x14ac:dyDescent="0.25">
      <c r="A76" t="str">
        <f>IF(Summary_Exchange_Balances_00UTC!$B75="","",Summary_Exchange_Balances_00UTC!$N75)</f>
        <v>BULL</v>
      </c>
      <c r="B76" t="str">
        <f>IF(Summary_Exchange_Balances_00UTC!$B75="","",Summary_Exchange_Balances_00UTC!$B75)</f>
        <v>BULL-2-M-E</v>
      </c>
      <c r="C76" t="str">
        <f>IF(Summary_Exchange_Balances_00UTC!$B75="","",Summary_Exchange_Balances_00UTC!$E75)</f>
        <v>USD</v>
      </c>
      <c r="D76" t="str">
        <f>IF(OR(Summary_Exchange_Balances_00UTC!$B75="",Summary_Exchange_Balances_00UTC!$D75=""),"",Summary_Exchange_Balances_00UTC!$D75)</f>
        <v/>
      </c>
      <c r="E76" s="53">
        <f>IF(Summary_Exchange_Balances_00UTC!$B75="","",Summary_Exchange_Balances_00UTC!$C75)</f>
        <v>2570926.3349000001</v>
      </c>
      <c r="G76" s="52">
        <f ca="1">IF(Summary_Exchange_Balances_00UTC!$B75="","",VLOOKUP(IF(ISERROR(SEARCH(" ", $B76)),UPPER($B76&amp;$C76&amp;IF(OR(NOT(ISERROR(SEARCH("trade",$D76))),NOT(ISERROR(SEARCH("balance",$D76)))),"",$D76)),UPPER(LEFT($B76, SEARCH(" ",$B76)-1)&amp;$C76&amp;IF(OR(NOT(ISERROR(SEARCH("trade",$D76))),NOT(ISERROR(SEARCH("balance",$D76)))),"",$D76))),$L:$T,MATCH("balance",$L$2:$S$2,0),FALSE))</f>
        <v>2898807.0008</v>
      </c>
      <c r="H76" s="35">
        <f ca="1">IF(Summary_Exchange_Balances_00UTC!$B75="","",(G76-E76)/E76)</f>
        <v>0.1275340570630365</v>
      </c>
      <c r="I76" s="165">
        <f ca="1">IF(Summary_Exchange_Balances_00UTC!$B75="","",IF(ISERROR($G76),$E76,$G76))</f>
        <v>2898807.0008</v>
      </c>
      <c r="K76" t="str">
        <f t="shared" ca="1" si="5"/>
        <v>BINEUSDT</v>
      </c>
      <c r="L76" t="str">
        <f ca="1">UPPER($P76&amp;$N76&amp;Q76)</f>
        <v>BINE-2-S1-MUSDT</v>
      </c>
      <c r="N76" s="161" t="str">
        <f ca="1">IF(raw_exchange_data!$A75="","",OFFSET(raw_exchange_data!$A75,0,MATCH(N$2,raw_exchange_data!$1:$1,0)-1))</f>
        <v>USDT</v>
      </c>
      <c r="O76" s="161" t="str">
        <f ca="1">IF(raw_exchange_data!$A75="","",OFFSET(raw_exchange_data!$A75,0,MATCH(O$2,raw_exchange_data!$1:$1,0)-1))</f>
        <v>BINE</v>
      </c>
      <c r="P76" s="161" t="str">
        <f ca="1">IF(raw_exchange_data!$A75="","",OFFSET(raw_exchange_data!$A75,0,MATCH(P$2,raw_exchange_data!$1:$1,0)-1))</f>
        <v>BINE-2-S1-M</v>
      </c>
      <c r="Q76" s="161" t="str">
        <f ca="1">IF(raw_exchange_data!$A75="","",TEXT(OFFSET(raw_exchange_data!$A75,0,MATCH(Q$2,raw_exchange_data!$1:$1,0)-1),""))</f>
        <v/>
      </c>
      <c r="R76" s="162">
        <f ca="1">IF(raw_exchange_data!$A75="","",OFFSET(raw_exchange_data!$A75,0,MATCH(R$2,raw_exchange_data!$1:$1,0)-1))</f>
        <v>6914920.4233433902</v>
      </c>
      <c r="S76" s="190">
        <f ca="1">IF(raw_exchange_data!$A75="","",OFFSET(raw_exchange_data!$A75,0,MATCH(S$2,raw_exchange_data!$1:$1,0)-1))</f>
        <v>44937.666671377316</v>
      </c>
      <c r="T76" s="161">
        <v>1</v>
      </c>
      <c r="W76" t="str">
        <f t="shared" si="6"/>
        <v>BULL</v>
      </c>
      <c r="X76" t="str">
        <f t="shared" si="7"/>
        <v>USD</v>
      </c>
      <c r="Y76" s="42">
        <f t="shared" si="8"/>
        <v>2570926.3349000001</v>
      </c>
      <c r="Z76" s="42">
        <f t="shared" ca="1" si="9"/>
        <v>2898807.0008</v>
      </c>
      <c r="AB76" s="3" t="s">
        <v>430</v>
      </c>
      <c r="AC76" s="32">
        <v>34311.93215886</v>
      </c>
      <c r="AD76" s="32">
        <v>0</v>
      </c>
    </row>
    <row r="77" spans="1:30" x14ac:dyDescent="0.25">
      <c r="A77" t="str">
        <f>IF(Summary_Exchange_Balances_00UTC!$B76="","",Summary_Exchange_Balances_00UTC!$N76)</f>
        <v>BULL</v>
      </c>
      <c r="B77" t="str">
        <f>IF(Summary_Exchange_Balances_00UTC!$B76="","",Summary_Exchange_Balances_00UTC!$B76)</f>
        <v>BULL-3-M-E</v>
      </c>
      <c r="C77" t="str">
        <f>IF(Summary_Exchange_Balances_00UTC!$B76="","",Summary_Exchange_Balances_00UTC!$E76)</f>
        <v>ETH</v>
      </c>
      <c r="D77" t="str">
        <f>IF(OR(Summary_Exchange_Balances_00UTC!$B76="",Summary_Exchange_Balances_00UTC!$D76=""),"",Summary_Exchange_Balances_00UTC!$D76)</f>
        <v/>
      </c>
      <c r="E77" s="53">
        <f>IF(Summary_Exchange_Balances_00UTC!$B76="","",Summary_Exchange_Balances_00UTC!$C76)</f>
        <v>10506.92560604</v>
      </c>
      <c r="G77" s="52">
        <f ca="1">IF(Summary_Exchange_Balances_00UTC!$B76="","",VLOOKUP(IF(ISERROR(SEARCH(" ", $B77)),UPPER($B77&amp;$C77&amp;IF(OR(NOT(ISERROR(SEARCH("trade",$D77))),NOT(ISERROR(SEARCH("balance",$D77)))),"",$D77)),UPPER(LEFT($B77, SEARCH(" ",$B77)-1)&amp;$C77&amp;IF(OR(NOT(ISERROR(SEARCH("trade",$D77))),NOT(ISERROR(SEARCH("balance",$D77)))),"",$D77))),$L:$T,MATCH("balance",$L$2:$S$2,0),FALSE))</f>
        <v>8919.0013669199998</v>
      </c>
      <c r="H77" s="35">
        <f ca="1">IF(Summary_Exchange_Balances_00UTC!$B76="","",(G77-E77)/E77)</f>
        <v>-0.15113119657068552</v>
      </c>
      <c r="I77" s="165">
        <f ca="1">IF(Summary_Exchange_Balances_00UTC!$B76="","",IF(ISERROR($G77),$E77,$G77))</f>
        <v>8919.0013669199998</v>
      </c>
      <c r="K77" t="str">
        <f t="shared" ca="1" si="5"/>
        <v>BINEVET</v>
      </c>
      <c r="L77" t="str">
        <f ca="1">UPPER($P77&amp;$N77&amp;Q77)</f>
        <v>BINE-2-S1-MVET</v>
      </c>
      <c r="N77" s="161" t="str">
        <f ca="1">IF(raw_exchange_data!$A76="","",OFFSET(raw_exchange_data!$A76,0,MATCH(N$2,raw_exchange_data!$1:$1,0)-1))</f>
        <v>VET</v>
      </c>
      <c r="O77" s="161" t="str">
        <f ca="1">IF(raw_exchange_data!$A76="","",OFFSET(raw_exchange_data!$A76,0,MATCH(O$2,raw_exchange_data!$1:$1,0)-1))</f>
        <v>BINE</v>
      </c>
      <c r="P77" s="161" t="str">
        <f ca="1">IF(raw_exchange_data!$A76="","",OFFSET(raw_exchange_data!$A76,0,MATCH(P$2,raw_exchange_data!$1:$1,0)-1))</f>
        <v>BINE-2-S1-M</v>
      </c>
      <c r="Q77" s="161" t="str">
        <f ca="1">IF(raw_exchange_data!$A76="","",TEXT(OFFSET(raw_exchange_data!$A76,0,MATCH(Q$2,raw_exchange_data!$1:$1,0)-1),""))</f>
        <v/>
      </c>
      <c r="R77" s="162">
        <f ca="1">IF(raw_exchange_data!$A76="","",OFFSET(raw_exchange_data!$A76,0,MATCH(R$2,raw_exchange_data!$1:$1,0)-1))</f>
        <v>-100</v>
      </c>
      <c r="S77" s="190">
        <f ca="1">IF(raw_exchange_data!$A76="","",OFFSET(raw_exchange_data!$A76,0,MATCH(S$2,raw_exchange_data!$1:$1,0)-1))</f>
        <v>44937.666671377316</v>
      </c>
      <c r="T77" s="161">
        <v>1</v>
      </c>
      <c r="W77" t="str">
        <f t="shared" si="6"/>
        <v>BULL</v>
      </c>
      <c r="X77" t="str">
        <f t="shared" si="7"/>
        <v>ETH</v>
      </c>
      <c r="Y77" s="42">
        <f t="shared" si="8"/>
        <v>10506.92560604</v>
      </c>
      <c r="Z77" s="42">
        <f t="shared" ca="1" si="9"/>
        <v>8919.0013669199998</v>
      </c>
      <c r="AB77" s="3" t="s">
        <v>930</v>
      </c>
      <c r="AC77" s="32">
        <v>32302.942249520001</v>
      </c>
      <c r="AD77" s="32">
        <v>0</v>
      </c>
    </row>
    <row r="78" spans="1:30" x14ac:dyDescent="0.25">
      <c r="A78" t="str">
        <f>IF(Summary_Exchange_Balances_00UTC!$B77="","",Summary_Exchange_Balances_00UTC!$N77)</f>
        <v>BULL</v>
      </c>
      <c r="B78" t="str">
        <f>IF(Summary_Exchange_Balances_00UTC!$B77="","",Summary_Exchange_Balances_00UTC!$B77)</f>
        <v>BULL-3-M-E</v>
      </c>
      <c r="C78" t="str">
        <f>IF(Summary_Exchange_Balances_00UTC!$B77="","",Summary_Exchange_Balances_00UTC!$E77)</f>
        <v>USD</v>
      </c>
      <c r="D78" t="str">
        <f>IF(OR(Summary_Exchange_Balances_00UTC!$B77="",Summary_Exchange_Balances_00UTC!$D77=""),"",Summary_Exchange_Balances_00UTC!$D77)</f>
        <v/>
      </c>
      <c r="E78" s="53">
        <f>IF(Summary_Exchange_Balances_00UTC!$B77="","",Summary_Exchange_Balances_00UTC!$C77)</f>
        <v>15310469.9882</v>
      </c>
      <c r="G78" s="52">
        <f ca="1">IF(Summary_Exchange_Balances_00UTC!$B77="","",VLOOKUP(IF(ISERROR(SEARCH(" ", $B78)),UPPER($B78&amp;$C78&amp;IF(OR(NOT(ISERROR(SEARCH("trade",$D78))),NOT(ISERROR(SEARCH("balance",$D78)))),"",$D78)),UPPER(LEFT($B78, SEARCH(" ",$B78)-1)&amp;$C78&amp;IF(OR(NOT(ISERROR(SEARCH("trade",$D78))),NOT(ISERROR(SEARCH("balance",$D78)))),"",$D78))),$L:$T,MATCH("balance",$L$2:$S$2,0),FALSE))</f>
        <v>17566435.357999999</v>
      </c>
      <c r="H78" s="35">
        <f ca="1">IF(Summary_Exchange_Balances_00UTC!$B77="","",(G78-E78)/E78)</f>
        <v>0.14734788491396442</v>
      </c>
      <c r="I78" s="165">
        <f ca="1">IF(Summary_Exchange_Balances_00UTC!$B77="","",IF(ISERROR($G78),$E78,$G78))</f>
        <v>17566435.357999999</v>
      </c>
      <c r="K78" t="str">
        <f t="shared" ca="1" si="5"/>
        <v>BINEXLM</v>
      </c>
      <c r="L78" t="str">
        <f ca="1">UPPER($P78&amp;$N78&amp;Q78)</f>
        <v>BINE-2-S1-MXLM</v>
      </c>
      <c r="N78" s="161" t="str">
        <f ca="1">IF(raw_exchange_data!$A77="","",OFFSET(raw_exchange_data!$A77,0,MATCH(N$2,raw_exchange_data!$1:$1,0)-1))</f>
        <v>XLM</v>
      </c>
      <c r="O78" s="161" t="str">
        <f ca="1">IF(raw_exchange_data!$A77="","",OFFSET(raw_exchange_data!$A77,0,MATCH(O$2,raw_exchange_data!$1:$1,0)-1))</f>
        <v>BINE</v>
      </c>
      <c r="P78" s="161" t="str">
        <f ca="1">IF(raw_exchange_data!$A77="","",OFFSET(raw_exchange_data!$A77,0,MATCH(P$2,raw_exchange_data!$1:$1,0)-1))</f>
        <v>BINE-2-S1-M</v>
      </c>
      <c r="Q78" s="161" t="str">
        <f ca="1">IF(raw_exchange_data!$A77="","",TEXT(OFFSET(raw_exchange_data!$A77,0,MATCH(Q$2,raw_exchange_data!$1:$1,0)-1),""))</f>
        <v/>
      </c>
      <c r="R78" s="162">
        <f ca="1">IF(raw_exchange_data!$A77="","",OFFSET(raw_exchange_data!$A77,0,MATCH(R$2,raw_exchange_data!$1:$1,0)-1))</f>
        <v>-1000000</v>
      </c>
      <c r="S78" s="190">
        <f ca="1">IF(raw_exchange_data!$A77="","",OFFSET(raw_exchange_data!$A77,0,MATCH(S$2,raw_exchange_data!$1:$1,0)-1))</f>
        <v>44937.666671377316</v>
      </c>
      <c r="T78" s="161">
        <v>1</v>
      </c>
      <c r="W78" t="str">
        <f t="shared" si="6"/>
        <v>BULL</v>
      </c>
      <c r="X78" t="str">
        <f t="shared" si="7"/>
        <v>USD</v>
      </c>
      <c r="Y78" s="42">
        <f t="shared" si="8"/>
        <v>15310469.9882</v>
      </c>
      <c r="Z78" s="42">
        <f t="shared" ca="1" si="9"/>
        <v>17566435.357999999</v>
      </c>
      <c r="AB78" s="3" t="s">
        <v>964</v>
      </c>
      <c r="AC78" s="32">
        <v>32626.54331546</v>
      </c>
      <c r="AD78" s="32">
        <v>0</v>
      </c>
    </row>
    <row r="79" spans="1:30" x14ac:dyDescent="0.25">
      <c r="A79" t="str">
        <f>IF(Summary_Exchange_Balances_00UTC!$B78="","",Summary_Exchange_Balances_00UTC!$N78)</f>
        <v>BULL</v>
      </c>
      <c r="B79" t="str">
        <f>IF(Summary_Exchange_Balances_00UTC!$B78="","",Summary_Exchange_Balances_00UTC!$B78)</f>
        <v>BULL-4-M-E</v>
      </c>
      <c r="C79" t="str">
        <f>IF(Summary_Exchange_Balances_00UTC!$B78="","",Summary_Exchange_Balances_00UTC!$E78)</f>
        <v>BTC</v>
      </c>
      <c r="D79" t="str">
        <f>IF(OR(Summary_Exchange_Balances_00UTC!$B78="",Summary_Exchange_Balances_00UTC!$D78=""),"",Summary_Exchange_Balances_00UTC!$D78)</f>
        <v/>
      </c>
      <c r="E79" s="53">
        <f>IF(Summary_Exchange_Balances_00UTC!$B78="","",Summary_Exchange_Balances_00UTC!$C78)</f>
        <v>71.188435069999997</v>
      </c>
      <c r="G79" s="52">
        <f ca="1">IF(Summary_Exchange_Balances_00UTC!$B78="","",VLOOKUP(IF(ISERROR(SEARCH(" ", $B79)),UPPER($B79&amp;$C79&amp;IF(OR(NOT(ISERROR(SEARCH("trade",$D79))),NOT(ISERROR(SEARCH("balance",$D79)))),"",$D79)),UPPER(LEFT($B79, SEARCH(" ",$B79)-1)&amp;$C79&amp;IF(OR(NOT(ISERROR(SEARCH("trade",$D79))),NOT(ISERROR(SEARCH("balance",$D79)))),"",$D79))),$L:$T,MATCH("balance",$L$2:$S$2,0),FALSE))</f>
        <v>76.118079890000004</v>
      </c>
      <c r="H79" s="35">
        <f ca="1">IF(Summary_Exchange_Balances_00UTC!$B78="","",(G79-E79)/E79)</f>
        <v>6.924783239233534E-2</v>
      </c>
      <c r="I79" s="165">
        <f ca="1">IF(Summary_Exchange_Balances_00UTC!$B78="","",IF(ISERROR($G79),$E79,$G79))</f>
        <v>76.118079890000004</v>
      </c>
      <c r="K79" t="str">
        <f t="shared" ca="1" si="5"/>
        <v>BINEXTZ</v>
      </c>
      <c r="L79" t="str">
        <f ca="1">UPPER($P79&amp;$N79&amp;Q79)</f>
        <v>BINE-2-S1-MXTZ</v>
      </c>
      <c r="N79" s="161" t="str">
        <f ca="1">IF(raw_exchange_data!$A78="","",OFFSET(raw_exchange_data!$A78,0,MATCH(N$2,raw_exchange_data!$1:$1,0)-1))</f>
        <v>XTZ</v>
      </c>
      <c r="O79" s="161" t="str">
        <f ca="1">IF(raw_exchange_data!$A78="","",OFFSET(raw_exchange_data!$A78,0,MATCH(O$2,raw_exchange_data!$1:$1,0)-1))</f>
        <v>BINE</v>
      </c>
      <c r="P79" s="161" t="str">
        <f ca="1">IF(raw_exchange_data!$A78="","",OFFSET(raw_exchange_data!$A78,0,MATCH(P$2,raw_exchange_data!$1:$1,0)-1))</f>
        <v>BINE-2-S1-M</v>
      </c>
      <c r="Q79" s="161" t="str">
        <f ca="1">IF(raw_exchange_data!$A78="","",TEXT(OFFSET(raw_exchange_data!$A78,0,MATCH(Q$2,raw_exchange_data!$1:$1,0)-1),""))</f>
        <v/>
      </c>
      <c r="R79" s="162">
        <f ca="1">IF(raw_exchange_data!$A78="","",OFFSET(raw_exchange_data!$A78,0,MATCH(R$2,raw_exchange_data!$1:$1,0)-1))</f>
        <v>-68160</v>
      </c>
      <c r="S79" s="190">
        <f ca="1">IF(raw_exchange_data!$A78="","",OFFSET(raw_exchange_data!$A78,0,MATCH(S$2,raw_exchange_data!$1:$1,0)-1))</f>
        <v>44937.666671377316</v>
      </c>
      <c r="T79" s="161">
        <v>1</v>
      </c>
      <c r="W79" t="str">
        <f t="shared" si="6"/>
        <v>BULL</v>
      </c>
      <c r="X79" t="str">
        <f t="shared" si="7"/>
        <v>BTC</v>
      </c>
      <c r="Y79" s="42">
        <f t="shared" si="8"/>
        <v>71.188435069999997</v>
      </c>
      <c r="Z79" s="42">
        <f t="shared" ca="1" si="9"/>
        <v>76.118079890000004</v>
      </c>
      <c r="AB79" s="3" t="s">
        <v>458</v>
      </c>
      <c r="AC79" s="32">
        <v>33793.379334129997</v>
      </c>
      <c r="AD79" s="32">
        <v>0</v>
      </c>
    </row>
    <row r="80" spans="1:30" x14ac:dyDescent="0.25">
      <c r="A80" t="str">
        <f>IF(Summary_Exchange_Balances_00UTC!$B79="","",Summary_Exchange_Balances_00UTC!$N79)</f>
        <v>BULL</v>
      </c>
      <c r="B80" t="str">
        <f>IF(Summary_Exchange_Balances_00UTC!$B79="","",Summary_Exchange_Balances_00UTC!$B79)</f>
        <v>BULL-4-M-E</v>
      </c>
      <c r="C80" t="str">
        <f>IF(Summary_Exchange_Balances_00UTC!$B79="","",Summary_Exchange_Balances_00UTC!$E79)</f>
        <v>ETH</v>
      </c>
      <c r="D80" t="str">
        <f>IF(OR(Summary_Exchange_Balances_00UTC!$B79="",Summary_Exchange_Balances_00UTC!$D79=""),"",Summary_Exchange_Balances_00UTC!$D79)</f>
        <v/>
      </c>
      <c r="E80" s="53">
        <f>IF(Summary_Exchange_Balances_00UTC!$B79="","",Summary_Exchange_Balances_00UTC!$C79)</f>
        <v>1029.23054336</v>
      </c>
      <c r="G80" s="52">
        <f ca="1">IF(Summary_Exchange_Balances_00UTC!$B79="","",VLOOKUP(IF(ISERROR(SEARCH(" ", $B80)),UPPER($B80&amp;$C80&amp;IF(OR(NOT(ISERROR(SEARCH("trade",$D80))),NOT(ISERROR(SEARCH("balance",$D80)))),"",$D80)),UPPER(LEFT($B80, SEARCH(" ",$B80)-1)&amp;$C80&amp;IF(OR(NOT(ISERROR(SEARCH("trade",$D80))),NOT(ISERROR(SEARCH("balance",$D80)))),"",$D80))),$L:$T,MATCH("balance",$L$2:$S$2,0),FALSE))</f>
        <v>964.11535314000002</v>
      </c>
      <c r="H80" s="35">
        <f ca="1">IF(Summary_Exchange_Balances_00UTC!$B79="","",(G80-E80)/E80)</f>
        <v>-6.3265893768976705E-2</v>
      </c>
      <c r="I80" s="165">
        <f ca="1">IF(Summary_Exchange_Balances_00UTC!$B79="","",IF(ISERROR($G80),$E80,$G80))</f>
        <v>964.11535314000002</v>
      </c>
      <c r="K80" t="str">
        <f t="shared" ca="1" si="5"/>
        <v>BINEBNB</v>
      </c>
      <c r="L80" t="str">
        <f ca="1">UPPER($P80&amp;$N80&amp;Q80)</f>
        <v>BINE-2-S1-PBNB</v>
      </c>
      <c r="N80" s="161" t="str">
        <f ca="1">IF(raw_exchange_data!$A79="","",OFFSET(raw_exchange_data!$A79,0,MATCH(N$2,raw_exchange_data!$1:$1,0)-1))</f>
        <v>BNB</v>
      </c>
      <c r="O80" s="161" t="str">
        <f ca="1">IF(raw_exchange_data!$A79="","",OFFSET(raw_exchange_data!$A79,0,MATCH(O$2,raw_exchange_data!$1:$1,0)-1))</f>
        <v>BINE</v>
      </c>
      <c r="P80" s="161" t="str">
        <f ca="1">IF(raw_exchange_data!$A79="","",OFFSET(raw_exchange_data!$A79,0,MATCH(P$2,raw_exchange_data!$1:$1,0)-1))</f>
        <v>BINE-2-S1-P</v>
      </c>
      <c r="Q80" s="161" t="str">
        <f ca="1">IF(raw_exchange_data!$A79="","",TEXT(OFFSET(raw_exchange_data!$A79,0,MATCH(Q$2,raw_exchange_data!$1:$1,0)-1),""))</f>
        <v/>
      </c>
      <c r="R80" s="162">
        <f ca="1">IF(raw_exchange_data!$A79="","",OFFSET(raw_exchange_data!$A79,0,MATCH(R$2,raw_exchange_data!$1:$1,0)-1))</f>
        <v>48.386672320000002</v>
      </c>
      <c r="S80" s="190">
        <f ca="1">IF(raw_exchange_data!$A79="","",OFFSET(raw_exchange_data!$A79,0,MATCH(S$2,raw_exchange_data!$1:$1,0)-1))</f>
        <v>44937.667074733799</v>
      </c>
      <c r="T80" s="161">
        <v>1</v>
      </c>
      <c r="W80" t="str">
        <f t="shared" si="6"/>
        <v>BULL</v>
      </c>
      <c r="X80" t="str">
        <f t="shared" si="7"/>
        <v>ETH</v>
      </c>
      <c r="Y80" s="42">
        <f t="shared" si="8"/>
        <v>1029.23054336</v>
      </c>
      <c r="Z80" s="42">
        <f t="shared" ca="1" si="9"/>
        <v>964.11535314000002</v>
      </c>
      <c r="AB80" s="3" t="s">
        <v>418</v>
      </c>
      <c r="AC80" s="32">
        <v>33991.374100820001</v>
      </c>
      <c r="AD80" s="32">
        <v>0</v>
      </c>
    </row>
    <row r="81" spans="1:30" x14ac:dyDescent="0.25">
      <c r="A81" t="str">
        <f>IF(Summary_Exchange_Balances_00UTC!$B80="","",Summary_Exchange_Balances_00UTC!$N80)</f>
        <v>BULL</v>
      </c>
      <c r="B81" t="str">
        <f>IF(Summary_Exchange_Balances_00UTC!$B80="","",Summary_Exchange_Balances_00UTC!$B80)</f>
        <v>BULL-4-M-E</v>
      </c>
      <c r="C81" t="str">
        <f>IF(Summary_Exchange_Balances_00UTC!$B80="","",Summary_Exchange_Balances_00UTC!$E80)</f>
        <v>USDC</v>
      </c>
      <c r="D81" t="str">
        <f>IF(OR(Summary_Exchange_Balances_00UTC!$B80="",Summary_Exchange_Balances_00UTC!$D80=""),"",Summary_Exchange_Balances_00UTC!$D80)</f>
        <v/>
      </c>
      <c r="E81" s="53">
        <f>IF(Summary_Exchange_Balances_00UTC!$B80="","",Summary_Exchange_Balances_00UTC!$C80)</f>
        <v>0.5</v>
      </c>
      <c r="G81" s="52">
        <f ca="1">IF(Summary_Exchange_Balances_00UTC!$B80="","",VLOOKUP(IF(ISERROR(SEARCH(" ", $B81)),UPPER($B81&amp;$C81&amp;IF(OR(NOT(ISERROR(SEARCH("trade",$D81))),NOT(ISERROR(SEARCH("balance",$D81)))),"",$D81)),UPPER(LEFT($B81, SEARCH(" ",$B81)-1)&amp;$C81&amp;IF(OR(NOT(ISERROR(SEARCH("trade",$D81))),NOT(ISERROR(SEARCH("balance",$D81)))),"",$D81))),$L:$T,MATCH("balance",$L$2:$S$2,0),FALSE))</f>
        <v>0.5</v>
      </c>
      <c r="H81" s="35">
        <f ca="1">IF(Summary_Exchange_Balances_00UTC!$B80="","",(G81-E81)/E81)</f>
        <v>0</v>
      </c>
      <c r="I81" s="165">
        <f ca="1">IF(Summary_Exchange_Balances_00UTC!$B80="","",IF(ISERROR($G81),$E81,$G81))</f>
        <v>0.5</v>
      </c>
      <c r="K81" t="str">
        <f t="shared" ca="1" si="5"/>
        <v>BINEBUSD</v>
      </c>
      <c r="L81" t="str">
        <f ca="1">UPPER($P81&amp;$N81&amp;Q81)</f>
        <v>BINE-2-S1-PBUSD</v>
      </c>
      <c r="N81" s="161" t="str">
        <f ca="1">IF(raw_exchange_data!$A80="","",OFFSET(raw_exchange_data!$A80,0,MATCH(N$2,raw_exchange_data!$1:$1,0)-1))</f>
        <v>BUSD</v>
      </c>
      <c r="O81" s="161" t="str">
        <f ca="1">IF(raw_exchange_data!$A80="","",OFFSET(raw_exchange_data!$A80,0,MATCH(O$2,raw_exchange_data!$1:$1,0)-1))</f>
        <v>BINE</v>
      </c>
      <c r="P81" s="161" t="str">
        <f ca="1">IF(raw_exchange_data!$A80="","",OFFSET(raw_exchange_data!$A80,0,MATCH(P$2,raw_exchange_data!$1:$1,0)-1))</f>
        <v>BINE-2-S1-P</v>
      </c>
      <c r="Q81" s="161" t="str">
        <f ca="1">IF(raw_exchange_data!$A80="","",TEXT(OFFSET(raw_exchange_data!$A80,0,MATCH(Q$2,raw_exchange_data!$1:$1,0)-1),""))</f>
        <v/>
      </c>
      <c r="R81" s="162">
        <f ca="1">IF(raw_exchange_data!$A80="","",OFFSET(raw_exchange_data!$A80,0,MATCH(R$2,raw_exchange_data!$1:$1,0)-1))</f>
        <v>16000004.7915495</v>
      </c>
      <c r="S81" s="190">
        <f ca="1">IF(raw_exchange_data!$A80="","",OFFSET(raw_exchange_data!$A80,0,MATCH(S$2,raw_exchange_data!$1:$1,0)-1))</f>
        <v>44937.667074733799</v>
      </c>
      <c r="T81" s="161">
        <v>1</v>
      </c>
      <c r="W81" t="str">
        <f t="shared" si="6"/>
        <v>BULL</v>
      </c>
      <c r="X81" t="str">
        <f t="shared" si="7"/>
        <v>USDC</v>
      </c>
      <c r="Y81" s="42">
        <f t="shared" si="8"/>
        <v>0.5</v>
      </c>
      <c r="Z81" s="42">
        <f t="shared" ca="1" si="9"/>
        <v>0.5</v>
      </c>
      <c r="AB81" s="3" t="s">
        <v>445</v>
      </c>
      <c r="AC81" s="32">
        <v>196525.25441796001</v>
      </c>
      <c r="AD81" s="32">
        <v>0</v>
      </c>
    </row>
    <row r="82" spans="1:30" x14ac:dyDescent="0.25">
      <c r="A82" t="str">
        <f>IF(Summary_Exchange_Balances_00UTC!$B81="","",Summary_Exchange_Balances_00UTC!$N81)</f>
        <v>DEFI</v>
      </c>
      <c r="B82" t="str">
        <f>IF(Summary_Exchange_Balances_00UTC!$B81="","",Summary_Exchange_Balances_00UTC!$B81)</f>
        <v>DEFI-STRAT-1</v>
      </c>
      <c r="C82" t="str">
        <f>IF(Summary_Exchange_Balances_00UTC!$B81="","",Summary_Exchange_Balances_00UTC!$E81)</f>
        <v>CRV</v>
      </c>
      <c r="D82" t="str">
        <f>IF(OR(Summary_Exchange_Balances_00UTC!$B81="",Summary_Exchange_Balances_00UTC!$D81=""),"",Summary_Exchange_Balances_00UTC!$D81)</f>
        <v>reward_token</v>
      </c>
      <c r="E82" s="53">
        <f>IF(Summary_Exchange_Balances_00UTC!$B81="","",Summary_Exchange_Balances_00UTC!$C81)</f>
        <v>0.26739257999999999</v>
      </c>
      <c r="G82" s="52" t="e">
        <f ca="1">IF(Summary_Exchange_Balances_00UTC!$B81="","",VLOOKUP(IF(ISERROR(SEARCH(" ", $B82)),UPPER($B82&amp;$C82&amp;IF(OR(NOT(ISERROR(SEARCH("trade",$D82))),NOT(ISERROR(SEARCH("balance",$D82)))),"",$D82)),UPPER(LEFT($B82, SEARCH(" ",$B82)-1)&amp;$C82&amp;IF(OR(NOT(ISERROR(SEARCH("trade",$D82))),NOT(ISERROR(SEARCH("balance",$D82)))),"",$D82))),$L:$T,MATCH("balance",$L$2:$S$2,0),FALSE))</f>
        <v>#N/A</v>
      </c>
      <c r="H82" s="35" t="e">
        <f ca="1">IF(Summary_Exchange_Balances_00UTC!$B81="","",(G82-E82)/E82)</f>
        <v>#N/A</v>
      </c>
      <c r="I82" s="165">
        <f ca="1">IF(Summary_Exchange_Balances_00UTC!$B81="","",IF(ISERROR($G82),$E82,$G82))</f>
        <v>0.26739257999999999</v>
      </c>
      <c r="K82" t="str">
        <f t="shared" ca="1" si="5"/>
        <v>BINEUSDT</v>
      </c>
      <c r="L82" t="str">
        <f ca="1">UPPER($P82&amp;$N82&amp;Q82)</f>
        <v>BINE-2-S1-PUSDT</v>
      </c>
      <c r="N82" s="161" t="str">
        <f ca="1">IF(raw_exchange_data!$A81="","",OFFSET(raw_exchange_data!$A81,0,MATCH(N$2,raw_exchange_data!$1:$1,0)-1))</f>
        <v>USDT</v>
      </c>
      <c r="O82" s="161" t="str">
        <f ca="1">IF(raw_exchange_data!$A81="","",OFFSET(raw_exchange_data!$A81,0,MATCH(O$2,raw_exchange_data!$1:$1,0)-1))</f>
        <v>BINE</v>
      </c>
      <c r="P82" s="161" t="str">
        <f ca="1">IF(raw_exchange_data!$A81="","",OFFSET(raw_exchange_data!$A81,0,MATCH(P$2,raw_exchange_data!$1:$1,0)-1))</f>
        <v>BINE-2-S1-P</v>
      </c>
      <c r="Q82" s="161" t="str">
        <f ca="1">IF(raw_exchange_data!$A81="","",TEXT(OFFSET(raw_exchange_data!$A81,0,MATCH(Q$2,raw_exchange_data!$1:$1,0)-1),""))</f>
        <v/>
      </c>
      <c r="R82" s="162">
        <f ca="1">IF(raw_exchange_data!$A81="","",OFFSET(raw_exchange_data!$A81,0,MATCH(R$2,raw_exchange_data!$1:$1,0)-1))</f>
        <v>11184455.038044401</v>
      </c>
      <c r="S82" s="190">
        <f ca="1">IF(raw_exchange_data!$A81="","",OFFSET(raw_exchange_data!$A81,0,MATCH(S$2,raw_exchange_data!$1:$1,0)-1))</f>
        <v>44937.667074733799</v>
      </c>
      <c r="T82" s="161">
        <v>1</v>
      </c>
      <c r="W82" t="str">
        <f t="shared" si="6"/>
        <v>DEFI</v>
      </c>
      <c r="X82" t="str">
        <f t="shared" si="7"/>
        <v>CRV</v>
      </c>
      <c r="Y82" s="42">
        <f t="shared" si="8"/>
        <v>0.26739257999999999</v>
      </c>
      <c r="Z82" s="42">
        <f t="shared" ca="1" si="9"/>
        <v>0</v>
      </c>
      <c r="AB82" s="3" t="s">
        <v>150</v>
      </c>
      <c r="AC82" s="32">
        <v>24402.900819300001</v>
      </c>
      <c r="AD82" s="32">
        <v>24403.3608193</v>
      </c>
    </row>
    <row r="83" spans="1:30" x14ac:dyDescent="0.25">
      <c r="A83" t="str">
        <f>IF(Summary_Exchange_Balances_00UTC!$B82="","",Summary_Exchange_Balances_00UTC!$N82)</f>
        <v>DEFI</v>
      </c>
      <c r="B83" t="str">
        <f>IF(Summary_Exchange_Balances_00UTC!$B82="","",Summary_Exchange_Balances_00UTC!$B82)</f>
        <v>DEFI-STRAT-1</v>
      </c>
      <c r="C83" t="str">
        <f>IF(Summary_Exchange_Balances_00UTC!$B82="","",Summary_Exchange_Balances_00UTC!$E82)</f>
        <v>CRV</v>
      </c>
      <c r="D83" t="str">
        <f>IF(OR(Summary_Exchange_Balances_00UTC!$B82="",Summary_Exchange_Balances_00UTC!$D82=""),"",Summary_Exchange_Balances_00UTC!$D82)</f>
        <v>wallet</v>
      </c>
      <c r="E83" s="53">
        <f>IF(Summary_Exchange_Balances_00UTC!$B82="","",Summary_Exchange_Balances_00UTC!$C82)</f>
        <v>9.7777784299999997</v>
      </c>
      <c r="G83" s="52" t="e">
        <f ca="1">IF(Summary_Exchange_Balances_00UTC!$B82="","",VLOOKUP(IF(ISERROR(SEARCH(" ", $B83)),UPPER($B83&amp;$C83&amp;IF(OR(NOT(ISERROR(SEARCH("trade",$D83))),NOT(ISERROR(SEARCH("balance",$D83)))),"",$D83)),UPPER(LEFT($B83, SEARCH(" ",$B83)-1)&amp;$C83&amp;IF(OR(NOT(ISERROR(SEARCH("trade",$D83))),NOT(ISERROR(SEARCH("balance",$D83)))),"",$D83))),$L:$T,MATCH("balance",$L$2:$S$2,0),FALSE))</f>
        <v>#N/A</v>
      </c>
      <c r="H83" s="35" t="e">
        <f ca="1">IF(Summary_Exchange_Balances_00UTC!$B82="","",(G83-E83)/E83)</f>
        <v>#N/A</v>
      </c>
      <c r="I83" s="165">
        <f ca="1">IF(Summary_Exchange_Balances_00UTC!$B82="","",IF(ISERROR($G83),$E83,$G83))</f>
        <v>9.7777784299999997</v>
      </c>
      <c r="K83" t="str">
        <f t="shared" ca="1" si="5"/>
        <v>BINEUSDT</v>
      </c>
      <c r="L83" t="str">
        <f ca="1">UPPER($P83&amp;$N83&amp;Q83)</f>
        <v>BINE-2-S1-PUSDTUNREALIZED</v>
      </c>
      <c r="N83" s="161" t="str">
        <f ca="1">IF(raw_exchange_data!$A82="","",OFFSET(raw_exchange_data!$A82,0,MATCH(N$2,raw_exchange_data!$1:$1,0)-1))</f>
        <v>USDT</v>
      </c>
      <c r="O83" s="161" t="str">
        <f ca="1">IF(raw_exchange_data!$A82="","",OFFSET(raw_exchange_data!$A82,0,MATCH(O$2,raw_exchange_data!$1:$1,0)-1))</f>
        <v>BINE</v>
      </c>
      <c r="P83" s="161" t="str">
        <f ca="1">IF(raw_exchange_data!$A82="","",OFFSET(raw_exchange_data!$A82,0,MATCH(P$2,raw_exchange_data!$1:$1,0)-1))</f>
        <v>BINE-2-S1-P</v>
      </c>
      <c r="Q83" s="161" t="str">
        <f ca="1">IF(raw_exchange_data!$A82="","",TEXT(OFFSET(raw_exchange_data!$A82,0,MATCH(Q$2,raw_exchange_data!$1:$1,0)-1),""))</f>
        <v>Unrealized</v>
      </c>
      <c r="R83" s="162">
        <f ca="1">IF(raw_exchange_data!$A82="","",OFFSET(raw_exchange_data!$A82,0,MATCH(R$2,raw_exchange_data!$1:$1,0)-1))</f>
        <v>-155125.90950678001</v>
      </c>
      <c r="S83" s="190">
        <f ca="1">IF(raw_exchange_data!$A82="","",OFFSET(raw_exchange_data!$A82,0,MATCH(S$2,raw_exchange_data!$1:$1,0)-1))</f>
        <v>44937.667074733799</v>
      </c>
      <c r="T83" s="161">
        <v>1</v>
      </c>
      <c r="W83" t="str">
        <f t="shared" si="6"/>
        <v>DEFI</v>
      </c>
      <c r="X83" t="str">
        <f t="shared" si="7"/>
        <v>CRV</v>
      </c>
      <c r="Y83" s="42">
        <f t="shared" si="8"/>
        <v>9.7777784299999997</v>
      </c>
      <c r="Z83" s="42">
        <f t="shared" ca="1" si="9"/>
        <v>0</v>
      </c>
      <c r="AB83" s="3" t="s">
        <v>151</v>
      </c>
      <c r="AC83" s="32">
        <v>0.34782034000000001</v>
      </c>
      <c r="AD83" s="32">
        <v>0.34782034000000001</v>
      </c>
    </row>
    <row r="84" spans="1:30" x14ac:dyDescent="0.25">
      <c r="A84" t="str">
        <f>IF(Summary_Exchange_Balances_00UTC!$B83="","",Summary_Exchange_Balances_00UTC!$N83)</f>
        <v>DEFI</v>
      </c>
      <c r="B84" t="str">
        <f>IF(Summary_Exchange_Balances_00UTC!$B83="","",Summary_Exchange_Balances_00UTC!$B83)</f>
        <v>DEFI-STRAT-1</v>
      </c>
      <c r="C84" t="str">
        <f>IF(Summary_Exchange_Balances_00UTC!$B83="","",Summary_Exchange_Balances_00UTC!$E83)</f>
        <v>CVX</v>
      </c>
      <c r="D84" t="str">
        <f>IF(OR(Summary_Exchange_Balances_00UTC!$B83="",Summary_Exchange_Balances_00UTC!$D83=""),"",Summary_Exchange_Balances_00UTC!$D83)</f>
        <v>reward_token</v>
      </c>
      <c r="E84" s="53">
        <f>IF(Summary_Exchange_Balances_00UTC!$B83="","",Summary_Exchange_Balances_00UTC!$C83)</f>
        <v>2.800215E-2</v>
      </c>
      <c r="G84" s="52" t="e">
        <f ca="1">IF(Summary_Exchange_Balances_00UTC!$B83="","",VLOOKUP(IF(ISERROR(SEARCH(" ", $B84)),UPPER($B84&amp;$C84&amp;IF(OR(NOT(ISERROR(SEARCH("trade",$D84))),NOT(ISERROR(SEARCH("balance",$D84)))),"",$D84)),UPPER(LEFT($B84, SEARCH(" ",$B84)-1)&amp;$C84&amp;IF(OR(NOT(ISERROR(SEARCH("trade",$D84))),NOT(ISERROR(SEARCH("balance",$D84)))),"",$D84))),$L:$T,MATCH("balance",$L$2:$S$2,0),FALSE))</f>
        <v>#N/A</v>
      </c>
      <c r="H84" s="35" t="e">
        <f ca="1">IF(Summary_Exchange_Balances_00UTC!$B83="","",(G84-E84)/E84)</f>
        <v>#N/A</v>
      </c>
      <c r="I84" s="165">
        <f ca="1">IF(Summary_Exchange_Balances_00UTC!$B83="","",IF(ISERROR($G84),$E84,$G84))</f>
        <v>2.800215E-2</v>
      </c>
      <c r="K84" t="str">
        <f t="shared" ca="1" si="5"/>
        <v>BINEUSDT</v>
      </c>
      <c r="L84" t="str">
        <f ca="1">UPPER($P84&amp;$N84&amp;Q84)</f>
        <v>BINE-2-S2-PUSDTUNREALIZED</v>
      </c>
      <c r="N84" s="161" t="str">
        <f ca="1">IF(raw_exchange_data!$A83="","",OFFSET(raw_exchange_data!$A83,0,MATCH(N$2,raw_exchange_data!$1:$1,0)-1))</f>
        <v>USDT</v>
      </c>
      <c r="O84" s="161" t="str">
        <f ca="1">IF(raw_exchange_data!$A83="","",OFFSET(raw_exchange_data!$A83,0,MATCH(O$2,raw_exchange_data!$1:$1,0)-1))</f>
        <v>BINE</v>
      </c>
      <c r="P84" s="161" t="str">
        <f ca="1">IF(raw_exchange_data!$A83="","",OFFSET(raw_exchange_data!$A83,0,MATCH(P$2,raw_exchange_data!$1:$1,0)-1))</f>
        <v>BINE-2-S2-P</v>
      </c>
      <c r="Q84" s="161" t="str">
        <f ca="1">IF(raw_exchange_data!$A83="","",TEXT(OFFSET(raw_exchange_data!$A83,0,MATCH(Q$2,raw_exchange_data!$1:$1,0)-1),""))</f>
        <v>Unrealized</v>
      </c>
      <c r="R84" s="162">
        <f ca="1">IF(raw_exchange_data!$A83="","",OFFSET(raw_exchange_data!$A83,0,MATCH(R$2,raw_exchange_data!$1:$1,0)-1))</f>
        <v>7207.4441638099997</v>
      </c>
      <c r="S84" s="190">
        <f ca="1">IF(raw_exchange_data!$A83="","",OFFSET(raw_exchange_data!$A83,0,MATCH(S$2,raw_exchange_data!$1:$1,0)-1))</f>
        <v>44937.667462500001</v>
      </c>
      <c r="T84" s="161">
        <v>1</v>
      </c>
      <c r="W84" t="str">
        <f t="shared" si="6"/>
        <v>DEFI</v>
      </c>
      <c r="X84" t="str">
        <f t="shared" si="7"/>
        <v>CVX</v>
      </c>
      <c r="Y84" s="42">
        <f t="shared" si="8"/>
        <v>2.800215E-2</v>
      </c>
      <c r="Z84" s="42">
        <f t="shared" ca="1" si="9"/>
        <v>0</v>
      </c>
      <c r="AB84" s="3" t="s">
        <v>446</v>
      </c>
      <c r="AC84" s="32">
        <v>201000.92417708001</v>
      </c>
      <c r="AD84" s="32">
        <v>0</v>
      </c>
    </row>
    <row r="85" spans="1:30" x14ac:dyDescent="0.25">
      <c r="A85" t="str">
        <f>IF(Summary_Exchange_Balances_00UTC!$B84="","",Summary_Exchange_Balances_00UTC!$N84)</f>
        <v>DEFI</v>
      </c>
      <c r="B85" t="str">
        <f>IF(Summary_Exchange_Balances_00UTC!$B84="","",Summary_Exchange_Balances_00UTC!$B84)</f>
        <v>DEFI-STRAT-1</v>
      </c>
      <c r="C85" t="str">
        <f>IF(Summary_Exchange_Balances_00UTC!$B84="","",Summary_Exchange_Balances_00UTC!$E84)</f>
        <v>ETH</v>
      </c>
      <c r="D85" t="str">
        <f>IF(OR(Summary_Exchange_Balances_00UTC!$B84="",Summary_Exchange_Balances_00UTC!$D84=""),"",Summary_Exchange_Balances_00UTC!$D84)</f>
        <v>wallet</v>
      </c>
      <c r="E85" s="53">
        <f>IF(Summary_Exchange_Balances_00UTC!$B84="","",Summary_Exchange_Balances_00UTC!$C84)</f>
        <v>3.67060545</v>
      </c>
      <c r="G85" s="52" t="e">
        <f ca="1">IF(Summary_Exchange_Balances_00UTC!$B84="","",VLOOKUP(IF(ISERROR(SEARCH(" ", $B85)),UPPER($B85&amp;$C85&amp;IF(OR(NOT(ISERROR(SEARCH("trade",$D85))),NOT(ISERROR(SEARCH("balance",$D85)))),"",$D85)),UPPER(LEFT($B85, SEARCH(" ",$B85)-1)&amp;$C85&amp;IF(OR(NOT(ISERROR(SEARCH("trade",$D85))),NOT(ISERROR(SEARCH("balance",$D85)))),"",$D85))),$L:$T,MATCH("balance",$L$2:$S$2,0),FALSE))</f>
        <v>#N/A</v>
      </c>
      <c r="H85" s="35" t="e">
        <f ca="1">IF(Summary_Exchange_Balances_00UTC!$B84="","",(G85-E85)/E85)</f>
        <v>#N/A</v>
      </c>
      <c r="I85" s="165">
        <f ca="1">IF(Summary_Exchange_Balances_00UTC!$B84="","",IF(ISERROR($G85),$E85,$G85))</f>
        <v>3.67060545</v>
      </c>
      <c r="K85" t="str">
        <f t="shared" ca="1" si="5"/>
        <v>BINEUSDT</v>
      </c>
      <c r="L85" t="str">
        <f ca="1">UPPER($P85&amp;$N85&amp;Q85)</f>
        <v>BINE-2-S2-PUSDT</v>
      </c>
      <c r="N85" s="161" t="str">
        <f ca="1">IF(raw_exchange_data!$A84="","",OFFSET(raw_exchange_data!$A84,0,MATCH(N$2,raw_exchange_data!$1:$1,0)-1))</f>
        <v>USDT</v>
      </c>
      <c r="O85" s="161" t="str">
        <f ca="1">IF(raw_exchange_data!$A84="","",OFFSET(raw_exchange_data!$A84,0,MATCH(O$2,raw_exchange_data!$1:$1,0)-1))</f>
        <v>BINE</v>
      </c>
      <c r="P85" s="161" t="str">
        <f ca="1">IF(raw_exchange_data!$A84="","",OFFSET(raw_exchange_data!$A84,0,MATCH(P$2,raw_exchange_data!$1:$1,0)-1))</f>
        <v>BINE-2-S2-P</v>
      </c>
      <c r="Q85" s="161" t="str">
        <f ca="1">IF(raw_exchange_data!$A84="","",TEXT(OFFSET(raw_exchange_data!$A84,0,MATCH(Q$2,raw_exchange_data!$1:$1,0)-1),""))</f>
        <v/>
      </c>
      <c r="R85" s="162">
        <f ca="1">IF(raw_exchange_data!$A84="","",OFFSET(raw_exchange_data!$A84,0,MATCH(R$2,raw_exchange_data!$1:$1,0)-1))</f>
        <v>764460.49539845996</v>
      </c>
      <c r="S85" s="190">
        <f ca="1">IF(raw_exchange_data!$A84="","",OFFSET(raw_exchange_data!$A84,0,MATCH(S$2,raw_exchange_data!$1:$1,0)-1))</f>
        <v>44937.667462500001</v>
      </c>
      <c r="T85" s="161">
        <v>1</v>
      </c>
      <c r="W85" t="str">
        <f t="shared" si="6"/>
        <v>DEFI</v>
      </c>
      <c r="X85" t="str">
        <f t="shared" si="7"/>
        <v>ETH</v>
      </c>
      <c r="Y85" s="42">
        <f t="shared" si="8"/>
        <v>3.67060545</v>
      </c>
      <c r="Z85" s="42">
        <f t="shared" ca="1" si="9"/>
        <v>0</v>
      </c>
      <c r="AB85" s="3" t="s">
        <v>447</v>
      </c>
      <c r="AC85" s="32">
        <v>100050250.667</v>
      </c>
      <c r="AD85" s="32">
        <v>0</v>
      </c>
    </row>
    <row r="86" spans="1:30" x14ac:dyDescent="0.25">
      <c r="A86" t="str">
        <f>IF(Summary_Exchange_Balances_00UTC!$B85="","",Summary_Exchange_Balances_00UTC!$N85)</f>
        <v>DEFI</v>
      </c>
      <c r="B86" t="str">
        <f>IF(Summary_Exchange_Balances_00UTC!$B85="","",Summary_Exchange_Balances_00UTC!$B85)</f>
        <v>DEFI-STRAT-1</v>
      </c>
      <c r="C86" t="str">
        <f>IF(Summary_Exchange_Balances_00UTC!$B85="","",Summary_Exchange_Balances_00UTC!$E85)</f>
        <v>USDC</v>
      </c>
      <c r="D86" t="str">
        <f>IF(OR(Summary_Exchange_Balances_00UTC!$B85="",Summary_Exchange_Balances_00UTC!$D85=""),"",Summary_Exchange_Balances_00UTC!$D85)</f>
        <v>wallet</v>
      </c>
      <c r="E86" s="53">
        <f>IF(Summary_Exchange_Balances_00UTC!$B85="","",Summary_Exchange_Balances_00UTC!$C85)</f>
        <v>13972.219738</v>
      </c>
      <c r="G86" s="52" t="e">
        <f ca="1">IF(Summary_Exchange_Balances_00UTC!$B85="","",VLOOKUP(IF(ISERROR(SEARCH(" ", $B86)),UPPER($B86&amp;$C86&amp;IF(OR(NOT(ISERROR(SEARCH("trade",$D86))),NOT(ISERROR(SEARCH("balance",$D86)))),"",$D86)),UPPER(LEFT($B86, SEARCH(" ",$B86)-1)&amp;$C86&amp;IF(OR(NOT(ISERROR(SEARCH("trade",$D86))),NOT(ISERROR(SEARCH("balance",$D86)))),"",$D86))),$L:$T,MATCH("balance",$L$2:$S$2,0),FALSE))</f>
        <v>#N/A</v>
      </c>
      <c r="H86" s="35" t="e">
        <f ca="1">IF(Summary_Exchange_Balances_00UTC!$B85="","",(G86-E86)/E86)</f>
        <v>#N/A</v>
      </c>
      <c r="I86" s="165">
        <f ca="1">IF(Summary_Exchange_Balances_00UTC!$B85="","",IF(ISERROR($G86),$E86,$G86))</f>
        <v>13972.219738</v>
      </c>
      <c r="K86" t="str">
        <f t="shared" ca="1" si="5"/>
        <v>BTFXBTC</v>
      </c>
      <c r="L86" t="str">
        <f ca="1">UPPER($P86&amp;$N86&amp;Q86)</f>
        <v>BTFX-1-M-EBTCMARGIN</v>
      </c>
      <c r="N86" s="161" t="str">
        <f ca="1">IF(raw_exchange_data!$A85="","",OFFSET(raw_exchange_data!$A85,0,MATCH(N$2,raw_exchange_data!$1:$1,0)-1))</f>
        <v>BTC</v>
      </c>
      <c r="O86" s="161" t="str">
        <f ca="1">IF(raw_exchange_data!$A85="","",OFFSET(raw_exchange_data!$A85,0,MATCH(O$2,raw_exchange_data!$1:$1,0)-1))</f>
        <v>BTFX</v>
      </c>
      <c r="P86" s="161" t="str">
        <f ca="1">IF(raw_exchange_data!$A85="","",OFFSET(raw_exchange_data!$A85,0,MATCH(P$2,raw_exchange_data!$1:$1,0)-1))</f>
        <v>BTFX-1-M-E</v>
      </c>
      <c r="Q86" s="161" t="str">
        <f ca="1">IF(raw_exchange_data!$A85="","",TEXT(OFFSET(raw_exchange_data!$A85,0,MATCH(Q$2,raw_exchange_data!$1:$1,0)-1),""))</f>
        <v>margin</v>
      </c>
      <c r="R86" s="162">
        <f ca="1">IF(raw_exchange_data!$A85="","",OFFSET(raw_exchange_data!$A85,0,MATCH(R$2,raw_exchange_data!$1:$1,0)-1))</f>
        <v>1E-3</v>
      </c>
      <c r="S86" s="190">
        <f ca="1">IF(raw_exchange_data!$A85="","",OFFSET(raw_exchange_data!$A85,0,MATCH(S$2,raw_exchange_data!$1:$1,0)-1))</f>
        <v>44937.66909372685</v>
      </c>
      <c r="T86" s="161">
        <v>1</v>
      </c>
      <c r="W86" t="str">
        <f t="shared" si="6"/>
        <v>DEFI</v>
      </c>
      <c r="X86" t="str">
        <f t="shared" si="7"/>
        <v>USDC</v>
      </c>
      <c r="Y86" s="42">
        <f t="shared" si="8"/>
        <v>13972.219738</v>
      </c>
      <c r="Z86" s="42">
        <f t="shared" ca="1" si="9"/>
        <v>0</v>
      </c>
      <c r="AB86" s="3" t="s">
        <v>931</v>
      </c>
      <c r="AC86" s="32">
        <v>19597.425537219999</v>
      </c>
      <c r="AD86" s="32">
        <v>0</v>
      </c>
    </row>
    <row r="87" spans="1:30" x14ac:dyDescent="0.25">
      <c r="A87" t="str">
        <f>IF(Summary_Exchange_Balances_00UTC!$B86="","",Summary_Exchange_Balances_00UTC!$N86)</f>
        <v>DEFI</v>
      </c>
      <c r="B87" t="str">
        <f>IF(Summary_Exchange_Balances_00UTC!$B86="","",Summary_Exchange_Balances_00UTC!$B86)</f>
        <v>DEFI-STRAT-2</v>
      </c>
      <c r="C87" t="str">
        <f>IF(Summary_Exchange_Balances_00UTC!$B86="","",Summary_Exchange_Balances_00UTC!$E86)</f>
        <v>$ PLEASE VISIT ACADY.SITE TO RECEIVE REWARD.</v>
      </c>
      <c r="D87" t="str">
        <f>IF(OR(Summary_Exchange_Balances_00UTC!$B86="",Summary_Exchange_Balances_00UTC!$D86=""),"",Summary_Exchange_Balances_00UTC!$D86)</f>
        <v>wallet</v>
      </c>
      <c r="E87" s="53">
        <f>IF(Summary_Exchange_Balances_00UTC!$B86="","",Summary_Exchange_Balances_00UTC!$C86)</f>
        <v>180000</v>
      </c>
      <c r="G87" s="52" t="e">
        <f ca="1">IF(Summary_Exchange_Balances_00UTC!$B86="","",VLOOKUP(IF(ISERROR(SEARCH(" ", $B87)),UPPER($B87&amp;$C87&amp;IF(OR(NOT(ISERROR(SEARCH("trade",$D87))),NOT(ISERROR(SEARCH("balance",$D87)))),"",$D87)),UPPER(LEFT($B87, SEARCH(" ",$B87)-1)&amp;$C87&amp;IF(OR(NOT(ISERROR(SEARCH("trade",$D87))),NOT(ISERROR(SEARCH("balance",$D87)))),"",$D87))),$L:$T,MATCH("balance",$L$2:$S$2,0),FALSE))</f>
        <v>#N/A</v>
      </c>
      <c r="H87" s="35" t="e">
        <f ca="1">IF(Summary_Exchange_Balances_00UTC!$B86="","",(G87-E87)/E87)</f>
        <v>#N/A</v>
      </c>
      <c r="I87" s="165">
        <f ca="1">IF(Summary_Exchange_Balances_00UTC!$B86="","",IF(ISERROR($G87),$E87,$G87))</f>
        <v>180000</v>
      </c>
      <c r="K87" t="str">
        <f t="shared" ca="1" si="5"/>
        <v>BTFXBTC</v>
      </c>
      <c r="L87" t="str">
        <f ca="1">UPPER($P87&amp;$N87&amp;Q87)</f>
        <v>BTFX-1-M-EBTC</v>
      </c>
      <c r="N87" s="161" t="str">
        <f ca="1">IF(raw_exchange_data!$A86="","",OFFSET(raw_exchange_data!$A86,0,MATCH(N$2,raw_exchange_data!$1:$1,0)-1))</f>
        <v>BTC</v>
      </c>
      <c r="O87" s="161" t="str">
        <f ca="1">IF(raw_exchange_data!$A86="","",OFFSET(raw_exchange_data!$A86,0,MATCH(O$2,raw_exchange_data!$1:$1,0)-1))</f>
        <v>BTFX</v>
      </c>
      <c r="P87" s="161" t="str">
        <f ca="1">IF(raw_exchange_data!$A86="","",OFFSET(raw_exchange_data!$A86,0,MATCH(P$2,raw_exchange_data!$1:$1,0)-1))</f>
        <v>BTFX-1-M-E</v>
      </c>
      <c r="Q87" s="161" t="str">
        <f ca="1">IF(raw_exchange_data!$A86="","",TEXT(OFFSET(raw_exchange_data!$A86,0,MATCH(Q$2,raw_exchange_data!$1:$1,0)-1),""))</f>
        <v/>
      </c>
      <c r="R87" s="162">
        <f ca="1">IF(raw_exchange_data!$A86="","",OFFSET(raw_exchange_data!$A86,0,MATCH(R$2,raw_exchange_data!$1:$1,0)-1))</f>
        <v>7.9996000000000008E-3</v>
      </c>
      <c r="S87" s="190">
        <f ca="1">IF(raw_exchange_data!$A86="","",OFFSET(raw_exchange_data!$A86,0,MATCH(S$2,raw_exchange_data!$1:$1,0)-1))</f>
        <v>44937.66909372685</v>
      </c>
      <c r="T87" s="161">
        <v>1</v>
      </c>
      <c r="W87" t="str">
        <f t="shared" si="6"/>
        <v>DEFI</v>
      </c>
      <c r="X87" t="str">
        <f t="shared" si="7"/>
        <v>$ PLEASE VISIT ACADY.SITE TO RECEIVE REWARD.</v>
      </c>
      <c r="Y87" s="42">
        <f t="shared" si="8"/>
        <v>180000</v>
      </c>
      <c r="Z87" s="42">
        <f t="shared" ca="1" si="9"/>
        <v>0</v>
      </c>
      <c r="AB87" s="3" t="s">
        <v>442</v>
      </c>
      <c r="AC87" s="32">
        <v>29214.150499390002</v>
      </c>
      <c r="AD87" s="32">
        <v>0</v>
      </c>
    </row>
    <row r="88" spans="1:30" x14ac:dyDescent="0.25">
      <c r="A88" t="str">
        <f>IF(Summary_Exchange_Balances_00UTC!$B87="","",Summary_Exchange_Balances_00UTC!$N87)</f>
        <v>DEFI</v>
      </c>
      <c r="B88" t="str">
        <f>IF(Summary_Exchange_Balances_00UTC!$B87="","",Summary_Exchange_Balances_00UTC!$B87)</f>
        <v>DEFI-STRAT-2</v>
      </c>
      <c r="C88" t="str">
        <f>IF(Summary_Exchange_Balances_00UTC!$B87="","",Summary_Exchange_Balances_00UTC!$E87)</f>
        <v>$ USDCBONUS.COM &lt;- VISIT TO CLAIM BONUS</v>
      </c>
      <c r="D88" t="str">
        <f>IF(OR(Summary_Exchange_Balances_00UTC!$B87="",Summary_Exchange_Balances_00UTC!$D87=""),"",Summary_Exchange_Balances_00UTC!$D87)</f>
        <v>wallet</v>
      </c>
      <c r="E88" s="53">
        <f>IF(Summary_Exchange_Balances_00UTC!$B87="","",Summary_Exchange_Balances_00UTC!$C87)</f>
        <v>7000</v>
      </c>
      <c r="G88" s="52" t="e">
        <f ca="1">IF(Summary_Exchange_Balances_00UTC!$B87="","",VLOOKUP(IF(ISERROR(SEARCH(" ", $B88)),UPPER($B88&amp;$C88&amp;IF(OR(NOT(ISERROR(SEARCH("trade",$D88))),NOT(ISERROR(SEARCH("balance",$D88)))),"",$D88)),UPPER(LEFT($B88, SEARCH(" ",$B88)-1)&amp;$C88&amp;IF(OR(NOT(ISERROR(SEARCH("trade",$D88))),NOT(ISERROR(SEARCH("balance",$D88)))),"",$D88))),$L:$T,MATCH("balance",$L$2:$S$2,0),FALSE))</f>
        <v>#N/A</v>
      </c>
      <c r="H88" s="35" t="e">
        <f ca="1">IF(Summary_Exchange_Balances_00UTC!$B87="","",(G88-E88)/E88)</f>
        <v>#N/A</v>
      </c>
      <c r="I88" s="165">
        <f ca="1">IF(Summary_Exchange_Balances_00UTC!$B87="","",IF(ISERROR($G88),$E88,$G88))</f>
        <v>7000</v>
      </c>
      <c r="K88" t="str">
        <f t="shared" ca="1" si="5"/>
        <v>BTFXBTC</v>
      </c>
      <c r="L88" t="str">
        <f ca="1">UPPER($P88&amp;$N88&amp;Q88)</f>
        <v>BTFX-1-M-EBTCFUNDING</v>
      </c>
      <c r="N88" s="161" t="str">
        <f ca="1">IF(raw_exchange_data!$A87="","",OFFSET(raw_exchange_data!$A87,0,MATCH(N$2,raw_exchange_data!$1:$1,0)-1))</f>
        <v>BTC</v>
      </c>
      <c r="O88" s="161" t="str">
        <f ca="1">IF(raw_exchange_data!$A87="","",OFFSET(raw_exchange_data!$A87,0,MATCH(O$2,raw_exchange_data!$1:$1,0)-1))</f>
        <v>BTFX</v>
      </c>
      <c r="P88" s="161" t="str">
        <f ca="1">IF(raw_exchange_data!$A87="","",OFFSET(raw_exchange_data!$A87,0,MATCH(P$2,raw_exchange_data!$1:$1,0)-1))</f>
        <v>BTFX-1-M-E</v>
      </c>
      <c r="Q88" s="161" t="str">
        <f ca="1">IF(raw_exchange_data!$A87="","",TEXT(OFFSET(raw_exchange_data!$A87,0,MATCH(Q$2,raw_exchange_data!$1:$1,0)-1),""))</f>
        <v>funding</v>
      </c>
      <c r="R88" s="162">
        <f ca="1">IF(raw_exchange_data!$A87="","",OFFSET(raw_exchange_data!$A87,0,MATCH(R$2,raw_exchange_data!$1:$1,0)-1))</f>
        <v>1E-3</v>
      </c>
      <c r="S88" s="190">
        <f ca="1">IF(raw_exchange_data!$A87="","",OFFSET(raw_exchange_data!$A87,0,MATCH(S$2,raw_exchange_data!$1:$1,0)-1))</f>
        <v>44937.66909372685</v>
      </c>
      <c r="T88" s="161">
        <v>1</v>
      </c>
      <c r="W88" t="str">
        <f t="shared" si="6"/>
        <v>DEFI</v>
      </c>
      <c r="X88" t="str">
        <f t="shared" si="7"/>
        <v>$ USDCBONUS.COM &lt;- VISIT TO CLAIM BONUS</v>
      </c>
      <c r="Y88" s="42">
        <f t="shared" si="8"/>
        <v>7000</v>
      </c>
      <c r="Z88" s="42">
        <f t="shared" ca="1" si="9"/>
        <v>0</v>
      </c>
      <c r="AB88" s="3" t="s">
        <v>459</v>
      </c>
      <c r="AC88" s="32">
        <v>20213.414599259999</v>
      </c>
      <c r="AD88" s="32">
        <v>0</v>
      </c>
    </row>
    <row r="89" spans="1:30" x14ac:dyDescent="0.25">
      <c r="A89" t="str">
        <f>IF(Summary_Exchange_Balances_00UTC!$B88="","",Summary_Exchange_Balances_00UTC!$N88)</f>
        <v>DEFI</v>
      </c>
      <c r="B89" t="str">
        <f>IF(Summary_Exchange_Balances_00UTC!$B88="","",Summary_Exchange_Balances_00UTC!$B88)</f>
        <v>DEFI-STRAT-2</v>
      </c>
      <c r="C89" t="str">
        <f>IF(Summary_Exchange_Balances_00UTC!$B88="","",Summary_Exchange_Balances_00UTC!$E88)</f>
        <v>$ USDCGIFT.COM &lt;- VISIT TO CLAIM BONUS</v>
      </c>
      <c r="D89" t="str">
        <f>IF(OR(Summary_Exchange_Balances_00UTC!$B88="",Summary_Exchange_Balances_00UTC!$D88=""),"",Summary_Exchange_Balances_00UTC!$D88)</f>
        <v>wallet</v>
      </c>
      <c r="E89" s="53">
        <f>IF(Summary_Exchange_Balances_00UTC!$B88="","",Summary_Exchange_Balances_00UTC!$C88)</f>
        <v>7000</v>
      </c>
      <c r="G89" s="52" t="e">
        <f ca="1">IF(Summary_Exchange_Balances_00UTC!$B88="","",VLOOKUP(IF(ISERROR(SEARCH(" ", $B89)),UPPER($B89&amp;$C89&amp;IF(OR(NOT(ISERROR(SEARCH("trade",$D89))),NOT(ISERROR(SEARCH("balance",$D89)))),"",$D89)),UPPER(LEFT($B89, SEARCH(" ",$B89)-1)&amp;$C89&amp;IF(OR(NOT(ISERROR(SEARCH("trade",$D89))),NOT(ISERROR(SEARCH("balance",$D89)))),"",$D89))),$L:$T,MATCH("balance",$L$2:$S$2,0),FALSE))</f>
        <v>#N/A</v>
      </c>
      <c r="H89" s="35" t="e">
        <f ca="1">IF(Summary_Exchange_Balances_00UTC!$B88="","",(G89-E89)/E89)</f>
        <v>#N/A</v>
      </c>
      <c r="I89" s="165">
        <f ca="1">IF(Summary_Exchange_Balances_00UTC!$B88="","",IF(ISERROR($G89),$E89,$G89))</f>
        <v>7000</v>
      </c>
      <c r="K89" t="str">
        <f t="shared" ca="1" si="5"/>
        <v>BTFXETH</v>
      </c>
      <c r="L89" t="str">
        <f ca="1">UPPER($P89&amp;$N89&amp;Q89)</f>
        <v>BTFX-1-M-EETH</v>
      </c>
      <c r="N89" s="161" t="str">
        <f ca="1">IF(raw_exchange_data!$A88="","",OFFSET(raw_exchange_data!$A88,0,MATCH(N$2,raw_exchange_data!$1:$1,0)-1))</f>
        <v>ETH</v>
      </c>
      <c r="O89" s="161" t="str">
        <f ca="1">IF(raw_exchange_data!$A88="","",OFFSET(raw_exchange_data!$A88,0,MATCH(O$2,raw_exchange_data!$1:$1,0)-1))</f>
        <v>BTFX</v>
      </c>
      <c r="P89" s="161" t="str">
        <f ca="1">IF(raw_exchange_data!$A88="","",OFFSET(raw_exchange_data!$A88,0,MATCH(P$2,raw_exchange_data!$1:$1,0)-1))</f>
        <v>BTFX-1-M-E</v>
      </c>
      <c r="Q89" s="161" t="str">
        <f ca="1">IF(raw_exchange_data!$A88="","",TEXT(OFFSET(raw_exchange_data!$A88,0,MATCH(Q$2,raw_exchange_data!$1:$1,0)-1),""))</f>
        <v/>
      </c>
      <c r="R89" s="162">
        <f ca="1">IF(raw_exchange_data!$A88="","",OFFSET(raw_exchange_data!$A88,0,MATCH(R$2,raw_exchange_data!$1:$1,0)-1))</f>
        <v>0.02</v>
      </c>
      <c r="S89" s="190">
        <f ca="1">IF(raw_exchange_data!$A88="","",OFFSET(raw_exchange_data!$A88,0,MATCH(S$2,raw_exchange_data!$1:$1,0)-1))</f>
        <v>44937.66909372685</v>
      </c>
      <c r="T89" s="161">
        <v>1</v>
      </c>
      <c r="W89" t="str">
        <f t="shared" si="6"/>
        <v>DEFI</v>
      </c>
      <c r="X89" t="str">
        <f t="shared" si="7"/>
        <v>$ USDCGIFT.COM &lt;- VISIT TO CLAIM BONUS</v>
      </c>
      <c r="Y89" s="42">
        <f t="shared" si="8"/>
        <v>7000</v>
      </c>
      <c r="Z89" s="42">
        <f t="shared" ca="1" si="9"/>
        <v>0</v>
      </c>
      <c r="AB89" s="3" t="s">
        <v>443</v>
      </c>
      <c r="AC89" s="32">
        <v>31925.004081070001</v>
      </c>
      <c r="AD89" s="32">
        <v>0</v>
      </c>
    </row>
    <row r="90" spans="1:30" x14ac:dyDescent="0.25">
      <c r="A90" t="str">
        <f>IF(Summary_Exchange_Balances_00UTC!$B89="","",Summary_Exchange_Balances_00UTC!$N89)</f>
        <v>DEFI</v>
      </c>
      <c r="B90" t="str">
        <f>IF(Summary_Exchange_Balances_00UTC!$B89="","",Summary_Exchange_Balances_00UTC!$B89)</f>
        <v>DEFI-STRAT-2</v>
      </c>
      <c r="C90" t="str">
        <f>IF(Summary_Exchange_Balances_00UTC!$B89="","",Summary_Exchange_Balances_00UTC!$E89)</f>
        <v>$ USDCXMAS.COM &lt;- VISIT TO CLAIM GIFT</v>
      </c>
      <c r="D90" t="str">
        <f>IF(OR(Summary_Exchange_Balances_00UTC!$B89="",Summary_Exchange_Balances_00UTC!$D89=""),"",Summary_Exchange_Balances_00UTC!$D89)</f>
        <v>wallet</v>
      </c>
      <c r="E90" s="53">
        <f>IF(Summary_Exchange_Balances_00UTC!$B89="","",Summary_Exchange_Balances_00UTC!$C89)</f>
        <v>7000</v>
      </c>
      <c r="G90" s="52" t="e">
        <f ca="1">IF(Summary_Exchange_Balances_00UTC!$B89="","",VLOOKUP(IF(ISERROR(SEARCH(" ", $B90)),UPPER($B90&amp;$C90&amp;IF(OR(NOT(ISERROR(SEARCH("trade",$D90))),NOT(ISERROR(SEARCH("balance",$D90)))),"",$D90)),UPPER(LEFT($B90, SEARCH(" ",$B90)-1)&amp;$C90&amp;IF(OR(NOT(ISERROR(SEARCH("trade",$D90))),NOT(ISERROR(SEARCH("balance",$D90)))),"",$D90))),$L:$T,MATCH("balance",$L$2:$S$2,0),FALSE))</f>
        <v>#N/A</v>
      </c>
      <c r="H90" s="35" t="e">
        <f ca="1">IF(Summary_Exchange_Balances_00UTC!$B89="","",(G90-E90)/E90)</f>
        <v>#N/A</v>
      </c>
      <c r="I90" s="165">
        <f ca="1">IF(Summary_Exchange_Balances_00UTC!$B89="","",IF(ISERROR($G90),$E90,$G90))</f>
        <v>7000</v>
      </c>
      <c r="K90" t="str">
        <f t="shared" ca="1" si="5"/>
        <v>BTFXETHW</v>
      </c>
      <c r="L90" t="str">
        <f ca="1">UPPER($P90&amp;$N90&amp;Q90)</f>
        <v>BTFX-1-M-EETHW</v>
      </c>
      <c r="N90" s="161" t="str">
        <f ca="1">IF(raw_exchange_data!$A89="","",OFFSET(raw_exchange_data!$A89,0,MATCH(N$2,raw_exchange_data!$1:$1,0)-1))</f>
        <v>ETHW</v>
      </c>
      <c r="O90" s="161" t="str">
        <f ca="1">IF(raw_exchange_data!$A89="","",OFFSET(raw_exchange_data!$A89,0,MATCH(O$2,raw_exchange_data!$1:$1,0)-1))</f>
        <v>BTFX</v>
      </c>
      <c r="P90" s="161" t="str">
        <f ca="1">IF(raw_exchange_data!$A89="","",OFFSET(raw_exchange_data!$A89,0,MATCH(P$2,raw_exchange_data!$1:$1,0)-1))</f>
        <v>BTFX-1-M-E</v>
      </c>
      <c r="Q90" s="161" t="str">
        <f ca="1">IF(raw_exchange_data!$A89="","",TEXT(OFFSET(raw_exchange_data!$A89,0,MATCH(Q$2,raw_exchange_data!$1:$1,0)-1),""))</f>
        <v/>
      </c>
      <c r="R90" s="162">
        <f ca="1">IF(raw_exchange_data!$A89="","",OFFSET(raw_exchange_data!$A89,0,MATCH(R$2,raw_exchange_data!$1:$1,0)-1))</f>
        <v>0.02</v>
      </c>
      <c r="S90" s="190">
        <f ca="1">IF(raw_exchange_data!$A89="","",OFFSET(raw_exchange_data!$A89,0,MATCH(S$2,raw_exchange_data!$1:$1,0)-1))</f>
        <v>44937.66909372685</v>
      </c>
      <c r="T90" s="161">
        <v>1</v>
      </c>
      <c r="W90" t="str">
        <f t="shared" si="6"/>
        <v>DEFI</v>
      </c>
      <c r="X90" t="str">
        <f t="shared" si="7"/>
        <v>$ USDCXMAS.COM &lt;- VISIT TO CLAIM GIFT</v>
      </c>
      <c r="Y90" s="42">
        <f t="shared" si="8"/>
        <v>7000</v>
      </c>
      <c r="Z90" s="42">
        <f t="shared" ca="1" si="9"/>
        <v>0</v>
      </c>
      <c r="AB90" s="3" t="s">
        <v>892</v>
      </c>
      <c r="AC90" s="32">
        <v>17599.94336709</v>
      </c>
      <c r="AD90" s="32">
        <v>0</v>
      </c>
    </row>
    <row r="91" spans="1:30" x14ac:dyDescent="0.25">
      <c r="A91" t="str">
        <f>IF(Summary_Exchange_Balances_00UTC!$B90="","",Summary_Exchange_Balances_00UTC!$N90)</f>
        <v>DEFI</v>
      </c>
      <c r="B91" t="str">
        <f>IF(Summary_Exchange_Balances_00UTC!$B90="","",Summary_Exchange_Balances_00UTC!$B90)</f>
        <v>DEFI-STRAT-2</v>
      </c>
      <c r="C91" t="str">
        <f>IF(Summary_Exchange_Balances_00UTC!$B90="","",Summary_Exchange_Balances_00UTC!$E90)</f>
        <v>927$ VISIT AUSDBONUS.COM TO CLAIM</v>
      </c>
      <c r="D91" t="str">
        <f>IF(OR(Summary_Exchange_Balances_00UTC!$B90="",Summary_Exchange_Balances_00UTC!$D90=""),"",Summary_Exchange_Balances_00UTC!$D90)</f>
        <v>wallet</v>
      </c>
      <c r="E91" s="53">
        <f>IF(Summary_Exchange_Balances_00UTC!$B90="","",Summary_Exchange_Balances_00UTC!$C90)</f>
        <v>8</v>
      </c>
      <c r="G91" s="52" t="e">
        <f ca="1">IF(Summary_Exchange_Balances_00UTC!$B90="","",VLOOKUP(IF(ISERROR(SEARCH(" ", $B91)),UPPER($B91&amp;$C91&amp;IF(OR(NOT(ISERROR(SEARCH("trade",$D91))),NOT(ISERROR(SEARCH("balance",$D91)))),"",$D91)),UPPER(LEFT($B91, SEARCH(" ",$B91)-1)&amp;$C91&amp;IF(OR(NOT(ISERROR(SEARCH("trade",$D91))),NOT(ISERROR(SEARCH("balance",$D91)))),"",$D91))),$L:$T,MATCH("balance",$L$2:$S$2,0),FALSE))</f>
        <v>#N/A</v>
      </c>
      <c r="H91" s="35" t="e">
        <f ca="1">IF(Summary_Exchange_Balances_00UTC!$B90="","",(G91-E91)/E91)</f>
        <v>#N/A</v>
      </c>
      <c r="I91" s="165">
        <f ca="1">IF(Summary_Exchange_Balances_00UTC!$B90="","",IF(ISERROR($G91),$E91,$G91))</f>
        <v>8</v>
      </c>
      <c r="K91" t="str">
        <f t="shared" ca="1" si="5"/>
        <v>BTFXUSD</v>
      </c>
      <c r="L91" t="str">
        <f ca="1">UPPER($P91&amp;$N91&amp;Q91)</f>
        <v>BTFX-1-M-EUSD</v>
      </c>
      <c r="N91" s="161" t="str">
        <f ca="1">IF(raw_exchange_data!$A90="","",OFFSET(raw_exchange_data!$A90,0,MATCH(N$2,raw_exchange_data!$1:$1,0)-1))</f>
        <v>USD</v>
      </c>
      <c r="O91" s="161" t="str">
        <f ca="1">IF(raw_exchange_data!$A90="","",OFFSET(raw_exchange_data!$A90,0,MATCH(O$2,raw_exchange_data!$1:$1,0)-1))</f>
        <v>BTFX</v>
      </c>
      <c r="P91" s="161" t="str">
        <f ca="1">IF(raw_exchange_data!$A90="","",OFFSET(raw_exchange_data!$A90,0,MATCH(P$2,raw_exchange_data!$1:$1,0)-1))</f>
        <v>BTFX-1-M-E</v>
      </c>
      <c r="Q91" s="161" t="str">
        <f ca="1">IF(raw_exchange_data!$A90="","",TEXT(OFFSET(raw_exchange_data!$A90,0,MATCH(Q$2,raw_exchange_data!$1:$1,0)-1),""))</f>
        <v/>
      </c>
      <c r="R91" s="162">
        <f ca="1">IF(raw_exchange_data!$A90="","",OFFSET(raw_exchange_data!$A90,0,MATCH(R$2,raw_exchange_data!$1:$1,0)-1))</f>
        <v>2.755467E-2</v>
      </c>
      <c r="S91" s="190">
        <f ca="1">IF(raw_exchange_data!$A90="","",OFFSET(raw_exchange_data!$A90,0,MATCH(S$2,raw_exchange_data!$1:$1,0)-1))</f>
        <v>44937.66909372685</v>
      </c>
      <c r="T91" s="161">
        <v>1</v>
      </c>
      <c r="W91" t="str">
        <f t="shared" si="6"/>
        <v>DEFI</v>
      </c>
      <c r="X91" t="str">
        <f t="shared" si="7"/>
        <v>927$ VISIT AUSDBONUS.COM TO CLAIM</v>
      </c>
      <c r="Y91" s="42">
        <f t="shared" si="8"/>
        <v>8</v>
      </c>
      <c r="Z91" s="42">
        <f t="shared" ca="1" si="9"/>
        <v>0</v>
      </c>
      <c r="AB91" s="3" t="s">
        <v>932</v>
      </c>
      <c r="AC91" s="32">
        <v>3032</v>
      </c>
      <c r="AD91" s="32">
        <v>0</v>
      </c>
    </row>
    <row r="92" spans="1:30" x14ac:dyDescent="0.25">
      <c r="A92" t="str">
        <f>IF(Summary_Exchange_Balances_00UTC!$B91="","",Summary_Exchange_Balances_00UTC!$N91)</f>
        <v>DEFI</v>
      </c>
      <c r="B92" t="str">
        <f>IF(Summary_Exchange_Balances_00UTC!$B91="","",Summary_Exchange_Balances_00UTC!$B91)</f>
        <v>DEFI-STRAT-2</v>
      </c>
      <c r="C92" t="str">
        <f>IF(Summary_Exchange_Balances_00UTC!$B91="","",Summary_Exchange_Balances_00UTC!$E91)</f>
        <v>AAVE</v>
      </c>
      <c r="D92" t="str">
        <f>IF(OR(Summary_Exchange_Balances_00UTC!$B91="",Summary_Exchange_Balances_00UTC!$D91=""),"",Summary_Exchange_Balances_00UTC!$D91)</f>
        <v>wallet</v>
      </c>
      <c r="E92" s="53">
        <f>IF(Summary_Exchange_Balances_00UTC!$B91="","",Summary_Exchange_Balances_00UTC!$C91)</f>
        <v>229.80482918999999</v>
      </c>
      <c r="G92" s="52" t="e">
        <f ca="1">IF(Summary_Exchange_Balances_00UTC!$B91="","",VLOOKUP(IF(ISERROR(SEARCH(" ", $B92)),UPPER($B92&amp;$C92&amp;IF(OR(NOT(ISERROR(SEARCH("trade",$D92))),NOT(ISERROR(SEARCH("balance",$D92)))),"",$D92)),UPPER(LEFT($B92, SEARCH(" ",$B92)-1)&amp;$C92&amp;IF(OR(NOT(ISERROR(SEARCH("trade",$D92))),NOT(ISERROR(SEARCH("balance",$D92)))),"",$D92))),$L:$T,MATCH("balance",$L$2:$S$2,0),FALSE))</f>
        <v>#N/A</v>
      </c>
      <c r="H92" s="35" t="e">
        <f ca="1">IF(Summary_Exchange_Balances_00UTC!$B91="","",(G92-E92)/E92)</f>
        <v>#N/A</v>
      </c>
      <c r="I92" s="165">
        <f ca="1">IF(Summary_Exchange_Balances_00UTC!$B91="","",IF(ISERROR($G92),$E92,$G92))</f>
        <v>229.80482918999999</v>
      </c>
      <c r="K92" t="str">
        <f t="shared" ca="1" si="5"/>
        <v>BTFXUST</v>
      </c>
      <c r="L92" t="str">
        <f ca="1">UPPER($P92&amp;$N92&amp;Q92)</f>
        <v>BTFX-1-M-EUST</v>
      </c>
      <c r="N92" s="161" t="str">
        <f ca="1">IF(raw_exchange_data!$A91="","",OFFSET(raw_exchange_data!$A91,0,MATCH(N$2,raw_exchange_data!$1:$1,0)-1))</f>
        <v>UST</v>
      </c>
      <c r="O92" s="161" t="str">
        <f ca="1">IF(raw_exchange_data!$A91="","",OFFSET(raw_exchange_data!$A91,0,MATCH(O$2,raw_exchange_data!$1:$1,0)-1))</f>
        <v>BTFX</v>
      </c>
      <c r="P92" s="161" t="str">
        <f ca="1">IF(raw_exchange_data!$A91="","",OFFSET(raw_exchange_data!$A91,0,MATCH(P$2,raw_exchange_data!$1:$1,0)-1))</f>
        <v>BTFX-1-M-E</v>
      </c>
      <c r="Q92" s="161" t="str">
        <f ca="1">IF(raw_exchange_data!$A91="","",TEXT(OFFSET(raw_exchange_data!$A91,0,MATCH(Q$2,raw_exchange_data!$1:$1,0)-1),""))</f>
        <v/>
      </c>
      <c r="R92" s="162">
        <f ca="1">IF(raw_exchange_data!$A91="","",OFFSET(raw_exchange_data!$A91,0,MATCH(R$2,raw_exchange_data!$1:$1,0)-1))</f>
        <v>29.9885932</v>
      </c>
      <c r="S92" s="190">
        <f ca="1">IF(raw_exchange_data!$A91="","",OFFSET(raw_exchange_data!$A91,0,MATCH(S$2,raw_exchange_data!$1:$1,0)-1))</f>
        <v>44937.66909372685</v>
      </c>
      <c r="T92" s="161">
        <v>1</v>
      </c>
      <c r="W92" t="str">
        <f t="shared" si="6"/>
        <v>DEFI</v>
      </c>
      <c r="X92" t="str">
        <f t="shared" si="7"/>
        <v>AAVE</v>
      </c>
      <c r="Y92" s="42">
        <f t="shared" si="8"/>
        <v>229.80482918999999</v>
      </c>
      <c r="Z92" s="42">
        <f t="shared" ca="1" si="9"/>
        <v>0</v>
      </c>
      <c r="AB92" s="3" t="s">
        <v>432</v>
      </c>
      <c r="AC92" s="32">
        <v>2698</v>
      </c>
      <c r="AD92" s="32">
        <v>0</v>
      </c>
    </row>
    <row r="93" spans="1:30" x14ac:dyDescent="0.25">
      <c r="A93" t="str">
        <f>IF(Summary_Exchange_Balances_00UTC!$B92="","",Summary_Exchange_Balances_00UTC!$N92)</f>
        <v>DEFI</v>
      </c>
      <c r="B93" t="str">
        <f>IF(Summary_Exchange_Balances_00UTC!$B92="","",Summary_Exchange_Balances_00UTC!$B92)</f>
        <v>DEFI-STRAT-2</v>
      </c>
      <c r="C93" t="str">
        <f>IF(Summary_Exchange_Balances_00UTC!$B92="","",Summary_Exchange_Balances_00UTC!$E92)</f>
        <v>AVAX</v>
      </c>
      <c r="D93" t="str">
        <f>IF(OR(Summary_Exchange_Balances_00UTC!$B92="",Summary_Exchange_Balances_00UTC!$D92=""),"",Summary_Exchange_Balances_00UTC!$D92)</f>
        <v>wallet</v>
      </c>
      <c r="E93" s="53">
        <f>IF(Summary_Exchange_Balances_00UTC!$B92="","",Summary_Exchange_Balances_00UTC!$C92)</f>
        <v>59.005456510000002</v>
      </c>
      <c r="G93" s="52" t="e">
        <f ca="1">IF(Summary_Exchange_Balances_00UTC!$B92="","",VLOOKUP(IF(ISERROR(SEARCH(" ", $B93)),UPPER($B93&amp;$C93&amp;IF(OR(NOT(ISERROR(SEARCH("trade",$D93))),NOT(ISERROR(SEARCH("balance",$D93)))),"",$D93)),UPPER(LEFT($B93, SEARCH(" ",$B93)-1)&amp;$C93&amp;IF(OR(NOT(ISERROR(SEARCH("trade",$D93))),NOT(ISERROR(SEARCH("balance",$D93)))),"",$D93))),$L:$T,MATCH("balance",$L$2:$S$2,0),FALSE))</f>
        <v>#N/A</v>
      </c>
      <c r="H93" s="35" t="e">
        <f ca="1">IF(Summary_Exchange_Balances_00UTC!$B92="","",(G93-E93)/E93)</f>
        <v>#N/A</v>
      </c>
      <c r="I93" s="165">
        <f ca="1">IF(Summary_Exchange_Balances_00UTC!$B92="","",IF(ISERROR($G93),$E93,$G93))</f>
        <v>59.005456510000002</v>
      </c>
      <c r="K93" t="str">
        <f t="shared" ca="1" si="5"/>
        <v>BTFXUST</v>
      </c>
      <c r="L93" t="str">
        <f ca="1">UPPER($P93&amp;$N93&amp;Q93)</f>
        <v>BTFX-1-M-EUSTMARGIN</v>
      </c>
      <c r="N93" s="161" t="str">
        <f ca="1">IF(raw_exchange_data!$A92="","",OFFSET(raw_exchange_data!$A92,0,MATCH(N$2,raw_exchange_data!$1:$1,0)-1))</f>
        <v>UST</v>
      </c>
      <c r="O93" s="161" t="str">
        <f ca="1">IF(raw_exchange_data!$A92="","",OFFSET(raw_exchange_data!$A92,0,MATCH(O$2,raw_exchange_data!$1:$1,0)-1))</f>
        <v>BTFX</v>
      </c>
      <c r="P93" s="161" t="str">
        <f ca="1">IF(raw_exchange_data!$A92="","",OFFSET(raw_exchange_data!$A92,0,MATCH(P$2,raw_exchange_data!$1:$1,0)-1))</f>
        <v>BTFX-1-M-E</v>
      </c>
      <c r="Q93" s="161" t="str">
        <f ca="1">IF(raw_exchange_data!$A92="","",TEXT(OFFSET(raw_exchange_data!$A92,0,MATCH(Q$2,raw_exchange_data!$1:$1,0)-1),""))</f>
        <v>margin</v>
      </c>
      <c r="R93" s="162">
        <f ca="1">IF(raw_exchange_data!$A92="","",OFFSET(raw_exchange_data!$A92,0,MATCH(R$2,raw_exchange_data!$1:$1,0)-1))</f>
        <v>30</v>
      </c>
      <c r="S93" s="190">
        <f ca="1">IF(raw_exchange_data!$A92="","",OFFSET(raw_exchange_data!$A92,0,MATCH(S$2,raw_exchange_data!$1:$1,0)-1))</f>
        <v>44937.66909372685</v>
      </c>
      <c r="T93" s="161">
        <v>1</v>
      </c>
      <c r="W93" t="str">
        <f t="shared" si="6"/>
        <v>DEFI</v>
      </c>
      <c r="X93" t="str">
        <f t="shared" si="7"/>
        <v>AVAX</v>
      </c>
      <c r="Y93" s="42">
        <f t="shared" si="8"/>
        <v>59.005456510000002</v>
      </c>
      <c r="Z93" s="42">
        <f t="shared" ca="1" si="9"/>
        <v>0</v>
      </c>
      <c r="AB93" s="3" t="s">
        <v>460</v>
      </c>
      <c r="AC93" s="32">
        <v>2891</v>
      </c>
      <c r="AD93" s="32">
        <v>0</v>
      </c>
    </row>
    <row r="94" spans="1:30" x14ac:dyDescent="0.25">
      <c r="A94" t="str">
        <f>IF(Summary_Exchange_Balances_00UTC!$B93="","",Summary_Exchange_Balances_00UTC!$N93)</f>
        <v>DEFI</v>
      </c>
      <c r="B94" t="str">
        <f>IF(Summary_Exchange_Balances_00UTC!$B93="","",Summary_Exchange_Balances_00UTC!$B93)</f>
        <v>DEFI-STRAT-2</v>
      </c>
      <c r="C94" t="str">
        <f>IF(Summary_Exchange_Balances_00UTC!$B93="","",Summary_Exchange_Balances_00UTC!$E93)</f>
        <v>BONUS. VISIT HTTPS://BITBONUS.TECH TO CLAIM REWARD.</v>
      </c>
      <c r="D94" t="str">
        <f>IF(OR(Summary_Exchange_Balances_00UTC!$B93="",Summary_Exchange_Balances_00UTC!$D93=""),"",Summary_Exchange_Balances_00UTC!$D93)</f>
        <v>wallet</v>
      </c>
      <c r="E94" s="53">
        <f>IF(Summary_Exchange_Balances_00UTC!$B93="","",Summary_Exchange_Balances_00UTC!$C93)</f>
        <v>25</v>
      </c>
      <c r="G94" s="52" t="e">
        <f ca="1">IF(Summary_Exchange_Balances_00UTC!$B93="","",VLOOKUP(IF(ISERROR(SEARCH(" ", $B94)),UPPER($B94&amp;$C94&amp;IF(OR(NOT(ISERROR(SEARCH("trade",$D94))),NOT(ISERROR(SEARCH("balance",$D94)))),"",$D94)),UPPER(LEFT($B94, SEARCH(" ",$B94)-1)&amp;$C94&amp;IF(OR(NOT(ISERROR(SEARCH("trade",$D94))),NOT(ISERROR(SEARCH("balance",$D94)))),"",$D94))),$L:$T,MATCH("balance",$L$2:$S$2,0),FALSE))</f>
        <v>#N/A</v>
      </c>
      <c r="H94" s="35" t="e">
        <f ca="1">IF(Summary_Exchange_Balances_00UTC!$B93="","",(G94-E94)/E94)</f>
        <v>#N/A</v>
      </c>
      <c r="I94" s="165">
        <f ca="1">IF(Summary_Exchange_Balances_00UTC!$B93="","",IF(ISERROR($G94),$E94,$G94))</f>
        <v>25</v>
      </c>
      <c r="K94" t="str">
        <f t="shared" ca="1" si="5"/>
        <v>BTFXUSTF0</v>
      </c>
      <c r="L94" t="str">
        <f ca="1">UPPER($P94&amp;$N94&amp;Q94)</f>
        <v>BTFX-1-M-EUSTF0MARGIN</v>
      </c>
      <c r="N94" s="161" t="str">
        <f ca="1">IF(raw_exchange_data!$A93="","",OFFSET(raw_exchange_data!$A93,0,MATCH(N$2,raw_exchange_data!$1:$1,0)-1))</f>
        <v>USTF0</v>
      </c>
      <c r="O94" s="161" t="str">
        <f ca="1">IF(raw_exchange_data!$A93="","",OFFSET(raw_exchange_data!$A93,0,MATCH(O$2,raw_exchange_data!$1:$1,0)-1))</f>
        <v>BTFX</v>
      </c>
      <c r="P94" s="161" t="str">
        <f ca="1">IF(raw_exchange_data!$A93="","",OFFSET(raw_exchange_data!$A93,0,MATCH(P$2,raw_exchange_data!$1:$1,0)-1))</f>
        <v>BTFX-1-M-E</v>
      </c>
      <c r="Q94" s="161" t="str">
        <f ca="1">IF(raw_exchange_data!$A93="","",TEXT(OFFSET(raw_exchange_data!$A93,0,MATCH(Q$2,raw_exchange_data!$1:$1,0)-1),""))</f>
        <v>margin</v>
      </c>
      <c r="R94" s="162">
        <f ca="1">IF(raw_exchange_data!$A93="","",OFFSET(raw_exchange_data!$A93,0,MATCH(R$2,raw_exchange_data!$1:$1,0)-1))</f>
        <v>30</v>
      </c>
      <c r="S94" s="190">
        <f ca="1">IF(raw_exchange_data!$A93="","",OFFSET(raw_exchange_data!$A93,0,MATCH(S$2,raw_exchange_data!$1:$1,0)-1))</f>
        <v>44937.66909372685</v>
      </c>
      <c r="T94" s="161">
        <v>1</v>
      </c>
      <c r="W94" t="str">
        <f t="shared" si="6"/>
        <v>DEFI</v>
      </c>
      <c r="X94" t="str">
        <f t="shared" si="7"/>
        <v>BONUS. VISIT HTTPS://BITBONUS.TECH TO CLAIM REWARD.</v>
      </c>
      <c r="Y94" s="42">
        <f t="shared" si="8"/>
        <v>25</v>
      </c>
      <c r="Z94" s="42">
        <f t="shared" ca="1" si="9"/>
        <v>0</v>
      </c>
      <c r="AB94" s="3" t="s">
        <v>419</v>
      </c>
      <c r="AC94" s="32">
        <v>2904</v>
      </c>
      <c r="AD94" s="32">
        <v>0</v>
      </c>
    </row>
    <row r="95" spans="1:30" x14ac:dyDescent="0.25">
      <c r="A95" t="str">
        <f>IF(Summary_Exchange_Balances_00UTC!$B94="","",Summary_Exchange_Balances_00UTC!$N94)</f>
        <v>DEFI</v>
      </c>
      <c r="B95" t="str">
        <f>IF(Summary_Exchange_Balances_00UTC!$B94="","",Summary_Exchange_Balances_00UTC!$B94)</f>
        <v>DEFI-STRAT-2</v>
      </c>
      <c r="C95" t="str">
        <f>IF(Summary_Exchange_Balances_00UTC!$B94="","",Summary_Exchange_Balances_00UTC!$E94)</f>
        <v>ETH</v>
      </c>
      <c r="D95" t="str">
        <f>IF(OR(Summary_Exchange_Balances_00UTC!$B94="",Summary_Exchange_Balances_00UTC!$D94=""),"",Summary_Exchange_Balances_00UTC!$D94)</f>
        <v>wallet</v>
      </c>
      <c r="E95" s="53">
        <f>IF(Summary_Exchange_Balances_00UTC!$B94="","",Summary_Exchange_Balances_00UTC!$C94)</f>
        <v>16.8835707</v>
      </c>
      <c r="G95" s="52" t="e">
        <f ca="1">IF(Summary_Exchange_Balances_00UTC!$B94="","",VLOOKUP(IF(ISERROR(SEARCH(" ", $B95)),UPPER($B95&amp;$C95&amp;IF(OR(NOT(ISERROR(SEARCH("trade",$D95))),NOT(ISERROR(SEARCH("balance",$D95)))),"",$D95)),UPPER(LEFT($B95, SEARCH(" ",$B95)-1)&amp;$C95&amp;IF(OR(NOT(ISERROR(SEARCH("trade",$D95))),NOT(ISERROR(SEARCH("balance",$D95)))),"",$D95))),$L:$T,MATCH("balance",$L$2:$S$2,0),FALSE))</f>
        <v>#N/A</v>
      </c>
      <c r="H95" s="35" t="e">
        <f ca="1">IF(Summary_Exchange_Balances_00UTC!$B94="","",(G95-E95)/E95)</f>
        <v>#N/A</v>
      </c>
      <c r="I95" s="165">
        <f ca="1">IF(Summary_Exchange_Balances_00UTC!$B94="","",IF(ISERROR($G95),$E95,$G95))</f>
        <v>16.8835707</v>
      </c>
      <c r="K95" t="str">
        <f t="shared" ca="1" si="5"/>
        <v>BTSEBCH</v>
      </c>
      <c r="L95" t="str">
        <f ca="1">UPPER($P95&amp;$N95&amp;Q95)</f>
        <v>BTSEBCH</v>
      </c>
      <c r="N95" s="161" t="str">
        <f ca="1">IF(raw_exchange_data!$A94="","",OFFSET(raw_exchange_data!$A94,0,MATCH(N$2,raw_exchange_data!$1:$1,0)-1))</f>
        <v>BCH</v>
      </c>
      <c r="O95" s="161" t="str">
        <f ca="1">IF(raw_exchange_data!$A94="","",OFFSET(raw_exchange_data!$A94,0,MATCH(O$2,raw_exchange_data!$1:$1,0)-1))</f>
        <v>BTSE</v>
      </c>
      <c r="P95" s="161" t="str">
        <f ca="1">IF(raw_exchange_data!$A94="","",OFFSET(raw_exchange_data!$A94,0,MATCH(P$2,raw_exchange_data!$1:$1,0)-1))</f>
        <v>BTSE</v>
      </c>
      <c r="Q95" s="161" t="str">
        <f ca="1">IF(raw_exchange_data!$A94="","",TEXT(OFFSET(raw_exchange_data!$A94,0,MATCH(Q$2,raw_exchange_data!$1:$1,0)-1),""))</f>
        <v/>
      </c>
      <c r="R95" s="162">
        <f ca="1">IF(raw_exchange_data!$A94="","",OFFSET(raw_exchange_data!$A94,0,MATCH(R$2,raw_exchange_data!$1:$1,0)-1))</f>
        <v>0.21932823000000001</v>
      </c>
      <c r="S95" s="190">
        <f ca="1">IF(raw_exchange_data!$A94="","",OFFSET(raw_exchange_data!$A94,0,MATCH(S$2,raw_exchange_data!$1:$1,0)-1))</f>
        <v>44937.668868518522</v>
      </c>
      <c r="T95" s="161">
        <v>1</v>
      </c>
      <c r="W95" t="str">
        <f t="shared" si="6"/>
        <v>DEFI</v>
      </c>
      <c r="X95" t="str">
        <f t="shared" si="7"/>
        <v>ETH</v>
      </c>
      <c r="Y95" s="42">
        <f t="shared" si="8"/>
        <v>16.8835707</v>
      </c>
      <c r="Z95" s="42">
        <f t="shared" ca="1" si="9"/>
        <v>0</v>
      </c>
      <c r="AB95" s="3" t="s">
        <v>893</v>
      </c>
      <c r="AC95" s="32">
        <v>3047</v>
      </c>
      <c r="AD95" s="32">
        <v>0</v>
      </c>
    </row>
    <row r="96" spans="1:30" x14ac:dyDescent="0.25">
      <c r="A96" t="str">
        <f>IF(Summary_Exchange_Balances_00UTC!$B95="","",Summary_Exchange_Balances_00UTC!$N95)</f>
        <v>DEFI</v>
      </c>
      <c r="B96" t="str">
        <f>IF(Summary_Exchange_Balances_00UTC!$B95="","",Summary_Exchange_Balances_00UTC!$B95)</f>
        <v>DEFI-STRAT-2</v>
      </c>
      <c r="C96" t="str">
        <f>IF(Summary_Exchange_Balances_00UTC!$B95="","",Summary_Exchange_Balances_00UTC!$E95)</f>
        <v>INVITATION TOKEN. PLEASE VISIT HTTPS://AAKER.SITE AND CLAIM REWARDS.</v>
      </c>
      <c r="D96" t="str">
        <f>IF(OR(Summary_Exchange_Balances_00UTC!$B95="",Summary_Exchange_Balances_00UTC!$D95=""),"",Summary_Exchange_Balances_00UTC!$D95)</f>
        <v>wallet</v>
      </c>
      <c r="E96" s="53">
        <f>IF(Summary_Exchange_Balances_00UTC!$B95="","",Summary_Exchange_Balances_00UTC!$C95)</f>
        <v>480000</v>
      </c>
      <c r="G96" s="52" t="e">
        <f ca="1">IF(Summary_Exchange_Balances_00UTC!$B95="","",VLOOKUP(IF(ISERROR(SEARCH(" ", $B96)),UPPER($B96&amp;$C96&amp;IF(OR(NOT(ISERROR(SEARCH("trade",$D96))),NOT(ISERROR(SEARCH("balance",$D96)))),"",$D96)),UPPER(LEFT($B96, SEARCH(" ",$B96)-1)&amp;$C96&amp;IF(OR(NOT(ISERROR(SEARCH("trade",$D96))),NOT(ISERROR(SEARCH("balance",$D96)))),"",$D96))),$L:$T,MATCH("balance",$L$2:$S$2,0),FALSE))</f>
        <v>#N/A</v>
      </c>
      <c r="H96" s="35" t="e">
        <f ca="1">IF(Summary_Exchange_Balances_00UTC!$B95="","",(G96-E96)/E96)</f>
        <v>#N/A</v>
      </c>
      <c r="I96" s="165">
        <f ca="1">IF(Summary_Exchange_Balances_00UTC!$B95="","",IF(ISERROR($G96),$E96,$G96))</f>
        <v>480000</v>
      </c>
      <c r="K96" t="str">
        <f t="shared" ca="1" si="5"/>
        <v>BTSEBTC</v>
      </c>
      <c r="L96" t="str">
        <f ca="1">UPPER($P96&amp;$N96&amp;Q96)</f>
        <v>BTSEBTC</v>
      </c>
      <c r="N96" s="161" t="str">
        <f ca="1">IF(raw_exchange_data!$A95="","",OFFSET(raw_exchange_data!$A95,0,MATCH(N$2,raw_exchange_data!$1:$1,0)-1))</f>
        <v>BTC</v>
      </c>
      <c r="O96" s="161" t="str">
        <f ca="1">IF(raw_exchange_data!$A95="","",OFFSET(raw_exchange_data!$A95,0,MATCH(O$2,raw_exchange_data!$1:$1,0)-1))</f>
        <v>BTSE</v>
      </c>
      <c r="P96" s="161" t="str">
        <f ca="1">IF(raw_exchange_data!$A95="","",OFFSET(raw_exchange_data!$A95,0,MATCH(P$2,raw_exchange_data!$1:$1,0)-1))</f>
        <v>BTSE</v>
      </c>
      <c r="Q96" s="161" t="str">
        <f ca="1">IF(raw_exchange_data!$A95="","",TEXT(OFFSET(raw_exchange_data!$A95,0,MATCH(Q$2,raw_exchange_data!$1:$1,0)-1),""))</f>
        <v/>
      </c>
      <c r="R96" s="162">
        <f ca="1">IF(raw_exchange_data!$A95="","",OFFSET(raw_exchange_data!$A95,0,MATCH(R$2,raw_exchange_data!$1:$1,0)-1))</f>
        <v>5.7861299999999997E-2</v>
      </c>
      <c r="S96" s="190">
        <f ca="1">IF(raw_exchange_data!$A95="","",OFFSET(raw_exchange_data!$A95,0,MATCH(S$2,raw_exchange_data!$1:$1,0)-1))</f>
        <v>44937.668879398145</v>
      </c>
      <c r="T96" s="161">
        <v>1</v>
      </c>
      <c r="W96" t="str">
        <f t="shared" si="6"/>
        <v>DEFI</v>
      </c>
      <c r="X96" t="str">
        <f t="shared" si="7"/>
        <v>INVITATION TOKEN. PLEASE VISIT HTTPS://AAKER.SITE AND CLAIM REWARDS.</v>
      </c>
      <c r="Y96" s="42">
        <f t="shared" si="8"/>
        <v>480000</v>
      </c>
      <c r="Z96" s="42">
        <f t="shared" ca="1" si="9"/>
        <v>0</v>
      </c>
      <c r="AB96" s="3" t="s">
        <v>431</v>
      </c>
      <c r="AC96" s="32">
        <v>9472.1338239899997</v>
      </c>
      <c r="AD96" s="32">
        <v>0</v>
      </c>
    </row>
    <row r="97" spans="1:30" x14ac:dyDescent="0.25">
      <c r="A97" t="str">
        <f>IF(Summary_Exchange_Balances_00UTC!$B96="","",Summary_Exchange_Balances_00UTC!$N96)</f>
        <v>DEFI</v>
      </c>
      <c r="B97" t="str">
        <f>IF(Summary_Exchange_Balances_00UTC!$B96="","",Summary_Exchange_Balances_00UTC!$B96)</f>
        <v>DEFI-STRAT-2</v>
      </c>
      <c r="C97" t="str">
        <f>IF(Summary_Exchange_Balances_00UTC!$B96="","",Summary_Exchange_Balances_00UTC!$E96)</f>
        <v>OAAVEUSDC/AAVE-02DEC22-67.5C</v>
      </c>
      <c r="D97" t="str">
        <f>IF(OR(Summary_Exchange_Balances_00UTC!$B96="",Summary_Exchange_Balances_00UTC!$D96=""),"",Summary_Exchange_Balances_00UTC!$D96)</f>
        <v>wallet</v>
      </c>
      <c r="E97" s="53">
        <f>IF(Summary_Exchange_Balances_00UTC!$B96="","",Summary_Exchange_Balances_00UTC!$C96)</f>
        <v>34311.93215886</v>
      </c>
      <c r="G97" s="52" t="e">
        <f ca="1">IF(Summary_Exchange_Balances_00UTC!$B96="","",VLOOKUP(IF(ISERROR(SEARCH(" ", $B97)),UPPER($B97&amp;$C97&amp;IF(OR(NOT(ISERROR(SEARCH("trade",$D97))),NOT(ISERROR(SEARCH("balance",$D97)))),"",$D97)),UPPER(LEFT($B97, SEARCH(" ",$B97)-1)&amp;$C97&amp;IF(OR(NOT(ISERROR(SEARCH("trade",$D97))),NOT(ISERROR(SEARCH("balance",$D97)))),"",$D97))),$L:$T,MATCH("balance",$L$2:$S$2,0),FALSE))</f>
        <v>#N/A</v>
      </c>
      <c r="H97" s="35" t="e">
        <f ca="1">IF(Summary_Exchange_Balances_00UTC!$B96="","",(G97-E97)/E97)</f>
        <v>#N/A</v>
      </c>
      <c r="I97" s="165">
        <f ca="1">IF(Summary_Exchange_Balances_00UTC!$B96="","",IF(ISERROR($G97),$E97,$G97))</f>
        <v>34311.93215886</v>
      </c>
      <c r="K97" t="str">
        <f t="shared" ca="1" si="5"/>
        <v>BTSEETH</v>
      </c>
      <c r="L97" t="str">
        <f ca="1">UPPER($P97&amp;$N97&amp;Q97)</f>
        <v>BTSEETH</v>
      </c>
      <c r="N97" s="161" t="str">
        <f ca="1">IF(raw_exchange_data!$A96="","",OFFSET(raw_exchange_data!$A96,0,MATCH(N$2,raw_exchange_data!$1:$1,0)-1))</f>
        <v>ETH</v>
      </c>
      <c r="O97" s="161" t="str">
        <f ca="1">IF(raw_exchange_data!$A96="","",OFFSET(raw_exchange_data!$A96,0,MATCH(O$2,raw_exchange_data!$1:$1,0)-1))</f>
        <v>BTSE</v>
      </c>
      <c r="P97" s="161" t="str">
        <f ca="1">IF(raw_exchange_data!$A96="","",OFFSET(raw_exchange_data!$A96,0,MATCH(P$2,raw_exchange_data!$1:$1,0)-1))</f>
        <v>BTSE</v>
      </c>
      <c r="Q97" s="161" t="str">
        <f ca="1">IF(raw_exchange_data!$A96="","",TEXT(OFFSET(raw_exchange_data!$A96,0,MATCH(Q$2,raw_exchange_data!$1:$1,0)-1),""))</f>
        <v/>
      </c>
      <c r="R97" s="162">
        <f ca="1">IF(raw_exchange_data!$A96="","",OFFSET(raw_exchange_data!$A96,0,MATCH(R$2,raw_exchange_data!$1:$1,0)-1))</f>
        <v>0.73541904000000002</v>
      </c>
      <c r="S97" s="190">
        <f ca="1">IF(raw_exchange_data!$A96="","",OFFSET(raw_exchange_data!$A96,0,MATCH(S$2,raw_exchange_data!$1:$1,0)-1))</f>
        <v>44937.668890277775</v>
      </c>
      <c r="T97" s="161">
        <v>1</v>
      </c>
      <c r="W97" t="str">
        <f t="shared" si="6"/>
        <v>DEFI</v>
      </c>
      <c r="X97" t="str">
        <f t="shared" si="7"/>
        <v>OAAVEUSDC/AAVE-02DEC22-67.5C</v>
      </c>
      <c r="Y97" s="42">
        <f t="shared" si="8"/>
        <v>34311.93215886</v>
      </c>
      <c r="Z97" s="42">
        <f t="shared" ca="1" si="9"/>
        <v>0</v>
      </c>
      <c r="AB97" s="3" t="s">
        <v>302</v>
      </c>
      <c r="AC97" s="32">
        <v>5625.02729593</v>
      </c>
      <c r="AD97" s="32">
        <v>0</v>
      </c>
    </row>
    <row r="98" spans="1:30" x14ac:dyDescent="0.25">
      <c r="A98" t="str">
        <f>IF(Summary_Exchange_Balances_00UTC!$B97="","",Summary_Exchange_Balances_00UTC!$N97)</f>
        <v>DEFI</v>
      </c>
      <c r="B98" t="str">
        <f>IF(Summary_Exchange_Balances_00UTC!$B97="","",Summary_Exchange_Balances_00UTC!$B97)</f>
        <v>DEFI-STRAT-2</v>
      </c>
      <c r="C98" t="str">
        <f>IF(Summary_Exchange_Balances_00UTC!$B97="","",Summary_Exchange_Balances_00UTC!$E97)</f>
        <v>OAAVEUSDC/AAVE-06JAN23-62.5C</v>
      </c>
      <c r="D98" t="str">
        <f>IF(OR(Summary_Exchange_Balances_00UTC!$B97="",Summary_Exchange_Balances_00UTC!$D97=""),"",Summary_Exchange_Balances_00UTC!$D97)</f>
        <v>wallet</v>
      </c>
      <c r="E98" s="53">
        <f>IF(Summary_Exchange_Balances_00UTC!$B97="","",Summary_Exchange_Balances_00UTC!$C97)</f>
        <v>32302.942249520001</v>
      </c>
      <c r="G98" s="52" t="e">
        <f ca="1">IF(Summary_Exchange_Balances_00UTC!$B97="","",VLOOKUP(IF(ISERROR(SEARCH(" ", $B98)),UPPER($B98&amp;$C98&amp;IF(OR(NOT(ISERROR(SEARCH("trade",$D98))),NOT(ISERROR(SEARCH("balance",$D98)))),"",$D98)),UPPER(LEFT($B98, SEARCH(" ",$B98)-1)&amp;$C98&amp;IF(OR(NOT(ISERROR(SEARCH("trade",$D98))),NOT(ISERROR(SEARCH("balance",$D98)))),"",$D98))),$L:$T,MATCH("balance",$L$2:$S$2,0),FALSE))</f>
        <v>#N/A</v>
      </c>
      <c r="H98" s="35" t="e">
        <f ca="1">IF(Summary_Exchange_Balances_00UTC!$B97="","",(G98-E98)/E98)</f>
        <v>#N/A</v>
      </c>
      <c r="I98" s="165">
        <f ca="1">IF(Summary_Exchange_Balances_00UTC!$B97="","",IF(ISERROR($G98),$E98,$G98))</f>
        <v>32302.942249520001</v>
      </c>
      <c r="K98" t="str">
        <f t="shared" ca="1" si="5"/>
        <v>BTSEFLR</v>
      </c>
      <c r="L98" t="str">
        <f ca="1">UPPER($P98&amp;$N98&amp;Q98)</f>
        <v>BTSEFLR</v>
      </c>
      <c r="N98" s="161" t="str">
        <f ca="1">IF(raw_exchange_data!$A97="","",OFFSET(raw_exchange_data!$A97,0,MATCH(N$2,raw_exchange_data!$1:$1,0)-1))</f>
        <v>FLR</v>
      </c>
      <c r="O98" s="161" t="str">
        <f ca="1">IF(raw_exchange_data!$A97="","",OFFSET(raw_exchange_data!$A97,0,MATCH(O$2,raw_exchange_data!$1:$1,0)-1))</f>
        <v>BTSE</v>
      </c>
      <c r="P98" s="161" t="str">
        <f ca="1">IF(raw_exchange_data!$A97="","",OFFSET(raw_exchange_data!$A97,0,MATCH(P$2,raw_exchange_data!$1:$1,0)-1))</f>
        <v>BTSE</v>
      </c>
      <c r="Q98" s="161" t="str">
        <f ca="1">IF(raw_exchange_data!$A97="","",TEXT(OFFSET(raw_exchange_data!$A97,0,MATCH(Q$2,raw_exchange_data!$1:$1,0)-1),""))</f>
        <v/>
      </c>
      <c r="R98" s="162">
        <f ca="1">IF(raw_exchange_data!$A97="","",OFFSET(raw_exchange_data!$A97,0,MATCH(R$2,raw_exchange_data!$1:$1,0)-1))</f>
        <v>22277.5319929</v>
      </c>
      <c r="S98" s="190">
        <f ca="1">IF(raw_exchange_data!$A97="","",OFFSET(raw_exchange_data!$A97,0,MATCH(S$2,raw_exchange_data!$1:$1,0)-1))</f>
        <v>44937.668900925928</v>
      </c>
      <c r="T98" s="161">
        <v>1</v>
      </c>
      <c r="W98" t="str">
        <f t="shared" si="6"/>
        <v>DEFI</v>
      </c>
      <c r="X98" t="str">
        <f t="shared" si="7"/>
        <v>OAAVEUSDC/AAVE-06JAN23-62.5C</v>
      </c>
      <c r="Y98" s="42">
        <f t="shared" si="8"/>
        <v>32302.942249520001</v>
      </c>
      <c r="Z98" s="42">
        <f t="shared" ca="1" si="9"/>
        <v>0</v>
      </c>
      <c r="AB98" s="3" t="s">
        <v>303</v>
      </c>
      <c r="AC98" s="32">
        <v>5968</v>
      </c>
      <c r="AD98" s="32">
        <v>0</v>
      </c>
    </row>
    <row r="99" spans="1:30" x14ac:dyDescent="0.25">
      <c r="A99" t="str">
        <f>IF(Summary_Exchange_Balances_00UTC!$B98="","",Summary_Exchange_Balances_00UTC!$N98)</f>
        <v>DEFI</v>
      </c>
      <c r="B99" t="str">
        <f>IF(Summary_Exchange_Balances_00UTC!$B98="","",Summary_Exchange_Balances_00UTC!$B98)</f>
        <v>DEFI-STRAT-2</v>
      </c>
      <c r="C99" t="str">
        <f>IF(Summary_Exchange_Balances_00UTC!$B98="","",Summary_Exchange_Balances_00UTC!$E98)</f>
        <v>OAAVEUSDC/AAVE-13JAN23-62.5C</v>
      </c>
      <c r="D99" t="str">
        <f>IF(OR(Summary_Exchange_Balances_00UTC!$B98="",Summary_Exchange_Balances_00UTC!$D98=""),"",Summary_Exchange_Balances_00UTC!$D98)</f>
        <v>wallet</v>
      </c>
      <c r="E99" s="53">
        <f>IF(Summary_Exchange_Balances_00UTC!$B98="","",Summary_Exchange_Balances_00UTC!$C98)</f>
        <v>32626.54331546</v>
      </c>
      <c r="G99" s="52" t="e">
        <f ca="1">IF(Summary_Exchange_Balances_00UTC!$B98="","",VLOOKUP(IF(ISERROR(SEARCH(" ", $B99)),UPPER($B99&amp;$C99&amp;IF(OR(NOT(ISERROR(SEARCH("trade",$D99))),NOT(ISERROR(SEARCH("balance",$D99)))),"",$D99)),UPPER(LEFT($B99, SEARCH(" ",$B99)-1)&amp;$C99&amp;IF(OR(NOT(ISERROR(SEARCH("trade",$D99))),NOT(ISERROR(SEARCH("balance",$D99)))),"",$D99))),$L:$T,MATCH("balance",$L$2:$S$2,0),FALSE))</f>
        <v>#N/A</v>
      </c>
      <c r="H99" s="35" t="e">
        <f ca="1">IF(Summary_Exchange_Balances_00UTC!$B98="","",(G99-E99)/E99)</f>
        <v>#N/A</v>
      </c>
      <c r="I99" s="165">
        <f ca="1">IF(Summary_Exchange_Balances_00UTC!$B98="","",IF(ISERROR($G99),$E99,$G99))</f>
        <v>32626.54331546</v>
      </c>
      <c r="K99" t="str">
        <f t="shared" ca="1" si="5"/>
        <v>BTSESGB</v>
      </c>
      <c r="L99" t="str">
        <f ca="1">UPPER($P99&amp;$N99&amp;Q99)</f>
        <v>BTSESGB</v>
      </c>
      <c r="N99" s="161" t="str">
        <f ca="1">IF(raw_exchange_data!$A98="","",OFFSET(raw_exchange_data!$A98,0,MATCH(N$2,raw_exchange_data!$1:$1,0)-1))</f>
        <v>SGB</v>
      </c>
      <c r="O99" s="161" t="str">
        <f ca="1">IF(raw_exchange_data!$A98="","",OFFSET(raw_exchange_data!$A98,0,MATCH(O$2,raw_exchange_data!$1:$1,0)-1))</f>
        <v>BTSE</v>
      </c>
      <c r="P99" s="161" t="str">
        <f ca="1">IF(raw_exchange_data!$A98="","",OFFSET(raw_exchange_data!$A98,0,MATCH(P$2,raw_exchange_data!$1:$1,0)-1))</f>
        <v>BTSE</v>
      </c>
      <c r="Q99" s="161" t="str">
        <f ca="1">IF(raw_exchange_data!$A98="","",TEXT(OFFSET(raw_exchange_data!$A98,0,MATCH(Q$2,raw_exchange_data!$1:$1,0)-1),""))</f>
        <v/>
      </c>
      <c r="R99" s="162">
        <f ca="1">IF(raw_exchange_data!$A98="","",OFFSET(raw_exchange_data!$A98,0,MATCH(R$2,raw_exchange_data!$1:$1,0)-1))</f>
        <v>22277.5319929</v>
      </c>
      <c r="S99" s="190">
        <f ca="1">IF(raw_exchange_data!$A98="","",OFFSET(raw_exchange_data!$A98,0,MATCH(S$2,raw_exchange_data!$1:$1,0)-1))</f>
        <v>44937.668911805558</v>
      </c>
      <c r="T99" s="161">
        <v>1</v>
      </c>
      <c r="W99" t="str">
        <f t="shared" si="6"/>
        <v>DEFI</v>
      </c>
      <c r="X99" t="str">
        <f t="shared" si="7"/>
        <v>OAAVEUSDC/AAVE-13JAN23-62.5C</v>
      </c>
      <c r="Y99" s="42">
        <f t="shared" si="8"/>
        <v>32626.54331546</v>
      </c>
      <c r="Z99" s="42">
        <f t="shared" ca="1" si="9"/>
        <v>0</v>
      </c>
      <c r="AB99" s="3" t="s">
        <v>894</v>
      </c>
      <c r="AC99" s="32">
        <v>4006</v>
      </c>
      <c r="AD99" s="32">
        <v>0</v>
      </c>
    </row>
    <row r="100" spans="1:30" x14ac:dyDescent="0.25">
      <c r="A100" t="str">
        <f>IF(Summary_Exchange_Balances_00UTC!$B99="","",Summary_Exchange_Balances_00UTC!$N99)</f>
        <v>DEFI</v>
      </c>
      <c r="B100" t="str">
        <f>IF(Summary_Exchange_Balances_00UTC!$B99="","",Summary_Exchange_Balances_00UTC!$B99)</f>
        <v>DEFI-STRAT-2</v>
      </c>
      <c r="C100" t="str">
        <f>IF(Summary_Exchange_Balances_00UTC!$B99="","",Summary_Exchange_Balances_00UTC!$E99)</f>
        <v>OAAVEUSDC/AAVE-16DEC22-72.5C</v>
      </c>
      <c r="D100" t="str">
        <f>IF(OR(Summary_Exchange_Balances_00UTC!$B99="",Summary_Exchange_Balances_00UTC!$D99=""),"",Summary_Exchange_Balances_00UTC!$D99)</f>
        <v>wallet</v>
      </c>
      <c r="E100" s="52">
        <f>IF(Summary_Exchange_Balances_00UTC!$B99="","",Summary_Exchange_Balances_00UTC!$C99)</f>
        <v>33793.379334129997</v>
      </c>
      <c r="G100" s="52" t="e">
        <f ca="1">IF(Summary_Exchange_Balances_00UTC!$B99="","",VLOOKUP(IF(ISERROR(SEARCH(" ", $B100)),UPPER($B100&amp;$C100&amp;IF(OR(NOT(ISERROR(SEARCH("trade",$D100))),NOT(ISERROR(SEARCH("balance",$D100)))),"",$D100)),UPPER(LEFT($B100, SEARCH(" ",$B100)-1)&amp;$C100&amp;IF(OR(NOT(ISERROR(SEARCH("trade",$D100))),NOT(ISERROR(SEARCH("balance",$D100)))),"",$D100))),$L:$T,MATCH("balance",$L$2:$S$2,0),FALSE))</f>
        <v>#N/A</v>
      </c>
      <c r="H100" s="35" t="e">
        <f ca="1">IF(Summary_Exchange_Balances_00UTC!$B99="","",(G100-E100)/E100)</f>
        <v>#N/A</v>
      </c>
      <c r="I100" s="165">
        <f ca="1">IF(Summary_Exchange_Balances_00UTC!$B99="","",IF(ISERROR($G100),$E100,$G100))</f>
        <v>33793.379334129997</v>
      </c>
      <c r="K100" t="str">
        <f t="shared" ca="1" si="5"/>
        <v>BTSEUSD</v>
      </c>
      <c r="L100" t="str">
        <f ca="1">UPPER($P100&amp;$N100&amp;Q100)</f>
        <v>BTSEUSD</v>
      </c>
      <c r="N100" s="161" t="str">
        <f ca="1">IF(raw_exchange_data!$A99="","",OFFSET(raw_exchange_data!$A99,0,MATCH(N$2,raw_exchange_data!$1:$1,0)-1))</f>
        <v>USD</v>
      </c>
      <c r="O100" s="161" t="str">
        <f ca="1">IF(raw_exchange_data!$A99="","",OFFSET(raw_exchange_data!$A99,0,MATCH(O$2,raw_exchange_data!$1:$1,0)-1))</f>
        <v>BTSE</v>
      </c>
      <c r="P100" s="161" t="str">
        <f ca="1">IF(raw_exchange_data!$A99="","",OFFSET(raw_exchange_data!$A99,0,MATCH(P$2,raw_exchange_data!$1:$1,0)-1))</f>
        <v>BTSE</v>
      </c>
      <c r="Q100" s="161" t="str">
        <f ca="1">IF(raw_exchange_data!$A99="","",TEXT(OFFSET(raw_exchange_data!$A99,0,MATCH(Q$2,raw_exchange_data!$1:$1,0)-1),""))</f>
        <v/>
      </c>
      <c r="R100" s="162">
        <f ca="1">IF(raw_exchange_data!$A99="","",OFFSET(raw_exchange_data!$A99,0,MATCH(R$2,raw_exchange_data!$1:$1,0)-1))</f>
        <v>125335.8</v>
      </c>
      <c r="S100" s="190">
        <f ca="1">IF(raw_exchange_data!$A99="","",OFFSET(raw_exchange_data!$A99,0,MATCH(S$2,raw_exchange_data!$1:$1,0)-1))</f>
        <v>44937.668922800927</v>
      </c>
      <c r="T100" s="161">
        <v>1</v>
      </c>
      <c r="W100" t="str">
        <f t="shared" si="6"/>
        <v>DEFI</v>
      </c>
      <c r="X100" t="str">
        <f t="shared" si="7"/>
        <v>OAAVEUSDC/AAVE-16DEC22-72.5C</v>
      </c>
      <c r="Y100" s="42">
        <f t="shared" si="8"/>
        <v>33793.379334129997</v>
      </c>
      <c r="Z100" s="42">
        <f t="shared" ca="1" si="9"/>
        <v>0</v>
      </c>
      <c r="AB100" s="3" t="s">
        <v>89</v>
      </c>
      <c r="AC100" s="32">
        <v>15713.500338399783</v>
      </c>
      <c r="AD100" s="32">
        <v>2533452.551855295</v>
      </c>
    </row>
    <row r="101" spans="1:30" x14ac:dyDescent="0.25">
      <c r="A101" t="str">
        <f>IF(Summary_Exchange_Balances_00UTC!$B100="","",Summary_Exchange_Balances_00UTC!$N100)</f>
        <v>DEFI</v>
      </c>
      <c r="B101" t="str">
        <f>IF(Summary_Exchange_Balances_00UTC!$B100="","",Summary_Exchange_Balances_00UTC!$B100)</f>
        <v>DEFI-STRAT-2</v>
      </c>
      <c r="C101" t="str">
        <f>IF(Summary_Exchange_Balances_00UTC!$B100="","",Summary_Exchange_Balances_00UTC!$E100)</f>
        <v>OAAVEUSDC/AAVE-25NOV22-72.5C</v>
      </c>
      <c r="D101" t="str">
        <f>IF(OR(Summary_Exchange_Balances_00UTC!$B100="",Summary_Exchange_Balances_00UTC!$D100=""),"",Summary_Exchange_Balances_00UTC!$D100)</f>
        <v>wallet</v>
      </c>
      <c r="E101" s="52">
        <f>IF(Summary_Exchange_Balances_00UTC!$B100="","",Summary_Exchange_Balances_00UTC!$C100)</f>
        <v>33991.374100820001</v>
      </c>
      <c r="G101" s="52" t="e">
        <f ca="1">IF(Summary_Exchange_Balances_00UTC!$B100="","",VLOOKUP(IF(ISERROR(SEARCH(" ", $B101)),UPPER($B101&amp;$C101&amp;IF(OR(NOT(ISERROR(SEARCH("trade",$D101))),NOT(ISERROR(SEARCH("balance",$D101)))),"",$D101)),UPPER(LEFT($B101, SEARCH(" ",$B101)-1)&amp;$C101&amp;IF(OR(NOT(ISERROR(SEARCH("trade",$D101))),NOT(ISERROR(SEARCH("balance",$D101)))),"",$D101))),$L:$T,MATCH("balance",$L$2:$S$2,0),FALSE))</f>
        <v>#N/A</v>
      </c>
      <c r="H101" s="35" t="e">
        <f ca="1">IF(Summary_Exchange_Balances_00UTC!$B100="","",(G101-E101)/E101)</f>
        <v>#N/A</v>
      </c>
      <c r="I101" s="165">
        <f ca="1">IF(Summary_Exchange_Balances_00UTC!$B100="","",IF(ISERROR($G101),$E101,$G101))</f>
        <v>33991.374100820001</v>
      </c>
      <c r="K101" t="str">
        <f t="shared" ca="1" si="5"/>
        <v>BTSEXRP</v>
      </c>
      <c r="L101" t="str">
        <f ca="1">UPPER($P101&amp;$N101&amp;Q101)</f>
        <v>BTSEXRP</v>
      </c>
      <c r="N101" s="161" t="str">
        <f ca="1">IF(raw_exchange_data!$A100="","",OFFSET(raw_exchange_data!$A100,0,MATCH(N$2,raw_exchange_data!$1:$1,0)-1))</f>
        <v>XRP</v>
      </c>
      <c r="O101" s="161" t="str">
        <f ca="1">IF(raw_exchange_data!$A100="","",OFFSET(raw_exchange_data!$A100,0,MATCH(O$2,raw_exchange_data!$1:$1,0)-1))</f>
        <v>BTSE</v>
      </c>
      <c r="P101" s="161" t="str">
        <f ca="1">IF(raw_exchange_data!$A100="","",OFFSET(raw_exchange_data!$A100,0,MATCH(P$2,raw_exchange_data!$1:$1,0)-1))</f>
        <v>BTSE</v>
      </c>
      <c r="Q101" s="161" t="str">
        <f ca="1">IF(raw_exchange_data!$A100="","",TEXT(OFFSET(raw_exchange_data!$A100,0,MATCH(Q$2,raw_exchange_data!$1:$1,0)-1),""))</f>
        <v/>
      </c>
      <c r="R101" s="162">
        <f ca="1">IF(raw_exchange_data!$A100="","",OFFSET(raw_exchange_data!$A100,0,MATCH(R$2,raw_exchange_data!$1:$1,0)-1))</f>
        <v>86647.684072849996</v>
      </c>
      <c r="S101" s="190">
        <f ca="1">IF(raw_exchange_data!$A100="","",OFFSET(raw_exchange_data!$A100,0,MATCH(S$2,raw_exchange_data!$1:$1,0)-1))</f>
        <v>44937.668933680558</v>
      </c>
      <c r="T101" s="161">
        <v>1</v>
      </c>
      <c r="W101" t="str">
        <f t="shared" si="6"/>
        <v>DEFI</v>
      </c>
      <c r="X101" t="str">
        <f t="shared" si="7"/>
        <v>OAAVEUSDC/AAVE-25NOV22-72.5C</v>
      </c>
      <c r="Y101" s="42">
        <f t="shared" si="8"/>
        <v>33991.374100820001</v>
      </c>
      <c r="Z101" s="42">
        <f t="shared" ca="1" si="9"/>
        <v>0</v>
      </c>
      <c r="AB101" s="3" t="s">
        <v>152</v>
      </c>
      <c r="AC101" s="32">
        <v>3.0962099999999998E-3</v>
      </c>
      <c r="AD101" s="32">
        <v>3.0962099999999998E-3</v>
      </c>
    </row>
    <row r="102" spans="1:30" x14ac:dyDescent="0.25">
      <c r="A102" t="str">
        <f>IF(Summary_Exchange_Balances_00UTC!$B101="","",Summary_Exchange_Balances_00UTC!$N101)</f>
        <v>DEFI</v>
      </c>
      <c r="B102" t="str">
        <f>IF(Summary_Exchange_Balances_00UTC!$B101="","",Summary_Exchange_Balances_00UTC!$B101)</f>
        <v>DEFI-STRAT-2</v>
      </c>
      <c r="C102" t="str">
        <f>IF(Summary_Exchange_Balances_00UTC!$B101="","",Summary_Exchange_Balances_00UTC!$E101)</f>
        <v>OWAVAXUSDC.E/WAVAX-06JAN23-12.25C</v>
      </c>
      <c r="D102" t="str">
        <f>IF(OR(Summary_Exchange_Balances_00UTC!$B101="",Summary_Exchange_Balances_00UTC!$D101=""),"",Summary_Exchange_Balances_00UTC!$D101)</f>
        <v>wallet</v>
      </c>
      <c r="E102" s="52">
        <f>IF(Summary_Exchange_Balances_00UTC!$B101="","",Summary_Exchange_Balances_00UTC!$C101)</f>
        <v>19597.425537219999</v>
      </c>
      <c r="G102" s="52" t="e">
        <f ca="1">IF(Summary_Exchange_Balances_00UTC!$B101="","",VLOOKUP(IF(ISERROR(SEARCH(" ", $B102)),UPPER($B102&amp;$C102&amp;IF(OR(NOT(ISERROR(SEARCH("trade",$D102))),NOT(ISERROR(SEARCH("balance",$D102)))),"",$D102)),UPPER(LEFT($B102, SEARCH(" ",$B102)-1)&amp;$C102&amp;IF(OR(NOT(ISERROR(SEARCH("trade",$D102))),NOT(ISERROR(SEARCH("balance",$D102)))),"",$D102))),$L:$T,MATCH("balance",$L$2:$S$2,0),FALSE))</f>
        <v>#N/A</v>
      </c>
      <c r="H102" s="35" t="e">
        <f ca="1">IF(Summary_Exchange_Balances_00UTC!$B101="","",(G102-E102)/E102)</f>
        <v>#N/A</v>
      </c>
      <c r="I102" s="165">
        <f ca="1">IF(Summary_Exchange_Balances_00UTC!$B101="","",IF(ISERROR($G102),$E102,$G102))</f>
        <v>19597.425537219999</v>
      </c>
      <c r="K102" t="str">
        <f t="shared" ca="1" si="5"/>
        <v>BULLBTC</v>
      </c>
      <c r="L102" t="str">
        <f ca="1">UPPER($P102&amp;$N102&amp;Q102)</f>
        <v>BULL-1-M-EBTC</v>
      </c>
      <c r="N102" s="161" t="str">
        <f ca="1">IF(raw_exchange_data!$A101="","",OFFSET(raw_exchange_data!$A101,0,MATCH(N$2,raw_exchange_data!$1:$1,0)-1))</f>
        <v>BTC</v>
      </c>
      <c r="O102" s="161" t="str">
        <f ca="1">IF(raw_exchange_data!$A101="","",OFFSET(raw_exchange_data!$A101,0,MATCH(O$2,raw_exchange_data!$1:$1,0)-1))</f>
        <v>BULL</v>
      </c>
      <c r="P102" s="161" t="str">
        <f ca="1">IF(raw_exchange_data!$A101="","",OFFSET(raw_exchange_data!$A101,0,MATCH(P$2,raw_exchange_data!$1:$1,0)-1))</f>
        <v>BULL-1-M-E</v>
      </c>
      <c r="Q102" s="161" t="str">
        <f ca="1">IF(raw_exchange_data!$A101="","",TEXT(OFFSET(raw_exchange_data!$A101,0,MATCH(Q$2,raw_exchange_data!$1:$1,0)-1),""))</f>
        <v/>
      </c>
      <c r="R102" s="162">
        <f ca="1">IF(raw_exchange_data!$A101="","",OFFSET(raw_exchange_data!$A101,0,MATCH(R$2,raw_exchange_data!$1:$1,0)-1))</f>
        <v>1937.0666312200001</v>
      </c>
      <c r="S102" s="190">
        <f ca="1">IF(raw_exchange_data!$A101="","",OFFSET(raw_exchange_data!$A101,0,MATCH(S$2,raw_exchange_data!$1:$1,0)-1))</f>
        <v>44937.670026145832</v>
      </c>
      <c r="T102" s="161">
        <v>1</v>
      </c>
      <c r="W102" t="str">
        <f t="shared" si="6"/>
        <v>DEFI</v>
      </c>
      <c r="X102" t="str">
        <f t="shared" si="7"/>
        <v>OWAVAXUSDC.E/WAVAX-06JAN23-12.25C</v>
      </c>
      <c r="Y102" s="42">
        <f t="shared" si="8"/>
        <v>19597.425537219999</v>
      </c>
      <c r="Z102" s="42">
        <f t="shared" ca="1" si="9"/>
        <v>0</v>
      </c>
      <c r="AB102" s="3" t="s">
        <v>153</v>
      </c>
      <c r="AC102" s="32">
        <v>2.6598900000000002E-2</v>
      </c>
      <c r="AD102" s="32">
        <v>2.6598900000000002E-2</v>
      </c>
    </row>
    <row r="103" spans="1:30" x14ac:dyDescent="0.25">
      <c r="A103" t="str">
        <f>IF(Summary_Exchange_Balances_00UTC!$B102="","",Summary_Exchange_Balances_00UTC!$N102)</f>
        <v>DEFI</v>
      </c>
      <c r="B103" t="str">
        <f>IF(Summary_Exchange_Balances_00UTC!$B102="","",Summary_Exchange_Balances_00UTC!$B102)</f>
        <v>DEFI-STRAT-2</v>
      </c>
      <c r="C103" t="str">
        <f>IF(Summary_Exchange_Balances_00UTC!$B102="","",Summary_Exchange_Balances_00UTC!$E102)</f>
        <v>OWAVAXUSDC.E/WAVAX-09DEC22-15.5C</v>
      </c>
      <c r="D103" t="str">
        <f>IF(OR(Summary_Exchange_Balances_00UTC!$B102="",Summary_Exchange_Balances_00UTC!$D102=""),"",Summary_Exchange_Balances_00UTC!$D102)</f>
        <v>wallet</v>
      </c>
      <c r="E103" s="52">
        <f>IF(Summary_Exchange_Balances_00UTC!$B102="","",Summary_Exchange_Balances_00UTC!$C102)</f>
        <v>29214.150499390002</v>
      </c>
      <c r="G103" s="52" t="e">
        <f ca="1">IF(Summary_Exchange_Balances_00UTC!$B102="","",VLOOKUP(IF(ISERROR(SEARCH(" ", $B103)),UPPER($B103&amp;$C103&amp;IF(OR(NOT(ISERROR(SEARCH("trade",$D103))),NOT(ISERROR(SEARCH("balance",$D103)))),"",$D103)),UPPER(LEFT($B103, SEARCH(" ",$B103)-1)&amp;$C103&amp;IF(OR(NOT(ISERROR(SEARCH("trade",$D103))),NOT(ISERROR(SEARCH("balance",$D103)))),"",$D103))),$L:$T,MATCH("balance",$L$2:$S$2,0),FALSE))</f>
        <v>#N/A</v>
      </c>
      <c r="H103" s="35" t="e">
        <f ca="1">IF(Summary_Exchange_Balances_00UTC!$B102="","",(G103-E103)/E103)</f>
        <v>#N/A</v>
      </c>
      <c r="I103" s="165">
        <f ca="1">IF(Summary_Exchange_Balances_00UTC!$B102="","",IF(ISERROR($G103),$E103,$G103))</f>
        <v>29214.150499390002</v>
      </c>
      <c r="K103" t="str">
        <f t="shared" ca="1" si="5"/>
        <v>BULLUSD</v>
      </c>
      <c r="L103" t="str">
        <f ca="1">UPPER($P103&amp;$N103&amp;Q103)</f>
        <v>BULL-1-M-EUSD</v>
      </c>
      <c r="N103" s="161" t="str">
        <f ca="1">IF(raw_exchange_data!$A102="","",OFFSET(raw_exchange_data!$A102,0,MATCH(N$2,raw_exchange_data!$1:$1,0)-1))</f>
        <v>USD</v>
      </c>
      <c r="O103" s="161" t="str">
        <f ca="1">IF(raw_exchange_data!$A102="","",OFFSET(raw_exchange_data!$A102,0,MATCH(O$2,raw_exchange_data!$1:$1,0)-1))</f>
        <v>BULL</v>
      </c>
      <c r="P103" s="161" t="str">
        <f ca="1">IF(raw_exchange_data!$A102="","",OFFSET(raw_exchange_data!$A102,0,MATCH(P$2,raw_exchange_data!$1:$1,0)-1))</f>
        <v>BULL-1-M-E</v>
      </c>
      <c r="Q103" s="161" t="str">
        <f ca="1">IF(raw_exchange_data!$A102="","",TEXT(OFFSET(raw_exchange_data!$A102,0,MATCH(Q$2,raw_exchange_data!$1:$1,0)-1),""))</f>
        <v/>
      </c>
      <c r="R103" s="162">
        <f ca="1">IF(raw_exchange_data!$A102="","",OFFSET(raw_exchange_data!$A102,0,MATCH(R$2,raw_exchange_data!$1:$1,0)-1))</f>
        <v>44987283.694799997</v>
      </c>
      <c r="S103" s="190">
        <f ca="1">IF(raw_exchange_data!$A102="","",OFFSET(raw_exchange_data!$A102,0,MATCH(S$2,raw_exchange_data!$1:$1,0)-1))</f>
        <v>44937.670026145832</v>
      </c>
      <c r="T103" s="161">
        <v>1</v>
      </c>
      <c r="W103" t="str">
        <f t="shared" si="6"/>
        <v>DEFI</v>
      </c>
      <c r="X103" t="str">
        <f t="shared" si="7"/>
        <v>OWAVAXUSDC.E/WAVAX-09DEC22-15.5C</v>
      </c>
      <c r="Y103" s="42">
        <f t="shared" si="8"/>
        <v>29214.150499390002</v>
      </c>
      <c r="Z103" s="42">
        <f t="shared" ca="1" si="9"/>
        <v>0</v>
      </c>
      <c r="AB103" s="3" t="s">
        <v>291</v>
      </c>
      <c r="AC103" s="32">
        <v>9.5929999999999998E-5</v>
      </c>
      <c r="AD103" s="32">
        <v>0</v>
      </c>
    </row>
    <row r="104" spans="1:30" x14ac:dyDescent="0.25">
      <c r="A104" t="str">
        <f>IF(Summary_Exchange_Balances_00UTC!$B103="","",Summary_Exchange_Balances_00UTC!$N103)</f>
        <v>DEFI</v>
      </c>
      <c r="B104" t="str">
        <f>IF(Summary_Exchange_Balances_00UTC!$B103="","",Summary_Exchange_Balances_00UTC!$B103)</f>
        <v>DEFI-STRAT-2</v>
      </c>
      <c r="C104" t="str">
        <f>IF(Summary_Exchange_Balances_00UTC!$B103="","",Summary_Exchange_Balances_00UTC!$E103)</f>
        <v>OWAVAXUSDC.E/WAVAX-16DEC22-15.25C</v>
      </c>
      <c r="D104" t="str">
        <f>IF(OR(Summary_Exchange_Balances_00UTC!$B103="",Summary_Exchange_Balances_00UTC!$D103=""),"",Summary_Exchange_Balances_00UTC!$D103)</f>
        <v>wallet</v>
      </c>
      <c r="E104" s="52">
        <f>IF(Summary_Exchange_Balances_00UTC!$B103="","",Summary_Exchange_Balances_00UTC!$C103)</f>
        <v>20213.414599259999</v>
      </c>
      <c r="G104" s="52" t="e">
        <f ca="1">IF(Summary_Exchange_Balances_00UTC!$B103="","",VLOOKUP(IF(ISERROR(SEARCH(" ", $B104)),UPPER($B104&amp;$C104&amp;IF(OR(NOT(ISERROR(SEARCH("trade",$D104))),NOT(ISERROR(SEARCH("balance",$D104)))),"",$D104)),UPPER(LEFT($B104, SEARCH(" ",$B104)-1)&amp;$C104&amp;IF(OR(NOT(ISERROR(SEARCH("trade",$D104))),NOT(ISERROR(SEARCH("balance",$D104)))),"",$D104))),$L:$T,MATCH("balance",$L$2:$S$2,0),FALSE))</f>
        <v>#N/A</v>
      </c>
      <c r="H104" s="35" t="e">
        <f ca="1">IF(Summary_Exchange_Balances_00UTC!$B103="","",(G104-E104)/E104)</f>
        <v>#N/A</v>
      </c>
      <c r="I104" s="165">
        <f ca="1">IF(Summary_Exchange_Balances_00UTC!$B103="","",IF(ISERROR($G104),$E104,$G104))</f>
        <v>20213.414599259999</v>
      </c>
      <c r="K104" t="str">
        <f t="shared" ca="1" si="5"/>
        <v>BULLEOS</v>
      </c>
      <c r="L104" t="str">
        <f ca="1">UPPER($P104&amp;$N104&amp;Q104)</f>
        <v>BULL-2-M-EEOS</v>
      </c>
      <c r="N104" s="161" t="str">
        <f ca="1">IF(raw_exchange_data!$A103="","",OFFSET(raw_exchange_data!$A103,0,MATCH(N$2,raw_exchange_data!$1:$1,0)-1))</f>
        <v>EOS</v>
      </c>
      <c r="O104" s="161" t="str">
        <f ca="1">IF(raw_exchange_data!$A103="","",OFFSET(raw_exchange_data!$A103,0,MATCH(O$2,raw_exchange_data!$1:$1,0)-1))</f>
        <v>BULL</v>
      </c>
      <c r="P104" s="161" t="str">
        <f ca="1">IF(raw_exchange_data!$A103="","",OFFSET(raw_exchange_data!$A103,0,MATCH(P$2,raw_exchange_data!$1:$1,0)-1))</f>
        <v>BULL-2-M-E</v>
      </c>
      <c r="Q104" s="161" t="str">
        <f ca="1">IF(raw_exchange_data!$A103="","",TEXT(OFFSET(raw_exchange_data!$A103,0,MATCH(Q$2,raw_exchange_data!$1:$1,0)-1),""))</f>
        <v/>
      </c>
      <c r="R104" s="162">
        <f ca="1">IF(raw_exchange_data!$A103="","",OFFSET(raw_exchange_data!$A103,0,MATCH(R$2,raw_exchange_data!$1:$1,0)-1))</f>
        <v>4853393.7273000004</v>
      </c>
      <c r="S104" s="190">
        <f ca="1">IF(raw_exchange_data!$A103="","",OFFSET(raw_exchange_data!$A103,0,MATCH(S$2,raw_exchange_data!$1:$1,0)-1))</f>
        <v>44937.668008877314</v>
      </c>
      <c r="T104" s="161">
        <v>1</v>
      </c>
      <c r="W104" t="str">
        <f t="shared" si="6"/>
        <v>DEFI</v>
      </c>
      <c r="X104" t="str">
        <f t="shared" si="7"/>
        <v>OWAVAXUSDC.E/WAVAX-16DEC22-15.25C</v>
      </c>
      <c r="Y104" s="42">
        <f t="shared" si="8"/>
        <v>20213.414599259999</v>
      </c>
      <c r="Z104" s="42">
        <f t="shared" ca="1" si="9"/>
        <v>0</v>
      </c>
      <c r="AB104" s="3" t="s">
        <v>98</v>
      </c>
      <c r="AC104" s="32">
        <v>1236499.8774543798</v>
      </c>
      <c r="AD104" s="32">
        <v>1236499.8774543798</v>
      </c>
    </row>
    <row r="105" spans="1:30" x14ac:dyDescent="0.25">
      <c r="A105" t="str">
        <f>IF(Summary_Exchange_Balances_00UTC!$B104="","",Summary_Exchange_Balances_00UTC!$N104)</f>
        <v>DEFI</v>
      </c>
      <c r="B105" t="str">
        <f>IF(Summary_Exchange_Balances_00UTC!$B104="","",Summary_Exchange_Balances_00UTC!$B104)</f>
        <v>DEFI-STRAT-2</v>
      </c>
      <c r="C105" t="str">
        <f>IF(Summary_Exchange_Balances_00UTC!$B104="","",Summary_Exchange_Balances_00UTC!$E104)</f>
        <v>OWAVAXUSDC.E/WAVAX-25NOV22-15.5C</v>
      </c>
      <c r="D105" t="str">
        <f>IF(OR(Summary_Exchange_Balances_00UTC!$B104="",Summary_Exchange_Balances_00UTC!$D104=""),"",Summary_Exchange_Balances_00UTC!$D104)</f>
        <v>wallet</v>
      </c>
      <c r="E105" s="52">
        <f>IF(Summary_Exchange_Balances_00UTC!$B104="","",Summary_Exchange_Balances_00UTC!$C104)</f>
        <v>31925.004081070001</v>
      </c>
      <c r="G105" s="52" t="e">
        <f ca="1">IF(Summary_Exchange_Balances_00UTC!$B104="","",VLOOKUP(IF(ISERROR(SEARCH(" ", $B105)),UPPER($B105&amp;$C105&amp;IF(OR(NOT(ISERROR(SEARCH("trade",$D105))),NOT(ISERROR(SEARCH("balance",$D105)))),"",$D105)),UPPER(LEFT($B105, SEARCH(" ",$B105)-1)&amp;$C105&amp;IF(OR(NOT(ISERROR(SEARCH("trade",$D105))),NOT(ISERROR(SEARCH("balance",$D105)))),"",$D105))),$L:$T,MATCH("balance",$L$2:$S$2,0),FALSE))</f>
        <v>#N/A</v>
      </c>
      <c r="H105" s="35" t="e">
        <f ca="1">IF(Summary_Exchange_Balances_00UTC!$B104="","",(G105-E105)/E105)</f>
        <v>#N/A</v>
      </c>
      <c r="I105" s="165">
        <f ca="1">IF(Summary_Exchange_Balances_00UTC!$B104="","",IF(ISERROR($G105),$E105,$G105))</f>
        <v>31925.004081070001</v>
      </c>
      <c r="K105" t="str">
        <f t="shared" ca="1" si="5"/>
        <v>BULLLINK</v>
      </c>
      <c r="L105" t="str">
        <f ca="1">UPPER($P105&amp;$N105&amp;Q105)</f>
        <v>BULL-2-M-ELINK</v>
      </c>
      <c r="N105" s="161" t="str">
        <f ca="1">IF(raw_exchange_data!$A104="","",OFFSET(raw_exchange_data!$A104,0,MATCH(N$2,raw_exchange_data!$1:$1,0)-1))</f>
        <v>LINK</v>
      </c>
      <c r="O105" s="161" t="str">
        <f ca="1">IF(raw_exchange_data!$A104="","",OFFSET(raw_exchange_data!$A104,0,MATCH(O$2,raw_exchange_data!$1:$1,0)-1))</f>
        <v>BULL</v>
      </c>
      <c r="P105" s="161" t="str">
        <f ca="1">IF(raw_exchange_data!$A104="","",OFFSET(raw_exchange_data!$A104,0,MATCH(P$2,raw_exchange_data!$1:$1,0)-1))</f>
        <v>BULL-2-M-E</v>
      </c>
      <c r="Q105" s="161" t="str">
        <f ca="1">IF(raw_exchange_data!$A104="","",TEXT(OFFSET(raw_exchange_data!$A104,0,MATCH(Q$2,raw_exchange_data!$1:$1,0)-1),""))</f>
        <v/>
      </c>
      <c r="R105" s="162">
        <f ca="1">IF(raw_exchange_data!$A104="","",OFFSET(raw_exchange_data!$A104,0,MATCH(R$2,raw_exchange_data!$1:$1,0)-1))</f>
        <v>93678.473197590007</v>
      </c>
      <c r="S105" s="190">
        <f ca="1">IF(raw_exchange_data!$A104="","",OFFSET(raw_exchange_data!$A104,0,MATCH(S$2,raw_exchange_data!$1:$1,0)-1))</f>
        <v>44937.668008877314</v>
      </c>
      <c r="T105" s="161">
        <v>1</v>
      </c>
      <c r="W105" t="str">
        <f t="shared" si="6"/>
        <v>DEFI</v>
      </c>
      <c r="X105" t="str">
        <f t="shared" si="7"/>
        <v>OWAVAXUSDC.E/WAVAX-25NOV22-15.5C</v>
      </c>
      <c r="Y105" s="42">
        <f t="shared" si="8"/>
        <v>31925.004081070001</v>
      </c>
      <c r="Z105" s="42">
        <f t="shared" ca="1" si="9"/>
        <v>0</v>
      </c>
      <c r="AB105" s="3" t="s">
        <v>181</v>
      </c>
      <c r="AC105" s="32">
        <v>3449324.2188823698</v>
      </c>
      <c r="AD105" s="32">
        <v>0</v>
      </c>
    </row>
    <row r="106" spans="1:30" x14ac:dyDescent="0.25">
      <c r="A106" t="str">
        <f>IF(Summary_Exchange_Balances_00UTC!$B105="","",Summary_Exchange_Balances_00UTC!$N105)</f>
        <v>DEFI</v>
      </c>
      <c r="B106" t="str">
        <f>IF(Summary_Exchange_Balances_00UTC!$B105="","",Summary_Exchange_Balances_00UTC!$B105)</f>
        <v>DEFI-STRAT-2</v>
      </c>
      <c r="C106" t="str">
        <f>IF(Summary_Exchange_Balances_00UTC!$B105="","",Summary_Exchange_Balances_00UTC!$E105)</f>
        <v>OWAVAXUSDC.E/WAVAX-30DEC22-13.25C</v>
      </c>
      <c r="D106" t="str">
        <f>IF(OR(Summary_Exchange_Balances_00UTC!$B105="",Summary_Exchange_Balances_00UTC!$D105=""),"",Summary_Exchange_Balances_00UTC!$D105)</f>
        <v>wallet</v>
      </c>
      <c r="E106" s="52">
        <f>IF(Summary_Exchange_Balances_00UTC!$B105="","",Summary_Exchange_Balances_00UTC!$C105)</f>
        <v>17599.94336709</v>
      </c>
      <c r="G106" s="52" t="e">
        <f ca="1">IF(Summary_Exchange_Balances_00UTC!$B105="","",VLOOKUP(IF(ISERROR(SEARCH(" ", $B106)),UPPER($B106&amp;$C106&amp;IF(OR(NOT(ISERROR(SEARCH("trade",$D106))),NOT(ISERROR(SEARCH("balance",$D106)))),"",$D106)),UPPER(LEFT($B106, SEARCH(" ",$B106)-1)&amp;$C106&amp;IF(OR(NOT(ISERROR(SEARCH("trade",$D106))),NOT(ISERROR(SEARCH("balance",$D106)))),"",$D106))),$L:$T,MATCH("balance",$L$2:$S$2,0),FALSE))</f>
        <v>#N/A</v>
      </c>
      <c r="H106" s="35" t="e">
        <f ca="1">IF(Summary_Exchange_Balances_00UTC!$B105="","",(G106-E106)/E106)</f>
        <v>#N/A</v>
      </c>
      <c r="I106" s="165">
        <f ca="1">IF(Summary_Exchange_Balances_00UTC!$B105="","",IF(ISERROR($G106),$E106,$G106))</f>
        <v>17599.94336709</v>
      </c>
      <c r="K106" t="str">
        <f t="shared" ca="1" si="5"/>
        <v>BULLLTC</v>
      </c>
      <c r="L106" t="str">
        <f ca="1">UPPER($P106&amp;$N106&amp;Q106)</f>
        <v>BULL-2-M-ELTC</v>
      </c>
      <c r="N106" s="161" t="str">
        <f ca="1">IF(raw_exchange_data!$A105="","",OFFSET(raw_exchange_data!$A105,0,MATCH(N$2,raw_exchange_data!$1:$1,0)-1))</f>
        <v>LTC</v>
      </c>
      <c r="O106" s="161" t="str">
        <f ca="1">IF(raw_exchange_data!$A105="","",OFFSET(raw_exchange_data!$A105,0,MATCH(O$2,raw_exchange_data!$1:$1,0)-1))</f>
        <v>BULL</v>
      </c>
      <c r="P106" s="161" t="str">
        <f ca="1">IF(raw_exchange_data!$A105="","",OFFSET(raw_exchange_data!$A105,0,MATCH(P$2,raw_exchange_data!$1:$1,0)-1))</f>
        <v>BULL-2-M-E</v>
      </c>
      <c r="Q106" s="161" t="str">
        <f ca="1">IF(raw_exchange_data!$A105="","",TEXT(OFFSET(raw_exchange_data!$A105,0,MATCH(Q$2,raw_exchange_data!$1:$1,0)-1),""))</f>
        <v/>
      </c>
      <c r="R106" s="162">
        <f ca="1">IF(raw_exchange_data!$A105="","",OFFSET(raw_exchange_data!$A105,0,MATCH(R$2,raw_exchange_data!$1:$1,0)-1))</f>
        <v>7396.5581823000002</v>
      </c>
      <c r="S106" s="190">
        <f ca="1">IF(raw_exchange_data!$A105="","",OFFSET(raw_exchange_data!$A105,0,MATCH(S$2,raw_exchange_data!$1:$1,0)-1))</f>
        <v>44937.668008877314</v>
      </c>
      <c r="T106" s="161">
        <v>1</v>
      </c>
      <c r="W106" t="str">
        <f t="shared" si="6"/>
        <v>DEFI</v>
      </c>
      <c r="X106" t="str">
        <f t="shared" si="7"/>
        <v>OWAVAXUSDC.E/WAVAX-30DEC22-13.25C</v>
      </c>
      <c r="Y106" s="42">
        <f t="shared" si="8"/>
        <v>17599.94336709</v>
      </c>
      <c r="Z106" s="42">
        <f t="shared" ca="1" si="9"/>
        <v>0</v>
      </c>
      <c r="AB106" s="3" t="s">
        <v>37</v>
      </c>
      <c r="AC106" s="32">
        <v>175869692131.33514</v>
      </c>
      <c r="AD106" s="32">
        <v>-12577912623.509945</v>
      </c>
    </row>
    <row r="107" spans="1:30" x14ac:dyDescent="0.25">
      <c r="A107" t="str">
        <f>IF(Summary_Exchange_Balances_00UTC!$B106="","",Summary_Exchange_Balances_00UTC!$N106)</f>
        <v>DEFI</v>
      </c>
      <c r="B107" t="str">
        <f>IF(Summary_Exchange_Balances_00UTC!$B106="","",Summary_Exchange_Balances_00UTC!$B106)</f>
        <v>DEFI-STRAT-2</v>
      </c>
      <c r="C107" t="str">
        <f>IF(Summary_Exchange_Balances_00UTC!$B106="","",Summary_Exchange_Balances_00UTC!$E106)</f>
        <v>OWETHUSDC/WETH-06JAN23-1300C</v>
      </c>
      <c r="D107" t="str">
        <f>IF(OR(Summary_Exchange_Balances_00UTC!$B106="",Summary_Exchange_Balances_00UTC!$D106=""),"",Summary_Exchange_Balances_00UTC!$D106)</f>
        <v>wallet</v>
      </c>
      <c r="E107" s="52">
        <f>IF(Summary_Exchange_Balances_00UTC!$B106="","",Summary_Exchange_Balances_00UTC!$C106)</f>
        <v>3032</v>
      </c>
      <c r="G107" s="52" t="e">
        <f ca="1">IF(Summary_Exchange_Balances_00UTC!$B106="","",VLOOKUP(IF(ISERROR(SEARCH(" ", $B107)),UPPER($B107&amp;$C107&amp;IF(OR(NOT(ISERROR(SEARCH("trade",$D107))),NOT(ISERROR(SEARCH("balance",$D107)))),"",$D107)),UPPER(LEFT($B107, SEARCH(" ",$B107)-1)&amp;$C107&amp;IF(OR(NOT(ISERROR(SEARCH("trade",$D107))),NOT(ISERROR(SEARCH("balance",$D107)))),"",$D107))),$L:$T,MATCH("balance",$L$2:$S$2,0),FALSE))</f>
        <v>#N/A</v>
      </c>
      <c r="H107" s="35" t="e">
        <f ca="1">IF(Summary_Exchange_Balances_00UTC!$B106="","",(G107-E107)/E107)</f>
        <v>#N/A</v>
      </c>
      <c r="I107" s="165">
        <f ca="1">IF(Summary_Exchange_Balances_00UTC!$B106="","",IF(ISERROR($G107),$E107,$G107))</f>
        <v>3032</v>
      </c>
      <c r="K107" t="str">
        <f t="shared" ca="1" si="5"/>
        <v>BULLUSD</v>
      </c>
      <c r="L107" t="str">
        <f ca="1">UPPER($P107&amp;$N107&amp;Q107)</f>
        <v>BULL-2-M-EUSD</v>
      </c>
      <c r="N107" s="161" t="str">
        <f ca="1">IF(raw_exchange_data!$A106="","",OFFSET(raw_exchange_data!$A106,0,MATCH(N$2,raw_exchange_data!$1:$1,0)-1))</f>
        <v>USD</v>
      </c>
      <c r="O107" s="161" t="str">
        <f ca="1">IF(raw_exchange_data!$A106="","",OFFSET(raw_exchange_data!$A106,0,MATCH(O$2,raw_exchange_data!$1:$1,0)-1))</f>
        <v>BULL</v>
      </c>
      <c r="P107" s="161" t="str">
        <f ca="1">IF(raw_exchange_data!$A106="","",OFFSET(raw_exchange_data!$A106,0,MATCH(P$2,raw_exchange_data!$1:$1,0)-1))</f>
        <v>BULL-2-M-E</v>
      </c>
      <c r="Q107" s="161" t="str">
        <f ca="1">IF(raw_exchange_data!$A106="","",TEXT(OFFSET(raw_exchange_data!$A106,0,MATCH(Q$2,raw_exchange_data!$1:$1,0)-1),""))</f>
        <v/>
      </c>
      <c r="R107" s="162">
        <f ca="1">IF(raw_exchange_data!$A106="","",OFFSET(raw_exchange_data!$A106,0,MATCH(R$2,raw_exchange_data!$1:$1,0)-1))</f>
        <v>2898807.0008</v>
      </c>
      <c r="S107" s="190">
        <f ca="1">IF(raw_exchange_data!$A106="","",OFFSET(raw_exchange_data!$A106,0,MATCH(S$2,raw_exchange_data!$1:$1,0)-1))</f>
        <v>44937.668008877314</v>
      </c>
      <c r="T107" s="161">
        <v>1</v>
      </c>
      <c r="W107" t="str">
        <f t="shared" si="6"/>
        <v>DEFI</v>
      </c>
      <c r="X107" t="str">
        <f t="shared" si="7"/>
        <v>OWETHUSDC/WETH-06JAN23-1300C</v>
      </c>
      <c r="Y107" s="42">
        <f t="shared" si="8"/>
        <v>3032</v>
      </c>
      <c r="Z107" s="42">
        <f t="shared" ca="1" si="9"/>
        <v>0</v>
      </c>
      <c r="AB107" s="3" t="s">
        <v>154</v>
      </c>
      <c r="AC107" s="32">
        <v>44.353855520001161</v>
      </c>
      <c r="AD107" s="32">
        <v>-3075.8542517000005</v>
      </c>
    </row>
    <row r="108" spans="1:30" x14ac:dyDescent="0.25">
      <c r="A108" t="str">
        <f>IF(Summary_Exchange_Balances_00UTC!$B107="","",Summary_Exchange_Balances_00UTC!$N107)</f>
        <v>DEFI</v>
      </c>
      <c r="B108" t="str">
        <f>IF(Summary_Exchange_Balances_00UTC!$B107="","",Summary_Exchange_Balances_00UTC!$B107)</f>
        <v>DEFI-STRAT-2</v>
      </c>
      <c r="C108" t="str">
        <f>IF(Summary_Exchange_Balances_00UTC!$B107="","",Summary_Exchange_Balances_00UTC!$E107)</f>
        <v>OWETHUSDC/WETH-09DEC22-1450C</v>
      </c>
      <c r="D108" t="str">
        <f>IF(OR(Summary_Exchange_Balances_00UTC!$B107="",Summary_Exchange_Balances_00UTC!$D107=""),"",Summary_Exchange_Balances_00UTC!$D107)</f>
        <v>wallet</v>
      </c>
      <c r="E108" s="52">
        <f>IF(Summary_Exchange_Balances_00UTC!$B107="","",Summary_Exchange_Balances_00UTC!$C107)</f>
        <v>2698</v>
      </c>
      <c r="G108" s="52" t="e">
        <f ca="1">IF(Summary_Exchange_Balances_00UTC!$B107="","",VLOOKUP(IF(ISERROR(SEARCH(" ", $B108)),UPPER($B108&amp;$C108&amp;IF(OR(NOT(ISERROR(SEARCH("trade",$D108))),NOT(ISERROR(SEARCH("balance",$D108)))),"",$D108)),UPPER(LEFT($B108, SEARCH(" ",$B108)-1)&amp;$C108&amp;IF(OR(NOT(ISERROR(SEARCH("trade",$D108))),NOT(ISERROR(SEARCH("balance",$D108)))),"",$D108))),$L:$T,MATCH("balance",$L$2:$S$2,0),FALSE))</f>
        <v>#N/A</v>
      </c>
      <c r="H108" s="35" t="e">
        <f ca="1">IF(Summary_Exchange_Balances_00UTC!$B107="","",(G108-E108)/E108)</f>
        <v>#N/A</v>
      </c>
      <c r="I108" s="165">
        <f ca="1">IF(Summary_Exchange_Balances_00UTC!$B107="","",IF(ISERROR($G108),$E108,$G108))</f>
        <v>2698</v>
      </c>
      <c r="K108" t="str">
        <f t="shared" ca="1" si="5"/>
        <v>BULLETH</v>
      </c>
      <c r="L108" t="str">
        <f ca="1">UPPER($P108&amp;$N108&amp;Q108)</f>
        <v>BULL-3-M-EETH</v>
      </c>
      <c r="N108" s="161" t="str">
        <f ca="1">IF(raw_exchange_data!$A107="","",OFFSET(raw_exchange_data!$A107,0,MATCH(N$2,raw_exchange_data!$1:$1,0)-1))</f>
        <v>ETH</v>
      </c>
      <c r="O108" s="161" t="str">
        <f ca="1">IF(raw_exchange_data!$A107="","",OFFSET(raw_exchange_data!$A107,0,MATCH(O$2,raw_exchange_data!$1:$1,0)-1))</f>
        <v>BULL</v>
      </c>
      <c r="P108" s="161" t="str">
        <f ca="1">IF(raw_exchange_data!$A107="","",OFFSET(raw_exchange_data!$A107,0,MATCH(P$2,raw_exchange_data!$1:$1,0)-1))</f>
        <v>BULL-3-M-E</v>
      </c>
      <c r="Q108" s="161" t="str">
        <f ca="1">IF(raw_exchange_data!$A107="","",TEXT(OFFSET(raw_exchange_data!$A107,0,MATCH(Q$2,raw_exchange_data!$1:$1,0)-1),""))</f>
        <v/>
      </c>
      <c r="R108" s="162">
        <f ca="1">IF(raw_exchange_data!$A107="","",OFFSET(raw_exchange_data!$A107,0,MATCH(R$2,raw_exchange_data!$1:$1,0)-1))</f>
        <v>8919.0013669199998</v>
      </c>
      <c r="S108" s="190">
        <f ca="1">IF(raw_exchange_data!$A107="","",OFFSET(raw_exchange_data!$A107,0,MATCH(S$2,raw_exchange_data!$1:$1,0)-1))</f>
        <v>44937.668036134259</v>
      </c>
      <c r="T108" s="161">
        <v>1</v>
      </c>
      <c r="W108" t="str">
        <f t="shared" si="6"/>
        <v>DEFI</v>
      </c>
      <c r="X108" t="str">
        <f t="shared" si="7"/>
        <v>OWETHUSDC/WETH-09DEC22-1450C</v>
      </c>
      <c r="Y108" s="42">
        <f t="shared" si="8"/>
        <v>2698</v>
      </c>
      <c r="Z108" s="42">
        <f t="shared" ca="1" si="9"/>
        <v>0</v>
      </c>
      <c r="AB108" s="3" t="s">
        <v>155</v>
      </c>
      <c r="AC108" s="32">
        <v>38753.774400000002</v>
      </c>
      <c r="AD108" s="32">
        <v>38753.774400000002</v>
      </c>
    </row>
    <row r="109" spans="1:30" x14ac:dyDescent="0.25">
      <c r="A109" t="str">
        <f>IF(Summary_Exchange_Balances_00UTC!$B108="","",Summary_Exchange_Balances_00UTC!$N108)</f>
        <v>DEFI</v>
      </c>
      <c r="B109" t="str">
        <f>IF(Summary_Exchange_Balances_00UTC!$B108="","",Summary_Exchange_Balances_00UTC!$B108)</f>
        <v>DEFI-STRAT-2</v>
      </c>
      <c r="C109" t="str">
        <f>IF(Summary_Exchange_Balances_00UTC!$B108="","",Summary_Exchange_Balances_00UTC!$E108)</f>
        <v>OWETHUSDC/WETH-16DEC22-1450C</v>
      </c>
      <c r="D109" t="str">
        <f>IF(OR(Summary_Exchange_Balances_00UTC!$B108="",Summary_Exchange_Balances_00UTC!$D108=""),"",Summary_Exchange_Balances_00UTC!$D108)</f>
        <v>wallet</v>
      </c>
      <c r="E109" s="52">
        <f>IF(Summary_Exchange_Balances_00UTC!$B108="","",Summary_Exchange_Balances_00UTC!$C108)</f>
        <v>2891</v>
      </c>
      <c r="G109" s="52" t="e">
        <f ca="1">IF(Summary_Exchange_Balances_00UTC!$B108="","",VLOOKUP(IF(ISERROR(SEARCH(" ", $B109)),UPPER($B109&amp;$C109&amp;IF(OR(NOT(ISERROR(SEARCH("trade",$D109))),NOT(ISERROR(SEARCH("balance",$D109)))),"",$D109)),UPPER(LEFT($B109, SEARCH(" ",$B109)-1)&amp;$C109&amp;IF(OR(NOT(ISERROR(SEARCH("trade",$D109))),NOT(ISERROR(SEARCH("balance",$D109)))),"",$D109))),$L:$T,MATCH("balance",$L$2:$S$2,0),FALSE))</f>
        <v>#N/A</v>
      </c>
      <c r="H109" s="35" t="e">
        <f ca="1">IF(Summary_Exchange_Balances_00UTC!$B108="","",(G109-E109)/E109)</f>
        <v>#N/A</v>
      </c>
      <c r="I109" s="165">
        <f ca="1">IF(Summary_Exchange_Balances_00UTC!$B108="","",IF(ISERROR($G109),$E109,$G109))</f>
        <v>2891</v>
      </c>
      <c r="K109" t="str">
        <f t="shared" ca="1" si="5"/>
        <v>BULLUSD</v>
      </c>
      <c r="L109" t="str">
        <f ca="1">UPPER($P109&amp;$N109&amp;Q109)</f>
        <v>BULL-3-M-EUSD</v>
      </c>
      <c r="N109" s="161" t="str">
        <f ca="1">IF(raw_exchange_data!$A108="","",OFFSET(raw_exchange_data!$A108,0,MATCH(N$2,raw_exchange_data!$1:$1,0)-1))</f>
        <v>USD</v>
      </c>
      <c r="O109" s="161" t="str">
        <f ca="1">IF(raw_exchange_data!$A108="","",OFFSET(raw_exchange_data!$A108,0,MATCH(O$2,raw_exchange_data!$1:$1,0)-1))</f>
        <v>BULL</v>
      </c>
      <c r="P109" s="161" t="str">
        <f ca="1">IF(raw_exchange_data!$A108="","",OFFSET(raw_exchange_data!$A108,0,MATCH(P$2,raw_exchange_data!$1:$1,0)-1))</f>
        <v>BULL-3-M-E</v>
      </c>
      <c r="Q109" s="161" t="str">
        <f ca="1">IF(raw_exchange_data!$A108="","",TEXT(OFFSET(raw_exchange_data!$A108,0,MATCH(Q$2,raw_exchange_data!$1:$1,0)-1),""))</f>
        <v/>
      </c>
      <c r="R109" s="162">
        <f ca="1">IF(raw_exchange_data!$A108="","",OFFSET(raw_exchange_data!$A108,0,MATCH(R$2,raw_exchange_data!$1:$1,0)-1))</f>
        <v>17566435.357999999</v>
      </c>
      <c r="S109" s="190">
        <f ca="1">IF(raw_exchange_data!$A108="","",OFFSET(raw_exchange_data!$A108,0,MATCH(S$2,raw_exchange_data!$1:$1,0)-1))</f>
        <v>44937.668036134259</v>
      </c>
      <c r="T109" s="161">
        <v>1</v>
      </c>
      <c r="W109" t="str">
        <f t="shared" si="6"/>
        <v>DEFI</v>
      </c>
      <c r="X109" t="str">
        <f t="shared" si="7"/>
        <v>OWETHUSDC/WETH-16DEC22-1450C</v>
      </c>
      <c r="Y109" s="42">
        <f t="shared" si="8"/>
        <v>2891</v>
      </c>
      <c r="Z109" s="42">
        <f t="shared" ca="1" si="9"/>
        <v>0</v>
      </c>
      <c r="AB109" s="3" t="s">
        <v>156</v>
      </c>
      <c r="AC109" s="32">
        <v>29.76350429</v>
      </c>
      <c r="AD109" s="32">
        <v>29.76350429</v>
      </c>
    </row>
    <row r="110" spans="1:30" x14ac:dyDescent="0.25">
      <c r="A110" t="str">
        <f>IF(Summary_Exchange_Balances_00UTC!$B109="","",Summary_Exchange_Balances_00UTC!$N109)</f>
        <v>DEFI</v>
      </c>
      <c r="B110" t="str">
        <f>IF(Summary_Exchange_Balances_00UTC!$B109="","",Summary_Exchange_Balances_00UTC!$B109)</f>
        <v>DEFI-STRAT-2</v>
      </c>
      <c r="C110" t="str">
        <f>IF(Summary_Exchange_Balances_00UTC!$B109="","",Summary_Exchange_Balances_00UTC!$E109)</f>
        <v>OWETHUSDC/WETH-25NOV22-1400C</v>
      </c>
      <c r="D110" t="str">
        <f>IF(OR(Summary_Exchange_Balances_00UTC!$B109="",Summary_Exchange_Balances_00UTC!$D109=""),"",Summary_Exchange_Balances_00UTC!$D109)</f>
        <v>wallet</v>
      </c>
      <c r="E110" s="52">
        <f>IF(Summary_Exchange_Balances_00UTC!$B109="","",Summary_Exchange_Balances_00UTC!$C109)</f>
        <v>2904</v>
      </c>
      <c r="G110" s="52" t="e">
        <f ca="1">IF(Summary_Exchange_Balances_00UTC!$B109="","",VLOOKUP(IF(ISERROR(SEARCH(" ", $B110)),UPPER($B110&amp;$C110&amp;IF(OR(NOT(ISERROR(SEARCH("trade",$D110))),NOT(ISERROR(SEARCH("balance",$D110)))),"",$D110)),UPPER(LEFT($B110, SEARCH(" ",$B110)-1)&amp;$C110&amp;IF(OR(NOT(ISERROR(SEARCH("trade",$D110))),NOT(ISERROR(SEARCH("balance",$D110)))),"",$D110))),$L:$T,MATCH("balance",$L$2:$S$2,0),FALSE))</f>
        <v>#N/A</v>
      </c>
      <c r="H110" s="35" t="e">
        <f ca="1">IF(Summary_Exchange_Balances_00UTC!$B109="","",(G110-E110)/E110)</f>
        <v>#N/A</v>
      </c>
      <c r="I110" s="165">
        <f ca="1">IF(Summary_Exchange_Balances_00UTC!$B109="","",IF(ISERROR($G110),$E110,$G110))</f>
        <v>2904</v>
      </c>
      <c r="K110" t="str">
        <f t="shared" ca="1" si="5"/>
        <v>BULLBTC</v>
      </c>
      <c r="L110" t="str">
        <f ca="1">UPPER($P110&amp;$N110&amp;Q110)</f>
        <v>BULL-4-M-EBTC</v>
      </c>
      <c r="N110" s="161" t="str">
        <f ca="1">IF(raw_exchange_data!$A109="","",OFFSET(raw_exchange_data!$A109,0,MATCH(N$2,raw_exchange_data!$1:$1,0)-1))</f>
        <v>BTC</v>
      </c>
      <c r="O110" s="161" t="str">
        <f ca="1">IF(raw_exchange_data!$A109="","",OFFSET(raw_exchange_data!$A109,0,MATCH(O$2,raw_exchange_data!$1:$1,0)-1))</f>
        <v>BULL</v>
      </c>
      <c r="P110" s="161" t="str">
        <f ca="1">IF(raw_exchange_data!$A109="","",OFFSET(raw_exchange_data!$A109,0,MATCH(P$2,raw_exchange_data!$1:$1,0)-1))</f>
        <v>BULL-4-M-E</v>
      </c>
      <c r="Q110" s="161" t="str">
        <f ca="1">IF(raw_exchange_data!$A109="","",TEXT(OFFSET(raw_exchange_data!$A109,0,MATCH(Q$2,raw_exchange_data!$1:$1,0)-1),""))</f>
        <v/>
      </c>
      <c r="R110" s="162">
        <f ca="1">IF(raw_exchange_data!$A109="","",OFFSET(raw_exchange_data!$A109,0,MATCH(R$2,raw_exchange_data!$1:$1,0)-1))</f>
        <v>76.118079890000004</v>
      </c>
      <c r="S110" s="190">
        <f ca="1">IF(raw_exchange_data!$A109="","",OFFSET(raw_exchange_data!$A109,0,MATCH(S$2,raw_exchange_data!$1:$1,0)-1))</f>
        <v>44937.668063263889</v>
      </c>
      <c r="T110" s="161">
        <v>1</v>
      </c>
      <c r="W110" t="str">
        <f t="shared" si="6"/>
        <v>DEFI</v>
      </c>
      <c r="X110" t="str">
        <f t="shared" si="7"/>
        <v>OWETHUSDC/WETH-25NOV22-1400C</v>
      </c>
      <c r="Y110" s="42">
        <f t="shared" si="8"/>
        <v>2904</v>
      </c>
      <c r="Z110" s="42">
        <f t="shared" ca="1" si="9"/>
        <v>0</v>
      </c>
      <c r="AB110" s="3" t="s">
        <v>414</v>
      </c>
      <c r="AC110" s="32">
        <v>66.359615149995079</v>
      </c>
      <c r="AD110" s="32">
        <v>-21616.80109863</v>
      </c>
    </row>
    <row r="111" spans="1:30" x14ac:dyDescent="0.25">
      <c r="A111" t="str">
        <f>IF(Summary_Exchange_Balances_00UTC!$B110="","",Summary_Exchange_Balances_00UTC!$N110)</f>
        <v>DEFI</v>
      </c>
      <c r="B111" t="str">
        <f>IF(Summary_Exchange_Balances_00UTC!$B110="","",Summary_Exchange_Balances_00UTC!$B110)</f>
        <v>DEFI-STRAT-2</v>
      </c>
      <c r="C111" t="str">
        <f>IF(Summary_Exchange_Balances_00UTC!$B110="","",Summary_Exchange_Balances_00UTC!$E110)</f>
        <v>OWETHUSDC/WETH-30DEC22-1350C</v>
      </c>
      <c r="D111" t="str">
        <f>IF(OR(Summary_Exchange_Balances_00UTC!$B110="",Summary_Exchange_Balances_00UTC!$D110=""),"",Summary_Exchange_Balances_00UTC!$D110)</f>
        <v>wallet</v>
      </c>
      <c r="E111" s="52">
        <f>IF(Summary_Exchange_Balances_00UTC!$B110="","",Summary_Exchange_Balances_00UTC!$C110)</f>
        <v>3047</v>
      </c>
      <c r="G111" s="52" t="e">
        <f ca="1">IF(Summary_Exchange_Balances_00UTC!$B110="","",VLOOKUP(IF(ISERROR(SEARCH(" ", $B111)),UPPER($B111&amp;$C111&amp;IF(OR(NOT(ISERROR(SEARCH("trade",$D111))),NOT(ISERROR(SEARCH("balance",$D111)))),"",$D111)),UPPER(LEFT($B111, SEARCH(" ",$B111)-1)&amp;$C111&amp;IF(OR(NOT(ISERROR(SEARCH("trade",$D111))),NOT(ISERROR(SEARCH("balance",$D111)))),"",$D111))),$L:$T,MATCH("balance",$L$2:$S$2,0),FALSE))</f>
        <v>#N/A</v>
      </c>
      <c r="H111" s="35" t="e">
        <f ca="1">IF(Summary_Exchange_Balances_00UTC!$B110="","",(G111-E111)/E111)</f>
        <v>#N/A</v>
      </c>
      <c r="I111" s="165">
        <f ca="1">IF(Summary_Exchange_Balances_00UTC!$B110="","",IF(ISERROR($G111),$E111,$G111))</f>
        <v>3047</v>
      </c>
      <c r="K111" t="str">
        <f t="shared" ca="1" si="5"/>
        <v>BULLETH</v>
      </c>
      <c r="L111" t="str">
        <f ca="1">UPPER($P111&amp;$N111&amp;Q111)</f>
        <v>BULL-4-M-EETH</v>
      </c>
      <c r="N111" s="161" t="str">
        <f ca="1">IF(raw_exchange_data!$A110="","",OFFSET(raw_exchange_data!$A110,0,MATCH(N$2,raw_exchange_data!$1:$1,0)-1))</f>
        <v>ETH</v>
      </c>
      <c r="O111" s="161" t="str">
        <f ca="1">IF(raw_exchange_data!$A110="","",OFFSET(raw_exchange_data!$A110,0,MATCH(O$2,raw_exchange_data!$1:$1,0)-1))</f>
        <v>BULL</v>
      </c>
      <c r="P111" s="161" t="str">
        <f ca="1">IF(raw_exchange_data!$A110="","",OFFSET(raw_exchange_data!$A110,0,MATCH(P$2,raw_exchange_data!$1:$1,0)-1))</f>
        <v>BULL-4-M-E</v>
      </c>
      <c r="Q111" s="161" t="str">
        <f ca="1">IF(raw_exchange_data!$A110="","",TEXT(OFFSET(raw_exchange_data!$A110,0,MATCH(Q$2,raw_exchange_data!$1:$1,0)-1),""))</f>
        <v/>
      </c>
      <c r="R111" s="162">
        <f ca="1">IF(raw_exchange_data!$A110="","",OFFSET(raw_exchange_data!$A110,0,MATCH(R$2,raw_exchange_data!$1:$1,0)-1))</f>
        <v>964.11535314000002</v>
      </c>
      <c r="S111" s="190">
        <f ca="1">IF(raw_exchange_data!$A110="","",OFFSET(raw_exchange_data!$A110,0,MATCH(S$2,raw_exchange_data!$1:$1,0)-1))</f>
        <v>44937.668063263889</v>
      </c>
      <c r="T111" s="161">
        <v>1</v>
      </c>
      <c r="W111" t="str">
        <f t="shared" si="6"/>
        <v>DEFI</v>
      </c>
      <c r="X111" t="str">
        <f t="shared" si="7"/>
        <v>OWETHUSDC/WETH-30DEC22-1350C</v>
      </c>
      <c r="Y111" s="42">
        <f t="shared" si="8"/>
        <v>3047</v>
      </c>
      <c r="Z111" s="42">
        <f t="shared" ca="1" si="9"/>
        <v>0</v>
      </c>
      <c r="AB111" s="3" t="s">
        <v>25</v>
      </c>
      <c r="AC111" s="32">
        <v>45.224419630000007</v>
      </c>
      <c r="AD111" s="32">
        <v>45.224419621700001</v>
      </c>
    </row>
    <row r="112" spans="1:30" x14ac:dyDescent="0.25">
      <c r="A112" t="str">
        <f>IF(Summary_Exchange_Balances_00UTC!$B111="","",Summary_Exchange_Balances_00UTC!$N111)</f>
        <v>DEFI</v>
      </c>
      <c r="B112" t="str">
        <f>IF(Summary_Exchange_Balances_00UTC!$B111="","",Summary_Exchange_Balances_00UTC!$B111)</f>
        <v>DEFI-STRAT-2</v>
      </c>
      <c r="C112" t="str">
        <f>IF(Summary_Exchange_Balances_00UTC!$B111="","",Summary_Exchange_Balances_00UTC!$E111)</f>
        <v>OWETHUSDC/WSTETH-02DEC22-1350C</v>
      </c>
      <c r="D112" t="str">
        <f>IF(OR(Summary_Exchange_Balances_00UTC!$B111="",Summary_Exchange_Balances_00UTC!$D111=""),"",Summary_Exchange_Balances_00UTC!$D111)</f>
        <v>wallet</v>
      </c>
      <c r="E112" s="52">
        <f>IF(Summary_Exchange_Balances_00UTC!$B111="","",Summary_Exchange_Balances_00UTC!$C111)</f>
        <v>9472.1338239899997</v>
      </c>
      <c r="G112" s="52" t="e">
        <f ca="1">IF(Summary_Exchange_Balances_00UTC!$B111="","",VLOOKUP(IF(ISERROR(SEARCH(" ", $B112)),UPPER($B112&amp;$C112&amp;IF(OR(NOT(ISERROR(SEARCH("trade",$D112))),NOT(ISERROR(SEARCH("balance",$D112)))),"",$D112)),UPPER(LEFT($B112, SEARCH(" ",$B112)-1)&amp;$C112&amp;IF(OR(NOT(ISERROR(SEARCH("trade",$D112))),NOT(ISERROR(SEARCH("balance",$D112)))),"",$D112))),$L:$T,MATCH("balance",$L$2:$S$2,0),FALSE))</f>
        <v>#N/A</v>
      </c>
      <c r="H112" s="35" t="e">
        <f ca="1">IF(Summary_Exchange_Balances_00UTC!$B111="","",(G112-E112)/E112)</f>
        <v>#N/A</v>
      </c>
      <c r="I112" s="165">
        <f ca="1">IF(Summary_Exchange_Balances_00UTC!$B111="","",IF(ISERROR($G112),$E112,$G112))</f>
        <v>9472.1338239899997</v>
      </c>
      <c r="K112" t="str">
        <f t="shared" ca="1" si="5"/>
        <v>BULLUSDC</v>
      </c>
      <c r="L112" t="str">
        <f ca="1">UPPER($P112&amp;$N112&amp;Q112)</f>
        <v>BULL-4-M-EUSDC</v>
      </c>
      <c r="N112" s="161" t="str">
        <f ca="1">IF(raw_exchange_data!$A111="","",OFFSET(raw_exchange_data!$A111,0,MATCH(N$2,raw_exchange_data!$1:$1,0)-1))</f>
        <v>USDC</v>
      </c>
      <c r="O112" s="161" t="str">
        <f ca="1">IF(raw_exchange_data!$A111="","",OFFSET(raw_exchange_data!$A111,0,MATCH(O$2,raw_exchange_data!$1:$1,0)-1))</f>
        <v>BULL</v>
      </c>
      <c r="P112" s="161" t="str">
        <f ca="1">IF(raw_exchange_data!$A111="","",OFFSET(raw_exchange_data!$A111,0,MATCH(P$2,raw_exchange_data!$1:$1,0)-1))</f>
        <v>BULL-4-M-E</v>
      </c>
      <c r="Q112" s="161" t="str">
        <f ca="1">IF(raw_exchange_data!$A111="","",TEXT(OFFSET(raw_exchange_data!$A111,0,MATCH(Q$2,raw_exchange_data!$1:$1,0)-1),""))</f>
        <v/>
      </c>
      <c r="R112" s="162">
        <f ca="1">IF(raw_exchange_data!$A111="","",OFFSET(raw_exchange_data!$A111,0,MATCH(R$2,raw_exchange_data!$1:$1,0)-1))</f>
        <v>0.5</v>
      </c>
      <c r="S112" s="190">
        <f ca="1">IF(raw_exchange_data!$A111="","",OFFSET(raw_exchange_data!$A111,0,MATCH(S$2,raw_exchange_data!$1:$1,0)-1))</f>
        <v>44937.668063263889</v>
      </c>
      <c r="T112" s="161">
        <v>1</v>
      </c>
      <c r="W112" t="str">
        <f t="shared" si="6"/>
        <v>DEFI</v>
      </c>
      <c r="X112" t="str">
        <f t="shared" si="7"/>
        <v>OWETHUSDC/WSTETH-02DEC22-1350C</v>
      </c>
      <c r="Y112" s="42">
        <f t="shared" si="8"/>
        <v>9472.1338239899997</v>
      </c>
      <c r="Z112" s="42">
        <f t="shared" ca="1" si="9"/>
        <v>0</v>
      </c>
      <c r="AB112" s="3" t="s">
        <v>179</v>
      </c>
      <c r="AC112" s="32">
        <v>0.10983253</v>
      </c>
      <c r="AD112" s="32">
        <v>0</v>
      </c>
    </row>
    <row r="113" spans="1:30" x14ac:dyDescent="0.25">
      <c r="A113" t="str">
        <f>IF(Summary_Exchange_Balances_00UTC!$B112="","",Summary_Exchange_Balances_00UTC!$N112)</f>
        <v>DEFI</v>
      </c>
      <c r="B113" t="str">
        <f>IF(Summary_Exchange_Balances_00UTC!$B112="","",Summary_Exchange_Balances_00UTC!$B112)</f>
        <v>DEFI-STRAT-2</v>
      </c>
      <c r="C113" t="str">
        <f>IF(Summary_Exchange_Balances_00UTC!$B112="","",Summary_Exchange_Balances_00UTC!$E112)</f>
        <v>OWETHUSDC/WSTETH-04NOV22-1700C</v>
      </c>
      <c r="D113" t="str">
        <f>IF(OR(Summary_Exchange_Balances_00UTC!$B112="",Summary_Exchange_Balances_00UTC!$D112=""),"",Summary_Exchange_Balances_00UTC!$D112)</f>
        <v>wallet</v>
      </c>
      <c r="E113" s="52">
        <f>IF(Summary_Exchange_Balances_00UTC!$B112="","",Summary_Exchange_Balances_00UTC!$C112)</f>
        <v>5625.02729593</v>
      </c>
      <c r="G113" s="52" t="e">
        <f ca="1">IF(Summary_Exchange_Balances_00UTC!$B112="","",VLOOKUP(IF(ISERROR(SEARCH(" ", $B113)),UPPER($B113&amp;$C113&amp;IF(OR(NOT(ISERROR(SEARCH("trade",$D113))),NOT(ISERROR(SEARCH("balance",$D113)))),"",$D113)),UPPER(LEFT($B113, SEARCH(" ",$B113)-1)&amp;$C113&amp;IF(OR(NOT(ISERROR(SEARCH("trade",$D113))),NOT(ISERROR(SEARCH("balance",$D113)))),"",$D113))),$L:$T,MATCH("balance",$L$2:$S$2,0),FALSE))</f>
        <v>#N/A</v>
      </c>
      <c r="H113" s="35" t="e">
        <f ca="1">IF(Summary_Exchange_Balances_00UTC!$B112="","",(G113-E113)/E113)</f>
        <v>#N/A</v>
      </c>
      <c r="I113" s="165">
        <f ca="1">IF(Summary_Exchange_Balances_00UTC!$B112="","",IF(ISERROR($G113),$E113,$G113))</f>
        <v>5625.02729593</v>
      </c>
      <c r="K113" t="str">
        <f t="shared" ca="1" si="5"/>
        <v>DYDXUSD</v>
      </c>
      <c r="L113" t="str">
        <f ca="1">UPPER($P113&amp;$N113&amp;Q113)</f>
        <v>DYDX-1-MUSD</v>
      </c>
      <c r="N113" s="161" t="str">
        <f ca="1">IF(raw_exchange_data!$A112="","",OFFSET(raw_exchange_data!$A112,0,MATCH(N$2,raw_exchange_data!$1:$1,0)-1))</f>
        <v>USD</v>
      </c>
      <c r="O113" s="161" t="str">
        <f ca="1">IF(raw_exchange_data!$A112="","",OFFSET(raw_exchange_data!$A112,0,MATCH(O$2,raw_exchange_data!$1:$1,0)-1))</f>
        <v>DYDX</v>
      </c>
      <c r="P113" s="161" t="str">
        <f ca="1">IF(raw_exchange_data!$A112="","",OFFSET(raw_exchange_data!$A112,0,MATCH(P$2,raw_exchange_data!$1:$1,0)-1))</f>
        <v>DYDX-1-M</v>
      </c>
      <c r="Q113" s="161" t="str">
        <f ca="1">IF(raw_exchange_data!$A112="","",TEXT(OFFSET(raw_exchange_data!$A112,0,MATCH(Q$2,raw_exchange_data!$1:$1,0)-1),""))</f>
        <v/>
      </c>
      <c r="R113" s="162">
        <f ca="1">IF(raw_exchange_data!$A112="","",OFFSET(raw_exchange_data!$A112,0,MATCH(R$2,raw_exchange_data!$1:$1,0)-1))</f>
        <v>15758.519869</v>
      </c>
      <c r="S113" s="190">
        <f ca="1">IF(raw_exchange_data!$A112="","",OFFSET(raw_exchange_data!$A112,0,MATCH(S$2,raw_exchange_data!$1:$1,0)-1))</f>
        <v>44939.310202858796</v>
      </c>
      <c r="T113" s="161">
        <v>1</v>
      </c>
      <c r="W113" t="str">
        <f t="shared" si="6"/>
        <v>DEFI</v>
      </c>
      <c r="X113" t="str">
        <f t="shared" si="7"/>
        <v>OWETHUSDC/WSTETH-04NOV22-1700C</v>
      </c>
      <c r="Y113" s="42">
        <f t="shared" si="8"/>
        <v>5625.02729593</v>
      </c>
      <c r="Z113" s="42">
        <f t="shared" ca="1" si="9"/>
        <v>0</v>
      </c>
      <c r="AB113" s="3" t="s">
        <v>157</v>
      </c>
      <c r="AC113" s="32">
        <v>6.3152970000000003E-2</v>
      </c>
      <c r="AD113" s="32">
        <v>6.3152970000000003E-2</v>
      </c>
    </row>
    <row r="114" spans="1:30" x14ac:dyDescent="0.25">
      <c r="A114" t="str">
        <f>IF(Summary_Exchange_Balances_00UTC!$B113="","",Summary_Exchange_Balances_00UTC!$N113)</f>
        <v>DEFI</v>
      </c>
      <c r="B114" t="str">
        <f>IF(Summary_Exchange_Balances_00UTC!$B113="","",Summary_Exchange_Balances_00UTC!$B113)</f>
        <v>DEFI-STRAT-2</v>
      </c>
      <c r="C114" t="str">
        <f>IF(Summary_Exchange_Balances_00UTC!$B113="","",Summary_Exchange_Balances_00UTC!$E113)</f>
        <v>OWETHUSDC/WSTETH-09SEP22-1900C</v>
      </c>
      <c r="D114" t="str">
        <f>IF(OR(Summary_Exchange_Balances_00UTC!$B113="",Summary_Exchange_Balances_00UTC!$D113=""),"",Summary_Exchange_Balances_00UTC!$D113)</f>
        <v>wallet</v>
      </c>
      <c r="E114" s="52">
        <f>IF(Summary_Exchange_Balances_00UTC!$B113="","",Summary_Exchange_Balances_00UTC!$C113)</f>
        <v>5968</v>
      </c>
      <c r="G114" s="52" t="e">
        <f ca="1">IF(Summary_Exchange_Balances_00UTC!$B113="","",VLOOKUP(IF(ISERROR(SEARCH(" ", $B114)),UPPER($B114&amp;$C114&amp;IF(OR(NOT(ISERROR(SEARCH("trade",$D114))),NOT(ISERROR(SEARCH("balance",$D114)))),"",$D114)),UPPER(LEFT($B114, SEARCH(" ",$B114)-1)&amp;$C114&amp;IF(OR(NOT(ISERROR(SEARCH("trade",$D114))),NOT(ISERROR(SEARCH("balance",$D114)))),"",$D114))),$L:$T,MATCH("balance",$L$2:$S$2,0),FALSE))</f>
        <v>#N/A</v>
      </c>
      <c r="H114" s="35" t="e">
        <f ca="1">IF(Summary_Exchange_Balances_00UTC!$B113="","",(G114-E114)/E114)</f>
        <v>#N/A</v>
      </c>
      <c r="I114" s="165">
        <f ca="1">IF(Summary_Exchange_Balances_00UTC!$B113="","",IF(ISERROR($G114),$E114,$G114))</f>
        <v>5968</v>
      </c>
      <c r="K114" t="str">
        <f t="shared" ca="1" si="5"/>
        <v>FBLKAAVE</v>
      </c>
      <c r="L114" t="str">
        <f ca="1">UPPER($P114&amp;$N114&amp;Q114)</f>
        <v>FBLKAAVE</v>
      </c>
      <c r="N114" s="161" t="str">
        <f ca="1">IF(raw_exchange_data!$A113="","",OFFSET(raw_exchange_data!$A113,0,MATCH(N$2,raw_exchange_data!$1:$1,0)-1))</f>
        <v>AAVE</v>
      </c>
      <c r="O114" s="161" t="str">
        <f ca="1">IF(raw_exchange_data!$A113="","",OFFSET(raw_exchange_data!$A113,0,MATCH(O$2,raw_exchange_data!$1:$1,0)-1))</f>
        <v>FBLK</v>
      </c>
      <c r="P114" s="161" t="str">
        <f ca="1">IF(raw_exchange_data!$A113="","",OFFSET(raw_exchange_data!$A113,0,MATCH(P$2,raw_exchange_data!$1:$1,0)-1))</f>
        <v>FBLK</v>
      </c>
      <c r="Q114" s="161" t="str">
        <f ca="1">IF(raw_exchange_data!$A113="","",TEXT(OFFSET(raw_exchange_data!$A113,0,MATCH(Q$2,raw_exchange_data!$1:$1,0)-1),""))</f>
        <v/>
      </c>
      <c r="R114" s="162">
        <f ca="1">IF(raw_exchange_data!$A113="","",OFFSET(raw_exchange_data!$A113,0,MATCH(R$2,raw_exchange_data!$1:$1,0)-1))</f>
        <v>150.08189084680001</v>
      </c>
      <c r="S114" s="190">
        <f ca="1">IF(raw_exchange_data!$A113="","",OFFSET(raw_exchange_data!$A113,0,MATCH(S$2,raw_exchange_data!$1:$1,0)-1))</f>
        <v>44937.660435150465</v>
      </c>
      <c r="T114" s="161">
        <v>1</v>
      </c>
      <c r="W114" t="str">
        <f t="shared" si="6"/>
        <v>DEFI</v>
      </c>
      <c r="X114" t="str">
        <f t="shared" si="7"/>
        <v>OWETHUSDC/WSTETH-09SEP22-1900C</v>
      </c>
      <c r="Y114" s="42">
        <f t="shared" si="8"/>
        <v>5968</v>
      </c>
      <c r="Z114" s="42">
        <f t="shared" ca="1" si="9"/>
        <v>0</v>
      </c>
      <c r="AB114" s="3" t="s">
        <v>158</v>
      </c>
      <c r="AC114" s="32">
        <v>20</v>
      </c>
      <c r="AD114" s="32">
        <v>20</v>
      </c>
    </row>
    <row r="115" spans="1:30" x14ac:dyDescent="0.25">
      <c r="A115" t="str">
        <f>IF(Summary_Exchange_Balances_00UTC!$B114="","",Summary_Exchange_Balances_00UTC!$N114)</f>
        <v>DEFI</v>
      </c>
      <c r="B115" t="str">
        <f>IF(Summary_Exchange_Balances_00UTC!$B114="","",Summary_Exchange_Balances_00UTC!$B114)</f>
        <v>DEFI-STRAT-2</v>
      </c>
      <c r="C115" t="str">
        <f>IF(Summary_Exchange_Balances_00UTC!$B114="","",Summary_Exchange_Balances_00UTC!$E114)</f>
        <v>OWETHUSDC/WSTETH-30DEC22-1350C</v>
      </c>
      <c r="D115" t="str">
        <f>IF(OR(Summary_Exchange_Balances_00UTC!$B114="",Summary_Exchange_Balances_00UTC!$D114=""),"",Summary_Exchange_Balances_00UTC!$D114)</f>
        <v>wallet</v>
      </c>
      <c r="E115" s="52">
        <f>IF(Summary_Exchange_Balances_00UTC!$B114="","",Summary_Exchange_Balances_00UTC!$C114)</f>
        <v>4006</v>
      </c>
      <c r="G115" s="52" t="e">
        <f ca="1">IF(Summary_Exchange_Balances_00UTC!$B114="","",VLOOKUP(IF(ISERROR(SEARCH(" ", $B115)),UPPER($B115&amp;$C115&amp;IF(OR(NOT(ISERROR(SEARCH("trade",$D115))),NOT(ISERROR(SEARCH("balance",$D115)))),"",$D115)),UPPER(LEFT($B115, SEARCH(" ",$B115)-1)&amp;$C115&amp;IF(OR(NOT(ISERROR(SEARCH("trade",$D115))),NOT(ISERROR(SEARCH("balance",$D115)))),"",$D115))),$L:$T,MATCH("balance",$L$2:$S$2,0),FALSE))</f>
        <v>#N/A</v>
      </c>
      <c r="H115" s="35" t="e">
        <f ca="1">IF(Summary_Exchange_Balances_00UTC!$B114="","",(G115-E115)/E115)</f>
        <v>#N/A</v>
      </c>
      <c r="I115" s="165">
        <f ca="1">IF(Summary_Exchange_Balances_00UTC!$B114="","",IF(ISERROR($G115),$E115,$G115))</f>
        <v>4006</v>
      </c>
      <c r="K115" t="str">
        <f t="shared" ca="1" si="5"/>
        <v>FBLKADA</v>
      </c>
      <c r="L115" t="str">
        <f ca="1">UPPER($P115&amp;$N115&amp;Q115)</f>
        <v>FBLKADA</v>
      </c>
      <c r="N115" s="161" t="str">
        <f ca="1">IF(raw_exchange_data!$A114="","",OFFSET(raw_exchange_data!$A114,0,MATCH(N$2,raw_exchange_data!$1:$1,0)-1))</f>
        <v>ADA</v>
      </c>
      <c r="O115" s="161" t="str">
        <f ca="1">IF(raw_exchange_data!$A114="","",OFFSET(raw_exchange_data!$A114,0,MATCH(O$2,raw_exchange_data!$1:$1,0)-1))</f>
        <v>FBLK</v>
      </c>
      <c r="P115" s="161" t="str">
        <f ca="1">IF(raw_exchange_data!$A114="","",OFFSET(raw_exchange_data!$A114,0,MATCH(P$2,raw_exchange_data!$1:$1,0)-1))</f>
        <v>FBLK</v>
      </c>
      <c r="Q115" s="161" t="str">
        <f ca="1">IF(raw_exchange_data!$A114="","",TEXT(OFFSET(raw_exchange_data!$A114,0,MATCH(Q$2,raw_exchange_data!$1:$1,0)-1),""))</f>
        <v/>
      </c>
      <c r="R115" s="162">
        <f ca="1">IF(raw_exchange_data!$A114="","",OFFSET(raw_exchange_data!$A114,0,MATCH(R$2,raw_exchange_data!$1:$1,0)-1))</f>
        <v>22641.773882000001</v>
      </c>
      <c r="S115" s="190">
        <f ca="1">IF(raw_exchange_data!$A114="","",OFFSET(raw_exchange_data!$A114,0,MATCH(S$2,raw_exchange_data!$1:$1,0)-1))</f>
        <v>44937.660435150465</v>
      </c>
      <c r="T115" s="161">
        <v>1</v>
      </c>
      <c r="W115" t="str">
        <f t="shared" si="6"/>
        <v>DEFI</v>
      </c>
      <c r="X115" t="str">
        <f t="shared" si="7"/>
        <v>OWETHUSDC/WSTETH-30DEC22-1350C</v>
      </c>
      <c r="Y115" s="42">
        <f t="shared" si="8"/>
        <v>4006</v>
      </c>
      <c r="Z115" s="42">
        <f t="shared" ca="1" si="9"/>
        <v>0</v>
      </c>
      <c r="AB115" s="3" t="s">
        <v>159</v>
      </c>
      <c r="AC115" s="32">
        <v>1111.8449756400005</v>
      </c>
      <c r="AD115" s="32">
        <v>-5999.3719410900003</v>
      </c>
    </row>
    <row r="116" spans="1:30" x14ac:dyDescent="0.25">
      <c r="A116" t="str">
        <f>IF(Summary_Exchange_Balances_00UTC!$B115="","",Summary_Exchange_Balances_00UTC!$N115)</f>
        <v>DEFI</v>
      </c>
      <c r="B116" t="str">
        <f>IF(Summary_Exchange_Balances_00UTC!$B115="","",Summary_Exchange_Balances_00UTC!$B115)</f>
        <v>DEFI-STRAT-2</v>
      </c>
      <c r="C116" t="str">
        <f>IF(Summary_Exchange_Balances_00UTC!$B115="","",Summary_Exchange_Balances_00UTC!$E115)</f>
        <v>USDC</v>
      </c>
      <c r="D116" t="str">
        <f>IF(OR(Summary_Exchange_Balances_00UTC!$B115="",Summary_Exchange_Balances_00UTC!$D115=""),"",Summary_Exchange_Balances_00UTC!$D115)</f>
        <v>wallet</v>
      </c>
      <c r="E116" s="53">
        <f>IF(Summary_Exchange_Balances_00UTC!$B115="","",Summary_Exchange_Balances_00UTC!$C115)</f>
        <v>60000</v>
      </c>
      <c r="G116" s="52" t="e">
        <f ca="1">IF(Summary_Exchange_Balances_00UTC!$B115="","",VLOOKUP(IF(ISERROR(SEARCH(" ", $B116)),UPPER($B116&amp;$C116&amp;IF(OR(NOT(ISERROR(SEARCH("trade",$D116))),NOT(ISERROR(SEARCH("balance",$D116)))),"",$D116)),UPPER(LEFT($B116, SEARCH(" ",$B116)-1)&amp;$C116&amp;IF(OR(NOT(ISERROR(SEARCH("trade",$D116))),NOT(ISERROR(SEARCH("balance",$D116)))),"",$D116))),$L:$T,MATCH("balance",$L$2:$S$2,0),FALSE))</f>
        <v>#N/A</v>
      </c>
      <c r="H116" s="35" t="e">
        <f ca="1">IF(Summary_Exchange_Balances_00UTC!$B115="","",(G116-E116)/E116)</f>
        <v>#N/A</v>
      </c>
      <c r="I116" s="165">
        <f ca="1">IF(Summary_Exchange_Balances_00UTC!$B115="","",IF(ISERROR($G116),$E116,$G116))</f>
        <v>60000</v>
      </c>
      <c r="K116" t="str">
        <f t="shared" ca="1" si="5"/>
        <v>FBLKALGO</v>
      </c>
      <c r="L116" t="str">
        <f ca="1">UPPER($P116&amp;$N116&amp;Q116)</f>
        <v>FBLKALGO</v>
      </c>
      <c r="N116" s="161" t="str">
        <f ca="1">IF(raw_exchange_data!$A115="","",OFFSET(raw_exchange_data!$A115,0,MATCH(N$2,raw_exchange_data!$1:$1,0)-1))</f>
        <v>ALGO</v>
      </c>
      <c r="O116" s="161" t="str">
        <f ca="1">IF(raw_exchange_data!$A115="","",OFFSET(raw_exchange_data!$A115,0,MATCH(O$2,raw_exchange_data!$1:$1,0)-1))</f>
        <v>FBLK</v>
      </c>
      <c r="P116" s="161" t="str">
        <f ca="1">IF(raw_exchange_data!$A115="","",OFFSET(raw_exchange_data!$A115,0,MATCH(P$2,raw_exchange_data!$1:$1,0)-1))</f>
        <v>FBLK</v>
      </c>
      <c r="Q116" s="161" t="str">
        <f ca="1">IF(raw_exchange_data!$A115="","",TEXT(OFFSET(raw_exchange_data!$A115,0,MATCH(Q$2,raw_exchange_data!$1:$1,0)-1),""))</f>
        <v/>
      </c>
      <c r="R116" s="162">
        <f ca="1">IF(raw_exchange_data!$A115="","",OFFSET(raw_exchange_data!$A115,0,MATCH(R$2,raw_exchange_data!$1:$1,0)-1))</f>
        <v>12552.259884999999</v>
      </c>
      <c r="S116" s="190">
        <f ca="1">IF(raw_exchange_data!$A115="","",OFFSET(raw_exchange_data!$A115,0,MATCH(S$2,raw_exchange_data!$1:$1,0)-1))</f>
        <v>44937.660435150465</v>
      </c>
      <c r="T116" s="161">
        <v>1</v>
      </c>
      <c r="W116" t="str">
        <f t="shared" si="6"/>
        <v>DEFI</v>
      </c>
      <c r="X116" t="str">
        <f t="shared" si="7"/>
        <v>USDC</v>
      </c>
      <c r="Y116" s="42">
        <f t="shared" si="8"/>
        <v>60000</v>
      </c>
      <c r="Z116" s="42">
        <f t="shared" ca="1" si="9"/>
        <v>0</v>
      </c>
      <c r="AB116" s="3" t="s">
        <v>95</v>
      </c>
      <c r="AC116" s="32">
        <v>43043798.681792505</v>
      </c>
      <c r="AD116" s="32">
        <v>55591669.132414676</v>
      </c>
    </row>
    <row r="117" spans="1:30" x14ac:dyDescent="0.25">
      <c r="A117" t="str">
        <f>IF(Summary_Exchange_Balances_00UTC!$B116="","",Summary_Exchange_Balances_00UTC!$N116)</f>
        <v>DEFI</v>
      </c>
      <c r="B117" t="str">
        <f>IF(Summary_Exchange_Balances_00UTC!$B116="","",Summary_Exchange_Balances_00UTC!$B116)</f>
        <v>DEFI-STRAT-2</v>
      </c>
      <c r="C117" t="str">
        <f>IF(Summary_Exchange_Balances_00UTC!$B116="","",Summary_Exchange_Balances_00UTC!$E116)</f>
        <v>WAVAX</v>
      </c>
      <c r="D117" t="str">
        <f>IF(OR(Summary_Exchange_Balances_00UTC!$B116="",Summary_Exchange_Balances_00UTC!$D116=""),"",Summary_Exchange_Balances_00UTC!$D116)</f>
        <v>wallet</v>
      </c>
      <c r="E117" s="52">
        <f>IF(Summary_Exchange_Balances_00UTC!$B116="","",Summary_Exchange_Balances_00UTC!$C116)</f>
        <v>186.88790811999999</v>
      </c>
      <c r="G117" s="52" t="e">
        <f ca="1">IF(Summary_Exchange_Balances_00UTC!$B116="","",VLOOKUP(IF(ISERROR(SEARCH(" ", $B117)),UPPER($B117&amp;$C117&amp;IF(OR(NOT(ISERROR(SEARCH("trade",$D117))),NOT(ISERROR(SEARCH("balance",$D117)))),"",$D117)),UPPER(LEFT($B117, SEARCH(" ",$B117)-1)&amp;$C117&amp;IF(OR(NOT(ISERROR(SEARCH("trade",$D117))),NOT(ISERROR(SEARCH("balance",$D117)))),"",$D117))),$L:$T,MATCH("balance",$L$2:$S$2,0),FALSE))</f>
        <v>#N/A</v>
      </c>
      <c r="H117" s="35" t="e">
        <f ca="1">IF(Summary_Exchange_Balances_00UTC!$B116="","",(G117-E117)/E117)</f>
        <v>#N/A</v>
      </c>
      <c r="I117" s="165">
        <f ca="1">IF(Summary_Exchange_Balances_00UTC!$B116="","",IF(ISERROR($G117),$E117,$G117))</f>
        <v>186.88790811999999</v>
      </c>
      <c r="K117" t="str">
        <f t="shared" ca="1" si="5"/>
        <v>FBLKAUSDC_ETH</v>
      </c>
      <c r="L117" t="str">
        <f ca="1">UPPER($P117&amp;$N117&amp;Q117)</f>
        <v>FBLKAUSDC_ETH</v>
      </c>
      <c r="N117" s="161" t="str">
        <f ca="1">IF(raw_exchange_data!$A116="","",OFFSET(raw_exchange_data!$A116,0,MATCH(N$2,raw_exchange_data!$1:$1,0)-1))</f>
        <v>AUSDC_ETH</v>
      </c>
      <c r="O117" s="161" t="str">
        <f ca="1">IF(raw_exchange_data!$A116="","",OFFSET(raw_exchange_data!$A116,0,MATCH(O$2,raw_exchange_data!$1:$1,0)-1))</f>
        <v>FBLK</v>
      </c>
      <c r="P117" s="161" t="str">
        <f ca="1">IF(raw_exchange_data!$A116="","",OFFSET(raw_exchange_data!$A116,0,MATCH(P$2,raw_exchange_data!$1:$1,0)-1))</f>
        <v>FBLK</v>
      </c>
      <c r="Q117" s="161" t="str">
        <f ca="1">IF(raw_exchange_data!$A116="","",TEXT(OFFSET(raw_exchange_data!$A116,0,MATCH(Q$2,raw_exchange_data!$1:$1,0)-1),""))</f>
        <v/>
      </c>
      <c r="R117" s="162">
        <f ca="1">IF(raw_exchange_data!$A116="","",OFFSET(raw_exchange_data!$A116,0,MATCH(R$2,raw_exchange_data!$1:$1,0)-1))</f>
        <v>12008527.170978</v>
      </c>
      <c r="S117" s="190">
        <f ca="1">IF(raw_exchange_data!$A116="","",OFFSET(raw_exchange_data!$A116,0,MATCH(S$2,raw_exchange_data!$1:$1,0)-1))</f>
        <v>44937.660435150465</v>
      </c>
      <c r="T117" s="161">
        <v>1</v>
      </c>
      <c r="W117" t="str">
        <f t="shared" si="6"/>
        <v>DEFI</v>
      </c>
      <c r="X117" t="str">
        <f t="shared" si="7"/>
        <v>WAVAX</v>
      </c>
      <c r="Y117" s="42">
        <f t="shared" si="8"/>
        <v>186.88790811999999</v>
      </c>
      <c r="Z117" s="42">
        <f t="shared" ca="1" si="9"/>
        <v>0</v>
      </c>
      <c r="AB117" s="3" t="s">
        <v>92</v>
      </c>
      <c r="AC117" s="32">
        <v>-61248996.078868248</v>
      </c>
      <c r="AD117" s="32">
        <v>20632315.252918076</v>
      </c>
    </row>
    <row r="118" spans="1:30" x14ac:dyDescent="0.25">
      <c r="A118" t="str">
        <f>IF(Summary_Exchange_Balances_00UTC!$B117="","",Summary_Exchange_Balances_00UTC!$N117)</f>
        <v>DEFI</v>
      </c>
      <c r="B118" t="str">
        <f>IF(Summary_Exchange_Balances_00UTC!$B117="","",Summary_Exchange_Balances_00UTC!$B117)</f>
        <v>DEFI-STRAT-2</v>
      </c>
      <c r="C118" t="str">
        <f>IF(Summary_Exchange_Balances_00UTC!$B117="","",Summary_Exchange_Balances_00UTC!$E117)</f>
        <v>WETH</v>
      </c>
      <c r="D118" t="str">
        <f>IF(OR(Summary_Exchange_Balances_00UTC!$B117="",Summary_Exchange_Balances_00UTC!$D117=""),"",Summary_Exchange_Balances_00UTC!$D117)</f>
        <v>wallet</v>
      </c>
      <c r="E118" s="53">
        <f>IF(Summary_Exchange_Balances_00UTC!$B117="","",Summary_Exchange_Balances_00UTC!$C117)</f>
        <v>128.58989367000001</v>
      </c>
      <c r="G118" s="52" t="e">
        <f ca="1">IF(Summary_Exchange_Balances_00UTC!$B117="","",VLOOKUP(IF(ISERROR(SEARCH(" ", $B118)),UPPER($B118&amp;$C118&amp;IF(OR(NOT(ISERROR(SEARCH("trade",$D118))),NOT(ISERROR(SEARCH("balance",$D118)))),"",$D118)),UPPER(LEFT($B118, SEARCH(" ",$B118)-1)&amp;$C118&amp;IF(OR(NOT(ISERROR(SEARCH("trade",$D118))),NOT(ISERROR(SEARCH("balance",$D118)))),"",$D118))),$L:$T,MATCH("balance",$L$2:$S$2,0),FALSE))</f>
        <v>#N/A</v>
      </c>
      <c r="H118" s="35" t="e">
        <f ca="1">IF(Summary_Exchange_Balances_00UTC!$B117="","",(G118-E118)/E118)</f>
        <v>#N/A</v>
      </c>
      <c r="I118" s="165">
        <f ca="1">IF(Summary_Exchange_Balances_00UTC!$B117="","",IF(ISERROR($G118),$E118,$G118))</f>
        <v>128.58989367000001</v>
      </c>
      <c r="K118" t="str">
        <f t="shared" ca="1" si="5"/>
        <v>FBLKAVAX</v>
      </c>
      <c r="L118" t="str">
        <f ca="1">UPPER($P118&amp;$N118&amp;Q118)</f>
        <v>FBLKAVAX</v>
      </c>
      <c r="N118" s="161" t="str">
        <f ca="1">IF(raw_exchange_data!$A117="","",OFFSET(raw_exchange_data!$A117,0,MATCH(N$2,raw_exchange_data!$1:$1,0)-1))</f>
        <v>AVAX</v>
      </c>
      <c r="O118" s="161" t="str">
        <f ca="1">IF(raw_exchange_data!$A117="","",OFFSET(raw_exchange_data!$A117,0,MATCH(O$2,raw_exchange_data!$1:$1,0)-1))</f>
        <v>FBLK</v>
      </c>
      <c r="P118" s="161" t="str">
        <f ca="1">IF(raw_exchange_data!$A117="","",OFFSET(raw_exchange_data!$A117,0,MATCH(P$2,raw_exchange_data!$1:$1,0)-1))</f>
        <v>FBLK</v>
      </c>
      <c r="Q118" s="161" t="str">
        <f ca="1">IF(raw_exchange_data!$A117="","",TEXT(OFFSET(raw_exchange_data!$A117,0,MATCH(Q$2,raw_exchange_data!$1:$1,0)-1),""))</f>
        <v/>
      </c>
      <c r="R118" s="162">
        <f ca="1">IF(raw_exchange_data!$A117="","",OFFSET(raw_exchange_data!$A117,0,MATCH(R$2,raw_exchange_data!$1:$1,0)-1))</f>
        <v>179.08775599379999</v>
      </c>
      <c r="S118" s="190">
        <f ca="1">IF(raw_exchange_data!$A117="","",OFFSET(raw_exchange_data!$A117,0,MATCH(S$2,raw_exchange_data!$1:$1,0)-1))</f>
        <v>44937.660435150465</v>
      </c>
      <c r="T118" s="161">
        <v>1</v>
      </c>
      <c r="W118" t="str">
        <f t="shared" si="6"/>
        <v>DEFI</v>
      </c>
      <c r="X118" t="str">
        <f t="shared" si="7"/>
        <v>WETH</v>
      </c>
      <c r="Y118" s="42">
        <f t="shared" si="8"/>
        <v>128.58989367000001</v>
      </c>
      <c r="Z118" s="42">
        <f t="shared" ca="1" si="9"/>
        <v>0</v>
      </c>
      <c r="AB118" s="3" t="s">
        <v>160</v>
      </c>
      <c r="AC118" s="32">
        <v>0.34680431</v>
      </c>
      <c r="AD118" s="32">
        <v>0.34680431</v>
      </c>
    </row>
    <row r="119" spans="1:30" x14ac:dyDescent="0.25">
      <c r="A119" t="str">
        <f>IF(Summary_Exchange_Balances_00UTC!$B118="","",Summary_Exchange_Balances_00UTC!$N118)</f>
        <v>DEFI</v>
      </c>
      <c r="B119" t="str">
        <f>IF(Summary_Exchange_Balances_00UTC!$B118="","",Summary_Exchange_Balances_00UTC!$B118)</f>
        <v>DEFI-STRAT-3</v>
      </c>
      <c r="C119" t="str">
        <f>IF(Summary_Exchange_Balances_00UTC!$B118="","",Summary_Exchange_Balances_00UTC!$E118)</f>
        <v>CRV</v>
      </c>
      <c r="D119" t="str">
        <f>IF(OR(Summary_Exchange_Balances_00UTC!$B118="",Summary_Exchange_Balances_00UTC!$D118=""),"",Summary_Exchange_Balances_00UTC!$D118)</f>
        <v>reward_token</v>
      </c>
      <c r="E119" s="53">
        <f>IF(Summary_Exchange_Balances_00UTC!$B118="","",Summary_Exchange_Balances_00UTC!$C118)</f>
        <v>78.748072449999995</v>
      </c>
      <c r="G119" s="52" t="e">
        <f ca="1">IF(Summary_Exchange_Balances_00UTC!$B118="","",VLOOKUP(IF(ISERROR(SEARCH(" ", $B119)),UPPER($B119&amp;$C119&amp;IF(OR(NOT(ISERROR(SEARCH("trade",$D119))),NOT(ISERROR(SEARCH("balance",$D119)))),"",$D119)),UPPER(LEFT($B119, SEARCH(" ",$B119)-1)&amp;$C119&amp;IF(OR(NOT(ISERROR(SEARCH("trade",$D119))),NOT(ISERROR(SEARCH("balance",$D119)))),"",$D119))),$L:$T,MATCH("balance",$L$2:$S$2,0),FALSE))</f>
        <v>#N/A</v>
      </c>
      <c r="H119" s="35" t="e">
        <f ca="1">IF(Summary_Exchange_Balances_00UTC!$B118="","",(G119-E119)/E119)</f>
        <v>#N/A</v>
      </c>
      <c r="I119" s="165">
        <f ca="1">IF(Summary_Exchange_Balances_00UTC!$B118="","",IF(ISERROR($G119),$E119,$G119))</f>
        <v>78.748072449999995</v>
      </c>
      <c r="K119" t="str">
        <f t="shared" ca="1" si="5"/>
        <v>FBLKBAT</v>
      </c>
      <c r="L119" t="str">
        <f ca="1">UPPER($P119&amp;$N119&amp;Q119)</f>
        <v>FBLKBAT</v>
      </c>
      <c r="N119" s="161" t="str">
        <f ca="1">IF(raw_exchange_data!$A118="","",OFFSET(raw_exchange_data!$A118,0,MATCH(N$2,raw_exchange_data!$1:$1,0)-1))</f>
        <v>BAT</v>
      </c>
      <c r="O119" s="161" t="str">
        <f ca="1">IF(raw_exchange_data!$A118="","",OFFSET(raw_exchange_data!$A118,0,MATCH(O$2,raw_exchange_data!$1:$1,0)-1))</f>
        <v>FBLK</v>
      </c>
      <c r="P119" s="161" t="str">
        <f ca="1">IF(raw_exchange_data!$A118="","",OFFSET(raw_exchange_data!$A118,0,MATCH(P$2,raw_exchange_data!$1:$1,0)-1))</f>
        <v>FBLK</v>
      </c>
      <c r="Q119" s="161" t="str">
        <f ca="1">IF(raw_exchange_data!$A118="","",TEXT(OFFSET(raw_exchange_data!$A118,0,MATCH(Q$2,raw_exchange_data!$1:$1,0)-1),""))</f>
        <v/>
      </c>
      <c r="R119" s="162">
        <f ca="1">IF(raw_exchange_data!$A118="","",OFFSET(raw_exchange_data!$A118,0,MATCH(R$2,raw_exchange_data!$1:$1,0)-1))</f>
        <v>12234.90497353</v>
      </c>
      <c r="S119" s="190">
        <f ca="1">IF(raw_exchange_data!$A118="","",OFFSET(raw_exchange_data!$A118,0,MATCH(S$2,raw_exchange_data!$1:$1,0)-1))</f>
        <v>44937.660435150465</v>
      </c>
      <c r="T119" s="161">
        <v>1</v>
      </c>
      <c r="W119" t="str">
        <f t="shared" si="6"/>
        <v>DEFI</v>
      </c>
      <c r="X119" t="str">
        <f t="shared" si="7"/>
        <v>CRV</v>
      </c>
      <c r="Y119" s="42">
        <f t="shared" si="8"/>
        <v>78.748072449999995</v>
      </c>
      <c r="Z119" s="42">
        <f t="shared" ca="1" si="9"/>
        <v>0</v>
      </c>
      <c r="AB119" s="3" t="s">
        <v>38</v>
      </c>
      <c r="AC119" s="32">
        <v>33121071.09695692</v>
      </c>
      <c r="AD119" s="32">
        <v>25495661.77281158</v>
      </c>
    </row>
    <row r="120" spans="1:30" x14ac:dyDescent="0.25">
      <c r="A120" t="str">
        <f>IF(Summary_Exchange_Balances_00UTC!$B119="","",Summary_Exchange_Balances_00UTC!$N119)</f>
        <v>DEFI</v>
      </c>
      <c r="B120" t="str">
        <f>IF(Summary_Exchange_Balances_00UTC!$B119="","",Summary_Exchange_Balances_00UTC!$B119)</f>
        <v>DEFI-STRAT-3</v>
      </c>
      <c r="C120" t="str">
        <f>IF(Summary_Exchange_Balances_00UTC!$B119="","",Summary_Exchange_Balances_00UTC!$E119)</f>
        <v>CVX</v>
      </c>
      <c r="D120" t="str">
        <f>IF(OR(Summary_Exchange_Balances_00UTC!$B119="",Summary_Exchange_Balances_00UTC!$D119=""),"",Summary_Exchange_Balances_00UTC!$D119)</f>
        <v>reward_token</v>
      </c>
      <c r="E120" s="52">
        <f>IF(Summary_Exchange_Balances_00UTC!$B119="","",Summary_Exchange_Balances_00UTC!$C119)</f>
        <v>2.51455188</v>
      </c>
      <c r="G120" s="52" t="e">
        <f ca="1">IF(Summary_Exchange_Balances_00UTC!$B119="","",VLOOKUP(IF(ISERROR(SEARCH(" ", $B120)),UPPER($B120&amp;$C120&amp;IF(OR(NOT(ISERROR(SEARCH("trade",$D120))),NOT(ISERROR(SEARCH("balance",$D120)))),"",$D120)),UPPER(LEFT($B120, SEARCH(" ",$B120)-1)&amp;$C120&amp;IF(OR(NOT(ISERROR(SEARCH("trade",$D120))),NOT(ISERROR(SEARCH("balance",$D120)))),"",$D120))),$L:$T,MATCH("balance",$L$2:$S$2,0),FALSE))</f>
        <v>#N/A</v>
      </c>
      <c r="H120" s="35" t="e">
        <f ca="1">IF(Summary_Exchange_Balances_00UTC!$B119="","",(G120-E120)/E120)</f>
        <v>#N/A</v>
      </c>
      <c r="I120" s="165">
        <f ca="1">IF(Summary_Exchange_Balances_00UTC!$B119="","",IF(ISERROR($G120),$E120,$G120))</f>
        <v>2.51455188</v>
      </c>
      <c r="K120" t="str">
        <f t="shared" ca="1" si="5"/>
        <v>FBLKBCH</v>
      </c>
      <c r="L120" t="str">
        <f ca="1">UPPER($P120&amp;$N120&amp;Q120)</f>
        <v>FBLKBCH</v>
      </c>
      <c r="N120" s="161" t="str">
        <f ca="1">IF(raw_exchange_data!$A119="","",OFFSET(raw_exchange_data!$A119,0,MATCH(N$2,raw_exchange_data!$1:$1,0)-1))</f>
        <v>BCH</v>
      </c>
      <c r="O120" s="161" t="str">
        <f ca="1">IF(raw_exchange_data!$A119="","",OFFSET(raw_exchange_data!$A119,0,MATCH(O$2,raw_exchange_data!$1:$1,0)-1))</f>
        <v>FBLK</v>
      </c>
      <c r="P120" s="161" t="str">
        <f ca="1">IF(raw_exchange_data!$A119="","",OFFSET(raw_exchange_data!$A119,0,MATCH(P$2,raw_exchange_data!$1:$1,0)-1))</f>
        <v>FBLK</v>
      </c>
      <c r="Q120" s="161" t="str">
        <f ca="1">IF(raw_exchange_data!$A119="","",TEXT(OFFSET(raw_exchange_data!$A119,0,MATCH(Q$2,raw_exchange_data!$1:$1,0)-1),""))</f>
        <v/>
      </c>
      <c r="R120" s="162">
        <f ca="1">IF(raw_exchange_data!$A119="","",OFFSET(raw_exchange_data!$A119,0,MATCH(R$2,raw_exchange_data!$1:$1,0)-1))</f>
        <v>5171.2119944799997</v>
      </c>
      <c r="S120" s="190">
        <f ca="1">IF(raw_exchange_data!$A119="","",OFFSET(raw_exchange_data!$A119,0,MATCH(S$2,raw_exchange_data!$1:$1,0)-1))</f>
        <v>44937.660435150465</v>
      </c>
      <c r="T120" s="161">
        <v>1</v>
      </c>
      <c r="W120" t="str">
        <f t="shared" si="6"/>
        <v>DEFI</v>
      </c>
      <c r="X120" t="str">
        <f t="shared" si="7"/>
        <v>CVX</v>
      </c>
      <c r="Y120" s="42">
        <f t="shared" si="8"/>
        <v>2.51455188</v>
      </c>
      <c r="Z120" s="42">
        <f t="shared" ca="1" si="9"/>
        <v>0</v>
      </c>
      <c r="AB120" s="3" t="s">
        <v>96</v>
      </c>
      <c r="AC120" s="32">
        <v>29.9885932</v>
      </c>
      <c r="AD120" s="32">
        <v>29.9885932</v>
      </c>
    </row>
    <row r="121" spans="1:30" x14ac:dyDescent="0.25">
      <c r="A121" t="str">
        <f>IF(Summary_Exchange_Balances_00UTC!$B120="","",Summary_Exchange_Balances_00UTC!$N120)</f>
        <v>DEFI</v>
      </c>
      <c r="B121" t="str">
        <f>IF(Summary_Exchange_Balances_00UTC!$B120="","",Summary_Exchange_Balances_00UTC!$B120)</f>
        <v>DEFI-STRAT-3</v>
      </c>
      <c r="C121" t="str">
        <f>IF(Summary_Exchange_Balances_00UTC!$B120="","",Summary_Exchange_Balances_00UTC!$E120)</f>
        <v>DAI</v>
      </c>
      <c r="D121" t="str">
        <f>IF(OR(Summary_Exchange_Balances_00UTC!$B120="",Summary_Exchange_Balances_00UTC!$D120=""),"",Summary_Exchange_Balances_00UTC!$D120)</f>
        <v>supply_token</v>
      </c>
      <c r="E121" s="52">
        <f>IF(Summary_Exchange_Balances_00UTC!$B120="","",Summary_Exchange_Balances_00UTC!$C120)</f>
        <v>172554.34841886</v>
      </c>
      <c r="G121" s="52" t="e">
        <f ca="1">IF(Summary_Exchange_Balances_00UTC!$B120="","",VLOOKUP(IF(ISERROR(SEARCH(" ", $B121)),UPPER($B121&amp;$C121&amp;IF(OR(NOT(ISERROR(SEARCH("trade",$D121))),NOT(ISERROR(SEARCH("balance",$D121)))),"",$D121)),UPPER(LEFT($B121, SEARCH(" ",$B121)-1)&amp;$C121&amp;IF(OR(NOT(ISERROR(SEARCH("trade",$D121))),NOT(ISERROR(SEARCH("balance",$D121)))),"",$D121))),$L:$T,MATCH("balance",$L$2:$S$2,0),FALSE))</f>
        <v>#N/A</v>
      </c>
      <c r="H121" s="35" t="e">
        <f ca="1">IF(Summary_Exchange_Balances_00UTC!$B120="","",(G121-E121)/E121)</f>
        <v>#N/A</v>
      </c>
      <c r="I121" s="165">
        <f ca="1">IF(Summary_Exchange_Balances_00UTC!$B120="","",IF(ISERROR($G121),$E121,$G121))</f>
        <v>172554.34841886</v>
      </c>
      <c r="K121" t="str">
        <f t="shared" ca="1" si="5"/>
        <v>FBLKBNB_BSC</v>
      </c>
      <c r="L121" t="str">
        <f ca="1">UPPER($P121&amp;$N121&amp;Q121)</f>
        <v>FBLKBNB_BSC</v>
      </c>
      <c r="N121" s="161" t="str">
        <f ca="1">IF(raw_exchange_data!$A120="","",OFFSET(raw_exchange_data!$A120,0,MATCH(N$2,raw_exchange_data!$1:$1,0)-1))</f>
        <v>BNB_BSC</v>
      </c>
      <c r="O121" s="161" t="str">
        <f ca="1">IF(raw_exchange_data!$A120="","",OFFSET(raw_exchange_data!$A120,0,MATCH(O$2,raw_exchange_data!$1:$1,0)-1))</f>
        <v>FBLK</v>
      </c>
      <c r="P121" s="161" t="str">
        <f ca="1">IF(raw_exchange_data!$A120="","",OFFSET(raw_exchange_data!$A120,0,MATCH(P$2,raw_exchange_data!$1:$1,0)-1))</f>
        <v>FBLK</v>
      </c>
      <c r="Q121" s="161" t="str">
        <f ca="1">IF(raw_exchange_data!$A120="","",TEXT(OFFSET(raw_exchange_data!$A120,0,MATCH(Q$2,raw_exchange_data!$1:$1,0)-1),""))</f>
        <v/>
      </c>
      <c r="R121" s="162">
        <f ca="1">IF(raw_exchange_data!$A120="","",OFFSET(raw_exchange_data!$A120,0,MATCH(R$2,raw_exchange_data!$1:$1,0)-1))</f>
        <v>1.7651759999999999E-4</v>
      </c>
      <c r="S121" s="190">
        <f ca="1">IF(raw_exchange_data!$A120="","",OFFSET(raw_exchange_data!$A120,0,MATCH(S$2,raw_exchange_data!$1:$1,0)-1))</f>
        <v>44937.660435150465</v>
      </c>
      <c r="T121" s="161">
        <v>1</v>
      </c>
      <c r="W121" t="str">
        <f t="shared" si="6"/>
        <v>DEFI</v>
      </c>
      <c r="X121" t="str">
        <f t="shared" si="7"/>
        <v>DAI</v>
      </c>
      <c r="Y121" s="42">
        <f t="shared" si="8"/>
        <v>172554.34841886</v>
      </c>
      <c r="Z121" s="42">
        <f t="shared" ca="1" si="9"/>
        <v>0</v>
      </c>
      <c r="AB121" s="3" t="s">
        <v>196</v>
      </c>
      <c r="AC121" s="32">
        <v>-74.040518480000003</v>
      </c>
      <c r="AD121" s="32">
        <v>-74.040518480000003</v>
      </c>
    </row>
    <row r="122" spans="1:30" x14ac:dyDescent="0.25">
      <c r="A122" t="str">
        <f>IF(Summary_Exchange_Balances_00UTC!$B121="","",Summary_Exchange_Balances_00UTC!$N121)</f>
        <v>DEFI</v>
      </c>
      <c r="B122" t="str">
        <f>IF(Summary_Exchange_Balances_00UTC!$B121="","",Summary_Exchange_Balances_00UTC!$B121)</f>
        <v>DEFI-STRAT-3</v>
      </c>
      <c r="C122" t="str">
        <f>IF(Summary_Exchange_Balances_00UTC!$B121="","",Summary_Exchange_Balances_00UTC!$E121)</f>
        <v>ETH</v>
      </c>
      <c r="D122" t="str">
        <f>IF(OR(Summary_Exchange_Balances_00UTC!$B121="",Summary_Exchange_Balances_00UTC!$D121=""),"",Summary_Exchange_Balances_00UTC!$D121)</f>
        <v>wallet</v>
      </c>
      <c r="E122" s="52">
        <f>IF(Summary_Exchange_Balances_00UTC!$B121="","",Summary_Exchange_Balances_00UTC!$C121)</f>
        <v>0.49557208000000003</v>
      </c>
      <c r="G122" s="52" t="e">
        <f ca="1">IF(Summary_Exchange_Balances_00UTC!$B121="","",VLOOKUP(IF(ISERROR(SEARCH(" ", $B122)),UPPER($B122&amp;$C122&amp;IF(OR(NOT(ISERROR(SEARCH("trade",$D122))),NOT(ISERROR(SEARCH("balance",$D122)))),"",$D122)),UPPER(LEFT($B122, SEARCH(" ",$B122)-1)&amp;$C122&amp;IF(OR(NOT(ISERROR(SEARCH("trade",$D122))),NOT(ISERROR(SEARCH("balance",$D122)))),"",$D122))),$L:$T,MATCH("balance",$L$2:$S$2,0),FALSE))</f>
        <v>#N/A</v>
      </c>
      <c r="H122" s="35" t="e">
        <f ca="1">IF(Summary_Exchange_Balances_00UTC!$B121="","",(G122-E122)/E122)</f>
        <v>#N/A</v>
      </c>
      <c r="I122" s="165">
        <f ca="1">IF(Summary_Exchange_Balances_00UTC!$B121="","",IF(ISERROR($G122),$E122,$G122))</f>
        <v>0.49557208000000003</v>
      </c>
      <c r="K122" t="str">
        <f t="shared" ca="1" si="5"/>
        <v>FBLKBTC</v>
      </c>
      <c r="L122" t="str">
        <f ca="1">UPPER($P122&amp;$N122&amp;Q122)</f>
        <v>FBLKBTC</v>
      </c>
      <c r="N122" s="161" t="str">
        <f ca="1">IF(raw_exchange_data!$A121="","",OFFSET(raw_exchange_data!$A121,0,MATCH(N$2,raw_exchange_data!$1:$1,0)-1))</f>
        <v>BTC</v>
      </c>
      <c r="O122" s="161" t="str">
        <f ca="1">IF(raw_exchange_data!$A121="","",OFFSET(raw_exchange_data!$A121,0,MATCH(O$2,raw_exchange_data!$1:$1,0)-1))</f>
        <v>FBLK</v>
      </c>
      <c r="P122" s="161" t="str">
        <f ca="1">IF(raw_exchange_data!$A121="","",OFFSET(raw_exchange_data!$A121,0,MATCH(P$2,raw_exchange_data!$1:$1,0)-1))</f>
        <v>FBLK</v>
      </c>
      <c r="Q122" s="161" t="str">
        <f ca="1">IF(raw_exchange_data!$A121="","",TEXT(OFFSET(raw_exchange_data!$A121,0,MATCH(Q$2,raw_exchange_data!$1:$1,0)-1),""))</f>
        <v/>
      </c>
      <c r="R122" s="162">
        <f ca="1">IF(raw_exchange_data!$A121="","",OFFSET(raw_exchange_data!$A121,0,MATCH(R$2,raw_exchange_data!$1:$1,0)-1))</f>
        <v>293.99617287000001</v>
      </c>
      <c r="S122" s="190">
        <f ca="1">IF(raw_exchange_data!$A121="","",OFFSET(raw_exchange_data!$A121,0,MATCH(S$2,raw_exchange_data!$1:$1,0)-1))</f>
        <v>44937.660435150465</v>
      </c>
      <c r="T122" s="161">
        <v>1</v>
      </c>
      <c r="W122" t="str">
        <f t="shared" si="6"/>
        <v>DEFI</v>
      </c>
      <c r="X122" t="str">
        <f t="shared" si="7"/>
        <v>ETH</v>
      </c>
      <c r="Y122" s="42">
        <f t="shared" si="8"/>
        <v>0.49557208000000003</v>
      </c>
      <c r="Z122" s="42">
        <f t="shared" ca="1" si="9"/>
        <v>0</v>
      </c>
      <c r="AB122" s="3" t="s">
        <v>161</v>
      </c>
      <c r="AC122" s="32">
        <v>0.20872535</v>
      </c>
      <c r="AD122" s="32">
        <v>0.20872535</v>
      </c>
    </row>
    <row r="123" spans="1:30" x14ac:dyDescent="0.25">
      <c r="A123" t="str">
        <f>IF(Summary_Exchange_Balances_00UTC!$B122="","",Summary_Exchange_Balances_00UTC!$N122)</f>
        <v>DEFI</v>
      </c>
      <c r="B123" t="str">
        <f>IF(Summary_Exchange_Balances_00UTC!$B122="","",Summary_Exchange_Balances_00UTC!$B122)</f>
        <v>DEFI-STRAT-3</v>
      </c>
      <c r="C123" t="str">
        <f>IF(Summary_Exchange_Balances_00UTC!$B122="","",Summary_Exchange_Balances_00UTC!$E122)</f>
        <v>MIM</v>
      </c>
      <c r="D123" t="str">
        <f>IF(OR(Summary_Exchange_Balances_00UTC!$B122="",Summary_Exchange_Balances_00UTC!$D122=""),"",Summary_Exchange_Balances_00UTC!$D122)</f>
        <v>supply_token</v>
      </c>
      <c r="E123" s="52">
        <f>IF(Summary_Exchange_Balances_00UTC!$B122="","",Summary_Exchange_Balances_00UTC!$C122)</f>
        <v>516393.62323616998</v>
      </c>
      <c r="G123" s="52" t="e">
        <f ca="1">IF(Summary_Exchange_Balances_00UTC!$B122="","",VLOOKUP(IF(ISERROR(SEARCH(" ", $B123)),UPPER($B123&amp;$C123&amp;IF(OR(NOT(ISERROR(SEARCH("trade",$D123))),NOT(ISERROR(SEARCH("balance",$D123)))),"",$D123)),UPPER(LEFT($B123, SEARCH(" ",$B123)-1)&amp;$C123&amp;IF(OR(NOT(ISERROR(SEARCH("trade",$D123))),NOT(ISERROR(SEARCH("balance",$D123)))),"",$D123))),$L:$T,MATCH("balance",$L$2:$S$2,0),FALSE))</f>
        <v>#N/A</v>
      </c>
      <c r="H123" s="35" t="e">
        <f ca="1">IF(Summary_Exchange_Balances_00UTC!$B122="","",(G123-E123)/E123)</f>
        <v>#N/A</v>
      </c>
      <c r="I123" s="165">
        <f ca="1">IF(Summary_Exchange_Balances_00UTC!$B122="","",IF(ISERROR($G123),$E123,$G123))</f>
        <v>516393.62323616998</v>
      </c>
      <c r="K123" t="str">
        <f t="shared" ca="1" si="5"/>
        <v>FBLKCOMP</v>
      </c>
      <c r="L123" t="str">
        <f ca="1">UPPER($P123&amp;$N123&amp;Q123)</f>
        <v>FBLKCOMP</v>
      </c>
      <c r="N123" s="161" t="str">
        <f ca="1">IF(raw_exchange_data!$A122="","",OFFSET(raw_exchange_data!$A122,0,MATCH(N$2,raw_exchange_data!$1:$1,0)-1))</f>
        <v>COMP</v>
      </c>
      <c r="O123" s="161" t="str">
        <f ca="1">IF(raw_exchange_data!$A122="","",OFFSET(raw_exchange_data!$A122,0,MATCH(O$2,raw_exchange_data!$1:$1,0)-1))</f>
        <v>FBLK</v>
      </c>
      <c r="P123" s="161" t="str">
        <f ca="1">IF(raw_exchange_data!$A122="","",OFFSET(raw_exchange_data!$A122,0,MATCH(P$2,raw_exchange_data!$1:$1,0)-1))</f>
        <v>FBLK</v>
      </c>
      <c r="Q123" s="161" t="str">
        <f ca="1">IF(raw_exchange_data!$A122="","",TEXT(OFFSET(raw_exchange_data!$A122,0,MATCH(Q$2,raw_exchange_data!$1:$1,0)-1),""))</f>
        <v/>
      </c>
      <c r="R123" s="162">
        <f ca="1">IF(raw_exchange_data!$A122="","",OFFSET(raw_exchange_data!$A122,0,MATCH(R$2,raw_exchange_data!$1:$1,0)-1))</f>
        <v>3103.3033653500001</v>
      </c>
      <c r="S123" s="190">
        <f ca="1">IF(raw_exchange_data!$A122="","",OFFSET(raw_exchange_data!$A122,0,MATCH(S$2,raw_exchange_data!$1:$1,0)-1))</f>
        <v>44937.660435150465</v>
      </c>
      <c r="T123" s="161">
        <v>1</v>
      </c>
      <c r="W123" t="str">
        <f t="shared" si="6"/>
        <v>DEFI</v>
      </c>
      <c r="X123" t="str">
        <f t="shared" si="7"/>
        <v>MIM</v>
      </c>
      <c r="Y123" s="42">
        <f t="shared" si="8"/>
        <v>516393.62323616998</v>
      </c>
      <c r="Z123" s="42">
        <f t="shared" ca="1" si="9"/>
        <v>0</v>
      </c>
      <c r="AB123" s="3" t="s">
        <v>444</v>
      </c>
      <c r="AC123" s="32">
        <v>186.88790811999999</v>
      </c>
      <c r="AD123" s="32">
        <v>0</v>
      </c>
    </row>
    <row r="124" spans="1:30" x14ac:dyDescent="0.25">
      <c r="A124" t="str">
        <f>IF(Summary_Exchange_Balances_00UTC!$B123="","",Summary_Exchange_Balances_00UTC!$N123)</f>
        <v>DEFI</v>
      </c>
      <c r="B124" t="str">
        <f>IF(Summary_Exchange_Balances_00UTC!$B123="","",Summary_Exchange_Balances_00UTC!$B123)</f>
        <v>DEFI-STRAT-3</v>
      </c>
      <c r="C124" t="str">
        <f>IF(Summary_Exchange_Balances_00UTC!$B123="","",Summary_Exchange_Balances_00UTC!$E123)</f>
        <v>USDC</v>
      </c>
      <c r="D124" t="str">
        <f>IF(OR(Summary_Exchange_Balances_00UTC!$B123="",Summary_Exchange_Balances_00UTC!$D123=""),"",Summary_Exchange_Balances_00UTC!$D123)</f>
        <v>supply_token</v>
      </c>
      <c r="E124" s="53">
        <f>IF(Summary_Exchange_Balances_00UTC!$B123="","",Summary_Exchange_Balances_00UTC!$C123)</f>
        <v>192885.46117379001</v>
      </c>
      <c r="G124" s="52" t="e">
        <f ca="1">IF(Summary_Exchange_Balances_00UTC!$B123="","",VLOOKUP(IF(ISERROR(SEARCH(" ", $B124)),UPPER($B124&amp;$C124&amp;IF(OR(NOT(ISERROR(SEARCH("trade",$D124))),NOT(ISERROR(SEARCH("balance",$D124)))),"",$D124)),UPPER(LEFT($B124, SEARCH(" ",$B124)-1)&amp;$C124&amp;IF(OR(NOT(ISERROR(SEARCH("trade",$D124))),NOT(ISERROR(SEARCH("balance",$D124)))),"",$D124))),$L:$T,MATCH("balance",$L$2:$S$2,0),FALSE))</f>
        <v>#N/A</v>
      </c>
      <c r="H124" s="35" t="e">
        <f ca="1">IF(Summary_Exchange_Balances_00UTC!$B123="","",(G124-E124)/E124)</f>
        <v>#N/A</v>
      </c>
      <c r="I124" s="165">
        <f ca="1">IF(Summary_Exchange_Balances_00UTC!$B123="","",IF(ISERROR($G124),$E124,$G124))</f>
        <v>192885.46117379001</v>
      </c>
      <c r="K124" t="str">
        <f t="shared" ca="1" si="5"/>
        <v>FBLKCRV</v>
      </c>
      <c r="L124" t="str">
        <f ca="1">UPPER($P124&amp;$N124&amp;Q124)</f>
        <v>FBLKCRV</v>
      </c>
      <c r="N124" s="161" t="str">
        <f ca="1">IF(raw_exchange_data!$A123="","",OFFSET(raw_exchange_data!$A123,0,MATCH(N$2,raw_exchange_data!$1:$1,0)-1))</f>
        <v>CRV</v>
      </c>
      <c r="O124" s="161" t="str">
        <f ca="1">IF(raw_exchange_data!$A123="","",OFFSET(raw_exchange_data!$A123,0,MATCH(O$2,raw_exchange_data!$1:$1,0)-1))</f>
        <v>FBLK</v>
      </c>
      <c r="P124" s="161" t="str">
        <f ca="1">IF(raw_exchange_data!$A123="","",OFFSET(raw_exchange_data!$A123,0,MATCH(P$2,raw_exchange_data!$1:$1,0)-1))</f>
        <v>FBLK</v>
      </c>
      <c r="Q124" s="161" t="str">
        <f ca="1">IF(raw_exchange_data!$A123="","",TEXT(OFFSET(raw_exchange_data!$A123,0,MATCH(Q$2,raw_exchange_data!$1:$1,0)-1),""))</f>
        <v/>
      </c>
      <c r="R124" s="162">
        <f ca="1">IF(raw_exchange_data!$A123="","",OFFSET(raw_exchange_data!$A123,0,MATCH(R$2,raw_exchange_data!$1:$1,0)-1))</f>
        <v>9.7777784334</v>
      </c>
      <c r="S124" s="190">
        <f ca="1">IF(raw_exchange_data!$A123="","",OFFSET(raw_exchange_data!$A123,0,MATCH(S$2,raw_exchange_data!$1:$1,0)-1))</f>
        <v>44937.660435150465</v>
      </c>
      <c r="T124" s="161">
        <v>1</v>
      </c>
      <c r="W124" t="str">
        <f t="shared" si="6"/>
        <v>DEFI</v>
      </c>
      <c r="X124" t="str">
        <f t="shared" si="7"/>
        <v>USDC</v>
      </c>
      <c r="Y124" s="42">
        <f t="shared" si="8"/>
        <v>192885.46117379001</v>
      </c>
      <c r="Z124" s="42">
        <f t="shared" ca="1" si="9"/>
        <v>0</v>
      </c>
      <c r="AB124" s="3" t="s">
        <v>257</v>
      </c>
      <c r="AC124" s="32">
        <v>128.58989367000001</v>
      </c>
      <c r="AD124" s="32">
        <v>0</v>
      </c>
    </row>
    <row r="125" spans="1:30" x14ac:dyDescent="0.25">
      <c r="A125" t="str">
        <f>IF(Summary_Exchange_Balances_00UTC!$B124="","",Summary_Exchange_Balances_00UTC!$N124)</f>
        <v>DEFI</v>
      </c>
      <c r="B125" t="str">
        <f>IF(Summary_Exchange_Balances_00UTC!$B124="","",Summary_Exchange_Balances_00UTC!$B124)</f>
        <v>DEFI-STRAT-3</v>
      </c>
      <c r="C125" t="str">
        <f>IF(Summary_Exchange_Balances_00UTC!$B124="","",Summary_Exchange_Balances_00UTC!$E124)</f>
        <v>USDT</v>
      </c>
      <c r="D125" t="str">
        <f>IF(OR(Summary_Exchange_Balances_00UTC!$B124="",Summary_Exchange_Balances_00UTC!$D124=""),"",Summary_Exchange_Balances_00UTC!$D124)</f>
        <v>supply_token</v>
      </c>
      <c r="E125" s="53">
        <f>IF(Summary_Exchange_Balances_00UTC!$B124="","",Summary_Exchange_Balances_00UTC!$C124)</f>
        <v>132056.27534242999</v>
      </c>
      <c r="G125" s="52" t="e">
        <f ca="1">IF(Summary_Exchange_Balances_00UTC!$B124="","",VLOOKUP(IF(ISERROR(SEARCH(" ", $B125)),UPPER($B125&amp;$C125&amp;IF(OR(NOT(ISERROR(SEARCH("trade",$D125))),NOT(ISERROR(SEARCH("balance",$D125)))),"",$D125)),UPPER(LEFT($B125, SEARCH(" ",$B125)-1)&amp;$C125&amp;IF(OR(NOT(ISERROR(SEARCH("trade",$D125))),NOT(ISERROR(SEARCH("balance",$D125)))),"",$D125))),$L:$T,MATCH("balance",$L$2:$S$2,0),FALSE))</f>
        <v>#N/A</v>
      </c>
      <c r="H125" s="35" t="e">
        <f ca="1">IF(Summary_Exchange_Balances_00UTC!$B124="","",(G125-E125)/E125)</f>
        <v>#N/A</v>
      </c>
      <c r="I125" s="165">
        <f ca="1">IF(Summary_Exchange_Balances_00UTC!$B124="","",IF(ISERROR($G125),$E125,$G125))</f>
        <v>132056.27534242999</v>
      </c>
      <c r="K125" t="str">
        <f t="shared" ca="1" si="5"/>
        <v>FBLKDASH</v>
      </c>
      <c r="L125" t="str">
        <f ca="1">UPPER($P125&amp;$N125&amp;Q125)</f>
        <v>FBLKDASH</v>
      </c>
      <c r="N125" s="161" t="str">
        <f ca="1">IF(raw_exchange_data!$A124="","",OFFSET(raw_exchange_data!$A124,0,MATCH(N$2,raw_exchange_data!$1:$1,0)-1))</f>
        <v>DASH</v>
      </c>
      <c r="O125" s="161" t="str">
        <f ca="1">IF(raw_exchange_data!$A124="","",OFFSET(raw_exchange_data!$A124,0,MATCH(O$2,raw_exchange_data!$1:$1,0)-1))</f>
        <v>FBLK</v>
      </c>
      <c r="P125" s="161" t="str">
        <f ca="1">IF(raw_exchange_data!$A124="","",OFFSET(raw_exchange_data!$A124,0,MATCH(P$2,raw_exchange_data!$1:$1,0)-1))</f>
        <v>FBLK</v>
      </c>
      <c r="Q125" s="161" t="str">
        <f ca="1">IF(raw_exchange_data!$A124="","",TEXT(OFFSET(raw_exchange_data!$A124,0,MATCH(Q$2,raw_exchange_data!$1:$1,0)-1),""))</f>
        <v/>
      </c>
      <c r="R125" s="162">
        <f ca="1">IF(raw_exchange_data!$A124="","",OFFSET(raw_exchange_data!$A124,0,MATCH(R$2,raw_exchange_data!$1:$1,0)-1))</f>
        <v>3.0107491300000002</v>
      </c>
      <c r="S125" s="190">
        <f ca="1">IF(raw_exchange_data!$A124="","",OFFSET(raw_exchange_data!$A124,0,MATCH(S$2,raw_exchange_data!$1:$1,0)-1))</f>
        <v>44937.660435150465</v>
      </c>
      <c r="T125" s="161">
        <v>1</v>
      </c>
      <c r="W125" t="str">
        <f t="shared" si="6"/>
        <v>DEFI</v>
      </c>
      <c r="X125" t="str">
        <f t="shared" si="7"/>
        <v>USDT</v>
      </c>
      <c r="Y125" s="42">
        <f t="shared" si="8"/>
        <v>132056.27534242999</v>
      </c>
      <c r="Z125" s="42">
        <f t="shared" ca="1" si="9"/>
        <v>0</v>
      </c>
      <c r="AB125" s="3" t="s">
        <v>185</v>
      </c>
      <c r="AC125" s="32">
        <v>1644286.05309931</v>
      </c>
      <c r="AD125" s="32">
        <v>1644286.05309931</v>
      </c>
    </row>
    <row r="126" spans="1:30" x14ac:dyDescent="0.25">
      <c r="A126" t="str">
        <f>IF(Summary_Exchange_Balances_00UTC!$B125="","",Summary_Exchange_Balances_00UTC!$N125)</f>
        <v>DEFI</v>
      </c>
      <c r="B126" t="str">
        <f>IF(Summary_Exchange_Balances_00UTC!$B125="","",Summary_Exchange_Balances_00UTC!$B125)</f>
        <v>DEFI-STRAT-4</v>
      </c>
      <c r="C126" t="str">
        <f>IF(Summary_Exchange_Balances_00UTC!$B125="","",Summary_Exchange_Balances_00UTC!$E125)</f>
        <v>ETH</v>
      </c>
      <c r="D126" t="str">
        <f>IF(OR(Summary_Exchange_Balances_00UTC!$B125="",Summary_Exchange_Balances_00UTC!$D125=""),"",Summary_Exchange_Balances_00UTC!$D125)</f>
        <v>wallet</v>
      </c>
      <c r="E126" s="53">
        <f>IF(Summary_Exchange_Balances_00UTC!$B125="","",Summary_Exchange_Balances_00UTC!$C125)</f>
        <v>2.34866376</v>
      </c>
      <c r="G126" s="52" t="e">
        <f ca="1">IF(Summary_Exchange_Balances_00UTC!$B125="","",VLOOKUP(IF(ISERROR(SEARCH(" ", $B126)),UPPER($B126&amp;$C126&amp;IF(OR(NOT(ISERROR(SEARCH("trade",$D126))),NOT(ISERROR(SEARCH("balance",$D126)))),"",$D126)),UPPER(LEFT($B126, SEARCH(" ",$B126)-1)&amp;$C126&amp;IF(OR(NOT(ISERROR(SEARCH("trade",$D126))),NOT(ISERROR(SEARCH("balance",$D126)))),"",$D126))),$L:$T,MATCH("balance",$L$2:$S$2,0),FALSE))</f>
        <v>#N/A</v>
      </c>
      <c r="H126" s="35" t="e">
        <f ca="1">IF(Summary_Exchange_Balances_00UTC!$B125="","",(G126-E126)/E126)</f>
        <v>#N/A</v>
      </c>
      <c r="I126" s="165">
        <f ca="1">IF(Summary_Exchange_Balances_00UTC!$B125="","",IF(ISERROR($G126),$E126,$G126))</f>
        <v>2.34866376</v>
      </c>
      <c r="K126" t="str">
        <f t="shared" ca="1" si="5"/>
        <v>FBLKDOGE</v>
      </c>
      <c r="L126" t="str">
        <f ca="1">UPPER($P126&amp;$N126&amp;Q126)</f>
        <v>FBLKDOGE</v>
      </c>
      <c r="N126" s="161" t="str">
        <f ca="1">IF(raw_exchange_data!$A125="","",OFFSET(raw_exchange_data!$A125,0,MATCH(N$2,raw_exchange_data!$1:$1,0)-1))</f>
        <v>DOGE</v>
      </c>
      <c r="O126" s="161" t="str">
        <f ca="1">IF(raw_exchange_data!$A125="","",OFFSET(raw_exchange_data!$A125,0,MATCH(O$2,raw_exchange_data!$1:$1,0)-1))</f>
        <v>FBLK</v>
      </c>
      <c r="P126" s="161" t="str">
        <f ca="1">IF(raw_exchange_data!$A125="","",OFFSET(raw_exchange_data!$A125,0,MATCH(P$2,raw_exchange_data!$1:$1,0)-1))</f>
        <v>FBLK</v>
      </c>
      <c r="Q126" s="161" t="str">
        <f ca="1">IF(raw_exchange_data!$A125="","",TEXT(OFFSET(raw_exchange_data!$A125,0,MATCH(Q$2,raw_exchange_data!$1:$1,0)-1),""))</f>
        <v/>
      </c>
      <c r="R126" s="162">
        <f ca="1">IF(raw_exchange_data!$A125="","",OFFSET(raw_exchange_data!$A125,0,MATCH(R$2,raw_exchange_data!$1:$1,0)-1))</f>
        <v>43773.598906400002</v>
      </c>
      <c r="S126" s="190">
        <f ca="1">IF(raw_exchange_data!$A125="","",OFFSET(raw_exchange_data!$A125,0,MATCH(S$2,raw_exchange_data!$1:$1,0)-1))</f>
        <v>44937.660435150465</v>
      </c>
      <c r="T126" s="161">
        <v>1</v>
      </c>
      <c r="W126" t="str">
        <f t="shared" si="6"/>
        <v>DEFI</v>
      </c>
      <c r="X126" t="str">
        <f t="shared" si="7"/>
        <v>ETH</v>
      </c>
      <c r="Y126" s="42">
        <f t="shared" si="8"/>
        <v>2.34866376</v>
      </c>
      <c r="Z126" s="42">
        <f t="shared" ca="1" si="9"/>
        <v>0</v>
      </c>
      <c r="AB126" s="3" t="s">
        <v>162</v>
      </c>
      <c r="AC126" s="32">
        <v>97856395.370000005</v>
      </c>
      <c r="AD126" s="32">
        <v>97856395.370000005</v>
      </c>
    </row>
    <row r="127" spans="1:30" x14ac:dyDescent="0.25">
      <c r="A127" t="str">
        <f>IF(Summary_Exchange_Balances_00UTC!$B126="","",Summary_Exchange_Balances_00UTC!$N126)</f>
        <v>DEFI</v>
      </c>
      <c r="B127" t="str">
        <f>IF(Summary_Exchange_Balances_00UTC!$B126="","",Summary_Exchange_Balances_00UTC!$B126)</f>
        <v>DEFI-STRAT-5</v>
      </c>
      <c r="C127" t="str">
        <f>IF(Summary_Exchange_Balances_00UTC!$B126="","",Summary_Exchange_Balances_00UTC!$E126)</f>
        <v>ETH</v>
      </c>
      <c r="D127" t="str">
        <f>IF(OR(Summary_Exchange_Balances_00UTC!$B126="",Summary_Exchange_Balances_00UTC!$D126=""),"",Summary_Exchange_Balances_00UTC!$D126)</f>
        <v>wallet</v>
      </c>
      <c r="E127" s="53">
        <f>IF(Summary_Exchange_Balances_00UTC!$B126="","",Summary_Exchange_Balances_00UTC!$C126)</f>
        <v>9.8779060000000002E-2</v>
      </c>
      <c r="G127" s="52" t="e">
        <f ca="1">IF(Summary_Exchange_Balances_00UTC!$B126="","",VLOOKUP(IF(ISERROR(SEARCH(" ", $B127)),UPPER($B127&amp;$C127&amp;IF(OR(NOT(ISERROR(SEARCH("trade",$D127))),NOT(ISERROR(SEARCH("balance",$D127)))),"",$D127)),UPPER(LEFT($B127, SEARCH(" ",$B127)-1)&amp;$C127&amp;IF(OR(NOT(ISERROR(SEARCH("trade",$D127))),NOT(ISERROR(SEARCH("balance",$D127)))),"",$D127))),$L:$T,MATCH("balance",$L$2:$S$2,0),FALSE))</f>
        <v>#N/A</v>
      </c>
      <c r="H127" s="35" t="e">
        <f ca="1">IF(Summary_Exchange_Balances_00UTC!$B126="","",(G127-E127)/E127)</f>
        <v>#N/A</v>
      </c>
      <c r="I127" s="165">
        <f ca="1">IF(Summary_Exchange_Balances_00UTC!$B126="","",IF(ISERROR($G127),$E127,$G127))</f>
        <v>9.8779060000000002E-2</v>
      </c>
      <c r="K127" t="str">
        <f t="shared" ca="1" si="5"/>
        <v>FBLKDOT</v>
      </c>
      <c r="L127" t="str">
        <f ca="1">UPPER($P127&amp;$N127&amp;Q127)</f>
        <v>FBLKDOT</v>
      </c>
      <c r="N127" s="161" t="str">
        <f ca="1">IF(raw_exchange_data!$A126="","",OFFSET(raw_exchange_data!$A126,0,MATCH(N$2,raw_exchange_data!$1:$1,0)-1))</f>
        <v>DOT</v>
      </c>
      <c r="O127" s="161" t="str">
        <f ca="1">IF(raw_exchange_data!$A126="","",OFFSET(raw_exchange_data!$A126,0,MATCH(O$2,raw_exchange_data!$1:$1,0)-1))</f>
        <v>FBLK</v>
      </c>
      <c r="P127" s="161" t="str">
        <f ca="1">IF(raw_exchange_data!$A126="","",OFFSET(raw_exchange_data!$A126,0,MATCH(P$2,raw_exchange_data!$1:$1,0)-1))</f>
        <v>FBLK</v>
      </c>
      <c r="Q127" s="161" t="str">
        <f ca="1">IF(raw_exchange_data!$A126="","",TEXT(OFFSET(raw_exchange_data!$A126,0,MATCH(Q$2,raw_exchange_data!$1:$1,0)-1),""))</f>
        <v/>
      </c>
      <c r="R127" s="162">
        <f ca="1">IF(raw_exchange_data!$A126="","",OFFSET(raw_exchange_data!$A126,0,MATCH(R$2,raw_exchange_data!$1:$1,0)-1))</f>
        <v>479.1824984754</v>
      </c>
      <c r="S127" s="190">
        <f ca="1">IF(raw_exchange_data!$A126="","",OFFSET(raw_exchange_data!$A126,0,MATCH(S$2,raw_exchange_data!$1:$1,0)-1))</f>
        <v>44937.660435150465</v>
      </c>
      <c r="T127" s="161">
        <v>1</v>
      </c>
      <c r="W127" t="str">
        <f t="shared" si="6"/>
        <v>DEFI</v>
      </c>
      <c r="X127" t="str">
        <f t="shared" si="7"/>
        <v>ETH</v>
      </c>
      <c r="Y127" s="42">
        <f t="shared" si="8"/>
        <v>9.8779060000000002E-2</v>
      </c>
      <c r="Z127" s="42">
        <f t="shared" ca="1" si="9"/>
        <v>0</v>
      </c>
      <c r="AB127" s="3" t="s">
        <v>163</v>
      </c>
      <c r="AC127" s="32">
        <v>355.41464647010434</v>
      </c>
      <c r="AD127" s="32">
        <v>-99602.393400219968</v>
      </c>
    </row>
    <row r="128" spans="1:30" x14ac:dyDescent="0.25">
      <c r="A128" t="str">
        <f>IF(Summary_Exchange_Balances_00UTC!$B127="","",Summary_Exchange_Balances_00UTC!$N127)</f>
        <v>DEFI</v>
      </c>
      <c r="B128" t="str">
        <f>IF(Summary_Exchange_Balances_00UTC!$B127="","",Summary_Exchange_Balances_00UTC!$B127)</f>
        <v>DEFI-STRAT-5</v>
      </c>
      <c r="C128" t="str">
        <f>IF(Summary_Exchange_Balances_00UTC!$B127="","",Summary_Exchange_Balances_00UTC!$E127)</f>
        <v>OBALUSDC/BAL-30DEC22-7.6C</v>
      </c>
      <c r="D128" t="str">
        <f>IF(OR(Summary_Exchange_Balances_00UTC!$B127="",Summary_Exchange_Balances_00UTC!$D127=""),"",Summary_Exchange_Balances_00UTC!$D127)</f>
        <v>wallet</v>
      </c>
      <c r="E128" s="53">
        <f>IF(Summary_Exchange_Balances_00UTC!$B127="","",Summary_Exchange_Balances_00UTC!$C127)</f>
        <v>196525.25441796001</v>
      </c>
      <c r="G128" s="52" t="e">
        <f ca="1">IF(Summary_Exchange_Balances_00UTC!$B127="","",VLOOKUP(IF(ISERROR(SEARCH(" ", $B128)),UPPER($B128&amp;$C128&amp;IF(OR(NOT(ISERROR(SEARCH("trade",$D128))),NOT(ISERROR(SEARCH("balance",$D128)))),"",$D128)),UPPER(LEFT($B128, SEARCH(" ",$B128)-1)&amp;$C128&amp;IF(OR(NOT(ISERROR(SEARCH("trade",$D128))),NOT(ISERROR(SEARCH("balance",$D128)))),"",$D128))),$L:$T,MATCH("balance",$L$2:$S$2,0),FALSE))</f>
        <v>#N/A</v>
      </c>
      <c r="H128" s="35" t="e">
        <f ca="1">IF(Summary_Exchange_Balances_00UTC!$B127="","",(G128-E128)/E128)</f>
        <v>#N/A</v>
      </c>
      <c r="I128" s="165">
        <f ca="1">IF(Summary_Exchange_Balances_00UTC!$B127="","",IF(ISERROR($G128),$E128,$G128))</f>
        <v>196525.25441796001</v>
      </c>
      <c r="K128" t="str">
        <f t="shared" ca="1" si="5"/>
        <v>FBLKENJ</v>
      </c>
      <c r="L128" t="str">
        <f ca="1">UPPER($P128&amp;$N128&amp;Q128)</f>
        <v>FBLKENJ</v>
      </c>
      <c r="N128" s="161" t="str">
        <f ca="1">IF(raw_exchange_data!$A127="","",OFFSET(raw_exchange_data!$A127,0,MATCH(N$2,raw_exchange_data!$1:$1,0)-1))</f>
        <v>ENJ</v>
      </c>
      <c r="O128" s="161" t="str">
        <f ca="1">IF(raw_exchange_data!$A127="","",OFFSET(raw_exchange_data!$A127,0,MATCH(O$2,raw_exchange_data!$1:$1,0)-1))</f>
        <v>FBLK</v>
      </c>
      <c r="P128" s="161" t="str">
        <f ca="1">IF(raw_exchange_data!$A127="","",OFFSET(raw_exchange_data!$A127,0,MATCH(P$2,raw_exchange_data!$1:$1,0)-1))</f>
        <v>FBLK</v>
      </c>
      <c r="Q128" s="161" t="str">
        <f ca="1">IF(raw_exchange_data!$A127="","",TEXT(OFFSET(raw_exchange_data!$A127,0,MATCH(Q$2,raw_exchange_data!$1:$1,0)-1),""))</f>
        <v/>
      </c>
      <c r="R128" s="162">
        <f ca="1">IF(raw_exchange_data!$A127="","",OFFSET(raw_exchange_data!$A127,0,MATCH(R$2,raw_exchange_data!$1:$1,0)-1))</f>
        <v>2329.31244242</v>
      </c>
      <c r="S128" s="190">
        <f ca="1">IF(raw_exchange_data!$A127="","",OFFSET(raw_exchange_data!$A127,0,MATCH(S$2,raw_exchange_data!$1:$1,0)-1))</f>
        <v>44937.660435150465</v>
      </c>
      <c r="T128" s="161">
        <v>1</v>
      </c>
      <c r="W128" t="str">
        <f t="shared" si="6"/>
        <v>DEFI</v>
      </c>
      <c r="X128" t="str">
        <f t="shared" si="7"/>
        <v>OBALUSDC/BAL-30DEC22-7.6C</v>
      </c>
      <c r="Y128" s="42">
        <f t="shared" si="8"/>
        <v>196525.25441796001</v>
      </c>
      <c r="Z128" s="42">
        <f t="shared" ca="1" si="9"/>
        <v>0</v>
      </c>
      <c r="AB128" s="3" t="s">
        <v>99</v>
      </c>
      <c r="AC128" s="32">
        <v>115731.34253438999</v>
      </c>
      <c r="AD128" s="32">
        <v>123629.42897977444</v>
      </c>
    </row>
    <row r="129" spans="1:30" x14ac:dyDescent="0.25">
      <c r="A129" t="str">
        <f>IF(Summary_Exchange_Balances_00UTC!$B128="","",Summary_Exchange_Balances_00UTC!$N128)</f>
        <v>DEFI</v>
      </c>
      <c r="B129" t="str">
        <f>IF(Summary_Exchange_Balances_00UTC!$B128="","",Summary_Exchange_Balances_00UTC!$B128)</f>
        <v>DEFI-STRAT-5</v>
      </c>
      <c r="C129" t="str">
        <f>IF(Summary_Exchange_Balances_00UTC!$B128="","",Summary_Exchange_Balances_00UTC!$E128)</f>
        <v>OPERPUSDC/PERP-30DEC22-0.54C</v>
      </c>
      <c r="D129" t="str">
        <f>IF(OR(Summary_Exchange_Balances_00UTC!$B128="",Summary_Exchange_Balances_00UTC!$D128=""),"",Summary_Exchange_Balances_00UTC!$D128)</f>
        <v>wallet</v>
      </c>
      <c r="E129" s="53">
        <f>IF(Summary_Exchange_Balances_00UTC!$B128="","",Summary_Exchange_Balances_00UTC!$C128)</f>
        <v>201000.92417708001</v>
      </c>
      <c r="G129" s="52" t="e">
        <f ca="1">IF(Summary_Exchange_Balances_00UTC!$B128="","",VLOOKUP(IF(ISERROR(SEARCH(" ", $B129)),UPPER($B129&amp;$C129&amp;IF(OR(NOT(ISERROR(SEARCH("trade",$D129))),NOT(ISERROR(SEARCH("balance",$D129)))),"",$D129)),UPPER(LEFT($B129, SEARCH(" ",$B129)-1)&amp;$C129&amp;IF(OR(NOT(ISERROR(SEARCH("trade",$D129))),NOT(ISERROR(SEARCH("balance",$D129)))),"",$D129))),$L:$T,MATCH("balance",$L$2:$S$2,0),FALSE))</f>
        <v>#N/A</v>
      </c>
      <c r="H129" s="35" t="e">
        <f ca="1">IF(Summary_Exchange_Balances_00UTC!$B128="","",(G129-E129)/E129)</f>
        <v>#N/A</v>
      </c>
      <c r="I129" s="165">
        <f ca="1">IF(Summary_Exchange_Balances_00UTC!$B128="","",IF(ISERROR($G129),$E129,$G129))</f>
        <v>201000.92417708001</v>
      </c>
      <c r="K129" t="str">
        <f t="shared" ca="1" si="5"/>
        <v>FBLKEOS</v>
      </c>
      <c r="L129" t="str">
        <f ca="1">UPPER($P129&amp;$N129&amp;Q129)</f>
        <v>FBLKEOS</v>
      </c>
      <c r="N129" s="161" t="str">
        <f ca="1">IF(raw_exchange_data!$A128="","",OFFSET(raw_exchange_data!$A128,0,MATCH(N$2,raw_exchange_data!$1:$1,0)-1))</f>
        <v>EOS</v>
      </c>
      <c r="O129" s="161" t="str">
        <f ca="1">IF(raw_exchange_data!$A128="","",OFFSET(raw_exchange_data!$A128,0,MATCH(O$2,raw_exchange_data!$1:$1,0)-1))</f>
        <v>FBLK</v>
      </c>
      <c r="P129" s="161" t="str">
        <f ca="1">IF(raw_exchange_data!$A128="","",OFFSET(raw_exchange_data!$A128,0,MATCH(P$2,raw_exchange_data!$1:$1,0)-1))</f>
        <v>FBLK</v>
      </c>
      <c r="Q129" s="161" t="str">
        <f ca="1">IF(raw_exchange_data!$A128="","",TEXT(OFFSET(raw_exchange_data!$A128,0,MATCH(Q$2,raw_exchange_data!$1:$1,0)-1),""))</f>
        <v/>
      </c>
      <c r="R129" s="162">
        <f ca="1">IF(raw_exchange_data!$A128="","",OFFSET(raw_exchange_data!$A128,0,MATCH(R$2,raw_exchange_data!$1:$1,0)-1))</f>
        <v>186334.70740000001</v>
      </c>
      <c r="S129" s="190">
        <f ca="1">IF(raw_exchange_data!$A128="","",OFFSET(raw_exchange_data!$A128,0,MATCH(S$2,raw_exchange_data!$1:$1,0)-1))</f>
        <v>44937.660435150465</v>
      </c>
      <c r="T129" s="161">
        <v>1</v>
      </c>
      <c r="W129" t="str">
        <f t="shared" si="6"/>
        <v>DEFI</v>
      </c>
      <c r="X129" t="str">
        <f t="shared" si="7"/>
        <v>OPERPUSDC/PERP-30DEC22-0.54C</v>
      </c>
      <c r="Y129" s="42">
        <f t="shared" si="8"/>
        <v>201000.92417708001</v>
      </c>
      <c r="Z129" s="42">
        <f t="shared" ca="1" si="9"/>
        <v>0</v>
      </c>
      <c r="AB129" s="3" t="s">
        <v>164</v>
      </c>
      <c r="AC129" s="32">
        <v>8.7958720900060143</v>
      </c>
      <c r="AD129" s="32">
        <v>-5007.3964439100018</v>
      </c>
    </row>
    <row r="130" spans="1:30" x14ac:dyDescent="0.25">
      <c r="A130" t="str">
        <f>IF(Summary_Exchange_Balances_00UTC!$B129="","",Summary_Exchange_Balances_00UTC!$N129)</f>
        <v>DEFI</v>
      </c>
      <c r="B130" t="str">
        <f>IF(Summary_Exchange_Balances_00UTC!$B129="","",Summary_Exchange_Balances_00UTC!$B129)</f>
        <v>DEFI-STRAT-5</v>
      </c>
      <c r="C130" t="str">
        <f>IF(Summary_Exchange_Balances_00UTC!$B129="","",Summary_Exchange_Balances_00UTC!$E129)</f>
        <v>OSPELLUSDC/SPELL-30DEC22-0.00079C</v>
      </c>
      <c r="D130" t="str">
        <f>IF(OR(Summary_Exchange_Balances_00UTC!$B129="",Summary_Exchange_Balances_00UTC!$D129=""),"",Summary_Exchange_Balances_00UTC!$D129)</f>
        <v>wallet</v>
      </c>
      <c r="E130" s="53">
        <f>IF(Summary_Exchange_Balances_00UTC!$B129="","",Summary_Exchange_Balances_00UTC!$C129)</f>
        <v>100050250.667</v>
      </c>
      <c r="G130" s="52" t="e">
        <f ca="1">IF(Summary_Exchange_Balances_00UTC!$B129="","",VLOOKUP(IF(ISERROR(SEARCH(" ", $B130)),UPPER($B130&amp;$C130&amp;IF(OR(NOT(ISERROR(SEARCH("trade",$D130))),NOT(ISERROR(SEARCH("balance",$D130)))),"",$D130)),UPPER(LEFT($B130, SEARCH(" ",$B130)-1)&amp;$C130&amp;IF(OR(NOT(ISERROR(SEARCH("trade",$D130))),NOT(ISERROR(SEARCH("balance",$D130)))),"",$D130))),$L:$T,MATCH("balance",$L$2:$S$2,0),FALSE))</f>
        <v>#N/A</v>
      </c>
      <c r="H130" s="35" t="e">
        <f ca="1">IF(Summary_Exchange_Balances_00UTC!$B129="","",(G130-E130)/E130)</f>
        <v>#N/A</v>
      </c>
      <c r="I130" s="165">
        <f ca="1">IF(Summary_Exchange_Balances_00UTC!$B129="","",IF(ISERROR($G130),$E130,$G130))</f>
        <v>100050250.667</v>
      </c>
      <c r="K130" t="str">
        <f t="shared" ca="1" si="5"/>
        <v>FBLKETC</v>
      </c>
      <c r="L130" t="str">
        <f ca="1">UPPER($P130&amp;$N130&amp;Q130)</f>
        <v>FBLKETC</v>
      </c>
      <c r="N130" s="161" t="str">
        <f ca="1">IF(raw_exchange_data!$A129="","",OFFSET(raw_exchange_data!$A129,0,MATCH(N$2,raw_exchange_data!$1:$1,0)-1))</f>
        <v>ETC</v>
      </c>
      <c r="O130" s="161" t="str">
        <f ca="1">IF(raw_exchange_data!$A129="","",OFFSET(raw_exchange_data!$A129,0,MATCH(O$2,raw_exchange_data!$1:$1,0)-1))</f>
        <v>FBLK</v>
      </c>
      <c r="P130" s="161" t="str">
        <f ca="1">IF(raw_exchange_data!$A129="","",OFFSET(raw_exchange_data!$A129,0,MATCH(P$2,raw_exchange_data!$1:$1,0)-1))</f>
        <v>FBLK</v>
      </c>
      <c r="Q130" s="161" t="str">
        <f ca="1">IF(raw_exchange_data!$A129="","",TEXT(OFFSET(raw_exchange_data!$A129,0,MATCH(Q$2,raw_exchange_data!$1:$1,0)-1),""))</f>
        <v/>
      </c>
      <c r="R130" s="162">
        <f ca="1">IF(raw_exchange_data!$A129="","",OFFSET(raw_exchange_data!$A129,0,MATCH(R$2,raw_exchange_data!$1:$1,0)-1))</f>
        <v>98844.463872979206</v>
      </c>
      <c r="S130" s="190">
        <f ca="1">IF(raw_exchange_data!$A129="","",OFFSET(raw_exchange_data!$A129,0,MATCH(S$2,raw_exchange_data!$1:$1,0)-1))</f>
        <v>44937.660435150465</v>
      </c>
      <c r="T130" s="161">
        <v>1</v>
      </c>
      <c r="W130" t="str">
        <f t="shared" si="6"/>
        <v>DEFI</v>
      </c>
      <c r="X130" t="str">
        <f t="shared" si="7"/>
        <v>OSPELLUSDC/SPELL-30DEC22-0.00079C</v>
      </c>
      <c r="Y130" s="42">
        <f t="shared" si="8"/>
        <v>100050250.667</v>
      </c>
      <c r="Z130" s="42">
        <f t="shared" ca="1" si="9"/>
        <v>0</v>
      </c>
      <c r="AB130" s="3" t="s">
        <v>171</v>
      </c>
      <c r="AC130" s="32">
        <v>4.27005619</v>
      </c>
      <c r="AD130" s="32">
        <v>0.19185679999999999</v>
      </c>
    </row>
    <row r="131" spans="1:30" x14ac:dyDescent="0.25">
      <c r="A131" t="str">
        <f>IF(Summary_Exchange_Balances_00UTC!$B130="","",Summary_Exchange_Balances_00UTC!$N130)</f>
        <v>DEFI</v>
      </c>
      <c r="B131" t="str">
        <f>IF(Summary_Exchange_Balances_00UTC!$B130="","",Summary_Exchange_Balances_00UTC!$B130)</f>
        <v>DEFI-STRAT-6</v>
      </c>
      <c r="C131" t="str">
        <f>IF(Summary_Exchange_Balances_00UTC!$B130="","",Summary_Exchange_Balances_00UTC!$E130)</f>
        <v>CRV</v>
      </c>
      <c r="D131" t="str">
        <f>IF(OR(Summary_Exchange_Balances_00UTC!$B130="",Summary_Exchange_Balances_00UTC!$D130=""),"",Summary_Exchange_Balances_00UTC!$D130)</f>
        <v>reward_token</v>
      </c>
      <c r="E131" s="53">
        <f>IF(Summary_Exchange_Balances_00UTC!$B130="","",Summary_Exchange_Balances_00UTC!$C130)</f>
        <v>82.967645259999998</v>
      </c>
      <c r="G131" s="52" t="e">
        <f ca="1">IF(Summary_Exchange_Balances_00UTC!$B130="","",VLOOKUP(IF(ISERROR(SEARCH(" ", $B131)),UPPER($B131&amp;$C131&amp;IF(OR(NOT(ISERROR(SEARCH("trade",$D131))),NOT(ISERROR(SEARCH("balance",$D131)))),"",$D131)),UPPER(LEFT($B131, SEARCH(" ",$B131)-1)&amp;$C131&amp;IF(OR(NOT(ISERROR(SEARCH("trade",$D131))),NOT(ISERROR(SEARCH("balance",$D131)))),"",$D131))),$L:$T,MATCH("balance",$L$2:$S$2,0),FALSE))</f>
        <v>#N/A</v>
      </c>
      <c r="H131" s="35" t="e">
        <f ca="1">IF(Summary_Exchange_Balances_00UTC!$B130="","",(G131-E131)/E131)</f>
        <v>#N/A</v>
      </c>
      <c r="I131" s="165">
        <f ca="1">IF(Summary_Exchange_Balances_00UTC!$B130="","",IF(ISERROR($G131),$E131,$G131))</f>
        <v>82.967645259999998</v>
      </c>
      <c r="K131" t="str">
        <f t="shared" ref="K131:K194" ca="1" si="10">UPPER($O131&amp;$N131)</f>
        <v>FBLKETH</v>
      </c>
      <c r="L131" t="str">
        <f ca="1">UPPER($P131&amp;$N131&amp;Q131)</f>
        <v>FBLKETH</v>
      </c>
      <c r="N131" s="161" t="str">
        <f ca="1">IF(raw_exchange_data!$A130="","",OFFSET(raw_exchange_data!$A130,0,MATCH(N$2,raw_exchange_data!$1:$1,0)-1))</f>
        <v>ETH</v>
      </c>
      <c r="O131" s="161" t="str">
        <f ca="1">IF(raw_exchange_data!$A130="","",OFFSET(raw_exchange_data!$A130,0,MATCH(O$2,raw_exchange_data!$1:$1,0)-1))</f>
        <v>FBLK</v>
      </c>
      <c r="P131" s="161" t="str">
        <f ca="1">IF(raw_exchange_data!$A130="","",OFFSET(raw_exchange_data!$A130,0,MATCH(P$2,raw_exchange_data!$1:$1,0)-1))</f>
        <v>FBLK</v>
      </c>
      <c r="Q131" s="161" t="str">
        <f ca="1">IF(raw_exchange_data!$A130="","",TEXT(OFFSET(raw_exchange_data!$A130,0,MATCH(Q$2,raw_exchange_data!$1:$1,0)-1),""))</f>
        <v/>
      </c>
      <c r="R131" s="162">
        <f ca="1">IF(raw_exchange_data!$A130="","",OFFSET(raw_exchange_data!$A130,0,MATCH(R$2,raw_exchange_data!$1:$1,0)-1))</f>
        <v>638.44672550229996</v>
      </c>
      <c r="S131" s="190">
        <f ca="1">IF(raw_exchange_data!$A130="","",OFFSET(raw_exchange_data!$A130,0,MATCH(S$2,raw_exchange_data!$1:$1,0)-1))</f>
        <v>44937.660435150465</v>
      </c>
      <c r="T131" s="161">
        <v>1</v>
      </c>
      <c r="W131" t="str">
        <f t="shared" si="6"/>
        <v>DEFI</v>
      </c>
      <c r="X131" t="str">
        <f t="shared" si="7"/>
        <v>CRV</v>
      </c>
      <c r="Y131" s="42">
        <f t="shared" si="8"/>
        <v>82.967645259999998</v>
      </c>
      <c r="Z131" s="42">
        <f t="shared" ca="1" si="9"/>
        <v>0</v>
      </c>
      <c r="AB131" s="3" t="s">
        <v>117</v>
      </c>
      <c r="AC131" s="32">
        <v>1.572583E-2</v>
      </c>
      <c r="AD131" s="32">
        <v>1.572583E-2</v>
      </c>
    </row>
    <row r="132" spans="1:30" x14ac:dyDescent="0.25">
      <c r="A132" t="str">
        <f>IF(Summary_Exchange_Balances_00UTC!$B131="","",Summary_Exchange_Balances_00UTC!$N131)</f>
        <v>DEFI</v>
      </c>
      <c r="B132" t="str">
        <f>IF(Summary_Exchange_Balances_00UTC!$B131="","",Summary_Exchange_Balances_00UTC!$B131)</f>
        <v>DEFI-STRAT-6</v>
      </c>
      <c r="C132" t="str">
        <f>IF(Summary_Exchange_Balances_00UTC!$B131="","",Summary_Exchange_Balances_00UTC!$E131)</f>
        <v>CVX</v>
      </c>
      <c r="D132" t="str">
        <f>IF(OR(Summary_Exchange_Balances_00UTC!$B131="",Summary_Exchange_Balances_00UTC!$D131=""),"",Summary_Exchange_Balances_00UTC!$D131)</f>
        <v>reward_token</v>
      </c>
      <c r="E132" s="52">
        <f>IF(Summary_Exchange_Balances_00UTC!$B131="","",Summary_Exchange_Balances_00UTC!$C131)</f>
        <v>3.47592108</v>
      </c>
      <c r="G132" s="52" t="e">
        <f ca="1">IF(Summary_Exchange_Balances_00UTC!$B131="","",VLOOKUP(IF(ISERROR(SEARCH(" ", $B132)),UPPER($B132&amp;$C132&amp;IF(OR(NOT(ISERROR(SEARCH("trade",$D132))),NOT(ISERROR(SEARCH("balance",$D132)))),"",$D132)),UPPER(LEFT($B132, SEARCH(" ",$B132)-1)&amp;$C132&amp;IF(OR(NOT(ISERROR(SEARCH("trade",$D132))),NOT(ISERROR(SEARCH("balance",$D132)))),"",$D132))),$L:$T,MATCH("balance",$L$2:$S$2,0),FALSE))</f>
        <v>#N/A</v>
      </c>
      <c r="H132" s="35" t="e">
        <f ca="1">IF(Summary_Exchange_Balances_00UTC!$B131="","",(G132-E132)/E132)</f>
        <v>#N/A</v>
      </c>
      <c r="I132" s="165">
        <f ca="1">IF(Summary_Exchange_Balances_00UTC!$B131="","",IF(ISERROR($G132),$E132,$G132))</f>
        <v>3.47592108</v>
      </c>
      <c r="K132" t="str">
        <f t="shared" ca="1" si="10"/>
        <v>FBLKETHW</v>
      </c>
      <c r="L132" t="str">
        <f ca="1">UPPER($P132&amp;$N132&amp;Q132)</f>
        <v>FBLKETHW</v>
      </c>
      <c r="N132" s="161" t="str">
        <f ca="1">IF(raw_exchange_data!$A131="","",OFFSET(raw_exchange_data!$A131,0,MATCH(N$2,raw_exchange_data!$1:$1,0)-1))</f>
        <v>ETHW</v>
      </c>
      <c r="O132" s="161" t="str">
        <f ca="1">IF(raw_exchange_data!$A131="","",OFFSET(raw_exchange_data!$A131,0,MATCH(O$2,raw_exchange_data!$1:$1,0)-1))</f>
        <v>FBLK</v>
      </c>
      <c r="P132" s="161" t="str">
        <f ca="1">IF(raw_exchange_data!$A131="","",OFFSET(raw_exchange_data!$A131,0,MATCH(P$2,raw_exchange_data!$1:$1,0)-1))</f>
        <v>FBLK</v>
      </c>
      <c r="Q132" s="161" t="str">
        <f ca="1">IF(raw_exchange_data!$A131="","",TEXT(OFFSET(raw_exchange_data!$A131,0,MATCH(Q$2,raw_exchange_data!$1:$1,0)-1),""))</f>
        <v/>
      </c>
      <c r="R132" s="162">
        <f ca="1">IF(raw_exchange_data!$A131="","",OFFSET(raw_exchange_data!$A131,0,MATCH(R$2,raw_exchange_data!$1:$1,0)-1))</f>
        <v>1271.8180884257999</v>
      </c>
      <c r="S132" s="190">
        <f ca="1">IF(raw_exchange_data!$A131="","",OFFSET(raw_exchange_data!$A131,0,MATCH(S$2,raw_exchange_data!$1:$1,0)-1))</f>
        <v>44937.660435150465</v>
      </c>
      <c r="T132" s="161">
        <v>1</v>
      </c>
      <c r="W132" t="str">
        <f t="shared" ref="W132:W195" si="11">IF($A132="","",$A132)</f>
        <v>DEFI</v>
      </c>
      <c r="X132" t="str">
        <f t="shared" ref="X132:X195" si="12">IF($A132="","",$C132)</f>
        <v>CVX</v>
      </c>
      <c r="Y132" s="42">
        <f t="shared" ref="Y132:Y195" si="13">IF($A132="","",$E132)</f>
        <v>3.47592108</v>
      </c>
      <c r="Z132" s="42">
        <f t="shared" ref="Z132:Z195" ca="1" si="14">IF($A132="","",IF(ISERROR($G132),0,$G132))</f>
        <v>0</v>
      </c>
      <c r="AB132" s="3" t="s">
        <v>165</v>
      </c>
      <c r="AC132" s="32">
        <v>2.173E-4</v>
      </c>
      <c r="AD132" s="32">
        <v>2.173E-4</v>
      </c>
    </row>
    <row r="133" spans="1:30" x14ac:dyDescent="0.25">
      <c r="A133" t="str">
        <f>IF(Summary_Exchange_Balances_00UTC!$B132="","",Summary_Exchange_Balances_00UTC!$N132)</f>
        <v>DEFI</v>
      </c>
      <c r="B133" t="str">
        <f>IF(Summary_Exchange_Balances_00UTC!$B132="","",Summary_Exchange_Balances_00UTC!$B132)</f>
        <v>DEFI-STRAT-6</v>
      </c>
      <c r="C133" t="str">
        <f>IF(Summary_Exchange_Balances_00UTC!$B132="","",Summary_Exchange_Balances_00UTC!$E132)</f>
        <v>ETH</v>
      </c>
      <c r="D133" t="str">
        <f>IF(OR(Summary_Exchange_Balances_00UTC!$B132="",Summary_Exchange_Balances_00UTC!$D132=""),"",Summary_Exchange_Balances_00UTC!$D132)</f>
        <v>supply_token</v>
      </c>
      <c r="E133" s="52">
        <f>IF(Summary_Exchange_Balances_00UTC!$B132="","",Summary_Exchange_Balances_00UTC!$C132)</f>
        <v>502.25244882999999</v>
      </c>
      <c r="G133" s="52" t="e">
        <f ca="1">IF(Summary_Exchange_Balances_00UTC!$B132="","",VLOOKUP(IF(ISERROR(SEARCH(" ", $B133)),UPPER($B133&amp;$C133&amp;IF(OR(NOT(ISERROR(SEARCH("trade",$D133))),NOT(ISERROR(SEARCH("balance",$D133)))),"",$D133)),UPPER(LEFT($B133, SEARCH(" ",$B133)-1)&amp;$C133&amp;IF(OR(NOT(ISERROR(SEARCH("trade",$D133))),NOT(ISERROR(SEARCH("balance",$D133)))),"",$D133))),$L:$T,MATCH("balance",$L$2:$S$2,0),FALSE))</f>
        <v>#N/A</v>
      </c>
      <c r="H133" s="35" t="e">
        <f ca="1">IF(Summary_Exchange_Balances_00UTC!$B132="","",(G133-E133)/E133)</f>
        <v>#N/A</v>
      </c>
      <c r="I133" s="165">
        <f ca="1">IF(Summary_Exchange_Balances_00UTC!$B132="","",IF(ISERROR($G133),$E133,$G133))</f>
        <v>502.25244882999999</v>
      </c>
      <c r="K133" t="str">
        <f t="shared" ca="1" si="10"/>
        <v>FBLKEUROC_ETH_F5NG</v>
      </c>
      <c r="L133" t="str">
        <f ca="1">UPPER($P133&amp;$N133&amp;Q133)</f>
        <v>FBLKEUROC_ETH_F5NG</v>
      </c>
      <c r="N133" s="161" t="str">
        <f ca="1">IF(raw_exchange_data!$A132="","",OFFSET(raw_exchange_data!$A132,0,MATCH(N$2,raw_exchange_data!$1:$1,0)-1))</f>
        <v>EUROC_ETH_F5NG</v>
      </c>
      <c r="O133" s="161" t="str">
        <f ca="1">IF(raw_exchange_data!$A132="","",OFFSET(raw_exchange_data!$A132,0,MATCH(O$2,raw_exchange_data!$1:$1,0)-1))</f>
        <v>FBLK</v>
      </c>
      <c r="P133" s="161" t="str">
        <f ca="1">IF(raw_exchange_data!$A132="","",OFFSET(raw_exchange_data!$A132,0,MATCH(P$2,raw_exchange_data!$1:$1,0)-1))</f>
        <v>FBLK</v>
      </c>
      <c r="Q133" s="161" t="str">
        <f ca="1">IF(raw_exchange_data!$A132="","",TEXT(OFFSET(raw_exchange_data!$A132,0,MATCH(Q$2,raw_exchange_data!$1:$1,0)-1),""))</f>
        <v/>
      </c>
      <c r="R133" s="162">
        <f ca="1">IF(raw_exchange_data!$A132="","",OFFSET(raw_exchange_data!$A132,0,MATCH(R$2,raw_exchange_data!$1:$1,0)-1))</f>
        <v>235746.127034</v>
      </c>
      <c r="S133" s="190">
        <f ca="1">IF(raw_exchange_data!$A132="","",OFFSET(raw_exchange_data!$A132,0,MATCH(S$2,raw_exchange_data!$1:$1,0)-1))</f>
        <v>44937.660435150465</v>
      </c>
      <c r="T133" s="161">
        <v>1</v>
      </c>
      <c r="W133" t="str">
        <f t="shared" si="11"/>
        <v>DEFI</v>
      </c>
      <c r="X133" t="str">
        <f t="shared" si="12"/>
        <v>ETH</v>
      </c>
      <c r="Y133" s="42">
        <f t="shared" si="13"/>
        <v>502.25244882999999</v>
      </c>
      <c r="Z133" s="42">
        <f t="shared" ca="1" si="14"/>
        <v>0</v>
      </c>
      <c r="AB133" s="3" t="s">
        <v>26</v>
      </c>
      <c r="AC133" s="32">
        <v>3832581.3859450296</v>
      </c>
      <c r="AD133" s="32">
        <v>20828495.06060975</v>
      </c>
    </row>
    <row r="134" spans="1:30" x14ac:dyDescent="0.25">
      <c r="A134" t="str">
        <f>IF(Summary_Exchange_Balances_00UTC!$B133="","",Summary_Exchange_Balances_00UTC!$N133)</f>
        <v>DEFI</v>
      </c>
      <c r="B134" t="str">
        <f>IF(Summary_Exchange_Balances_00UTC!$B133="","",Summary_Exchange_Balances_00UTC!$B133)</f>
        <v>DEFI-STRAT-6</v>
      </c>
      <c r="C134" t="str">
        <f>IF(Summary_Exchange_Balances_00UTC!$B133="","",Summary_Exchange_Balances_00UTC!$E133)</f>
        <v>ETH</v>
      </c>
      <c r="D134" t="str">
        <f>IF(OR(Summary_Exchange_Balances_00UTC!$B133="",Summary_Exchange_Balances_00UTC!$D133=""),"",Summary_Exchange_Balances_00UTC!$D133)</f>
        <v>wallet</v>
      </c>
      <c r="E134" s="52">
        <f>IF(Summary_Exchange_Balances_00UTC!$B133="","",Summary_Exchange_Balances_00UTC!$C133)</f>
        <v>8.0888086799999996</v>
      </c>
      <c r="G134" s="52" t="e">
        <f ca="1">IF(Summary_Exchange_Balances_00UTC!$B133="","",VLOOKUP(IF(ISERROR(SEARCH(" ", $B134)),UPPER($B134&amp;$C134&amp;IF(OR(NOT(ISERROR(SEARCH("trade",$D134))),NOT(ISERROR(SEARCH("balance",$D134)))),"",$D134)),UPPER(LEFT($B134, SEARCH(" ",$B134)-1)&amp;$C134&amp;IF(OR(NOT(ISERROR(SEARCH("trade",$D134))),NOT(ISERROR(SEARCH("balance",$D134)))),"",$D134))),$L:$T,MATCH("balance",$L$2:$S$2,0),FALSE))</f>
        <v>#N/A</v>
      </c>
      <c r="H134" s="35" t="e">
        <f ca="1">IF(Summary_Exchange_Balances_00UTC!$B133="","",(G134-E134)/E134)</f>
        <v>#N/A</v>
      </c>
      <c r="I134" s="165">
        <f ca="1">IF(Summary_Exchange_Balances_00UTC!$B133="","",IF(ISERROR($G134),$E134,$G134))</f>
        <v>8.0888086799999996</v>
      </c>
      <c r="K134" t="str">
        <f t="shared" ca="1" si="10"/>
        <v>FBLKFTM_FANTOM</v>
      </c>
      <c r="L134" t="str">
        <f ca="1">UPPER($P134&amp;$N134&amp;Q134)</f>
        <v>FBLKFTM_FANTOM</v>
      </c>
      <c r="N134" s="161" t="str">
        <f ca="1">IF(raw_exchange_data!$A133="","",OFFSET(raw_exchange_data!$A133,0,MATCH(N$2,raw_exchange_data!$1:$1,0)-1))</f>
        <v>FTM_FANTOM</v>
      </c>
      <c r="O134" s="161" t="str">
        <f ca="1">IF(raw_exchange_data!$A133="","",OFFSET(raw_exchange_data!$A133,0,MATCH(O$2,raw_exchange_data!$1:$1,0)-1))</f>
        <v>FBLK</v>
      </c>
      <c r="P134" s="161" t="str">
        <f ca="1">IF(raw_exchange_data!$A133="","",OFFSET(raw_exchange_data!$A133,0,MATCH(P$2,raw_exchange_data!$1:$1,0)-1))</f>
        <v>FBLK</v>
      </c>
      <c r="Q134" s="161" t="str">
        <f ca="1">IF(raw_exchange_data!$A133="","",TEXT(OFFSET(raw_exchange_data!$A133,0,MATCH(Q$2,raw_exchange_data!$1:$1,0)-1),""))</f>
        <v/>
      </c>
      <c r="R134" s="162">
        <f ca="1">IF(raw_exchange_data!$A133="","",OFFSET(raw_exchange_data!$A133,0,MATCH(R$2,raw_exchange_data!$1:$1,0)-1))</f>
        <v>57885.461095837403</v>
      </c>
      <c r="S134" s="190">
        <f ca="1">IF(raw_exchange_data!$A133="","",OFFSET(raw_exchange_data!$A133,0,MATCH(S$2,raw_exchange_data!$1:$1,0)-1))</f>
        <v>44937.660435150465</v>
      </c>
      <c r="T134" s="161">
        <v>1</v>
      </c>
      <c r="W134" t="str">
        <f t="shared" si="11"/>
        <v>DEFI</v>
      </c>
      <c r="X134" t="str">
        <f t="shared" si="12"/>
        <v>ETH</v>
      </c>
      <c r="Y134" s="42">
        <f t="shared" si="13"/>
        <v>8.0888086799999996</v>
      </c>
      <c r="Z134" s="42">
        <f t="shared" ca="1" si="14"/>
        <v>0</v>
      </c>
      <c r="AB134" s="3" t="s">
        <v>56</v>
      </c>
      <c r="AC134" s="32">
        <v>180518897064.08102</v>
      </c>
      <c r="AD134" s="32">
        <v>-7915851957.9460173</v>
      </c>
    </row>
    <row r="135" spans="1:30" x14ac:dyDescent="0.25">
      <c r="A135" t="str">
        <f>IF(Summary_Exchange_Balances_00UTC!$B134="","",Summary_Exchange_Balances_00UTC!$N134)</f>
        <v>DEFI</v>
      </c>
      <c r="B135" t="str">
        <f>IF(Summary_Exchange_Balances_00UTC!$B134="","",Summary_Exchange_Balances_00UTC!$B134)</f>
        <v>DEFI-STRAT-6</v>
      </c>
      <c r="C135" t="str">
        <f>IF(Summary_Exchange_Balances_00UTC!$B134="","",Summary_Exchange_Balances_00UTC!$E134)</f>
        <v>ETH</v>
      </c>
      <c r="D135" t="str">
        <f>IF(OR(Summary_Exchange_Balances_00UTC!$B134="",Summary_Exchange_Balances_00UTC!$D134=""),"",Summary_Exchange_Balances_00UTC!$D134)</f>
        <v>supply_token</v>
      </c>
      <c r="E135" s="52">
        <f>IF(Summary_Exchange_Balances_00UTC!$B134="","",Summary_Exchange_Balances_00UTC!$C134)</f>
        <v>494.97593741999998</v>
      </c>
      <c r="G135" s="52" t="e">
        <f ca="1">IF(Summary_Exchange_Balances_00UTC!$B134="","",VLOOKUP(IF(ISERROR(SEARCH(" ", $B135)),UPPER($B135&amp;$C135&amp;IF(OR(NOT(ISERROR(SEARCH("trade",$D135))),NOT(ISERROR(SEARCH("balance",$D135)))),"",$D135)),UPPER(LEFT($B135, SEARCH(" ",$B135)-1)&amp;$C135&amp;IF(OR(NOT(ISERROR(SEARCH("trade",$D135))),NOT(ISERROR(SEARCH("balance",$D135)))),"",$D135))),$L:$T,MATCH("balance",$L$2:$S$2,0),FALSE))</f>
        <v>#N/A</v>
      </c>
      <c r="H135" s="35" t="e">
        <f ca="1">IF(Summary_Exchange_Balances_00UTC!$B134="","",(G135-E135)/E135)</f>
        <v>#N/A</v>
      </c>
      <c r="I135" s="165">
        <f ca="1">IF(Summary_Exchange_Balances_00UTC!$B134="","",IF(ISERROR($G135),$E135,$G135))</f>
        <v>494.97593741999998</v>
      </c>
      <c r="K135" t="str">
        <f t="shared" ca="1" si="10"/>
        <v>FBLKFTT</v>
      </c>
      <c r="L135" t="str">
        <f ca="1">UPPER($P135&amp;$N135&amp;Q135)</f>
        <v>FBLKFTT</v>
      </c>
      <c r="N135" s="161" t="str">
        <f ca="1">IF(raw_exchange_data!$A134="","",OFFSET(raw_exchange_data!$A134,0,MATCH(N$2,raw_exchange_data!$1:$1,0)-1))</f>
        <v>FTT</v>
      </c>
      <c r="O135" s="161" t="str">
        <f ca="1">IF(raw_exchange_data!$A134="","",OFFSET(raw_exchange_data!$A134,0,MATCH(O$2,raw_exchange_data!$1:$1,0)-1))</f>
        <v>FBLK</v>
      </c>
      <c r="P135" s="161" t="str">
        <f ca="1">IF(raw_exchange_data!$A134="","",OFFSET(raw_exchange_data!$A134,0,MATCH(P$2,raw_exchange_data!$1:$1,0)-1))</f>
        <v>FBLK</v>
      </c>
      <c r="Q135" s="161" t="str">
        <f ca="1">IF(raw_exchange_data!$A134="","",TEXT(OFFSET(raw_exchange_data!$A134,0,MATCH(Q$2,raw_exchange_data!$1:$1,0)-1),""))</f>
        <v/>
      </c>
      <c r="R135" s="162">
        <f ca="1">IF(raw_exchange_data!$A134="","",OFFSET(raw_exchange_data!$A134,0,MATCH(R$2,raw_exchange_data!$1:$1,0)-1))</f>
        <v>2.53888889</v>
      </c>
      <c r="S135" s="190">
        <f ca="1">IF(raw_exchange_data!$A134="","",OFFSET(raw_exchange_data!$A134,0,MATCH(S$2,raw_exchange_data!$1:$1,0)-1))</f>
        <v>44937.660435150465</v>
      </c>
      <c r="T135" s="161">
        <v>1</v>
      </c>
      <c r="W135" t="str">
        <f t="shared" si="11"/>
        <v>DEFI</v>
      </c>
      <c r="X135" t="str">
        <f t="shared" si="12"/>
        <v>ETH</v>
      </c>
      <c r="Y135" s="42">
        <f t="shared" si="13"/>
        <v>494.97593741999998</v>
      </c>
      <c r="Z135" s="42">
        <f t="shared" ca="1" si="14"/>
        <v>0</v>
      </c>
      <c r="AC135"/>
      <c r="AD135"/>
    </row>
    <row r="136" spans="1:30" x14ac:dyDescent="0.25">
      <c r="A136" t="str">
        <f>IF(Summary_Exchange_Balances_00UTC!$B135="","",Summary_Exchange_Balances_00UTC!$N135)</f>
        <v>DEFI</v>
      </c>
      <c r="B136" t="str">
        <f>IF(Summary_Exchange_Balances_00UTC!$B135="","",Summary_Exchange_Balances_00UTC!$B135)</f>
        <v>DEFI-STRAT-6</v>
      </c>
      <c r="C136" t="str">
        <f>IF(Summary_Exchange_Balances_00UTC!$B135="","",Summary_Exchange_Balances_00UTC!$E135)</f>
        <v>FXS</v>
      </c>
      <c r="D136" t="str">
        <f>IF(OR(Summary_Exchange_Balances_00UTC!$B135="",Summary_Exchange_Balances_00UTC!$D135=""),"",Summary_Exchange_Balances_00UTC!$D135)</f>
        <v>reward_token</v>
      </c>
      <c r="E136" s="52">
        <f>IF(Summary_Exchange_Balances_00UTC!$B135="","",Summary_Exchange_Balances_00UTC!$C135)</f>
        <v>4.9449780900000002</v>
      </c>
      <c r="G136" s="52" t="e">
        <f ca="1">IF(Summary_Exchange_Balances_00UTC!$B135="","",VLOOKUP(IF(ISERROR(SEARCH(" ", $B136)),UPPER($B136&amp;$C136&amp;IF(OR(NOT(ISERROR(SEARCH("trade",$D136))),NOT(ISERROR(SEARCH("balance",$D136)))),"",$D136)),UPPER(LEFT($B136, SEARCH(" ",$B136)-1)&amp;$C136&amp;IF(OR(NOT(ISERROR(SEARCH("trade",$D136))),NOT(ISERROR(SEARCH("balance",$D136)))),"",$D136))),$L:$T,MATCH("balance",$L$2:$S$2,0),FALSE))</f>
        <v>#N/A</v>
      </c>
      <c r="H136" s="35" t="e">
        <f ca="1">IF(Summary_Exchange_Balances_00UTC!$B135="","",(G136-E136)/E136)</f>
        <v>#N/A</v>
      </c>
      <c r="I136" s="165">
        <f ca="1">IF(Summary_Exchange_Balances_00UTC!$B135="","",IF(ISERROR($G136),$E136,$G136))</f>
        <v>4.9449780900000002</v>
      </c>
      <c r="K136" t="str">
        <f t="shared" ca="1" si="10"/>
        <v>FBLKFXS</v>
      </c>
      <c r="L136" t="str">
        <f ca="1">UPPER($P136&amp;$N136&amp;Q136)</f>
        <v>FBLKFXS</v>
      </c>
      <c r="N136" s="161" t="str">
        <f ca="1">IF(raw_exchange_data!$A135="","",OFFSET(raw_exchange_data!$A135,0,MATCH(N$2,raw_exchange_data!$1:$1,0)-1))</f>
        <v>FXS</v>
      </c>
      <c r="O136" s="161" t="str">
        <f ca="1">IF(raw_exchange_data!$A135="","",OFFSET(raw_exchange_data!$A135,0,MATCH(O$2,raw_exchange_data!$1:$1,0)-1))</f>
        <v>FBLK</v>
      </c>
      <c r="P136" s="161" t="str">
        <f ca="1">IF(raw_exchange_data!$A135="","",OFFSET(raw_exchange_data!$A135,0,MATCH(P$2,raw_exchange_data!$1:$1,0)-1))</f>
        <v>FBLK</v>
      </c>
      <c r="Q136" s="161" t="str">
        <f ca="1">IF(raw_exchange_data!$A135="","",TEXT(OFFSET(raw_exchange_data!$A135,0,MATCH(Q$2,raw_exchange_data!$1:$1,0)-1),""))</f>
        <v/>
      </c>
      <c r="R136" s="162">
        <f ca="1">IF(raw_exchange_data!$A135="","",OFFSET(raw_exchange_data!$A135,0,MATCH(R$2,raw_exchange_data!$1:$1,0)-1))</f>
        <v>296.85191938579999</v>
      </c>
      <c r="S136" s="190">
        <f ca="1">IF(raw_exchange_data!$A135="","",OFFSET(raw_exchange_data!$A135,0,MATCH(S$2,raw_exchange_data!$1:$1,0)-1))</f>
        <v>44937.660435150465</v>
      </c>
      <c r="T136" s="161">
        <v>1</v>
      </c>
      <c r="W136" t="str">
        <f t="shared" si="11"/>
        <v>DEFI</v>
      </c>
      <c r="X136" t="str">
        <f t="shared" si="12"/>
        <v>FXS</v>
      </c>
      <c r="Y136" s="42">
        <f t="shared" si="13"/>
        <v>4.9449780900000002</v>
      </c>
      <c r="Z136" s="42">
        <f t="shared" ca="1" si="14"/>
        <v>0</v>
      </c>
      <c r="AC136"/>
      <c r="AD136"/>
    </row>
    <row r="137" spans="1:30" x14ac:dyDescent="0.25">
      <c r="A137" t="str">
        <f>IF(Summary_Exchange_Balances_00UTC!$B136="","",Summary_Exchange_Balances_00UTC!$N136)</f>
        <v>DEFI</v>
      </c>
      <c r="B137" t="str">
        <f>IF(Summary_Exchange_Balances_00UTC!$B136="","",Summary_Exchange_Balances_00UTC!$B136)</f>
        <v>DEFI-STRAT-6</v>
      </c>
      <c r="C137" t="str">
        <f>IF(Summary_Exchange_Balances_00UTC!$B136="","",Summary_Exchange_Balances_00UTC!$E136)</f>
        <v>FXS</v>
      </c>
      <c r="D137" t="str">
        <f>IF(OR(Summary_Exchange_Balances_00UTC!$B136="",Summary_Exchange_Balances_00UTC!$D136=""),"",Summary_Exchange_Balances_00UTC!$D136)</f>
        <v>wallet</v>
      </c>
      <c r="E137" s="53">
        <f>IF(Summary_Exchange_Balances_00UTC!$B136="","",Summary_Exchange_Balances_00UTC!$C136)</f>
        <v>603.23998956000003</v>
      </c>
      <c r="G137" s="52" t="e">
        <f ca="1">IF(Summary_Exchange_Balances_00UTC!$B136="","",VLOOKUP(IF(ISERROR(SEARCH(" ", $B137)),UPPER($B137&amp;$C137&amp;IF(OR(NOT(ISERROR(SEARCH("trade",$D137))),NOT(ISERROR(SEARCH("balance",$D137)))),"",$D137)),UPPER(LEFT($B137, SEARCH(" ",$B137)-1)&amp;$C137&amp;IF(OR(NOT(ISERROR(SEARCH("trade",$D137))),NOT(ISERROR(SEARCH("balance",$D137)))),"",$D137))),$L:$T,MATCH("balance",$L$2:$S$2,0),FALSE))</f>
        <v>#N/A</v>
      </c>
      <c r="H137" s="35" t="e">
        <f ca="1">IF(Summary_Exchange_Balances_00UTC!$B136="","",(G137-E137)/E137)</f>
        <v>#N/A</v>
      </c>
      <c r="I137" s="165">
        <f ca="1">IF(Summary_Exchange_Balances_00UTC!$B136="","",IF(ISERROR($G137),$E137,$G137))</f>
        <v>603.23998956000003</v>
      </c>
      <c r="K137" t="str">
        <f t="shared" ca="1" si="10"/>
        <v>FBLKGRT</v>
      </c>
      <c r="L137" t="str">
        <f ca="1">UPPER($P137&amp;$N137&amp;Q137)</f>
        <v>FBLKGRT</v>
      </c>
      <c r="N137" s="161" t="str">
        <f ca="1">IF(raw_exchange_data!$A136="","",OFFSET(raw_exchange_data!$A136,0,MATCH(N$2,raw_exchange_data!$1:$1,0)-1))</f>
        <v>GRT</v>
      </c>
      <c r="O137" s="161" t="str">
        <f ca="1">IF(raw_exchange_data!$A136="","",OFFSET(raw_exchange_data!$A136,0,MATCH(O$2,raw_exchange_data!$1:$1,0)-1))</f>
        <v>FBLK</v>
      </c>
      <c r="P137" s="161" t="str">
        <f ca="1">IF(raw_exchange_data!$A136="","",OFFSET(raw_exchange_data!$A136,0,MATCH(P$2,raw_exchange_data!$1:$1,0)-1))</f>
        <v>FBLK</v>
      </c>
      <c r="Q137" s="161" t="str">
        <f ca="1">IF(raw_exchange_data!$A136="","",TEXT(OFFSET(raw_exchange_data!$A136,0,MATCH(Q$2,raw_exchange_data!$1:$1,0)-1),""))</f>
        <v/>
      </c>
      <c r="R137" s="162">
        <f ca="1">IF(raw_exchange_data!$A136="","",OFFSET(raw_exchange_data!$A136,0,MATCH(R$2,raw_exchange_data!$1:$1,0)-1))</f>
        <v>13740.37771737</v>
      </c>
      <c r="S137" s="190">
        <f ca="1">IF(raw_exchange_data!$A136="","",OFFSET(raw_exchange_data!$A136,0,MATCH(S$2,raw_exchange_data!$1:$1,0)-1))</f>
        <v>44937.660435150465</v>
      </c>
      <c r="T137" s="161">
        <v>1</v>
      </c>
      <c r="W137" t="str">
        <f t="shared" si="11"/>
        <v>DEFI</v>
      </c>
      <c r="X137" t="str">
        <f t="shared" si="12"/>
        <v>FXS</v>
      </c>
      <c r="Y137" s="42">
        <f t="shared" si="13"/>
        <v>603.23998956000003</v>
      </c>
      <c r="Z137" s="42">
        <f t="shared" ca="1" si="14"/>
        <v>0</v>
      </c>
      <c r="AC137"/>
      <c r="AD137"/>
    </row>
    <row r="138" spans="1:30" x14ac:dyDescent="0.25">
      <c r="A138" t="str">
        <f>IF(Summary_Exchange_Balances_00UTC!$B137="","",Summary_Exchange_Balances_00UTC!$N137)</f>
        <v>DEFI</v>
      </c>
      <c r="B138" t="str">
        <f>IF(Summary_Exchange_Balances_00UTC!$B137="","",Summary_Exchange_Balances_00UTC!$B137)</f>
        <v>DEFI-STRAT-8</v>
      </c>
      <c r="C138" t="str">
        <f>IF(Summary_Exchange_Balances_00UTC!$B137="","",Summary_Exchange_Balances_00UTC!$E137)</f>
        <v>USDC</v>
      </c>
      <c r="D138" t="str">
        <f>IF(OR(Summary_Exchange_Balances_00UTC!$B137="",Summary_Exchange_Balances_00UTC!$D137=""),"",Summary_Exchange_Balances_00UTC!$D137)</f>
        <v>supply_token</v>
      </c>
      <c r="E138" s="52">
        <f>IF(Summary_Exchange_Balances_00UTC!$B137="","",Summary_Exchange_Balances_00UTC!$C137)</f>
        <v>12009760.042401001</v>
      </c>
      <c r="G138" s="52" t="e">
        <f ca="1">IF(Summary_Exchange_Balances_00UTC!$B137="","",VLOOKUP(IF(ISERROR(SEARCH(" ", $B138)),UPPER($B138&amp;$C138&amp;IF(OR(NOT(ISERROR(SEARCH("trade",$D138))),NOT(ISERROR(SEARCH("balance",$D138)))),"",$D138)),UPPER(LEFT($B138, SEARCH(" ",$B138)-1)&amp;$C138&amp;IF(OR(NOT(ISERROR(SEARCH("trade",$D138))),NOT(ISERROR(SEARCH("balance",$D138)))),"",$D138))),$L:$T,MATCH("balance",$L$2:$S$2,0),FALSE))</f>
        <v>#N/A</v>
      </c>
      <c r="H138" s="35" t="e">
        <f ca="1">IF(Summary_Exchange_Balances_00UTC!$B137="","",(G138-E138)/E138)</f>
        <v>#N/A</v>
      </c>
      <c r="I138" s="165">
        <f ca="1">IF(Summary_Exchange_Balances_00UTC!$B137="","",IF(ISERROR($G138),$E138,$G138))</f>
        <v>12009760.042401001</v>
      </c>
      <c r="K138" t="str">
        <f t="shared" ca="1" si="10"/>
        <v>FBLKHBAR</v>
      </c>
      <c r="L138" t="str">
        <f ca="1">UPPER($P138&amp;$N138&amp;Q138)</f>
        <v>FBLKHBAR</v>
      </c>
      <c r="N138" s="161" t="str">
        <f ca="1">IF(raw_exchange_data!$A137="","",OFFSET(raw_exchange_data!$A137,0,MATCH(N$2,raw_exchange_data!$1:$1,0)-1))</f>
        <v>HBAR</v>
      </c>
      <c r="O138" s="161" t="str">
        <f ca="1">IF(raw_exchange_data!$A137="","",OFFSET(raw_exchange_data!$A137,0,MATCH(O$2,raw_exchange_data!$1:$1,0)-1))</f>
        <v>FBLK</v>
      </c>
      <c r="P138" s="161" t="str">
        <f ca="1">IF(raw_exchange_data!$A137="","",OFFSET(raw_exchange_data!$A137,0,MATCH(P$2,raw_exchange_data!$1:$1,0)-1))</f>
        <v>FBLK</v>
      </c>
      <c r="Q138" s="161" t="str">
        <f ca="1">IF(raw_exchange_data!$A137="","",TEXT(OFFSET(raw_exchange_data!$A137,0,MATCH(Q$2,raw_exchange_data!$1:$1,0)-1),""))</f>
        <v/>
      </c>
      <c r="R138" s="162">
        <f ca="1">IF(raw_exchange_data!$A137="","",OFFSET(raw_exchange_data!$A137,0,MATCH(R$2,raw_exchange_data!$1:$1,0)-1))</f>
        <v>4716.81084801</v>
      </c>
      <c r="S138" s="190">
        <f ca="1">IF(raw_exchange_data!$A137="","",OFFSET(raw_exchange_data!$A137,0,MATCH(S$2,raw_exchange_data!$1:$1,0)-1))</f>
        <v>44937.660435150465</v>
      </c>
      <c r="T138" s="161">
        <v>1</v>
      </c>
      <c r="W138" t="str">
        <f t="shared" si="11"/>
        <v>DEFI</v>
      </c>
      <c r="X138" t="str">
        <f t="shared" si="12"/>
        <v>USDC</v>
      </c>
      <c r="Y138" s="42">
        <f t="shared" si="13"/>
        <v>12009760.042401001</v>
      </c>
      <c r="Z138" s="42">
        <f t="shared" ca="1" si="14"/>
        <v>0</v>
      </c>
      <c r="AC138"/>
      <c r="AD138"/>
    </row>
    <row r="139" spans="1:30" x14ac:dyDescent="0.25">
      <c r="A139" t="str">
        <f>IF(Summary_Exchange_Balances_00UTC!$B138="","",Summary_Exchange_Balances_00UTC!$N138)</f>
        <v>DYDX</v>
      </c>
      <c r="B139" t="str">
        <f>IF(Summary_Exchange_Balances_00UTC!$B138="","",Summary_Exchange_Balances_00UTC!$B138)</f>
        <v>DYDX-1-M-P</v>
      </c>
      <c r="C139" t="str">
        <f>IF(Summary_Exchange_Balances_00UTC!$B138="","",Summary_Exchange_Balances_00UTC!$E138)</f>
        <v>USDC</v>
      </c>
      <c r="D139" t="str">
        <f>IF(OR(Summary_Exchange_Balances_00UTC!$B138="",Summary_Exchange_Balances_00UTC!$D138=""),"",Summary_Exchange_Balances_00UTC!$D138)</f>
        <v/>
      </c>
      <c r="E139" s="53">
        <f>IF(Summary_Exchange_Balances_00UTC!$B138="","",Summary_Exchange_Balances_00UTC!$C138)</f>
        <v>15672.084394</v>
      </c>
      <c r="G139" s="52" t="e">
        <f ca="1">IF(Summary_Exchange_Balances_00UTC!$B138="","",VLOOKUP(IF(ISERROR(SEARCH(" ", $B139)),UPPER($B139&amp;$C139&amp;IF(OR(NOT(ISERROR(SEARCH("trade",$D139))),NOT(ISERROR(SEARCH("balance",$D139)))),"",$D139)),UPPER(LEFT($B139, SEARCH(" ",$B139)-1)&amp;$C139&amp;IF(OR(NOT(ISERROR(SEARCH("trade",$D139))),NOT(ISERROR(SEARCH("balance",$D139)))),"",$D139))),$L:$T,MATCH("balance",$L$2:$S$2,0),FALSE))</f>
        <v>#N/A</v>
      </c>
      <c r="H139" s="35" t="e">
        <f ca="1">IF(Summary_Exchange_Balances_00UTC!$B138="","",(G139-E139)/E139)</f>
        <v>#N/A</v>
      </c>
      <c r="I139" s="165">
        <f ca="1">IF(Summary_Exchange_Balances_00UTC!$B138="","",IF(ISERROR($G139),$E139,$G139))</f>
        <v>15672.084394</v>
      </c>
      <c r="K139" t="str">
        <f t="shared" ca="1" si="10"/>
        <v>FBLKKSM</v>
      </c>
      <c r="L139" t="str">
        <f ca="1">UPPER($P139&amp;$N139&amp;Q139)</f>
        <v>FBLKKSM</v>
      </c>
      <c r="N139" s="161" t="str">
        <f ca="1">IF(raw_exchange_data!$A138="","",OFFSET(raw_exchange_data!$A138,0,MATCH(N$2,raw_exchange_data!$1:$1,0)-1))</f>
        <v>KSM</v>
      </c>
      <c r="O139" s="161" t="str">
        <f ca="1">IF(raw_exchange_data!$A138="","",OFFSET(raw_exchange_data!$A138,0,MATCH(O$2,raw_exchange_data!$1:$1,0)-1))</f>
        <v>FBLK</v>
      </c>
      <c r="P139" s="161" t="str">
        <f ca="1">IF(raw_exchange_data!$A138="","",OFFSET(raw_exchange_data!$A138,0,MATCH(P$2,raw_exchange_data!$1:$1,0)-1))</f>
        <v>FBLK</v>
      </c>
      <c r="Q139" s="161" t="str">
        <f ca="1">IF(raw_exchange_data!$A138="","",TEXT(OFFSET(raw_exchange_data!$A138,0,MATCH(Q$2,raw_exchange_data!$1:$1,0)-1),""))</f>
        <v/>
      </c>
      <c r="R139" s="162">
        <f ca="1">IF(raw_exchange_data!$A138="","",OFFSET(raw_exchange_data!$A138,0,MATCH(R$2,raw_exchange_data!$1:$1,0)-1))</f>
        <v>9.2269842999999994E-3</v>
      </c>
      <c r="S139" s="190">
        <f ca="1">IF(raw_exchange_data!$A138="","",OFFSET(raw_exchange_data!$A138,0,MATCH(S$2,raw_exchange_data!$1:$1,0)-1))</f>
        <v>44937.660435150465</v>
      </c>
      <c r="T139" s="161">
        <v>1</v>
      </c>
      <c r="W139" t="str">
        <f t="shared" si="11"/>
        <v>DYDX</v>
      </c>
      <c r="X139" t="str">
        <f t="shared" si="12"/>
        <v>USDC</v>
      </c>
      <c r="Y139" s="42">
        <f t="shared" si="13"/>
        <v>15672.084394</v>
      </c>
      <c r="Z139" s="42">
        <f t="shared" ca="1" si="14"/>
        <v>0</v>
      </c>
      <c r="AC139"/>
      <c r="AD139"/>
    </row>
    <row r="140" spans="1:30" x14ac:dyDescent="0.25">
      <c r="A140" t="str">
        <f>IF(Summary_Exchange_Balances_00UTC!$B139="","",Summary_Exchange_Balances_00UTC!$N139)</f>
        <v>HUBI</v>
      </c>
      <c r="B140" t="str">
        <f>IF(Summary_Exchange_Balances_00UTC!$B139="","",Summary_Exchange_Balances_00UTC!$B139)</f>
        <v>FUB2-M</v>
      </c>
      <c r="C140" t="str">
        <f>IF(Summary_Exchange_Balances_00UTC!$B139="","",Summary_Exchange_Balances_00UTC!$E139)</f>
        <v>ADA</v>
      </c>
      <c r="D140" t="str">
        <f>IF(OR(Summary_Exchange_Balances_00UTC!$B139="",Summary_Exchange_Balances_00UTC!$D139=""),"",Summary_Exchange_Balances_00UTC!$D139)</f>
        <v>Balance</v>
      </c>
      <c r="E140" s="52">
        <f>IF(Summary_Exchange_Balances_00UTC!$B139="","",Summary_Exchange_Balances_00UTC!$C139)</f>
        <v>1E-8</v>
      </c>
      <c r="G140" s="52">
        <f ca="1">IF(Summary_Exchange_Balances_00UTC!$B139="","",VLOOKUP(IF(ISERROR(SEARCH(" ", $B140)),UPPER($B140&amp;$C140&amp;IF(OR(NOT(ISERROR(SEARCH("trade",$D140))),NOT(ISERROR(SEARCH("balance",$D140)))),"",$D140)),UPPER(LEFT($B140, SEARCH(" ",$B140)-1)&amp;$C140&amp;IF(OR(NOT(ISERROR(SEARCH("trade",$D140))),NOT(ISERROR(SEARCH("balance",$D140)))),"",$D140))),$L:$T,MATCH("balance",$L$2:$S$2,0),FALSE))</f>
        <v>9.6999999999999992E-9</v>
      </c>
      <c r="H140" s="35">
        <f ca="1">IF(Summary_Exchange_Balances_00UTC!$B139="","",(G140-E140)/E140)</f>
        <v>-3.0000000000000103E-2</v>
      </c>
      <c r="I140" s="165">
        <f ca="1">IF(Summary_Exchange_Balances_00UTC!$B139="","",IF(ISERROR($G140),$E140,$G140))</f>
        <v>9.6999999999999992E-9</v>
      </c>
      <c r="K140" t="str">
        <f t="shared" ca="1" si="10"/>
        <v>FBLKLINK</v>
      </c>
      <c r="L140" t="str">
        <f ca="1">UPPER($P140&amp;$N140&amp;Q140)</f>
        <v>FBLKLINK</v>
      </c>
      <c r="N140" s="161" t="str">
        <f ca="1">IF(raw_exchange_data!$A139="","",OFFSET(raw_exchange_data!$A139,0,MATCH(N$2,raw_exchange_data!$1:$1,0)-1))</f>
        <v>LINK</v>
      </c>
      <c r="O140" s="161" t="str">
        <f ca="1">IF(raw_exchange_data!$A139="","",OFFSET(raw_exchange_data!$A139,0,MATCH(O$2,raw_exchange_data!$1:$1,0)-1))</f>
        <v>FBLK</v>
      </c>
      <c r="P140" s="161" t="str">
        <f ca="1">IF(raw_exchange_data!$A139="","",OFFSET(raw_exchange_data!$A139,0,MATCH(P$2,raw_exchange_data!$1:$1,0)-1))</f>
        <v>FBLK</v>
      </c>
      <c r="Q140" s="161" t="str">
        <f ca="1">IF(raw_exchange_data!$A139="","",TEXT(OFFSET(raw_exchange_data!$A139,0,MATCH(Q$2,raw_exchange_data!$1:$1,0)-1),""))</f>
        <v/>
      </c>
      <c r="R140" s="162">
        <f ca="1">IF(raw_exchange_data!$A139="","",OFFSET(raw_exchange_data!$A139,0,MATCH(R$2,raw_exchange_data!$1:$1,0)-1))</f>
        <v>1291.2665841600001</v>
      </c>
      <c r="S140" s="190">
        <f ca="1">IF(raw_exchange_data!$A139="","",OFFSET(raw_exchange_data!$A139,0,MATCH(S$2,raw_exchange_data!$1:$1,0)-1))</f>
        <v>44937.660435150465</v>
      </c>
      <c r="T140" s="161">
        <v>1</v>
      </c>
      <c r="W140" t="str">
        <f t="shared" si="11"/>
        <v>HUBI</v>
      </c>
      <c r="X140" t="str">
        <f t="shared" si="12"/>
        <v>ADA</v>
      </c>
      <c r="Y140" s="42">
        <f t="shared" si="13"/>
        <v>1E-8</v>
      </c>
      <c r="Z140" s="42">
        <f t="shared" ca="1" si="14"/>
        <v>9.6999999999999992E-9</v>
      </c>
      <c r="AC140"/>
      <c r="AD140"/>
    </row>
    <row r="141" spans="1:30" x14ac:dyDescent="0.25">
      <c r="A141" t="str">
        <f>IF(Summary_Exchange_Balances_00UTC!$B140="","",Summary_Exchange_Balances_00UTC!$N140)</f>
        <v>HUBI</v>
      </c>
      <c r="B141" t="str">
        <f>IF(Summary_Exchange_Balances_00UTC!$B140="","",Summary_Exchange_Balances_00UTC!$B140)</f>
        <v>FUB2-M</v>
      </c>
      <c r="C141" t="str">
        <f>IF(Summary_Exchange_Balances_00UTC!$B140="","",Summary_Exchange_Balances_00UTC!$E140)</f>
        <v>BCH</v>
      </c>
      <c r="D141" t="str">
        <f>IF(OR(Summary_Exchange_Balances_00UTC!$B140="",Summary_Exchange_Balances_00UTC!$D140=""),"",Summary_Exchange_Balances_00UTC!$D140)</f>
        <v>Balance</v>
      </c>
      <c r="E141" s="52">
        <f>IF(Summary_Exchange_Balances_00UTC!$B140="","",Summary_Exchange_Balances_00UTC!$C140)</f>
        <v>4.9999999999999998E-8</v>
      </c>
      <c r="G141" s="52">
        <f ca="1">IF(Summary_Exchange_Balances_00UTC!$B140="","",VLOOKUP(IF(ISERROR(SEARCH(" ", $B141)),UPPER($B141&amp;$C141&amp;IF(OR(NOT(ISERROR(SEARCH("trade",$D141))),NOT(ISERROR(SEARCH("balance",$D141)))),"",$D141)),UPPER(LEFT($B141, SEARCH(" ",$B141)-1)&amp;$C141&amp;IF(OR(NOT(ISERROR(SEARCH("trade",$D141))),NOT(ISERROR(SEARCH("balance",$D141)))),"",$D141))),$L:$T,MATCH("balance",$L$2:$S$2,0),FALSE))</f>
        <v>5.02E-8</v>
      </c>
      <c r="H141" s="35">
        <f ca="1">IF(Summary_Exchange_Balances_00UTC!$B140="","",(G141-E141)/E141)</f>
        <v>4.0000000000000356E-3</v>
      </c>
      <c r="I141" s="165">
        <f ca="1">IF(Summary_Exchange_Balances_00UTC!$B140="","",IF(ISERROR($G141),$E141,$G141))</f>
        <v>5.02E-8</v>
      </c>
      <c r="K141" t="str">
        <f t="shared" ca="1" si="10"/>
        <v>FBLKLTC</v>
      </c>
      <c r="L141" t="str">
        <f ca="1">UPPER($P141&amp;$N141&amp;Q141)</f>
        <v>FBLKLTC</v>
      </c>
      <c r="N141" s="161" t="str">
        <f ca="1">IF(raw_exchange_data!$A140="","",OFFSET(raw_exchange_data!$A140,0,MATCH(N$2,raw_exchange_data!$1:$1,0)-1))</f>
        <v>LTC</v>
      </c>
      <c r="O141" s="161" t="str">
        <f ca="1">IF(raw_exchange_data!$A140="","",OFFSET(raw_exchange_data!$A140,0,MATCH(O$2,raw_exchange_data!$1:$1,0)-1))</f>
        <v>FBLK</v>
      </c>
      <c r="P141" s="161" t="str">
        <f ca="1">IF(raw_exchange_data!$A140="","",OFFSET(raw_exchange_data!$A140,0,MATCH(P$2,raw_exchange_data!$1:$1,0)-1))</f>
        <v>FBLK</v>
      </c>
      <c r="Q141" s="161" t="str">
        <f ca="1">IF(raw_exchange_data!$A140="","",TEXT(OFFSET(raw_exchange_data!$A140,0,MATCH(Q$2,raw_exchange_data!$1:$1,0)-1),""))</f>
        <v/>
      </c>
      <c r="R141" s="162">
        <f ca="1">IF(raw_exchange_data!$A140="","",OFFSET(raw_exchange_data!$A140,0,MATCH(R$2,raw_exchange_data!$1:$1,0)-1))</f>
        <v>128.49216579</v>
      </c>
      <c r="S141" s="190">
        <f ca="1">IF(raw_exchange_data!$A140="","",OFFSET(raw_exchange_data!$A140,0,MATCH(S$2,raw_exchange_data!$1:$1,0)-1))</f>
        <v>44937.660435150465</v>
      </c>
      <c r="T141" s="161">
        <v>1</v>
      </c>
      <c r="W141" t="str">
        <f t="shared" si="11"/>
        <v>HUBI</v>
      </c>
      <c r="X141" t="str">
        <f t="shared" si="12"/>
        <v>BCH</v>
      </c>
      <c r="Y141" s="42">
        <f t="shared" si="13"/>
        <v>4.9999999999999998E-8</v>
      </c>
      <c r="Z141" s="42">
        <f t="shared" ca="1" si="14"/>
        <v>5.02E-8</v>
      </c>
      <c r="AC141"/>
      <c r="AD141"/>
    </row>
    <row r="142" spans="1:30" x14ac:dyDescent="0.25">
      <c r="A142" t="str">
        <f>IF(Summary_Exchange_Balances_00UTC!$B141="","",Summary_Exchange_Balances_00UTC!$N141)</f>
        <v>HUBI</v>
      </c>
      <c r="B142" t="str">
        <f>IF(Summary_Exchange_Balances_00UTC!$B141="","",Summary_Exchange_Balances_00UTC!$B141)</f>
        <v>FUB2-M</v>
      </c>
      <c r="C142" t="str">
        <f>IF(Summary_Exchange_Balances_00UTC!$B141="","",Summary_Exchange_Balances_00UTC!$E141)</f>
        <v>BSV</v>
      </c>
      <c r="D142" t="str">
        <f>IF(OR(Summary_Exchange_Balances_00UTC!$B141="",Summary_Exchange_Balances_00UTC!$D141=""),"",Summary_Exchange_Balances_00UTC!$D141)</f>
        <v>Balance</v>
      </c>
      <c r="E142" s="53">
        <f>IF(Summary_Exchange_Balances_00UTC!$B141="","",Summary_Exchange_Balances_00UTC!$C141)</f>
        <v>0.47315189000000002</v>
      </c>
      <c r="G142" s="52">
        <f ca="1">IF(Summary_Exchange_Balances_00UTC!$B141="","",VLOOKUP(IF(ISERROR(SEARCH(" ", $B142)),UPPER($B142&amp;$C142&amp;IF(OR(NOT(ISERROR(SEARCH("trade",$D142))),NOT(ISERROR(SEARCH("balance",$D142)))),"",$D142)),UPPER(LEFT($B142, SEARCH(" ",$B142)-1)&amp;$C142&amp;IF(OR(NOT(ISERROR(SEARCH("trade",$D142))),NOT(ISERROR(SEARCH("balance",$D142)))),"",$D142))),$L:$T,MATCH("balance",$L$2:$S$2,0),FALSE))</f>
        <v>0.47315189390000001</v>
      </c>
      <c r="H142" s="35">
        <f ca="1">IF(Summary_Exchange_Balances_00UTC!$B141="","",(G142-E142)/E142)</f>
        <v>8.2425962403331828E-9</v>
      </c>
      <c r="I142" s="165">
        <f ca="1">IF(Summary_Exchange_Balances_00UTC!$B141="","",IF(ISERROR($G142),$E142,$G142))</f>
        <v>0.47315189390000001</v>
      </c>
      <c r="K142" t="str">
        <f t="shared" ca="1" si="10"/>
        <v>FBLKMANA</v>
      </c>
      <c r="L142" t="str">
        <f ca="1">UPPER($P142&amp;$N142&amp;Q142)</f>
        <v>FBLKMANA</v>
      </c>
      <c r="N142" s="161" t="str">
        <f ca="1">IF(raw_exchange_data!$A141="","",OFFSET(raw_exchange_data!$A141,0,MATCH(N$2,raw_exchange_data!$1:$1,0)-1))</f>
        <v>MANA</v>
      </c>
      <c r="O142" s="161" t="str">
        <f ca="1">IF(raw_exchange_data!$A141="","",OFFSET(raw_exchange_data!$A141,0,MATCH(O$2,raw_exchange_data!$1:$1,0)-1))</f>
        <v>FBLK</v>
      </c>
      <c r="P142" s="161" t="str">
        <f ca="1">IF(raw_exchange_data!$A141="","",OFFSET(raw_exchange_data!$A141,0,MATCH(P$2,raw_exchange_data!$1:$1,0)-1))</f>
        <v>FBLK</v>
      </c>
      <c r="Q142" s="161" t="str">
        <f ca="1">IF(raw_exchange_data!$A141="","",TEXT(OFFSET(raw_exchange_data!$A141,0,MATCH(Q$2,raw_exchange_data!$1:$1,0)-1),""))</f>
        <v/>
      </c>
      <c r="R142" s="162">
        <f ca="1">IF(raw_exchange_data!$A141="","",OFFSET(raw_exchange_data!$A141,0,MATCH(R$2,raw_exchange_data!$1:$1,0)-1))</f>
        <v>798.08621639</v>
      </c>
      <c r="S142" s="190">
        <f ca="1">IF(raw_exchange_data!$A141="","",OFFSET(raw_exchange_data!$A141,0,MATCH(S$2,raw_exchange_data!$1:$1,0)-1))</f>
        <v>44937.660435150465</v>
      </c>
      <c r="T142" s="161">
        <v>1</v>
      </c>
      <c r="W142" t="str">
        <f t="shared" si="11"/>
        <v>HUBI</v>
      </c>
      <c r="X142" t="str">
        <f t="shared" si="12"/>
        <v>BSV</v>
      </c>
      <c r="Y142" s="42">
        <f t="shared" si="13"/>
        <v>0.47315189000000002</v>
      </c>
      <c r="Z142" s="42">
        <f t="shared" ca="1" si="14"/>
        <v>0.47315189390000001</v>
      </c>
      <c r="AC142"/>
      <c r="AD142"/>
    </row>
    <row r="143" spans="1:30" x14ac:dyDescent="0.25">
      <c r="A143" t="str">
        <f>IF(Summary_Exchange_Balances_00UTC!$B142="","",Summary_Exchange_Balances_00UTC!$N142)</f>
        <v>HUBI</v>
      </c>
      <c r="B143" t="str">
        <f>IF(Summary_Exchange_Balances_00UTC!$B142="","",Summary_Exchange_Balances_00UTC!$B142)</f>
        <v>FUB2-M</v>
      </c>
      <c r="C143" t="str">
        <f>IF(Summary_Exchange_Balances_00UTC!$B142="","",Summary_Exchange_Balances_00UTC!$E142)</f>
        <v>BTC</v>
      </c>
      <c r="D143" t="str">
        <f>IF(OR(Summary_Exchange_Balances_00UTC!$B142="",Summary_Exchange_Balances_00UTC!$D142=""),"",Summary_Exchange_Balances_00UTC!$D142)</f>
        <v>Balance</v>
      </c>
      <c r="E143" s="52">
        <f>IF(Summary_Exchange_Balances_00UTC!$B142="","",Summary_Exchange_Balances_00UTC!$C142)</f>
        <v>4.0000000000000001E-8</v>
      </c>
      <c r="G143" s="52">
        <f ca="1">IF(Summary_Exchange_Balances_00UTC!$B142="","",VLOOKUP(IF(ISERROR(SEARCH(" ", $B143)),UPPER($B143&amp;$C143&amp;IF(OR(NOT(ISERROR(SEARCH("trade",$D143))),NOT(ISERROR(SEARCH("balance",$D143)))),"",$D143)),UPPER(LEFT($B143, SEARCH(" ",$B143)-1)&amp;$C143&amp;IF(OR(NOT(ISERROR(SEARCH("trade",$D143))),NOT(ISERROR(SEARCH("balance",$D143)))),"",$D143))),$L:$T,MATCH("balance",$L$2:$S$2,0),FALSE))</f>
        <v>3.8600000000000002E-8</v>
      </c>
      <c r="H143" s="35">
        <f ca="1">IF(Summary_Exchange_Balances_00UTC!$B142="","",(G143-E143)/E143)</f>
        <v>-3.4999999999999983E-2</v>
      </c>
      <c r="I143" s="165">
        <f ca="1">IF(Summary_Exchange_Balances_00UTC!$B142="","",IF(ISERROR($G143),$E143,$G143))</f>
        <v>3.8600000000000002E-8</v>
      </c>
      <c r="K143" t="str">
        <f t="shared" ca="1" si="10"/>
        <v>FBLKMATIC</v>
      </c>
      <c r="L143" t="str">
        <f ca="1">UPPER($P143&amp;$N143&amp;Q143)</f>
        <v>FBLKMATIC</v>
      </c>
      <c r="N143" s="161" t="str">
        <f ca="1">IF(raw_exchange_data!$A142="","",OFFSET(raw_exchange_data!$A142,0,MATCH(N$2,raw_exchange_data!$1:$1,0)-1))</f>
        <v>MATIC</v>
      </c>
      <c r="O143" s="161" t="str">
        <f ca="1">IF(raw_exchange_data!$A142="","",OFFSET(raw_exchange_data!$A142,0,MATCH(O$2,raw_exchange_data!$1:$1,0)-1))</f>
        <v>FBLK</v>
      </c>
      <c r="P143" s="161" t="str">
        <f ca="1">IF(raw_exchange_data!$A142="","",OFFSET(raw_exchange_data!$A142,0,MATCH(P$2,raw_exchange_data!$1:$1,0)-1))</f>
        <v>FBLK</v>
      </c>
      <c r="Q143" s="161" t="str">
        <f ca="1">IF(raw_exchange_data!$A142="","",TEXT(OFFSET(raw_exchange_data!$A142,0,MATCH(Q$2,raw_exchange_data!$1:$1,0)-1),""))</f>
        <v/>
      </c>
      <c r="R143" s="162">
        <f ca="1">IF(raw_exchange_data!$A142="","",OFFSET(raw_exchange_data!$A142,0,MATCH(R$2,raw_exchange_data!$1:$1,0)-1))</f>
        <v>3428.9663478000002</v>
      </c>
      <c r="S143" s="190">
        <f ca="1">IF(raw_exchange_data!$A142="","",OFFSET(raw_exchange_data!$A142,0,MATCH(S$2,raw_exchange_data!$1:$1,0)-1))</f>
        <v>44937.660435150465</v>
      </c>
      <c r="T143" s="161">
        <v>1</v>
      </c>
      <c r="W143" t="str">
        <f t="shared" si="11"/>
        <v>HUBI</v>
      </c>
      <c r="X143" t="str">
        <f t="shared" si="12"/>
        <v>BTC</v>
      </c>
      <c r="Y143" s="42">
        <f t="shared" si="13"/>
        <v>4.0000000000000001E-8</v>
      </c>
      <c r="Z143" s="42">
        <f t="shared" ca="1" si="14"/>
        <v>3.8600000000000002E-8</v>
      </c>
      <c r="AC143"/>
      <c r="AD143"/>
    </row>
    <row r="144" spans="1:30" x14ac:dyDescent="0.25">
      <c r="A144" t="str">
        <f>IF(Summary_Exchange_Balances_00UTC!$B143="","",Summary_Exchange_Balances_00UTC!$N143)</f>
        <v>HUBI</v>
      </c>
      <c r="B144" t="str">
        <f>IF(Summary_Exchange_Balances_00UTC!$B143="","",Summary_Exchange_Balances_00UTC!$B143)</f>
        <v>FUB2-M</v>
      </c>
      <c r="C144" t="str">
        <f>IF(Summary_Exchange_Balances_00UTC!$B143="","",Summary_Exchange_Balances_00UTC!$E143)</f>
        <v>EOS</v>
      </c>
      <c r="D144" t="str">
        <f>IF(OR(Summary_Exchange_Balances_00UTC!$B143="",Summary_Exchange_Balances_00UTC!$D143=""),"",Summary_Exchange_Balances_00UTC!$D143)</f>
        <v>Balance</v>
      </c>
      <c r="E144" s="52">
        <f>IF(Summary_Exchange_Balances_00UTC!$B143="","",Summary_Exchange_Balances_00UTC!$C143)</f>
        <v>2.9999999999999997E-8</v>
      </c>
      <c r="G144" s="52">
        <f ca="1">IF(Summary_Exchange_Balances_00UTC!$B143="","",VLOOKUP(IF(ISERROR(SEARCH(" ", $B144)),UPPER($B144&amp;$C144&amp;IF(OR(NOT(ISERROR(SEARCH("trade",$D144))),NOT(ISERROR(SEARCH("balance",$D144)))),"",$D144)),UPPER(LEFT($B144, SEARCH(" ",$B144)-1)&amp;$C144&amp;IF(OR(NOT(ISERROR(SEARCH("trade",$D144))),NOT(ISERROR(SEARCH("balance",$D144)))),"",$D144))),$L:$T,MATCH("balance",$L$2:$S$2,0),FALSE))</f>
        <v>3.1699999999999999E-8</v>
      </c>
      <c r="H144" s="35">
        <f ca="1">IF(Summary_Exchange_Balances_00UTC!$B143="","",(G144-E144)/E144)</f>
        <v>5.666666666666674E-2</v>
      </c>
      <c r="I144" s="165">
        <f ca="1">IF(Summary_Exchange_Balances_00UTC!$B143="","",IF(ISERROR($G144),$E144,$G144))</f>
        <v>3.1699999999999999E-8</v>
      </c>
      <c r="K144" t="str">
        <f t="shared" ca="1" si="10"/>
        <v>FBLKMKR</v>
      </c>
      <c r="L144" t="str">
        <f ca="1">UPPER($P144&amp;$N144&amp;Q144)</f>
        <v>FBLKMKR</v>
      </c>
      <c r="N144" s="161" t="str">
        <f ca="1">IF(raw_exchange_data!$A143="","",OFFSET(raw_exchange_data!$A143,0,MATCH(N$2,raw_exchange_data!$1:$1,0)-1))</f>
        <v>MKR</v>
      </c>
      <c r="O144" s="161" t="str">
        <f ca="1">IF(raw_exchange_data!$A143="","",OFFSET(raw_exchange_data!$A143,0,MATCH(O$2,raw_exchange_data!$1:$1,0)-1))</f>
        <v>FBLK</v>
      </c>
      <c r="P144" s="161" t="str">
        <f ca="1">IF(raw_exchange_data!$A143="","",OFFSET(raw_exchange_data!$A143,0,MATCH(P$2,raw_exchange_data!$1:$1,0)-1))</f>
        <v>FBLK</v>
      </c>
      <c r="Q144" s="161" t="str">
        <f ca="1">IF(raw_exchange_data!$A143="","",TEXT(OFFSET(raw_exchange_data!$A143,0,MATCH(Q$2,raw_exchange_data!$1:$1,0)-1),""))</f>
        <v/>
      </c>
      <c r="R144" s="162">
        <f ca="1">IF(raw_exchange_data!$A143="","",OFFSET(raw_exchange_data!$A143,0,MATCH(R$2,raw_exchange_data!$1:$1,0)-1))</f>
        <v>1.4836537599999999</v>
      </c>
      <c r="S144" s="190">
        <f ca="1">IF(raw_exchange_data!$A143="","",OFFSET(raw_exchange_data!$A143,0,MATCH(S$2,raw_exchange_data!$1:$1,0)-1))</f>
        <v>44937.660435150465</v>
      </c>
      <c r="T144" s="161">
        <v>1</v>
      </c>
      <c r="W144" t="str">
        <f t="shared" si="11"/>
        <v>HUBI</v>
      </c>
      <c r="X144" t="str">
        <f t="shared" si="12"/>
        <v>EOS</v>
      </c>
      <c r="Y144" s="42">
        <f t="shared" si="13"/>
        <v>2.9999999999999997E-8</v>
      </c>
      <c r="Z144" s="42">
        <f t="shared" ca="1" si="14"/>
        <v>3.1699999999999999E-8</v>
      </c>
      <c r="AC144"/>
      <c r="AD144"/>
    </row>
    <row r="145" spans="1:30" x14ac:dyDescent="0.25">
      <c r="A145" t="str">
        <f>IF(Summary_Exchange_Balances_00UTC!$B144="","",Summary_Exchange_Balances_00UTC!$N144)</f>
        <v>HUBI</v>
      </c>
      <c r="B145" t="str">
        <f>IF(Summary_Exchange_Balances_00UTC!$B144="","",Summary_Exchange_Balances_00UTC!$B144)</f>
        <v>FUB2-M</v>
      </c>
      <c r="C145" t="str">
        <f>IF(Summary_Exchange_Balances_00UTC!$B144="","",Summary_Exchange_Balances_00UTC!$E144)</f>
        <v>ETC</v>
      </c>
      <c r="D145" t="str">
        <f>IF(OR(Summary_Exchange_Balances_00UTC!$B144="",Summary_Exchange_Balances_00UTC!$D144=""),"",Summary_Exchange_Balances_00UTC!$D144)</f>
        <v>Balance</v>
      </c>
      <c r="E145" s="52">
        <f>IF(Summary_Exchange_Balances_00UTC!$B144="","",Summary_Exchange_Balances_00UTC!$C144)</f>
        <v>1E-8</v>
      </c>
      <c r="G145" s="52">
        <f ca="1">IF(Summary_Exchange_Balances_00UTC!$B144="","",VLOOKUP(IF(ISERROR(SEARCH(" ", $B145)),UPPER($B145&amp;$C145&amp;IF(OR(NOT(ISERROR(SEARCH("trade",$D145))),NOT(ISERROR(SEARCH("balance",$D145)))),"",$D145)),UPPER(LEFT($B145, SEARCH(" ",$B145)-1)&amp;$C145&amp;IF(OR(NOT(ISERROR(SEARCH("trade",$D145))),NOT(ISERROR(SEARCH("balance",$D145)))),"",$D145))),$L:$T,MATCH("balance",$L$2:$S$2,0),FALSE))</f>
        <v>6.1E-9</v>
      </c>
      <c r="H145" s="35">
        <f ca="1">IF(Summary_Exchange_Balances_00UTC!$B144="","",(G145-E145)/E145)</f>
        <v>-0.39</v>
      </c>
      <c r="I145" s="165">
        <f ca="1">IF(Summary_Exchange_Balances_00UTC!$B144="","",IF(ISERROR($G145),$E145,$G145))</f>
        <v>6.1E-9</v>
      </c>
      <c r="K145" t="str">
        <f t="shared" ca="1" si="10"/>
        <v>FBLKOAAVEUSDC_AAVE-02DEC22-67_5C_ETH_VR7K</v>
      </c>
      <c r="L145" t="str">
        <f ca="1">UPPER($P145&amp;$N145&amp;Q145)</f>
        <v>FBLKOAAVEUSDC_AAVE-02DEC22-67_5C_ETH_VR7K</v>
      </c>
      <c r="N145" s="161" t="str">
        <f ca="1">IF(raw_exchange_data!$A144="","",OFFSET(raw_exchange_data!$A144,0,MATCH(N$2,raw_exchange_data!$1:$1,0)-1))</f>
        <v>OAAVEUSDC_AAVE-02DEC22-67_5C_ETH_VR7K</v>
      </c>
      <c r="O145" s="161" t="str">
        <f ca="1">IF(raw_exchange_data!$A144="","",OFFSET(raw_exchange_data!$A144,0,MATCH(O$2,raw_exchange_data!$1:$1,0)-1))</f>
        <v>FBLK</v>
      </c>
      <c r="P145" s="161" t="str">
        <f ca="1">IF(raw_exchange_data!$A144="","",OFFSET(raw_exchange_data!$A144,0,MATCH(P$2,raw_exchange_data!$1:$1,0)-1))</f>
        <v>FBLK</v>
      </c>
      <c r="Q145" s="161" t="str">
        <f ca="1">IF(raw_exchange_data!$A144="","",TEXT(OFFSET(raw_exchange_data!$A144,0,MATCH(Q$2,raw_exchange_data!$1:$1,0)-1),""))</f>
        <v/>
      </c>
      <c r="R145" s="162">
        <f ca="1">IF(raw_exchange_data!$A144="","",OFFSET(raw_exchange_data!$A144,0,MATCH(R$2,raw_exchange_data!$1:$1,0)-1))</f>
        <v>34311.93215886</v>
      </c>
      <c r="S145" s="190">
        <f ca="1">IF(raw_exchange_data!$A144="","",OFFSET(raw_exchange_data!$A144,0,MATCH(S$2,raw_exchange_data!$1:$1,0)-1))</f>
        <v>44937.660435150465</v>
      </c>
      <c r="T145" s="161">
        <v>1</v>
      </c>
      <c r="W145" t="str">
        <f t="shared" si="11"/>
        <v>HUBI</v>
      </c>
      <c r="X145" t="str">
        <f t="shared" si="12"/>
        <v>ETC</v>
      </c>
      <c r="Y145" s="42">
        <f t="shared" si="13"/>
        <v>1E-8</v>
      </c>
      <c r="Z145" s="42">
        <f t="shared" ca="1" si="14"/>
        <v>6.1E-9</v>
      </c>
      <c r="AC145"/>
      <c r="AD145"/>
    </row>
    <row r="146" spans="1:30" x14ac:dyDescent="0.25">
      <c r="A146" t="str">
        <f>IF(Summary_Exchange_Balances_00UTC!$B145="","",Summary_Exchange_Balances_00UTC!$N145)</f>
        <v>HUBI</v>
      </c>
      <c r="B146" t="str">
        <f>IF(Summary_Exchange_Balances_00UTC!$B145="","",Summary_Exchange_Balances_00UTC!$B145)</f>
        <v>FUB2-M</v>
      </c>
      <c r="C146" t="str">
        <f>IF(Summary_Exchange_Balances_00UTC!$B145="","",Summary_Exchange_Balances_00UTC!$E145)</f>
        <v>ETH</v>
      </c>
      <c r="D146" t="str">
        <f>IF(OR(Summary_Exchange_Balances_00UTC!$B145="",Summary_Exchange_Balances_00UTC!$D145=""),"",Summary_Exchange_Balances_00UTC!$D145)</f>
        <v>Balance</v>
      </c>
      <c r="E146" s="52">
        <f>IF(Summary_Exchange_Balances_00UTC!$B145="","",Summary_Exchange_Balances_00UTC!$C145)</f>
        <v>2.9999999999999997E-8</v>
      </c>
      <c r="G146" s="52">
        <f ca="1">IF(Summary_Exchange_Balances_00UTC!$B145="","",VLOOKUP(IF(ISERROR(SEARCH(" ", $B146)),UPPER($B146&amp;$C146&amp;IF(OR(NOT(ISERROR(SEARCH("trade",$D146))),NOT(ISERROR(SEARCH("balance",$D146)))),"",$D146)),UPPER(LEFT($B146, SEARCH(" ",$B146)-1)&amp;$C146&amp;IF(OR(NOT(ISERROR(SEARCH("trade",$D146))),NOT(ISERROR(SEARCH("balance",$D146)))),"",$D146))),$L:$T,MATCH("balance",$L$2:$S$2,0),FALSE))</f>
        <v>2.8600000000000001E-8</v>
      </c>
      <c r="H146" s="35">
        <f ca="1">IF(Summary_Exchange_Balances_00UTC!$B145="","",(G146-E146)/E146)</f>
        <v>-4.6666666666666537E-2</v>
      </c>
      <c r="I146" s="165">
        <f ca="1">IF(Summary_Exchange_Balances_00UTC!$B145="","",IF(ISERROR($G146),$E146,$G146))</f>
        <v>2.8600000000000001E-8</v>
      </c>
      <c r="K146" t="str">
        <f t="shared" ca="1" si="10"/>
        <v>FBLKOAAVEUSDC_AAVE-06JAN23-62_5C_ETH_6UBB</v>
      </c>
      <c r="L146" t="str">
        <f ca="1">UPPER($P146&amp;$N146&amp;Q146)</f>
        <v>FBLKOAAVEUSDC_AAVE-06JAN23-62_5C_ETH_6UBB</v>
      </c>
      <c r="N146" s="161" t="str">
        <f ca="1">IF(raw_exchange_data!$A145="","",OFFSET(raw_exchange_data!$A145,0,MATCH(N$2,raw_exchange_data!$1:$1,0)-1))</f>
        <v>OAAVEUSDC_AAVE-06JAN23-62_5C_ETH_6UBB</v>
      </c>
      <c r="O146" s="161" t="str">
        <f ca="1">IF(raw_exchange_data!$A145="","",OFFSET(raw_exchange_data!$A145,0,MATCH(O$2,raw_exchange_data!$1:$1,0)-1))</f>
        <v>FBLK</v>
      </c>
      <c r="P146" s="161" t="str">
        <f ca="1">IF(raw_exchange_data!$A145="","",OFFSET(raw_exchange_data!$A145,0,MATCH(P$2,raw_exchange_data!$1:$1,0)-1))</f>
        <v>FBLK</v>
      </c>
      <c r="Q146" s="161" t="str">
        <f ca="1">IF(raw_exchange_data!$A145="","",TEXT(OFFSET(raw_exchange_data!$A145,0,MATCH(Q$2,raw_exchange_data!$1:$1,0)-1),""))</f>
        <v/>
      </c>
      <c r="R146" s="162">
        <f ca="1">IF(raw_exchange_data!$A145="","",OFFSET(raw_exchange_data!$A145,0,MATCH(R$2,raw_exchange_data!$1:$1,0)-1))</f>
        <v>32302.942249520001</v>
      </c>
      <c r="S146" s="190">
        <f ca="1">IF(raw_exchange_data!$A145="","",OFFSET(raw_exchange_data!$A145,0,MATCH(S$2,raw_exchange_data!$1:$1,0)-1))</f>
        <v>44937.660435150465</v>
      </c>
      <c r="T146" s="161">
        <v>1</v>
      </c>
      <c r="W146" t="str">
        <f t="shared" si="11"/>
        <v>HUBI</v>
      </c>
      <c r="X146" t="str">
        <f t="shared" si="12"/>
        <v>ETH</v>
      </c>
      <c r="Y146" s="42">
        <f t="shared" si="13"/>
        <v>2.9999999999999997E-8</v>
      </c>
      <c r="Z146" s="42">
        <f t="shared" ca="1" si="14"/>
        <v>2.8600000000000001E-8</v>
      </c>
      <c r="AC146"/>
      <c r="AD146"/>
    </row>
    <row r="147" spans="1:30" x14ac:dyDescent="0.25">
      <c r="A147" t="str">
        <f>IF(Summary_Exchange_Balances_00UTC!$B146="","",Summary_Exchange_Balances_00UTC!$N146)</f>
        <v>HUBI</v>
      </c>
      <c r="B147" t="str">
        <f>IF(Summary_Exchange_Balances_00UTC!$B146="","",Summary_Exchange_Balances_00UTC!$B146)</f>
        <v>FUB2-M</v>
      </c>
      <c r="C147" t="str">
        <f>IF(Summary_Exchange_Balances_00UTC!$B146="","",Summary_Exchange_Balances_00UTC!$E146)</f>
        <v>LTC</v>
      </c>
      <c r="D147" t="str">
        <f>IF(OR(Summary_Exchange_Balances_00UTC!$B146="",Summary_Exchange_Balances_00UTC!$D146=""),"",Summary_Exchange_Balances_00UTC!$D146)</f>
        <v>Balance</v>
      </c>
      <c r="E147" s="52">
        <f>IF(Summary_Exchange_Balances_00UTC!$B146="","",Summary_Exchange_Balances_00UTC!$C146)</f>
        <v>1E-8</v>
      </c>
      <c r="G147" s="52">
        <f ca="1">IF(Summary_Exchange_Balances_00UTC!$B146="","",VLOOKUP(IF(ISERROR(SEARCH(" ", $B147)),UPPER($B147&amp;$C147&amp;IF(OR(NOT(ISERROR(SEARCH("trade",$D147))),NOT(ISERROR(SEARCH("balance",$D147)))),"",$D147)),UPPER(LEFT($B147, SEARCH(" ",$B147)-1)&amp;$C147&amp;IF(OR(NOT(ISERROR(SEARCH("trade",$D147))),NOT(ISERROR(SEARCH("balance",$D147)))),"",$D147))),$L:$T,MATCH("balance",$L$2:$S$2,0),FALSE))</f>
        <v>9.3000000000000006E-9</v>
      </c>
      <c r="H147" s="35">
        <f ca="1">IF(Summary_Exchange_Balances_00UTC!$B146="","",(G147-E147)/E147)</f>
        <v>-6.9999999999999965E-2</v>
      </c>
      <c r="I147" s="165">
        <f ca="1">IF(Summary_Exchange_Balances_00UTC!$B146="","",IF(ISERROR($G147),$E147,$G147))</f>
        <v>9.3000000000000006E-9</v>
      </c>
      <c r="K147" t="str">
        <f t="shared" ca="1" si="10"/>
        <v>FBLKOAAVEUSDC_AAVE-13JAN23-62_5C_ETH_OZQM</v>
      </c>
      <c r="L147" t="str">
        <f ca="1">UPPER($P147&amp;$N147&amp;Q147)</f>
        <v>FBLKOAAVEUSDC_AAVE-13JAN23-62_5C_ETH_OZQM</v>
      </c>
      <c r="N147" s="161" t="str">
        <f ca="1">IF(raw_exchange_data!$A146="","",OFFSET(raw_exchange_data!$A146,0,MATCH(N$2,raw_exchange_data!$1:$1,0)-1))</f>
        <v>OAAVEUSDC_AAVE-13JAN23-62_5C_ETH_OZQM</v>
      </c>
      <c r="O147" s="161" t="str">
        <f ca="1">IF(raw_exchange_data!$A146="","",OFFSET(raw_exchange_data!$A146,0,MATCH(O$2,raw_exchange_data!$1:$1,0)-1))</f>
        <v>FBLK</v>
      </c>
      <c r="P147" s="161" t="str">
        <f ca="1">IF(raw_exchange_data!$A146="","",OFFSET(raw_exchange_data!$A146,0,MATCH(P$2,raw_exchange_data!$1:$1,0)-1))</f>
        <v>FBLK</v>
      </c>
      <c r="Q147" s="161" t="str">
        <f ca="1">IF(raw_exchange_data!$A146="","",TEXT(OFFSET(raw_exchange_data!$A146,0,MATCH(Q$2,raw_exchange_data!$1:$1,0)-1),""))</f>
        <v/>
      </c>
      <c r="R147" s="162">
        <f ca="1">IF(raw_exchange_data!$A146="","",OFFSET(raw_exchange_data!$A146,0,MATCH(R$2,raw_exchange_data!$1:$1,0)-1))</f>
        <v>32626.54331546</v>
      </c>
      <c r="S147" s="190">
        <f ca="1">IF(raw_exchange_data!$A146="","",OFFSET(raw_exchange_data!$A146,0,MATCH(S$2,raw_exchange_data!$1:$1,0)-1))</f>
        <v>44937.660435150465</v>
      </c>
      <c r="T147" s="161">
        <v>1</v>
      </c>
      <c r="W147" t="str">
        <f t="shared" si="11"/>
        <v>HUBI</v>
      </c>
      <c r="X147" t="str">
        <f t="shared" si="12"/>
        <v>LTC</v>
      </c>
      <c r="Y147" s="42">
        <f t="shared" si="13"/>
        <v>1E-8</v>
      </c>
      <c r="Z147" s="42">
        <f t="shared" ca="1" si="14"/>
        <v>9.3000000000000006E-9</v>
      </c>
      <c r="AC147"/>
      <c r="AD147"/>
    </row>
    <row r="148" spans="1:30" x14ac:dyDescent="0.25">
      <c r="A148" t="str">
        <f>IF(Summary_Exchange_Balances_00UTC!$B147="","",Summary_Exchange_Balances_00UTC!$N147)</f>
        <v>HUBI</v>
      </c>
      <c r="B148" t="str">
        <f>IF(Summary_Exchange_Balances_00UTC!$B147="","",Summary_Exchange_Balances_00UTC!$B147)</f>
        <v>FUB2-M</v>
      </c>
      <c r="C148" t="str">
        <f>IF(Summary_Exchange_Balances_00UTC!$B147="","",Summary_Exchange_Balances_00UTC!$E147)</f>
        <v>TRX</v>
      </c>
      <c r="D148" t="str">
        <f>IF(OR(Summary_Exchange_Balances_00UTC!$B147="",Summary_Exchange_Balances_00UTC!$D147=""),"",Summary_Exchange_Balances_00UTC!$D147)</f>
        <v>Balance</v>
      </c>
      <c r="E148" s="52">
        <f>IF(Summary_Exchange_Balances_00UTC!$B147="","",Summary_Exchange_Balances_00UTC!$C147)</f>
        <v>1E-8</v>
      </c>
      <c r="G148" s="52">
        <f ca="1">IF(Summary_Exchange_Balances_00UTC!$B147="","",VLOOKUP(IF(ISERROR(SEARCH(" ", $B148)),UPPER($B148&amp;$C148&amp;IF(OR(NOT(ISERROR(SEARCH("trade",$D148))),NOT(ISERROR(SEARCH("balance",$D148)))),"",$D148)),UPPER(LEFT($B148, SEARCH(" ",$B148)-1)&amp;$C148&amp;IF(OR(NOT(ISERROR(SEARCH("trade",$D148))),NOT(ISERROR(SEARCH("balance",$D148)))),"",$D148))),$L:$T,MATCH("balance",$L$2:$S$2,0),FALSE))</f>
        <v>7.8999999999999996E-9</v>
      </c>
      <c r="H148" s="35">
        <f ca="1">IF(Summary_Exchange_Balances_00UTC!$B147="","",(G148-E148)/E148)</f>
        <v>-0.21000000000000005</v>
      </c>
      <c r="I148" s="165">
        <f ca="1">IF(Summary_Exchange_Balances_00UTC!$B147="","",IF(ISERROR($G148),$E148,$G148))</f>
        <v>7.8999999999999996E-9</v>
      </c>
      <c r="K148" t="str">
        <f t="shared" ca="1" si="10"/>
        <v>FBLKOAAVEUSDC_AAVE-16DEC22-72_5C_ETH_NF7H</v>
      </c>
      <c r="L148" t="str">
        <f ca="1">UPPER($P148&amp;$N148&amp;Q148)</f>
        <v>FBLKOAAVEUSDC_AAVE-16DEC22-72_5C_ETH_NF7H</v>
      </c>
      <c r="N148" s="161" t="str">
        <f ca="1">IF(raw_exchange_data!$A147="","",OFFSET(raw_exchange_data!$A147,0,MATCH(N$2,raw_exchange_data!$1:$1,0)-1))</f>
        <v>OAAVEUSDC_AAVE-16DEC22-72_5C_ETH_NF7H</v>
      </c>
      <c r="O148" s="161" t="str">
        <f ca="1">IF(raw_exchange_data!$A147="","",OFFSET(raw_exchange_data!$A147,0,MATCH(O$2,raw_exchange_data!$1:$1,0)-1))</f>
        <v>FBLK</v>
      </c>
      <c r="P148" s="161" t="str">
        <f ca="1">IF(raw_exchange_data!$A147="","",OFFSET(raw_exchange_data!$A147,0,MATCH(P$2,raw_exchange_data!$1:$1,0)-1))</f>
        <v>FBLK</v>
      </c>
      <c r="Q148" s="161" t="str">
        <f ca="1">IF(raw_exchange_data!$A147="","",TEXT(OFFSET(raw_exchange_data!$A147,0,MATCH(Q$2,raw_exchange_data!$1:$1,0)-1),""))</f>
        <v/>
      </c>
      <c r="R148" s="162">
        <f ca="1">IF(raw_exchange_data!$A147="","",OFFSET(raw_exchange_data!$A147,0,MATCH(R$2,raw_exchange_data!$1:$1,0)-1))</f>
        <v>33793.379334129997</v>
      </c>
      <c r="S148" s="190">
        <f ca="1">IF(raw_exchange_data!$A147="","",OFFSET(raw_exchange_data!$A147,0,MATCH(S$2,raw_exchange_data!$1:$1,0)-1))</f>
        <v>44937.660435150465</v>
      </c>
      <c r="T148" s="161">
        <v>1</v>
      </c>
      <c r="W148" t="str">
        <f t="shared" si="11"/>
        <v>HUBI</v>
      </c>
      <c r="X148" t="str">
        <f t="shared" si="12"/>
        <v>TRX</v>
      </c>
      <c r="Y148" s="42">
        <f t="shared" si="13"/>
        <v>1E-8</v>
      </c>
      <c r="Z148" s="42">
        <f t="shared" ca="1" si="14"/>
        <v>7.8999999999999996E-9</v>
      </c>
      <c r="AC148"/>
      <c r="AD148"/>
    </row>
    <row r="149" spans="1:30" x14ac:dyDescent="0.25">
      <c r="A149" t="str">
        <f>IF(Summary_Exchange_Balances_00UTC!$B148="","",Summary_Exchange_Balances_00UTC!$N148)</f>
        <v>HUBI</v>
      </c>
      <c r="B149" t="str">
        <f>IF(Summary_Exchange_Balances_00UTC!$B148="","",Summary_Exchange_Balances_00UTC!$B148)</f>
        <v>FUB2-M</v>
      </c>
      <c r="C149" t="str">
        <f>IF(Summary_Exchange_Balances_00UTC!$B148="","",Summary_Exchange_Balances_00UTC!$E148)</f>
        <v>XRP</v>
      </c>
      <c r="D149" t="str">
        <f>IF(OR(Summary_Exchange_Balances_00UTC!$B148="",Summary_Exchange_Balances_00UTC!$D148=""),"",Summary_Exchange_Balances_00UTC!$D148)</f>
        <v>Balance</v>
      </c>
      <c r="E149" s="53">
        <f>IF(Summary_Exchange_Balances_00UTC!$B148="","",Summary_Exchange_Balances_00UTC!$C148)</f>
        <v>9.9999999999999995E-8</v>
      </c>
      <c r="G149" s="52">
        <f ca="1">IF(Summary_Exchange_Balances_00UTC!$B148="","",VLOOKUP(IF(ISERROR(SEARCH(" ", $B149)),UPPER($B149&amp;$C149&amp;IF(OR(NOT(ISERROR(SEARCH("trade",$D149))),NOT(ISERROR(SEARCH("balance",$D149)))),"",$D149)),UPPER(LEFT($B149, SEARCH(" ",$B149)-1)&amp;$C149&amp;IF(OR(NOT(ISERROR(SEARCH("trade",$D149))),NOT(ISERROR(SEARCH("balance",$D149)))),"",$D149))),$L:$T,MATCH("balance",$L$2:$S$2,0),FALSE))</f>
        <v>9.7899999999999997E-8</v>
      </c>
      <c r="H149" s="35">
        <f ca="1">IF(Summary_Exchange_Balances_00UTC!$B148="","",(G149-E149)/E149)</f>
        <v>-2.0999999999999991E-2</v>
      </c>
      <c r="I149" s="165">
        <f ca="1">IF(Summary_Exchange_Balances_00UTC!$B148="","",IF(ISERROR($G149),$E149,$G149))</f>
        <v>9.7899999999999997E-8</v>
      </c>
      <c r="K149" t="str">
        <f t="shared" ca="1" si="10"/>
        <v>FBLKOAAVEUSDC_AAVE-25NOV22-72_5C_ETH_IV8T</v>
      </c>
      <c r="L149" t="str">
        <f ca="1">UPPER($P149&amp;$N149&amp;Q149)</f>
        <v>FBLKOAAVEUSDC_AAVE-25NOV22-72_5C_ETH_IV8T</v>
      </c>
      <c r="N149" s="161" t="str">
        <f ca="1">IF(raw_exchange_data!$A148="","",OFFSET(raw_exchange_data!$A148,0,MATCH(N$2,raw_exchange_data!$1:$1,0)-1))</f>
        <v>OAAVEUSDC_AAVE-25NOV22-72_5C_ETH_IV8T</v>
      </c>
      <c r="O149" s="161" t="str">
        <f ca="1">IF(raw_exchange_data!$A148="","",OFFSET(raw_exchange_data!$A148,0,MATCH(O$2,raw_exchange_data!$1:$1,0)-1))</f>
        <v>FBLK</v>
      </c>
      <c r="P149" s="161" t="str">
        <f ca="1">IF(raw_exchange_data!$A148="","",OFFSET(raw_exchange_data!$A148,0,MATCH(P$2,raw_exchange_data!$1:$1,0)-1))</f>
        <v>FBLK</v>
      </c>
      <c r="Q149" s="161" t="str">
        <f ca="1">IF(raw_exchange_data!$A148="","",TEXT(OFFSET(raw_exchange_data!$A148,0,MATCH(Q$2,raw_exchange_data!$1:$1,0)-1),""))</f>
        <v/>
      </c>
      <c r="R149" s="162">
        <f ca="1">IF(raw_exchange_data!$A148="","",OFFSET(raw_exchange_data!$A148,0,MATCH(R$2,raw_exchange_data!$1:$1,0)-1))</f>
        <v>33991.374100820001</v>
      </c>
      <c r="S149" s="190">
        <f ca="1">IF(raw_exchange_data!$A148="","",OFFSET(raw_exchange_data!$A148,0,MATCH(S$2,raw_exchange_data!$1:$1,0)-1))</f>
        <v>44937.660435150465</v>
      </c>
      <c r="T149" s="161">
        <v>1</v>
      </c>
      <c r="W149" t="str">
        <f t="shared" si="11"/>
        <v>HUBI</v>
      </c>
      <c r="X149" t="str">
        <f t="shared" si="12"/>
        <v>XRP</v>
      </c>
      <c r="Y149" s="42">
        <f t="shared" si="13"/>
        <v>9.9999999999999995E-8</v>
      </c>
      <c r="Z149" s="42">
        <f t="shared" ca="1" si="14"/>
        <v>9.7899999999999997E-8</v>
      </c>
      <c r="AC149"/>
      <c r="AD149"/>
    </row>
    <row r="150" spans="1:30" x14ac:dyDescent="0.25">
      <c r="A150" t="str">
        <f>IF(Summary_Exchange_Balances_00UTC!$B149="","",Summary_Exchange_Balances_00UTC!$N149)</f>
        <v>HUBI</v>
      </c>
      <c r="B150" t="str">
        <f>IF(Summary_Exchange_Balances_00UTC!$B149="","",Summary_Exchange_Balances_00UTC!$B149)</f>
        <v>FUBI-M</v>
      </c>
      <c r="C150" t="str">
        <f>IF(Summary_Exchange_Balances_00UTC!$B149="","",Summary_Exchange_Balances_00UTC!$E149)</f>
        <v>ADA</v>
      </c>
      <c r="D150" t="str">
        <f>IF(OR(Summary_Exchange_Balances_00UTC!$B149="",Summary_Exchange_Balances_00UTC!$D149=""),"",Summary_Exchange_Balances_00UTC!$D149)</f>
        <v>Balance</v>
      </c>
      <c r="E150" s="52">
        <f>IF(Summary_Exchange_Balances_00UTC!$B149="","",Summary_Exchange_Balances_00UTC!$C149)</f>
        <v>5.7406599999999999E-3</v>
      </c>
      <c r="G150" s="52">
        <f ca="1">IF(Summary_Exchange_Balances_00UTC!$B149="","",VLOOKUP(IF(ISERROR(SEARCH(" ", $B150)),UPPER($B150&amp;$C150&amp;IF(OR(NOT(ISERROR(SEARCH("trade",$D150))),NOT(ISERROR(SEARCH("balance",$D150)))),"",$D150)),UPPER(LEFT($B150, SEARCH(" ",$B150)-1)&amp;$C150&amp;IF(OR(NOT(ISERROR(SEARCH("trade",$D150))),NOT(ISERROR(SEARCH("balance",$D150)))),"",$D150))),$L:$T,MATCH("balance",$L$2:$S$2,0),FALSE))</f>
        <v>5.7406593000000001E-3</v>
      </c>
      <c r="H150" s="35">
        <f ca="1">IF(Summary_Exchange_Balances_00UTC!$B149="","",(G150-E150)/E150)</f>
        <v>-1.2193719882470364E-7</v>
      </c>
      <c r="I150" s="165">
        <f ca="1">IF(Summary_Exchange_Balances_00UTC!$B149="","",IF(ISERROR($G150),$E150,$G150))</f>
        <v>5.7406593000000001E-3</v>
      </c>
      <c r="K150" t="str">
        <f t="shared" ca="1" si="10"/>
        <v>FBLKOBALUSDC_BAL-30DEC22-7_6C_ETH_9HM7</v>
      </c>
      <c r="L150" t="str">
        <f ca="1">UPPER($P150&amp;$N150&amp;Q150)</f>
        <v>FBLKOBALUSDC_BAL-30DEC22-7_6C_ETH_9HM7</v>
      </c>
      <c r="N150" s="161" t="str">
        <f ca="1">IF(raw_exchange_data!$A149="","",OFFSET(raw_exchange_data!$A149,0,MATCH(N$2,raw_exchange_data!$1:$1,0)-1))</f>
        <v>OBALUSDC_BAL-30DEC22-7_6C_ETH_9HM7</v>
      </c>
      <c r="O150" s="161" t="str">
        <f ca="1">IF(raw_exchange_data!$A149="","",OFFSET(raw_exchange_data!$A149,0,MATCH(O$2,raw_exchange_data!$1:$1,0)-1))</f>
        <v>FBLK</v>
      </c>
      <c r="P150" s="161" t="str">
        <f ca="1">IF(raw_exchange_data!$A149="","",OFFSET(raw_exchange_data!$A149,0,MATCH(P$2,raw_exchange_data!$1:$1,0)-1))</f>
        <v>FBLK</v>
      </c>
      <c r="Q150" s="161" t="str">
        <f ca="1">IF(raw_exchange_data!$A149="","",TEXT(OFFSET(raw_exchange_data!$A149,0,MATCH(Q$2,raw_exchange_data!$1:$1,0)-1),""))</f>
        <v/>
      </c>
      <c r="R150" s="162">
        <f ca="1">IF(raw_exchange_data!$A149="","",OFFSET(raw_exchange_data!$A149,0,MATCH(R$2,raw_exchange_data!$1:$1,0)-1))</f>
        <v>196525.25441796001</v>
      </c>
      <c r="S150" s="190">
        <f ca="1">IF(raw_exchange_data!$A149="","",OFFSET(raw_exchange_data!$A149,0,MATCH(S$2,raw_exchange_data!$1:$1,0)-1))</f>
        <v>44937.660435150465</v>
      </c>
      <c r="T150" s="161">
        <v>1</v>
      </c>
      <c r="W150" t="str">
        <f t="shared" si="11"/>
        <v>HUBI</v>
      </c>
      <c r="X150" t="str">
        <f t="shared" si="12"/>
        <v>ADA</v>
      </c>
      <c r="Y150" s="42">
        <f t="shared" si="13"/>
        <v>5.7406599999999999E-3</v>
      </c>
      <c r="Z150" s="42">
        <f t="shared" ca="1" si="14"/>
        <v>5.7406593000000001E-3</v>
      </c>
      <c r="AC150"/>
      <c r="AD150"/>
    </row>
    <row r="151" spans="1:30" x14ac:dyDescent="0.25">
      <c r="A151" t="str">
        <f>IF(Summary_Exchange_Balances_00UTC!$B150="","",Summary_Exchange_Balances_00UTC!$N150)</f>
        <v>HUBI</v>
      </c>
      <c r="B151" t="str">
        <f>IF(Summary_Exchange_Balances_00UTC!$B150="","",Summary_Exchange_Balances_00UTC!$B150)</f>
        <v>FUBI-M</v>
      </c>
      <c r="C151" t="str">
        <f>IF(Summary_Exchange_Balances_00UTC!$B150="","",Summary_Exchange_Balances_00UTC!$E150)</f>
        <v>BCH</v>
      </c>
      <c r="D151" t="str">
        <f>IF(OR(Summary_Exchange_Balances_00UTC!$B150="",Summary_Exchange_Balances_00UTC!$D150=""),"",Summary_Exchange_Balances_00UTC!$D150)</f>
        <v>Balance</v>
      </c>
      <c r="E151" s="52">
        <f>IF(Summary_Exchange_Balances_00UTC!$B150="","",Summary_Exchange_Balances_00UTC!$C150)</f>
        <v>0.72885027999999996</v>
      </c>
      <c r="G151" s="52">
        <f ca="1">IF(Summary_Exchange_Balances_00UTC!$B150="","",VLOOKUP(IF(ISERROR(SEARCH(" ", $B151)),UPPER($B151&amp;$C151&amp;IF(OR(NOT(ISERROR(SEARCH("trade",$D151))),NOT(ISERROR(SEARCH("balance",$D151)))),"",$D151)),UPPER(LEFT($B151, SEARCH(" ",$B151)-1)&amp;$C151&amp;IF(OR(NOT(ISERROR(SEARCH("trade",$D151))),NOT(ISERROR(SEARCH("balance",$D151)))),"",$D151))),$L:$T,MATCH("balance",$L$2:$S$2,0),FALSE))</f>
        <v>0.72885028029999999</v>
      </c>
      <c r="H151" s="35">
        <f ca="1">IF(Summary_Exchange_Balances_00UTC!$B150="","",(G151-E151)/E151)</f>
        <v>4.1160720254111903E-10</v>
      </c>
      <c r="I151" s="165">
        <f ca="1">IF(Summary_Exchange_Balances_00UTC!$B150="","",IF(ISERROR($G151),$E151,$G151))</f>
        <v>0.72885028029999999</v>
      </c>
      <c r="K151" t="str">
        <f t="shared" ca="1" si="10"/>
        <v>FBLKOMG</v>
      </c>
      <c r="L151" t="str">
        <f ca="1">UPPER($P151&amp;$N151&amp;Q151)</f>
        <v>FBLKOMG</v>
      </c>
      <c r="N151" s="161" t="str">
        <f ca="1">IF(raw_exchange_data!$A150="","",OFFSET(raw_exchange_data!$A150,0,MATCH(N$2,raw_exchange_data!$1:$1,0)-1))</f>
        <v>OMG</v>
      </c>
      <c r="O151" s="161" t="str">
        <f ca="1">IF(raw_exchange_data!$A150="","",OFFSET(raw_exchange_data!$A150,0,MATCH(O$2,raw_exchange_data!$1:$1,0)-1))</f>
        <v>FBLK</v>
      </c>
      <c r="P151" s="161" t="str">
        <f ca="1">IF(raw_exchange_data!$A150="","",OFFSET(raw_exchange_data!$A150,0,MATCH(P$2,raw_exchange_data!$1:$1,0)-1))</f>
        <v>FBLK</v>
      </c>
      <c r="Q151" s="161" t="str">
        <f ca="1">IF(raw_exchange_data!$A150="","",TEXT(OFFSET(raw_exchange_data!$A150,0,MATCH(Q$2,raw_exchange_data!$1:$1,0)-1),""))</f>
        <v/>
      </c>
      <c r="R151" s="162">
        <f ca="1">IF(raw_exchange_data!$A150="","",OFFSET(raw_exchange_data!$A150,0,MATCH(R$2,raw_exchange_data!$1:$1,0)-1))</f>
        <v>168.05099999999999</v>
      </c>
      <c r="S151" s="190">
        <f ca="1">IF(raw_exchange_data!$A150="","",OFFSET(raw_exchange_data!$A150,0,MATCH(S$2,raw_exchange_data!$1:$1,0)-1))</f>
        <v>44937.660435150465</v>
      </c>
      <c r="T151" s="161">
        <v>1</v>
      </c>
      <c r="W151" t="str">
        <f t="shared" si="11"/>
        <v>HUBI</v>
      </c>
      <c r="X151" t="str">
        <f t="shared" si="12"/>
        <v>BCH</v>
      </c>
      <c r="Y151" s="42">
        <f t="shared" si="13"/>
        <v>0.72885027999999996</v>
      </c>
      <c r="Z151" s="42">
        <f t="shared" ca="1" si="14"/>
        <v>0.72885028029999999</v>
      </c>
      <c r="AC151"/>
      <c r="AD151"/>
    </row>
    <row r="152" spans="1:30" x14ac:dyDescent="0.25">
      <c r="A152" t="str">
        <f>IF(Summary_Exchange_Balances_00UTC!$B151="","",Summary_Exchange_Balances_00UTC!$N151)</f>
        <v>HUBI</v>
      </c>
      <c r="B152" t="str">
        <f>IF(Summary_Exchange_Balances_00UTC!$B151="","",Summary_Exchange_Balances_00UTC!$B151)</f>
        <v>FUBI-M</v>
      </c>
      <c r="C152" t="str">
        <f>IF(Summary_Exchange_Balances_00UTC!$B151="","",Summary_Exchange_Balances_00UTC!$E151)</f>
        <v>BSV</v>
      </c>
      <c r="D152" t="str">
        <f>IF(OR(Summary_Exchange_Balances_00UTC!$B151="",Summary_Exchange_Balances_00UTC!$D151=""),"",Summary_Exchange_Balances_00UTC!$D151)</f>
        <v>Balance</v>
      </c>
      <c r="E152" s="52">
        <f>IF(Summary_Exchange_Balances_00UTC!$B151="","",Summary_Exchange_Balances_00UTC!$C151)</f>
        <v>0.11285791000000001</v>
      </c>
      <c r="G152" s="52">
        <f ca="1">IF(Summary_Exchange_Balances_00UTC!$B151="","",VLOOKUP(IF(ISERROR(SEARCH(" ", $B152)),UPPER($B152&amp;$C152&amp;IF(OR(NOT(ISERROR(SEARCH("trade",$D152))),NOT(ISERROR(SEARCH("balance",$D152)))),"",$D152)),UPPER(LEFT($B152, SEARCH(" ",$B152)-1)&amp;$C152&amp;IF(OR(NOT(ISERROR(SEARCH("trade",$D152))),NOT(ISERROR(SEARCH("balance",$D152)))),"",$D152))),$L:$T,MATCH("balance",$L$2:$S$2,0),FALSE))</f>
        <v>0.11285791119999999</v>
      </c>
      <c r="H152" s="35">
        <f ca="1">IF(Summary_Exchange_Balances_00UTC!$B151="","",(G152-E152)/E152)</f>
        <v>1.0632839012047474E-8</v>
      </c>
      <c r="I152" s="165">
        <f ca="1">IF(Summary_Exchange_Balances_00UTC!$B151="","",IF(ISERROR($G152),$E152,$G152))</f>
        <v>0.11285791119999999</v>
      </c>
      <c r="K152" t="str">
        <f t="shared" ca="1" si="10"/>
        <v>FBLKOPERPUSDC_PERP-30DEC22-0_54C_ETH_810N</v>
      </c>
      <c r="L152" t="str">
        <f ca="1">UPPER($P152&amp;$N152&amp;Q152)</f>
        <v>FBLKOPERPUSDC_PERP-30DEC22-0_54C_ETH_810N</v>
      </c>
      <c r="N152" s="161" t="str">
        <f ca="1">IF(raw_exchange_data!$A151="","",OFFSET(raw_exchange_data!$A151,0,MATCH(N$2,raw_exchange_data!$1:$1,0)-1))</f>
        <v>OPERPUSDC_PERP-30DEC22-0_54C_ETH_810N</v>
      </c>
      <c r="O152" s="161" t="str">
        <f ca="1">IF(raw_exchange_data!$A151="","",OFFSET(raw_exchange_data!$A151,0,MATCH(O$2,raw_exchange_data!$1:$1,0)-1))</f>
        <v>FBLK</v>
      </c>
      <c r="P152" s="161" t="str">
        <f ca="1">IF(raw_exchange_data!$A151="","",OFFSET(raw_exchange_data!$A151,0,MATCH(P$2,raw_exchange_data!$1:$1,0)-1))</f>
        <v>FBLK</v>
      </c>
      <c r="Q152" s="161" t="str">
        <f ca="1">IF(raw_exchange_data!$A151="","",TEXT(OFFSET(raw_exchange_data!$A151,0,MATCH(Q$2,raw_exchange_data!$1:$1,0)-1),""))</f>
        <v/>
      </c>
      <c r="R152" s="162">
        <f ca="1">IF(raw_exchange_data!$A151="","",OFFSET(raw_exchange_data!$A151,0,MATCH(R$2,raw_exchange_data!$1:$1,0)-1))</f>
        <v>201000.92417708001</v>
      </c>
      <c r="S152" s="190">
        <f ca="1">IF(raw_exchange_data!$A151="","",OFFSET(raw_exchange_data!$A151,0,MATCH(S$2,raw_exchange_data!$1:$1,0)-1))</f>
        <v>44937.660435150465</v>
      </c>
      <c r="T152" s="161">
        <v>1</v>
      </c>
      <c r="W152" t="str">
        <f t="shared" si="11"/>
        <v>HUBI</v>
      </c>
      <c r="X152" t="str">
        <f t="shared" si="12"/>
        <v>BSV</v>
      </c>
      <c r="Y152" s="42">
        <f t="shared" si="13"/>
        <v>0.11285791000000001</v>
      </c>
      <c r="Z152" s="42">
        <f t="shared" ca="1" si="14"/>
        <v>0.11285791119999999</v>
      </c>
      <c r="AC152"/>
      <c r="AD152"/>
    </row>
    <row r="153" spans="1:30" x14ac:dyDescent="0.25">
      <c r="A153" t="str">
        <f>IF(Summary_Exchange_Balances_00UTC!$B152="","",Summary_Exchange_Balances_00UTC!$N152)</f>
        <v>HUBI</v>
      </c>
      <c r="B153" t="str">
        <f>IF(Summary_Exchange_Balances_00UTC!$B152="","",Summary_Exchange_Balances_00UTC!$B152)</f>
        <v>FUBI-M</v>
      </c>
      <c r="C153" t="str">
        <f>IF(Summary_Exchange_Balances_00UTC!$B152="","",Summary_Exchange_Balances_00UTC!$E152)</f>
        <v>BTC</v>
      </c>
      <c r="D153" t="str">
        <f>IF(OR(Summary_Exchange_Balances_00UTC!$B152="",Summary_Exchange_Balances_00UTC!$D152=""),"",Summary_Exchange_Balances_00UTC!$D152)</f>
        <v>Balance</v>
      </c>
      <c r="E153" s="53">
        <f>IF(Summary_Exchange_Balances_00UTC!$B152="","",Summary_Exchange_Balances_00UTC!$C152)</f>
        <v>5.1900000000000003E-6</v>
      </c>
      <c r="G153" s="52">
        <f ca="1">IF(Summary_Exchange_Balances_00UTC!$B152="","",VLOOKUP(IF(ISERROR(SEARCH(" ", $B153)),UPPER($B153&amp;$C153&amp;IF(OR(NOT(ISERROR(SEARCH("trade",$D153))),NOT(ISERROR(SEARCH("balance",$D153)))),"",$D153)),UPPER(LEFT($B153, SEARCH(" ",$B153)-1)&amp;$C153&amp;IF(OR(NOT(ISERROR(SEARCH("trade",$D153))),NOT(ISERROR(SEARCH("balance",$D153)))),"",$D153))),$L:$T,MATCH("balance",$L$2:$S$2,0),FALSE))</f>
        <v>5.1931999999999997E-6</v>
      </c>
      <c r="H153" s="35">
        <f ca="1">IF(Summary_Exchange_Balances_00UTC!$B152="","",(G153-E153)/E153)</f>
        <v>6.1657032755286958E-4</v>
      </c>
      <c r="I153" s="165">
        <f ca="1">IF(Summary_Exchange_Balances_00UTC!$B152="","",IF(ISERROR($G153),$E153,$G153))</f>
        <v>5.1931999999999997E-6</v>
      </c>
      <c r="K153" t="str">
        <f t="shared" ca="1" si="10"/>
        <v>FBLKOSPELLUSDC_SPELL-30DEC22-0_00079C_ETH_L34N</v>
      </c>
      <c r="L153" t="str">
        <f ca="1">UPPER($P153&amp;$N153&amp;Q153)</f>
        <v>FBLKOSPELLUSDC_SPELL-30DEC22-0_00079C_ETH_L34N</v>
      </c>
      <c r="N153" s="161" t="str">
        <f ca="1">IF(raw_exchange_data!$A152="","",OFFSET(raw_exchange_data!$A152,0,MATCH(N$2,raw_exchange_data!$1:$1,0)-1))</f>
        <v>OSPELLUSDC_SPELL-30DEC22-0_00079C_ETH_L34N</v>
      </c>
      <c r="O153" s="161" t="str">
        <f ca="1">IF(raw_exchange_data!$A152="","",OFFSET(raw_exchange_data!$A152,0,MATCH(O$2,raw_exchange_data!$1:$1,0)-1))</f>
        <v>FBLK</v>
      </c>
      <c r="P153" s="161" t="str">
        <f ca="1">IF(raw_exchange_data!$A152="","",OFFSET(raw_exchange_data!$A152,0,MATCH(P$2,raw_exchange_data!$1:$1,0)-1))</f>
        <v>FBLK</v>
      </c>
      <c r="Q153" s="161" t="str">
        <f ca="1">IF(raw_exchange_data!$A152="","",TEXT(OFFSET(raw_exchange_data!$A152,0,MATCH(Q$2,raw_exchange_data!$1:$1,0)-1),""))</f>
        <v/>
      </c>
      <c r="R153" s="162">
        <f ca="1">IF(raw_exchange_data!$A152="","",OFFSET(raw_exchange_data!$A152,0,MATCH(R$2,raw_exchange_data!$1:$1,0)-1))</f>
        <v>100050250.667</v>
      </c>
      <c r="S153" s="190">
        <f ca="1">IF(raw_exchange_data!$A152="","",OFFSET(raw_exchange_data!$A152,0,MATCH(S$2,raw_exchange_data!$1:$1,0)-1))</f>
        <v>44937.660435150465</v>
      </c>
      <c r="T153" s="161">
        <v>1</v>
      </c>
      <c r="W153" t="str">
        <f t="shared" si="11"/>
        <v>HUBI</v>
      </c>
      <c r="X153" t="str">
        <f t="shared" si="12"/>
        <v>BTC</v>
      </c>
      <c r="Y153" s="42">
        <f t="shared" si="13"/>
        <v>5.1900000000000003E-6</v>
      </c>
      <c r="Z153" s="42">
        <f t="shared" ca="1" si="14"/>
        <v>5.1931999999999997E-6</v>
      </c>
      <c r="AC153"/>
      <c r="AD153"/>
    </row>
    <row r="154" spans="1:30" x14ac:dyDescent="0.25">
      <c r="A154" t="str">
        <f>IF(Summary_Exchange_Balances_00UTC!$B153="","",Summary_Exchange_Balances_00UTC!$N153)</f>
        <v>HUBI</v>
      </c>
      <c r="B154" t="str">
        <f>IF(Summary_Exchange_Balances_00UTC!$B153="","",Summary_Exchange_Balances_00UTC!$B153)</f>
        <v>FUBI-M</v>
      </c>
      <c r="C154" t="str">
        <f>IF(Summary_Exchange_Balances_00UTC!$B153="","",Summary_Exchange_Balances_00UTC!$E153)</f>
        <v>DOT</v>
      </c>
      <c r="D154" t="str">
        <f>IF(OR(Summary_Exchange_Balances_00UTC!$B153="",Summary_Exchange_Balances_00UTC!$D153=""),"",Summary_Exchange_Balances_00UTC!$D153)</f>
        <v>Balance</v>
      </c>
      <c r="E154" s="52">
        <f>IF(Summary_Exchange_Balances_00UTC!$B153="","",Summary_Exchange_Balances_00UTC!$C153)</f>
        <v>0.97764076</v>
      </c>
      <c r="G154" s="52">
        <f ca="1">IF(Summary_Exchange_Balances_00UTC!$B153="","",VLOOKUP(IF(ISERROR(SEARCH(" ", $B154)),UPPER($B154&amp;$C154&amp;IF(OR(NOT(ISERROR(SEARCH("trade",$D154))),NOT(ISERROR(SEARCH("balance",$D154)))),"",$D154)),UPPER(LEFT($B154, SEARCH(" ",$B154)-1)&amp;$C154&amp;IF(OR(NOT(ISERROR(SEARCH("trade",$D154))),NOT(ISERROR(SEARCH("balance",$D154)))),"",$D154))),$L:$T,MATCH("balance",$L$2:$S$2,0),FALSE))</f>
        <v>0.97764076359999996</v>
      </c>
      <c r="H154" s="35">
        <f ca="1">IF(Summary_Exchange_Balances_00UTC!$B153="","",(G154-E154)/E154)</f>
        <v>3.6823341579972873E-9</v>
      </c>
      <c r="I154" s="165">
        <f ca="1">IF(Summary_Exchange_Balances_00UTC!$B153="","",IF(ISERROR($G154),$E154,$G154))</f>
        <v>0.97764076359999996</v>
      </c>
      <c r="K154" t="str">
        <f t="shared" ca="1" si="10"/>
        <v>FBLKOWAVAXUSDC_E_WAVAX-06JAN23-12_25C_AVAX_OCWN</v>
      </c>
      <c r="L154" t="str">
        <f ca="1">UPPER($P154&amp;$N154&amp;Q154)</f>
        <v>FBLKOWAVAXUSDC_E_WAVAX-06JAN23-12_25C_AVAX_OCWN</v>
      </c>
      <c r="N154" s="161" t="str">
        <f ca="1">IF(raw_exchange_data!$A153="","",OFFSET(raw_exchange_data!$A153,0,MATCH(N$2,raw_exchange_data!$1:$1,0)-1))</f>
        <v>OWAVAXUSDC_E_WAVAX-06JAN23-12_25C_AVAX_OCWN</v>
      </c>
      <c r="O154" s="161" t="str">
        <f ca="1">IF(raw_exchange_data!$A153="","",OFFSET(raw_exchange_data!$A153,0,MATCH(O$2,raw_exchange_data!$1:$1,0)-1))</f>
        <v>FBLK</v>
      </c>
      <c r="P154" s="161" t="str">
        <f ca="1">IF(raw_exchange_data!$A153="","",OFFSET(raw_exchange_data!$A153,0,MATCH(P$2,raw_exchange_data!$1:$1,0)-1))</f>
        <v>FBLK</v>
      </c>
      <c r="Q154" s="161" t="str">
        <f ca="1">IF(raw_exchange_data!$A153="","",TEXT(OFFSET(raw_exchange_data!$A153,0,MATCH(Q$2,raw_exchange_data!$1:$1,0)-1),""))</f>
        <v/>
      </c>
      <c r="R154" s="162">
        <f ca="1">IF(raw_exchange_data!$A153="","",OFFSET(raw_exchange_data!$A153,0,MATCH(R$2,raw_exchange_data!$1:$1,0)-1))</f>
        <v>19597.425537219999</v>
      </c>
      <c r="S154" s="190">
        <f ca="1">IF(raw_exchange_data!$A153="","",OFFSET(raw_exchange_data!$A153,0,MATCH(S$2,raw_exchange_data!$1:$1,0)-1))</f>
        <v>44937.660435150465</v>
      </c>
      <c r="T154" s="161">
        <v>1</v>
      </c>
      <c r="W154" t="str">
        <f t="shared" si="11"/>
        <v>HUBI</v>
      </c>
      <c r="X154" t="str">
        <f t="shared" si="12"/>
        <v>DOT</v>
      </c>
      <c r="Y154" s="42">
        <f t="shared" si="13"/>
        <v>0.97764076</v>
      </c>
      <c r="Z154" s="42">
        <f t="shared" ca="1" si="14"/>
        <v>0.97764076359999996</v>
      </c>
      <c r="AC154"/>
      <c r="AD154"/>
    </row>
    <row r="155" spans="1:30" x14ac:dyDescent="0.25">
      <c r="A155" t="str">
        <f>IF(Summary_Exchange_Balances_00UTC!$B154="","",Summary_Exchange_Balances_00UTC!$N154)</f>
        <v>HUBI</v>
      </c>
      <c r="B155" t="str">
        <f>IF(Summary_Exchange_Balances_00UTC!$B154="","",Summary_Exchange_Balances_00UTC!$B154)</f>
        <v>FUBI-M</v>
      </c>
      <c r="C155" t="str">
        <f>IF(Summary_Exchange_Balances_00UTC!$B154="","",Summary_Exchange_Balances_00UTC!$E154)</f>
        <v>EOS</v>
      </c>
      <c r="D155" t="str">
        <f>IF(OR(Summary_Exchange_Balances_00UTC!$B154="",Summary_Exchange_Balances_00UTC!$D154=""),"",Summary_Exchange_Balances_00UTC!$D154)</f>
        <v>Balance</v>
      </c>
      <c r="E155" s="52">
        <f>IF(Summary_Exchange_Balances_00UTC!$B154="","",Summary_Exchange_Balances_00UTC!$C154)</f>
        <v>3.7085149999999997E-2</v>
      </c>
      <c r="G155" s="52">
        <f ca="1">IF(Summary_Exchange_Balances_00UTC!$B154="","",VLOOKUP(IF(ISERROR(SEARCH(" ", $B155)),UPPER($B155&amp;$C155&amp;IF(OR(NOT(ISERROR(SEARCH("trade",$D155))),NOT(ISERROR(SEARCH("balance",$D155)))),"",$D155)),UPPER(LEFT($B155, SEARCH(" ",$B155)-1)&amp;$C155&amp;IF(OR(NOT(ISERROR(SEARCH("trade",$D155))),NOT(ISERROR(SEARCH("balance",$D155)))),"",$D155))),$L:$T,MATCH("balance",$L$2:$S$2,0),FALSE))</f>
        <v>3.7085151300000001E-2</v>
      </c>
      <c r="H155" s="35">
        <f ca="1">IF(Summary_Exchange_Balances_00UTC!$B154="","",(G155-E155)/E155)</f>
        <v>3.5054462594301866E-8</v>
      </c>
      <c r="I155" s="165">
        <f ca="1">IF(Summary_Exchange_Balances_00UTC!$B154="","",IF(ISERROR($G155),$E155,$G155))</f>
        <v>3.7085151300000001E-2</v>
      </c>
      <c r="K155" t="str">
        <f t="shared" ca="1" si="10"/>
        <v>FBLKOWAVAXUSDC_E_WAVAX-09DEC22-15_5C_AVAX_M135</v>
      </c>
      <c r="L155" t="str">
        <f ca="1">UPPER($P155&amp;$N155&amp;Q155)</f>
        <v>FBLKOWAVAXUSDC_E_WAVAX-09DEC22-15_5C_AVAX_M135</v>
      </c>
      <c r="N155" s="161" t="str">
        <f ca="1">IF(raw_exchange_data!$A154="","",OFFSET(raw_exchange_data!$A154,0,MATCH(N$2,raw_exchange_data!$1:$1,0)-1))</f>
        <v>OWAVAXUSDC_E_WAVAX-09DEC22-15_5C_AVAX_M135</v>
      </c>
      <c r="O155" s="161" t="str">
        <f ca="1">IF(raw_exchange_data!$A154="","",OFFSET(raw_exchange_data!$A154,0,MATCH(O$2,raw_exchange_data!$1:$1,0)-1))</f>
        <v>FBLK</v>
      </c>
      <c r="P155" s="161" t="str">
        <f ca="1">IF(raw_exchange_data!$A154="","",OFFSET(raw_exchange_data!$A154,0,MATCH(P$2,raw_exchange_data!$1:$1,0)-1))</f>
        <v>FBLK</v>
      </c>
      <c r="Q155" s="161" t="str">
        <f ca="1">IF(raw_exchange_data!$A154="","",TEXT(OFFSET(raw_exchange_data!$A154,0,MATCH(Q$2,raw_exchange_data!$1:$1,0)-1),""))</f>
        <v/>
      </c>
      <c r="R155" s="162">
        <f ca="1">IF(raw_exchange_data!$A154="","",OFFSET(raw_exchange_data!$A154,0,MATCH(R$2,raw_exchange_data!$1:$1,0)-1))</f>
        <v>29214.150499390002</v>
      </c>
      <c r="S155" s="190">
        <f ca="1">IF(raw_exchange_data!$A154="","",OFFSET(raw_exchange_data!$A154,0,MATCH(S$2,raw_exchange_data!$1:$1,0)-1))</f>
        <v>44937.660435150465</v>
      </c>
      <c r="T155" s="161">
        <v>1</v>
      </c>
      <c r="W155" t="str">
        <f t="shared" si="11"/>
        <v>HUBI</v>
      </c>
      <c r="X155" t="str">
        <f t="shared" si="12"/>
        <v>EOS</v>
      </c>
      <c r="Y155" s="42">
        <f t="shared" si="13"/>
        <v>3.7085149999999997E-2</v>
      </c>
      <c r="Z155" s="42">
        <f t="shared" ca="1" si="14"/>
        <v>3.7085151300000001E-2</v>
      </c>
      <c r="AC155"/>
      <c r="AD155"/>
    </row>
    <row r="156" spans="1:30" x14ac:dyDescent="0.25">
      <c r="A156" t="str">
        <f>IF(Summary_Exchange_Balances_00UTC!$B155="","",Summary_Exchange_Balances_00UTC!$N155)</f>
        <v>HUBI</v>
      </c>
      <c r="B156" t="str">
        <f>IF(Summary_Exchange_Balances_00UTC!$B155="","",Summary_Exchange_Balances_00UTC!$B155)</f>
        <v>FUBI-M</v>
      </c>
      <c r="C156" t="str">
        <f>IF(Summary_Exchange_Balances_00UTC!$B155="","",Summary_Exchange_Balances_00UTC!$E155)</f>
        <v>ETC</v>
      </c>
      <c r="D156" t="str">
        <f>IF(OR(Summary_Exchange_Balances_00UTC!$B155="",Summary_Exchange_Balances_00UTC!$D155=""),"",Summary_Exchange_Balances_00UTC!$D155)</f>
        <v>Balance</v>
      </c>
      <c r="E156" s="52">
        <f>IF(Summary_Exchange_Balances_00UTC!$B155="","",Summary_Exchange_Balances_00UTC!$C155)</f>
        <v>0.70701212999999996</v>
      </c>
      <c r="G156" s="52">
        <f ca="1">IF(Summary_Exchange_Balances_00UTC!$B155="","",VLOOKUP(IF(ISERROR(SEARCH(" ", $B156)),UPPER($B156&amp;$C156&amp;IF(OR(NOT(ISERROR(SEARCH("trade",$D156))),NOT(ISERROR(SEARCH("balance",$D156)))),"",$D156)),UPPER(LEFT($B156, SEARCH(" ",$B156)-1)&amp;$C156&amp;IF(OR(NOT(ISERROR(SEARCH("trade",$D156))),NOT(ISERROR(SEARCH("balance",$D156)))),"",$D156))),$L:$T,MATCH("balance",$L$2:$S$2,0),FALSE))</f>
        <v>0.70701212930000001</v>
      </c>
      <c r="H156" s="35">
        <f ca="1">IF(Summary_Exchange_Balances_00UTC!$B155="","",(G156-E156)/E156)</f>
        <v>-9.9008194795180853E-10</v>
      </c>
      <c r="I156" s="165">
        <f ca="1">IF(Summary_Exchange_Balances_00UTC!$B155="","",IF(ISERROR($G156),$E156,$G156))</f>
        <v>0.70701212930000001</v>
      </c>
      <c r="K156" t="str">
        <f t="shared" ca="1" si="10"/>
        <v>FBLKOWAVAXUSDC_E_WAVAX-16DEC22-15_25C_AVAX_EN88</v>
      </c>
      <c r="L156" t="str">
        <f ca="1">UPPER($P156&amp;$N156&amp;Q156)</f>
        <v>FBLKOWAVAXUSDC_E_WAVAX-16DEC22-15_25C_AVAX_EN88</v>
      </c>
      <c r="N156" s="161" t="str">
        <f ca="1">IF(raw_exchange_data!$A155="","",OFFSET(raw_exchange_data!$A155,0,MATCH(N$2,raw_exchange_data!$1:$1,0)-1))</f>
        <v>OWAVAXUSDC_E_WAVAX-16DEC22-15_25C_AVAX_EN88</v>
      </c>
      <c r="O156" s="161" t="str">
        <f ca="1">IF(raw_exchange_data!$A155="","",OFFSET(raw_exchange_data!$A155,0,MATCH(O$2,raw_exchange_data!$1:$1,0)-1))</f>
        <v>FBLK</v>
      </c>
      <c r="P156" s="161" t="str">
        <f ca="1">IF(raw_exchange_data!$A155="","",OFFSET(raw_exchange_data!$A155,0,MATCH(P$2,raw_exchange_data!$1:$1,0)-1))</f>
        <v>FBLK</v>
      </c>
      <c r="Q156" s="161" t="str">
        <f ca="1">IF(raw_exchange_data!$A155="","",TEXT(OFFSET(raw_exchange_data!$A155,0,MATCH(Q$2,raw_exchange_data!$1:$1,0)-1),""))</f>
        <v/>
      </c>
      <c r="R156" s="162">
        <f ca="1">IF(raw_exchange_data!$A155="","",OFFSET(raw_exchange_data!$A155,0,MATCH(R$2,raw_exchange_data!$1:$1,0)-1))</f>
        <v>20213.414599259999</v>
      </c>
      <c r="S156" s="190">
        <f ca="1">IF(raw_exchange_data!$A155="","",OFFSET(raw_exchange_data!$A155,0,MATCH(S$2,raw_exchange_data!$1:$1,0)-1))</f>
        <v>44937.660435150465</v>
      </c>
      <c r="T156" s="161">
        <v>1</v>
      </c>
      <c r="W156" t="str">
        <f t="shared" si="11"/>
        <v>HUBI</v>
      </c>
      <c r="X156" t="str">
        <f t="shared" si="12"/>
        <v>ETC</v>
      </c>
      <c r="Y156" s="42">
        <f t="shared" si="13"/>
        <v>0.70701212999999996</v>
      </c>
      <c r="Z156" s="42">
        <f t="shared" ca="1" si="14"/>
        <v>0.70701212930000001</v>
      </c>
      <c r="AC156"/>
      <c r="AD156"/>
    </row>
    <row r="157" spans="1:30" x14ac:dyDescent="0.25">
      <c r="A157" t="str">
        <f>IF(Summary_Exchange_Balances_00UTC!$B156="","",Summary_Exchange_Balances_00UTC!$N156)</f>
        <v>HUBI</v>
      </c>
      <c r="B157" t="str">
        <f>IF(Summary_Exchange_Balances_00UTC!$B156="","",Summary_Exchange_Balances_00UTC!$B156)</f>
        <v>FUBI-M</v>
      </c>
      <c r="C157" t="str">
        <f>IF(Summary_Exchange_Balances_00UTC!$B156="","",Summary_Exchange_Balances_00UTC!$E156)</f>
        <v>ETH</v>
      </c>
      <c r="D157" t="str">
        <f>IF(OR(Summary_Exchange_Balances_00UTC!$B156="",Summary_Exchange_Balances_00UTC!$D156=""),"",Summary_Exchange_Balances_00UTC!$D156)</f>
        <v>Balance</v>
      </c>
      <c r="E157" s="52">
        <f>IF(Summary_Exchange_Balances_00UTC!$B156="","",Summary_Exchange_Balances_00UTC!$C156)</f>
        <v>9.5337999999999998E-4</v>
      </c>
      <c r="G157" s="52">
        <f ca="1">IF(Summary_Exchange_Balances_00UTC!$B156="","",VLOOKUP(IF(ISERROR(SEARCH(" ", $B157)),UPPER($B157&amp;$C157&amp;IF(OR(NOT(ISERROR(SEARCH("trade",$D157))),NOT(ISERROR(SEARCH("balance",$D157)))),"",$D157)),UPPER(LEFT($B157, SEARCH(" ",$B157)-1)&amp;$C157&amp;IF(OR(NOT(ISERROR(SEARCH("trade",$D157))),NOT(ISERROR(SEARCH("balance",$D157)))),"",$D157))),$L:$T,MATCH("balance",$L$2:$S$2,0),FALSE))</f>
        <v>9.533775E-4</v>
      </c>
      <c r="H157" s="35">
        <f ca="1">IF(Summary_Exchange_Balances_00UTC!$B156="","",(G157-E157)/E157)</f>
        <v>-2.6222492605101354E-6</v>
      </c>
      <c r="I157" s="165">
        <f ca="1">IF(Summary_Exchange_Balances_00UTC!$B156="","",IF(ISERROR($G157),$E157,$G157))</f>
        <v>9.533775E-4</v>
      </c>
      <c r="K157" t="str">
        <f t="shared" ca="1" si="10"/>
        <v>FBLKOWAVAXUSDC_E_WAVAX-25NOV22-15_5C_AVAX_QGUL</v>
      </c>
      <c r="L157" t="str">
        <f ca="1">UPPER($P157&amp;$N157&amp;Q157)</f>
        <v>FBLKOWAVAXUSDC_E_WAVAX-25NOV22-15_5C_AVAX_QGUL</v>
      </c>
      <c r="N157" s="161" t="str">
        <f ca="1">IF(raw_exchange_data!$A156="","",OFFSET(raw_exchange_data!$A156,0,MATCH(N$2,raw_exchange_data!$1:$1,0)-1))</f>
        <v>OWAVAXUSDC_E_WAVAX-25NOV22-15_5C_AVAX_QGUL</v>
      </c>
      <c r="O157" s="161" t="str">
        <f ca="1">IF(raw_exchange_data!$A156="","",OFFSET(raw_exchange_data!$A156,0,MATCH(O$2,raw_exchange_data!$1:$1,0)-1))</f>
        <v>FBLK</v>
      </c>
      <c r="P157" s="161" t="str">
        <f ca="1">IF(raw_exchange_data!$A156="","",OFFSET(raw_exchange_data!$A156,0,MATCH(P$2,raw_exchange_data!$1:$1,0)-1))</f>
        <v>FBLK</v>
      </c>
      <c r="Q157" s="161" t="str">
        <f ca="1">IF(raw_exchange_data!$A156="","",TEXT(OFFSET(raw_exchange_data!$A156,0,MATCH(Q$2,raw_exchange_data!$1:$1,0)-1),""))</f>
        <v/>
      </c>
      <c r="R157" s="162">
        <f ca="1">IF(raw_exchange_data!$A156="","",OFFSET(raw_exchange_data!$A156,0,MATCH(R$2,raw_exchange_data!$1:$1,0)-1))</f>
        <v>31925.004081070001</v>
      </c>
      <c r="S157" s="190">
        <f ca="1">IF(raw_exchange_data!$A156="","",OFFSET(raw_exchange_data!$A156,0,MATCH(S$2,raw_exchange_data!$1:$1,0)-1))</f>
        <v>44937.660435150465</v>
      </c>
      <c r="T157" s="161">
        <v>1</v>
      </c>
      <c r="W157" t="str">
        <f t="shared" si="11"/>
        <v>HUBI</v>
      </c>
      <c r="X157" t="str">
        <f t="shared" si="12"/>
        <v>ETH</v>
      </c>
      <c r="Y157" s="42">
        <f t="shared" si="13"/>
        <v>9.5337999999999998E-4</v>
      </c>
      <c r="Z157" s="42">
        <f t="shared" ca="1" si="14"/>
        <v>9.533775E-4</v>
      </c>
      <c r="AC157"/>
      <c r="AD157"/>
    </row>
    <row r="158" spans="1:30" x14ac:dyDescent="0.25">
      <c r="A158" t="str">
        <f>IF(Summary_Exchange_Balances_00UTC!$B157="","",Summary_Exchange_Balances_00UTC!$N157)</f>
        <v>HUBI</v>
      </c>
      <c r="B158" t="str">
        <f>IF(Summary_Exchange_Balances_00UTC!$B157="","",Summary_Exchange_Balances_00UTC!$B157)</f>
        <v>FUBI-M</v>
      </c>
      <c r="C158" t="str">
        <f>IF(Summary_Exchange_Balances_00UTC!$B157="","",Summary_Exchange_Balances_00UTC!$E157)</f>
        <v>LINK</v>
      </c>
      <c r="D158" t="str">
        <f>IF(OR(Summary_Exchange_Balances_00UTC!$B157="",Summary_Exchange_Balances_00UTC!$D157=""),"",Summary_Exchange_Balances_00UTC!$D157)</f>
        <v>Balance</v>
      </c>
      <c r="E158" s="52">
        <f>IF(Summary_Exchange_Balances_00UTC!$B157="","",Summary_Exchange_Balances_00UTC!$C157)</f>
        <v>6.244243E-2</v>
      </c>
      <c r="G158" s="52">
        <f ca="1">IF(Summary_Exchange_Balances_00UTC!$B157="","",VLOOKUP(IF(ISERROR(SEARCH(" ", $B158)),UPPER($B158&amp;$C158&amp;IF(OR(NOT(ISERROR(SEARCH("trade",$D158))),NOT(ISERROR(SEARCH("balance",$D158)))),"",$D158)),UPPER(LEFT($B158, SEARCH(" ",$B158)-1)&amp;$C158&amp;IF(OR(NOT(ISERROR(SEARCH("trade",$D158))),NOT(ISERROR(SEARCH("balance",$D158)))),"",$D158))),$L:$T,MATCH("balance",$L$2:$S$2,0),FALSE))</f>
        <v>6.2442432399999998E-2</v>
      </c>
      <c r="H158" s="35">
        <f ca="1">IF(Summary_Exchange_Balances_00UTC!$B157="","",(G158-E158)/E158)</f>
        <v>3.8435403576525887E-8</v>
      </c>
      <c r="I158" s="165">
        <f ca="1">IF(Summary_Exchange_Balances_00UTC!$B157="","",IF(ISERROR($G158),$E158,$G158))</f>
        <v>6.2442432399999998E-2</v>
      </c>
      <c r="K158" t="str">
        <f t="shared" ca="1" si="10"/>
        <v>FBLKOWAVAXUSDC_E_WAVAX-30DEC22-13_25C_AVAX_W9CA</v>
      </c>
      <c r="L158" t="str">
        <f ca="1">UPPER($P158&amp;$N158&amp;Q158)</f>
        <v>FBLKOWAVAXUSDC_E_WAVAX-30DEC22-13_25C_AVAX_W9CA</v>
      </c>
      <c r="N158" s="161" t="str">
        <f ca="1">IF(raw_exchange_data!$A157="","",OFFSET(raw_exchange_data!$A157,0,MATCH(N$2,raw_exchange_data!$1:$1,0)-1))</f>
        <v>OWAVAXUSDC_E_WAVAX-30DEC22-13_25C_AVAX_W9CA</v>
      </c>
      <c r="O158" s="161" t="str">
        <f ca="1">IF(raw_exchange_data!$A157="","",OFFSET(raw_exchange_data!$A157,0,MATCH(O$2,raw_exchange_data!$1:$1,0)-1))</f>
        <v>FBLK</v>
      </c>
      <c r="P158" s="161" t="str">
        <f ca="1">IF(raw_exchange_data!$A157="","",OFFSET(raw_exchange_data!$A157,0,MATCH(P$2,raw_exchange_data!$1:$1,0)-1))</f>
        <v>FBLK</v>
      </c>
      <c r="Q158" s="161" t="str">
        <f ca="1">IF(raw_exchange_data!$A157="","",TEXT(OFFSET(raw_exchange_data!$A157,0,MATCH(Q$2,raw_exchange_data!$1:$1,0)-1),""))</f>
        <v/>
      </c>
      <c r="R158" s="162">
        <f ca="1">IF(raw_exchange_data!$A157="","",OFFSET(raw_exchange_data!$A157,0,MATCH(R$2,raw_exchange_data!$1:$1,0)-1))</f>
        <v>17599.94336709</v>
      </c>
      <c r="S158" s="190">
        <f ca="1">IF(raw_exchange_data!$A157="","",OFFSET(raw_exchange_data!$A157,0,MATCH(S$2,raw_exchange_data!$1:$1,0)-1))</f>
        <v>44937.660435150465</v>
      </c>
      <c r="T158" s="161">
        <v>1</v>
      </c>
      <c r="W158" t="str">
        <f t="shared" si="11"/>
        <v>HUBI</v>
      </c>
      <c r="X158" t="str">
        <f t="shared" si="12"/>
        <v>LINK</v>
      </c>
      <c r="Y158" s="42">
        <f t="shared" si="13"/>
        <v>6.244243E-2</v>
      </c>
      <c r="Z158" s="42">
        <f t="shared" ca="1" si="14"/>
        <v>6.2442432399999998E-2</v>
      </c>
      <c r="AC158"/>
      <c r="AD158"/>
    </row>
    <row r="159" spans="1:30" x14ac:dyDescent="0.25">
      <c r="A159" t="str">
        <f>IF(Summary_Exchange_Balances_00UTC!$B158="","",Summary_Exchange_Balances_00UTC!$N158)</f>
        <v>HUBI</v>
      </c>
      <c r="B159" t="str">
        <f>IF(Summary_Exchange_Balances_00UTC!$B158="","",Summary_Exchange_Balances_00UTC!$B158)</f>
        <v>FUBI-M</v>
      </c>
      <c r="C159" t="str">
        <f>IF(Summary_Exchange_Balances_00UTC!$B158="","",Summary_Exchange_Balances_00UTC!$E158)</f>
        <v>LTC</v>
      </c>
      <c r="D159" t="str">
        <f>IF(OR(Summary_Exchange_Balances_00UTC!$B158="",Summary_Exchange_Balances_00UTC!$D158=""),"",Summary_Exchange_Balances_00UTC!$D158)</f>
        <v>Balance</v>
      </c>
      <c r="E159" s="52">
        <f>IF(Summary_Exchange_Balances_00UTC!$B158="","",Summary_Exchange_Balances_00UTC!$C158)</f>
        <v>7.1564416099999999</v>
      </c>
      <c r="G159" s="52">
        <f ca="1">IF(Summary_Exchange_Balances_00UTC!$B158="","",VLOOKUP(IF(ISERROR(SEARCH(" ", $B159)),UPPER($B159&amp;$C159&amp;IF(OR(NOT(ISERROR(SEARCH("trade",$D159))),NOT(ISERROR(SEARCH("balance",$D159)))),"",$D159)),UPPER(LEFT($B159, SEARCH(" ",$B159)-1)&amp;$C159&amp;IF(OR(NOT(ISERROR(SEARCH("trade",$D159))),NOT(ISERROR(SEARCH("balance",$D159)))),"",$D159))),$L:$T,MATCH("balance",$L$2:$S$2,0),FALSE))</f>
        <v>7.1564416123000001</v>
      </c>
      <c r="H159" s="35">
        <f ca="1">IF(Summary_Exchange_Balances_00UTC!$B158="","",(G159-E159)/E159)</f>
        <v>3.2138880125689354E-10</v>
      </c>
      <c r="I159" s="165">
        <f ca="1">IF(Summary_Exchange_Balances_00UTC!$B158="","",IF(ISERROR($G159),$E159,$G159))</f>
        <v>7.1564416123000001</v>
      </c>
      <c r="K159" t="str">
        <f t="shared" ca="1" si="10"/>
        <v>FBLKOWETHUSDC_WETH-06JAN23-1300C_ETH_AUPP</v>
      </c>
      <c r="L159" t="str">
        <f ca="1">UPPER($P159&amp;$N159&amp;Q159)</f>
        <v>FBLKOWETHUSDC_WETH-06JAN23-1300C_ETH_AUPP</v>
      </c>
      <c r="N159" s="161" t="str">
        <f ca="1">IF(raw_exchange_data!$A158="","",OFFSET(raw_exchange_data!$A158,0,MATCH(N$2,raw_exchange_data!$1:$1,0)-1))</f>
        <v>OWETHUSDC_WETH-06JAN23-1300C_ETH_AUPP</v>
      </c>
      <c r="O159" s="161" t="str">
        <f ca="1">IF(raw_exchange_data!$A158="","",OFFSET(raw_exchange_data!$A158,0,MATCH(O$2,raw_exchange_data!$1:$1,0)-1))</f>
        <v>FBLK</v>
      </c>
      <c r="P159" s="161" t="str">
        <f ca="1">IF(raw_exchange_data!$A158="","",OFFSET(raw_exchange_data!$A158,0,MATCH(P$2,raw_exchange_data!$1:$1,0)-1))</f>
        <v>FBLK</v>
      </c>
      <c r="Q159" s="161" t="str">
        <f ca="1">IF(raw_exchange_data!$A158="","",TEXT(OFFSET(raw_exchange_data!$A158,0,MATCH(Q$2,raw_exchange_data!$1:$1,0)-1),""))</f>
        <v/>
      </c>
      <c r="R159" s="162">
        <f ca="1">IF(raw_exchange_data!$A158="","",OFFSET(raw_exchange_data!$A158,0,MATCH(R$2,raw_exchange_data!$1:$1,0)-1))</f>
        <v>3032</v>
      </c>
      <c r="S159" s="190">
        <f ca="1">IF(raw_exchange_data!$A158="","",OFFSET(raw_exchange_data!$A158,0,MATCH(S$2,raw_exchange_data!$1:$1,0)-1))</f>
        <v>44937.660435150465</v>
      </c>
      <c r="T159" s="161">
        <v>1</v>
      </c>
      <c r="W159" t="str">
        <f t="shared" si="11"/>
        <v>HUBI</v>
      </c>
      <c r="X159" t="str">
        <f t="shared" si="12"/>
        <v>LTC</v>
      </c>
      <c r="Y159" s="42">
        <f t="shared" si="13"/>
        <v>7.1564416099999999</v>
      </c>
      <c r="Z159" s="42">
        <f t="shared" ca="1" si="14"/>
        <v>7.1564416123000001</v>
      </c>
      <c r="AC159"/>
      <c r="AD159"/>
    </row>
    <row r="160" spans="1:30" x14ac:dyDescent="0.25">
      <c r="A160" t="str">
        <f>IF(Summary_Exchange_Balances_00UTC!$B159="","",Summary_Exchange_Balances_00UTC!$N159)</f>
        <v>HUBI</v>
      </c>
      <c r="B160" t="str">
        <f>IF(Summary_Exchange_Balances_00UTC!$B159="","",Summary_Exchange_Balances_00UTC!$B159)</f>
        <v>FUBI-M</v>
      </c>
      <c r="C160" t="str">
        <f>IF(Summary_Exchange_Balances_00UTC!$B159="","",Summary_Exchange_Balances_00UTC!$E159)</f>
        <v>TRX</v>
      </c>
      <c r="D160" t="str">
        <f>IF(OR(Summary_Exchange_Balances_00UTC!$B159="",Summary_Exchange_Balances_00UTC!$D159=""),"",Summary_Exchange_Balances_00UTC!$D159)</f>
        <v>Balance</v>
      </c>
      <c r="E160" s="53">
        <f>IF(Summary_Exchange_Balances_00UTC!$B159="","",Summary_Exchange_Balances_00UTC!$C159)</f>
        <v>0.95766242000000001</v>
      </c>
      <c r="G160" s="52">
        <f ca="1">IF(Summary_Exchange_Balances_00UTC!$B159="","",VLOOKUP(IF(ISERROR(SEARCH(" ", $B160)),UPPER($B160&amp;$C160&amp;IF(OR(NOT(ISERROR(SEARCH("trade",$D160))),NOT(ISERROR(SEARCH("balance",$D160)))),"",$D160)),UPPER(LEFT($B160, SEARCH(" ",$B160)-1)&amp;$C160&amp;IF(OR(NOT(ISERROR(SEARCH("trade",$D160))),NOT(ISERROR(SEARCH("balance",$D160)))),"",$D160))),$L:$T,MATCH("balance",$L$2:$S$2,0),FALSE))</f>
        <v>0.95766241559999998</v>
      </c>
      <c r="H160" s="35">
        <f ca="1">IF(Summary_Exchange_Balances_00UTC!$B159="","",(G160-E160)/E160)</f>
        <v>-4.5945209283567013E-9</v>
      </c>
      <c r="I160" s="165">
        <f ca="1">IF(Summary_Exchange_Balances_00UTC!$B159="","",IF(ISERROR($G160),$E160,$G160))</f>
        <v>0.95766241559999998</v>
      </c>
      <c r="K160" t="str">
        <f t="shared" ca="1" si="10"/>
        <v>FBLKOWETHUSDC_WETH-09DEC22-1450C_ETH_OWE6</v>
      </c>
      <c r="L160" t="str">
        <f ca="1">UPPER($P160&amp;$N160&amp;Q160)</f>
        <v>FBLKOWETHUSDC_WETH-09DEC22-1450C_ETH_OWE6</v>
      </c>
      <c r="N160" s="161" t="str">
        <f ca="1">IF(raw_exchange_data!$A159="","",OFFSET(raw_exchange_data!$A159,0,MATCH(N$2,raw_exchange_data!$1:$1,0)-1))</f>
        <v>OWETHUSDC_WETH-09DEC22-1450C_ETH_OWE6</v>
      </c>
      <c r="O160" s="161" t="str">
        <f ca="1">IF(raw_exchange_data!$A159="","",OFFSET(raw_exchange_data!$A159,0,MATCH(O$2,raw_exchange_data!$1:$1,0)-1))</f>
        <v>FBLK</v>
      </c>
      <c r="P160" s="161" t="str">
        <f ca="1">IF(raw_exchange_data!$A159="","",OFFSET(raw_exchange_data!$A159,0,MATCH(P$2,raw_exchange_data!$1:$1,0)-1))</f>
        <v>FBLK</v>
      </c>
      <c r="Q160" s="161" t="str">
        <f ca="1">IF(raw_exchange_data!$A159="","",TEXT(OFFSET(raw_exchange_data!$A159,0,MATCH(Q$2,raw_exchange_data!$1:$1,0)-1),""))</f>
        <v/>
      </c>
      <c r="R160" s="162">
        <f ca="1">IF(raw_exchange_data!$A159="","",OFFSET(raw_exchange_data!$A159,0,MATCH(R$2,raw_exchange_data!$1:$1,0)-1))</f>
        <v>2698</v>
      </c>
      <c r="S160" s="190">
        <f ca="1">IF(raw_exchange_data!$A159="","",OFFSET(raw_exchange_data!$A159,0,MATCH(S$2,raw_exchange_data!$1:$1,0)-1))</f>
        <v>44937.660435150465</v>
      </c>
      <c r="T160" s="161">
        <v>1</v>
      </c>
      <c r="W160" t="str">
        <f t="shared" si="11"/>
        <v>HUBI</v>
      </c>
      <c r="X160" t="str">
        <f t="shared" si="12"/>
        <v>TRX</v>
      </c>
      <c r="Y160" s="42">
        <f t="shared" si="13"/>
        <v>0.95766242000000001</v>
      </c>
      <c r="Z160" s="42">
        <f t="shared" ca="1" si="14"/>
        <v>0.95766241559999998</v>
      </c>
      <c r="AC160"/>
      <c r="AD160"/>
    </row>
    <row r="161" spans="1:30" x14ac:dyDescent="0.25">
      <c r="A161" t="str">
        <f>IF(Summary_Exchange_Balances_00UTC!$B160="","",Summary_Exchange_Balances_00UTC!$N160)</f>
        <v>HUBI</v>
      </c>
      <c r="B161" t="str">
        <f>IF(Summary_Exchange_Balances_00UTC!$B160="","",Summary_Exchange_Balances_00UTC!$B160)</f>
        <v>FUBI-M</v>
      </c>
      <c r="C161" t="str">
        <f>IF(Summary_Exchange_Balances_00UTC!$B160="","",Summary_Exchange_Balances_00UTC!$E160)</f>
        <v>XRP</v>
      </c>
      <c r="D161" t="str">
        <f>IF(OR(Summary_Exchange_Balances_00UTC!$B160="",Summary_Exchange_Balances_00UTC!$D160=""),"",Summary_Exchange_Balances_00UTC!$D160)</f>
        <v>Balance</v>
      </c>
      <c r="E161" s="53">
        <f>IF(Summary_Exchange_Balances_00UTC!$B160="","",Summary_Exchange_Balances_00UTC!$C160)</f>
        <v>0.54364484000000002</v>
      </c>
      <c r="G161" s="52">
        <f ca="1">IF(Summary_Exchange_Balances_00UTC!$B160="","",VLOOKUP(IF(ISERROR(SEARCH(" ", $B161)),UPPER($B161&amp;$C161&amp;IF(OR(NOT(ISERROR(SEARCH("trade",$D161))),NOT(ISERROR(SEARCH("balance",$D161)))),"",$D161)),UPPER(LEFT($B161, SEARCH(" ",$B161)-1)&amp;$C161&amp;IF(OR(NOT(ISERROR(SEARCH("trade",$D161))),NOT(ISERROR(SEARCH("balance",$D161)))),"",$D161))),$L:$T,MATCH("balance",$L$2:$S$2,0),FALSE))</f>
        <v>0.54364484400000002</v>
      </c>
      <c r="H161" s="35">
        <f ca="1">IF(Summary_Exchange_Balances_00UTC!$B160="","",(G161-E161)/E161)</f>
        <v>7.3577448061395679E-9</v>
      </c>
      <c r="I161" s="165">
        <f ca="1">IF(Summary_Exchange_Balances_00UTC!$B160="","",IF(ISERROR($G161),$E161,$G161))</f>
        <v>0.54364484400000002</v>
      </c>
      <c r="K161" t="str">
        <f t="shared" ca="1" si="10"/>
        <v>FBLKOWETHUSDC_WETH-16DEC22-1450C_ETH_52GN</v>
      </c>
      <c r="L161" t="str">
        <f ca="1">UPPER($P161&amp;$N161&amp;Q161)</f>
        <v>FBLKOWETHUSDC_WETH-16DEC22-1450C_ETH_52GN</v>
      </c>
      <c r="N161" s="161" t="str">
        <f ca="1">IF(raw_exchange_data!$A160="","",OFFSET(raw_exchange_data!$A160,0,MATCH(N$2,raw_exchange_data!$1:$1,0)-1))</f>
        <v>OWETHUSDC_WETH-16DEC22-1450C_ETH_52GN</v>
      </c>
      <c r="O161" s="161" t="str">
        <f ca="1">IF(raw_exchange_data!$A160="","",OFFSET(raw_exchange_data!$A160,0,MATCH(O$2,raw_exchange_data!$1:$1,0)-1))</f>
        <v>FBLK</v>
      </c>
      <c r="P161" s="161" t="str">
        <f ca="1">IF(raw_exchange_data!$A160="","",OFFSET(raw_exchange_data!$A160,0,MATCH(P$2,raw_exchange_data!$1:$1,0)-1))</f>
        <v>FBLK</v>
      </c>
      <c r="Q161" s="161" t="str">
        <f ca="1">IF(raw_exchange_data!$A160="","",TEXT(OFFSET(raw_exchange_data!$A160,0,MATCH(Q$2,raw_exchange_data!$1:$1,0)-1),""))</f>
        <v/>
      </c>
      <c r="R161" s="162">
        <f ca="1">IF(raw_exchange_data!$A160="","",OFFSET(raw_exchange_data!$A160,0,MATCH(R$2,raw_exchange_data!$1:$1,0)-1))</f>
        <v>2891</v>
      </c>
      <c r="S161" s="190">
        <f ca="1">IF(raw_exchange_data!$A160="","",OFFSET(raw_exchange_data!$A160,0,MATCH(S$2,raw_exchange_data!$1:$1,0)-1))</f>
        <v>44937.660435150465</v>
      </c>
      <c r="T161" s="161">
        <v>1</v>
      </c>
      <c r="W161" t="str">
        <f t="shared" si="11"/>
        <v>HUBI</v>
      </c>
      <c r="X161" t="str">
        <f t="shared" si="12"/>
        <v>XRP</v>
      </c>
      <c r="Y161" s="42">
        <f t="shared" si="13"/>
        <v>0.54364484000000002</v>
      </c>
      <c r="Z161" s="42">
        <f t="shared" ca="1" si="14"/>
        <v>0.54364484400000002</v>
      </c>
      <c r="AC161"/>
      <c r="AD161"/>
    </row>
    <row r="162" spans="1:30" x14ac:dyDescent="0.25">
      <c r="A162" t="str">
        <f>IF(Summary_Exchange_Balances_00UTC!$B161="","",Summary_Exchange_Balances_00UTC!$N161)</f>
        <v>GATE</v>
      </c>
      <c r="B162" t="str">
        <f>IF(Summary_Exchange_Balances_00UTC!$B161="","",Summary_Exchange_Balances_00UTC!$B161)</f>
        <v>GATE-1-M-C</v>
      </c>
      <c r="C162" t="str">
        <f>IF(Summary_Exchange_Balances_00UTC!$B161="","",Summary_Exchange_Balances_00UTC!$E161)</f>
        <v>BTC</v>
      </c>
      <c r="D162" t="str">
        <f>IF(OR(Summary_Exchange_Balances_00UTC!$B161="",Summary_Exchange_Balances_00UTC!$D161=""),"",Summary_Exchange_Balances_00UTC!$D161)</f>
        <v/>
      </c>
      <c r="E162" s="53">
        <f>IF(Summary_Exchange_Balances_00UTC!$B161="","",Summary_Exchange_Balances_00UTC!$C161)</f>
        <v>9.9829999999999998E-5</v>
      </c>
      <c r="G162" s="52" t="e">
        <f ca="1">IF(Summary_Exchange_Balances_00UTC!$B161="","",VLOOKUP(IF(ISERROR(SEARCH(" ", $B162)),UPPER($B162&amp;$C162&amp;IF(OR(NOT(ISERROR(SEARCH("trade",$D162))),NOT(ISERROR(SEARCH("balance",$D162)))),"",$D162)),UPPER(LEFT($B162, SEARCH(" ",$B162)-1)&amp;$C162&amp;IF(OR(NOT(ISERROR(SEARCH("trade",$D162))),NOT(ISERROR(SEARCH("balance",$D162)))),"",$D162))),$L:$T,MATCH("balance",$L$2:$S$2,0),FALSE))</f>
        <v>#N/A</v>
      </c>
      <c r="H162" s="35" t="e">
        <f ca="1">IF(Summary_Exchange_Balances_00UTC!$B161="","",(G162-E162)/E162)</f>
        <v>#N/A</v>
      </c>
      <c r="I162" s="165">
        <f ca="1">IF(Summary_Exchange_Balances_00UTC!$B161="","",IF(ISERROR($G162),$E162,$G162))</f>
        <v>9.9829999999999998E-5</v>
      </c>
      <c r="K162" t="str">
        <f t="shared" ca="1" si="10"/>
        <v>FBLKOWETHUSDC_WETH-25NOV22-1400C_ETH_SFAI</v>
      </c>
      <c r="L162" t="str">
        <f ca="1">UPPER($P162&amp;$N162&amp;Q162)</f>
        <v>FBLKOWETHUSDC_WETH-25NOV22-1400C_ETH_SFAI</v>
      </c>
      <c r="N162" s="161" t="str">
        <f ca="1">IF(raw_exchange_data!$A161="","",OFFSET(raw_exchange_data!$A161,0,MATCH(N$2,raw_exchange_data!$1:$1,0)-1))</f>
        <v>OWETHUSDC_WETH-25NOV22-1400C_ETH_SFAI</v>
      </c>
      <c r="O162" s="161" t="str">
        <f ca="1">IF(raw_exchange_data!$A161="","",OFFSET(raw_exchange_data!$A161,0,MATCH(O$2,raw_exchange_data!$1:$1,0)-1))</f>
        <v>FBLK</v>
      </c>
      <c r="P162" s="161" t="str">
        <f ca="1">IF(raw_exchange_data!$A161="","",OFFSET(raw_exchange_data!$A161,0,MATCH(P$2,raw_exchange_data!$1:$1,0)-1))</f>
        <v>FBLK</v>
      </c>
      <c r="Q162" s="161" t="str">
        <f ca="1">IF(raw_exchange_data!$A161="","",TEXT(OFFSET(raw_exchange_data!$A161,0,MATCH(Q$2,raw_exchange_data!$1:$1,0)-1),""))</f>
        <v/>
      </c>
      <c r="R162" s="162">
        <f ca="1">IF(raw_exchange_data!$A161="","",OFFSET(raw_exchange_data!$A161,0,MATCH(R$2,raw_exchange_data!$1:$1,0)-1))</f>
        <v>2904</v>
      </c>
      <c r="S162" s="190">
        <f ca="1">IF(raw_exchange_data!$A161="","",OFFSET(raw_exchange_data!$A161,0,MATCH(S$2,raw_exchange_data!$1:$1,0)-1))</f>
        <v>44937.660435150465</v>
      </c>
      <c r="T162" s="161">
        <v>1</v>
      </c>
      <c r="W162" t="str">
        <f t="shared" si="11"/>
        <v>GATE</v>
      </c>
      <c r="X162" t="str">
        <f t="shared" si="12"/>
        <v>BTC</v>
      </c>
      <c r="Y162" s="42">
        <f t="shared" si="13"/>
        <v>9.9829999999999998E-5</v>
      </c>
      <c r="Z162" s="42">
        <f t="shared" ca="1" si="14"/>
        <v>0</v>
      </c>
      <c r="AC162"/>
      <c r="AD162"/>
    </row>
    <row r="163" spans="1:30" x14ac:dyDescent="0.25">
      <c r="A163" t="str">
        <f>IF(Summary_Exchange_Balances_00UTC!$B162="","",Summary_Exchange_Balances_00UTC!$N162)</f>
        <v>GATE</v>
      </c>
      <c r="B163" t="str">
        <f>IF(Summary_Exchange_Balances_00UTC!$B162="","",Summary_Exchange_Balances_00UTC!$B162)</f>
        <v>GATE-1-M-C</v>
      </c>
      <c r="C163" t="str">
        <f>IF(Summary_Exchange_Balances_00UTC!$B162="","",Summary_Exchange_Balances_00UTC!$E162)</f>
        <v>USDT</v>
      </c>
      <c r="D163" t="str">
        <f>IF(OR(Summary_Exchange_Balances_00UTC!$B162="",Summary_Exchange_Balances_00UTC!$D162=""),"",Summary_Exchange_Balances_00UTC!$D162)</f>
        <v/>
      </c>
      <c r="E163" s="53">
        <f>IF(Summary_Exchange_Balances_00UTC!$B162="","",Summary_Exchange_Balances_00UTC!$C162)</f>
        <v>10195.00440553</v>
      </c>
      <c r="G163" s="52" t="e">
        <f ca="1">IF(Summary_Exchange_Balances_00UTC!$B162="","",VLOOKUP(IF(ISERROR(SEARCH(" ", $B163)),UPPER($B163&amp;$C163&amp;IF(OR(NOT(ISERROR(SEARCH("trade",$D163))),NOT(ISERROR(SEARCH("balance",$D163)))),"",$D163)),UPPER(LEFT($B163, SEARCH(" ",$B163)-1)&amp;$C163&amp;IF(OR(NOT(ISERROR(SEARCH("trade",$D163))),NOT(ISERROR(SEARCH("balance",$D163)))),"",$D163))),$L:$T,MATCH("balance",$L$2:$S$2,0),FALSE))</f>
        <v>#N/A</v>
      </c>
      <c r="H163" s="35" t="e">
        <f ca="1">IF(Summary_Exchange_Balances_00UTC!$B162="","",(G163-E163)/E163)</f>
        <v>#N/A</v>
      </c>
      <c r="I163" s="165">
        <f ca="1">IF(Summary_Exchange_Balances_00UTC!$B162="","",IF(ISERROR($G163),$E163,$G163))</f>
        <v>10195.00440553</v>
      </c>
      <c r="K163" t="str">
        <f t="shared" ca="1" si="10"/>
        <v>FBLKOWETHUSDC_WSTETH-02DEC22-1350C_ETH_1LRC</v>
      </c>
      <c r="L163" t="str">
        <f ca="1">UPPER($P163&amp;$N163&amp;Q163)</f>
        <v>FBLKOWETHUSDC_WSTETH-02DEC22-1350C_ETH_1LRC</v>
      </c>
      <c r="N163" s="161" t="str">
        <f ca="1">IF(raw_exchange_data!$A162="","",OFFSET(raw_exchange_data!$A162,0,MATCH(N$2,raw_exchange_data!$1:$1,0)-1))</f>
        <v>OWETHUSDC_WSTETH-02DEC22-1350C_ETH_1LRC</v>
      </c>
      <c r="O163" s="161" t="str">
        <f ca="1">IF(raw_exchange_data!$A162="","",OFFSET(raw_exchange_data!$A162,0,MATCH(O$2,raw_exchange_data!$1:$1,0)-1))</f>
        <v>FBLK</v>
      </c>
      <c r="P163" s="161" t="str">
        <f ca="1">IF(raw_exchange_data!$A162="","",OFFSET(raw_exchange_data!$A162,0,MATCH(P$2,raw_exchange_data!$1:$1,0)-1))</f>
        <v>FBLK</v>
      </c>
      <c r="Q163" s="161" t="str">
        <f ca="1">IF(raw_exchange_data!$A162="","",TEXT(OFFSET(raw_exchange_data!$A162,0,MATCH(Q$2,raw_exchange_data!$1:$1,0)-1),""))</f>
        <v/>
      </c>
      <c r="R163" s="162">
        <f ca="1">IF(raw_exchange_data!$A162="","",OFFSET(raw_exchange_data!$A162,0,MATCH(R$2,raw_exchange_data!$1:$1,0)-1))</f>
        <v>9472.1338239899997</v>
      </c>
      <c r="S163" s="190">
        <f ca="1">IF(raw_exchange_data!$A162="","",OFFSET(raw_exchange_data!$A162,0,MATCH(S$2,raw_exchange_data!$1:$1,0)-1))</f>
        <v>44937.660435150465</v>
      </c>
      <c r="T163" s="161">
        <v>1</v>
      </c>
      <c r="W163" t="str">
        <f t="shared" si="11"/>
        <v>GATE</v>
      </c>
      <c r="X163" t="str">
        <f t="shared" si="12"/>
        <v>USDT</v>
      </c>
      <c r="Y163" s="42">
        <f t="shared" si="13"/>
        <v>10195.00440553</v>
      </c>
      <c r="Z163" s="42">
        <f t="shared" ca="1" si="14"/>
        <v>0</v>
      </c>
      <c r="AC163"/>
      <c r="AD163"/>
    </row>
    <row r="164" spans="1:30" x14ac:dyDescent="0.25">
      <c r="A164" t="str">
        <f>IF(Summary_Exchange_Balances_00UTC!$B163="","",Summary_Exchange_Balances_00UTC!$N163)</f>
        <v>GATE</v>
      </c>
      <c r="B164" t="str">
        <f>IF(Summary_Exchange_Balances_00UTC!$B163="","",Summary_Exchange_Balances_00UTC!$B163)</f>
        <v>GATE-1-M-E</v>
      </c>
      <c r="C164" t="str">
        <f>IF(Summary_Exchange_Balances_00UTC!$B163="","",Summary_Exchange_Balances_00UTC!$E163)</f>
        <v>BTC</v>
      </c>
      <c r="D164" t="str">
        <f>IF(OR(Summary_Exchange_Balances_00UTC!$B163="",Summary_Exchange_Balances_00UTC!$D163=""),"",Summary_Exchange_Balances_00UTC!$D163)</f>
        <v/>
      </c>
      <c r="E164" s="53">
        <f>IF(Summary_Exchange_Balances_00UTC!$B163="","",Summary_Exchange_Balances_00UTC!$C163)</f>
        <v>1.899957E-2</v>
      </c>
      <c r="G164" s="52" t="e">
        <f ca="1">IF(Summary_Exchange_Balances_00UTC!$B163="","",VLOOKUP(IF(ISERROR(SEARCH(" ", $B164)),UPPER($B164&amp;$C164&amp;IF(OR(NOT(ISERROR(SEARCH("trade",$D164))),NOT(ISERROR(SEARCH("balance",$D164)))),"",$D164)),UPPER(LEFT($B164, SEARCH(" ",$B164)-1)&amp;$C164&amp;IF(OR(NOT(ISERROR(SEARCH("trade",$D164))),NOT(ISERROR(SEARCH("balance",$D164)))),"",$D164))),$L:$T,MATCH("balance",$L$2:$S$2,0),FALSE))</f>
        <v>#N/A</v>
      </c>
      <c r="H164" s="35" t="e">
        <f ca="1">IF(Summary_Exchange_Balances_00UTC!$B163="","",(G164-E164)/E164)</f>
        <v>#N/A</v>
      </c>
      <c r="I164" s="165">
        <f ca="1">IF(Summary_Exchange_Balances_00UTC!$B163="","",IF(ISERROR($G164),$E164,$G164))</f>
        <v>1.899957E-2</v>
      </c>
      <c r="K164" t="str">
        <f t="shared" ca="1" si="10"/>
        <v>FBLKOWETHUSDC_WSTETH-04NOV22-1700C_ETH_SWAA</v>
      </c>
      <c r="L164" t="str">
        <f ca="1">UPPER($P164&amp;$N164&amp;Q164)</f>
        <v>FBLKOWETHUSDC_WSTETH-04NOV22-1700C_ETH_SWAA</v>
      </c>
      <c r="N164" s="161" t="str">
        <f ca="1">IF(raw_exchange_data!$A163="","",OFFSET(raw_exchange_data!$A163,0,MATCH(N$2,raw_exchange_data!$1:$1,0)-1))</f>
        <v>OWETHUSDC_WSTETH-04NOV22-1700C_ETH_SWAA</v>
      </c>
      <c r="O164" s="161" t="str">
        <f ca="1">IF(raw_exchange_data!$A163="","",OFFSET(raw_exchange_data!$A163,0,MATCH(O$2,raw_exchange_data!$1:$1,0)-1))</f>
        <v>FBLK</v>
      </c>
      <c r="P164" s="161" t="str">
        <f ca="1">IF(raw_exchange_data!$A163="","",OFFSET(raw_exchange_data!$A163,0,MATCH(P$2,raw_exchange_data!$1:$1,0)-1))</f>
        <v>FBLK</v>
      </c>
      <c r="Q164" s="161" t="str">
        <f ca="1">IF(raw_exchange_data!$A163="","",TEXT(OFFSET(raw_exchange_data!$A163,0,MATCH(Q$2,raw_exchange_data!$1:$1,0)-1),""))</f>
        <v/>
      </c>
      <c r="R164" s="162">
        <f ca="1">IF(raw_exchange_data!$A163="","",OFFSET(raw_exchange_data!$A163,0,MATCH(R$2,raw_exchange_data!$1:$1,0)-1))</f>
        <v>5625.02729593</v>
      </c>
      <c r="S164" s="190">
        <f ca="1">IF(raw_exchange_data!$A163="","",OFFSET(raw_exchange_data!$A163,0,MATCH(S$2,raw_exchange_data!$1:$1,0)-1))</f>
        <v>44937.660435150465</v>
      </c>
      <c r="T164" s="161">
        <v>1</v>
      </c>
      <c r="W164" t="str">
        <f t="shared" si="11"/>
        <v>GATE</v>
      </c>
      <c r="X164" t="str">
        <f t="shared" si="12"/>
        <v>BTC</v>
      </c>
      <c r="Y164" s="42">
        <f t="shared" si="13"/>
        <v>1.899957E-2</v>
      </c>
      <c r="Z164" s="42">
        <f t="shared" ca="1" si="14"/>
        <v>0</v>
      </c>
      <c r="AC164"/>
      <c r="AD164"/>
    </row>
    <row r="165" spans="1:30" x14ac:dyDescent="0.25">
      <c r="A165" t="str">
        <f>IF(Summary_Exchange_Balances_00UTC!$B164="","",Summary_Exchange_Balances_00UTC!$N164)</f>
        <v>GATE</v>
      </c>
      <c r="B165" t="str">
        <f>IF(Summary_Exchange_Balances_00UTC!$B164="","",Summary_Exchange_Balances_00UTC!$B164)</f>
        <v>GATE-1-M-E</v>
      </c>
      <c r="C165" t="str">
        <f>IF(Summary_Exchange_Balances_00UTC!$B164="","",Summary_Exchange_Balances_00UTC!$E164)</f>
        <v>ETHF</v>
      </c>
      <c r="D165" t="str">
        <f>IF(OR(Summary_Exchange_Balances_00UTC!$B164="",Summary_Exchange_Balances_00UTC!$D164=""),"",Summary_Exchange_Balances_00UTC!$D164)</f>
        <v/>
      </c>
      <c r="E165" s="53">
        <f>IF(Summary_Exchange_Balances_00UTC!$B164="","",Summary_Exchange_Balances_00UTC!$C164)</f>
        <v>9.9825000000000001E-4</v>
      </c>
      <c r="G165" s="52" t="e">
        <f ca="1">IF(Summary_Exchange_Balances_00UTC!$B164="","",VLOOKUP(IF(ISERROR(SEARCH(" ", $B165)),UPPER($B165&amp;$C165&amp;IF(OR(NOT(ISERROR(SEARCH("trade",$D165))),NOT(ISERROR(SEARCH("balance",$D165)))),"",$D165)),UPPER(LEFT($B165, SEARCH(" ",$B165)-1)&amp;$C165&amp;IF(OR(NOT(ISERROR(SEARCH("trade",$D165))),NOT(ISERROR(SEARCH("balance",$D165)))),"",$D165))),$L:$T,MATCH("balance",$L$2:$S$2,0),FALSE))</f>
        <v>#N/A</v>
      </c>
      <c r="H165" s="35" t="e">
        <f ca="1">IF(Summary_Exchange_Balances_00UTC!$B164="","",(G165-E165)/E165)</f>
        <v>#N/A</v>
      </c>
      <c r="I165" s="165">
        <f ca="1">IF(Summary_Exchange_Balances_00UTC!$B164="","",IF(ISERROR($G165),$E165,$G165))</f>
        <v>9.9825000000000001E-4</v>
      </c>
      <c r="K165" t="str">
        <f t="shared" ca="1" si="10"/>
        <v>FBLKOWETHUSDC_WSTETH-09SEP22-1900C_ETH_1Z8K</v>
      </c>
      <c r="L165" t="str">
        <f ca="1">UPPER($P165&amp;$N165&amp;Q165)</f>
        <v>FBLKOWETHUSDC_WSTETH-09SEP22-1900C_ETH_1Z8K</v>
      </c>
      <c r="N165" s="161" t="str">
        <f ca="1">IF(raw_exchange_data!$A164="","",OFFSET(raw_exchange_data!$A164,0,MATCH(N$2,raw_exchange_data!$1:$1,0)-1))</f>
        <v>OWETHUSDC_WSTETH-09SEP22-1900C_ETH_1Z8K</v>
      </c>
      <c r="O165" s="161" t="str">
        <f ca="1">IF(raw_exchange_data!$A164="","",OFFSET(raw_exchange_data!$A164,0,MATCH(O$2,raw_exchange_data!$1:$1,0)-1))</f>
        <v>FBLK</v>
      </c>
      <c r="P165" s="161" t="str">
        <f ca="1">IF(raw_exchange_data!$A164="","",OFFSET(raw_exchange_data!$A164,0,MATCH(P$2,raw_exchange_data!$1:$1,0)-1))</f>
        <v>FBLK</v>
      </c>
      <c r="Q165" s="161" t="str">
        <f ca="1">IF(raw_exchange_data!$A164="","",TEXT(OFFSET(raw_exchange_data!$A164,0,MATCH(Q$2,raw_exchange_data!$1:$1,0)-1),""))</f>
        <v/>
      </c>
      <c r="R165" s="162">
        <f ca="1">IF(raw_exchange_data!$A164="","",OFFSET(raw_exchange_data!$A164,0,MATCH(R$2,raw_exchange_data!$1:$1,0)-1))</f>
        <v>5968</v>
      </c>
      <c r="S165" s="190">
        <f ca="1">IF(raw_exchange_data!$A164="","",OFFSET(raw_exchange_data!$A164,0,MATCH(S$2,raw_exchange_data!$1:$1,0)-1))</f>
        <v>44937.660435150465</v>
      </c>
      <c r="T165" s="161">
        <v>1</v>
      </c>
      <c r="W165" t="str">
        <f t="shared" si="11"/>
        <v>GATE</v>
      </c>
      <c r="X165" t="str">
        <f t="shared" si="12"/>
        <v>ETHF</v>
      </c>
      <c r="Y165" s="42">
        <f t="shared" si="13"/>
        <v>9.9825000000000001E-4</v>
      </c>
      <c r="Z165" s="42">
        <f t="shared" ca="1" si="14"/>
        <v>0</v>
      </c>
      <c r="AC165"/>
      <c r="AD165"/>
    </row>
    <row r="166" spans="1:30" x14ac:dyDescent="0.25">
      <c r="A166" t="str">
        <f>IF(Summary_Exchange_Balances_00UTC!$B165="","",Summary_Exchange_Balances_00UTC!$N165)</f>
        <v>GATE</v>
      </c>
      <c r="B166" t="str">
        <f>IF(Summary_Exchange_Balances_00UTC!$B165="","",Summary_Exchange_Balances_00UTC!$B165)</f>
        <v>GATE-1-M-E</v>
      </c>
      <c r="C166" t="str">
        <f>IF(Summary_Exchange_Balances_00UTC!$B165="","",Summary_Exchange_Balances_00UTC!$E165)</f>
        <v>ETHW</v>
      </c>
      <c r="D166" t="str">
        <f>IF(OR(Summary_Exchange_Balances_00UTC!$B165="",Summary_Exchange_Balances_00UTC!$D165=""),"",Summary_Exchange_Balances_00UTC!$D165)</f>
        <v/>
      </c>
      <c r="E166" s="52">
        <f>IF(Summary_Exchange_Balances_00UTC!$B165="","",Summary_Exchange_Balances_00UTC!$C165)</f>
        <v>9.9825000000000001E-4</v>
      </c>
      <c r="G166" s="52" t="e">
        <f ca="1">IF(Summary_Exchange_Balances_00UTC!$B165="","",VLOOKUP(IF(ISERROR(SEARCH(" ", $B166)),UPPER($B166&amp;$C166&amp;IF(OR(NOT(ISERROR(SEARCH("trade",$D166))),NOT(ISERROR(SEARCH("balance",$D166)))),"",$D166)),UPPER(LEFT($B166, SEARCH(" ",$B166)-1)&amp;$C166&amp;IF(OR(NOT(ISERROR(SEARCH("trade",$D166))),NOT(ISERROR(SEARCH("balance",$D166)))),"",$D166))),$L:$T,MATCH("balance",$L$2:$S$2,0),FALSE))</f>
        <v>#N/A</v>
      </c>
      <c r="H166" s="35" t="e">
        <f ca="1">IF(Summary_Exchange_Balances_00UTC!$B165="","",(G166-E166)/E166)</f>
        <v>#N/A</v>
      </c>
      <c r="I166" s="165">
        <f ca="1">IF(Summary_Exchange_Balances_00UTC!$B165="","",IF(ISERROR($G166),$E166,$G166))</f>
        <v>9.9825000000000001E-4</v>
      </c>
      <c r="K166" t="str">
        <f t="shared" ca="1" si="10"/>
        <v>FBLKOWETHUSDC_WSTETH-30DEC22-1350C_ETH_2DDK</v>
      </c>
      <c r="L166" t="str">
        <f ca="1">UPPER($P166&amp;$N166&amp;Q166)</f>
        <v>FBLKOWETHUSDC_WSTETH-30DEC22-1350C_ETH_2DDK</v>
      </c>
      <c r="N166" s="161" t="str">
        <f ca="1">IF(raw_exchange_data!$A165="","",OFFSET(raw_exchange_data!$A165,0,MATCH(N$2,raw_exchange_data!$1:$1,0)-1))</f>
        <v>OWETHUSDC_WSTETH-30DEC22-1350C_ETH_2DDK</v>
      </c>
      <c r="O166" s="161" t="str">
        <f ca="1">IF(raw_exchange_data!$A165="","",OFFSET(raw_exchange_data!$A165,0,MATCH(O$2,raw_exchange_data!$1:$1,0)-1))</f>
        <v>FBLK</v>
      </c>
      <c r="P166" s="161" t="str">
        <f ca="1">IF(raw_exchange_data!$A165="","",OFFSET(raw_exchange_data!$A165,0,MATCH(P$2,raw_exchange_data!$1:$1,0)-1))</f>
        <v>FBLK</v>
      </c>
      <c r="Q166" s="161" t="str">
        <f ca="1">IF(raw_exchange_data!$A165="","",TEXT(OFFSET(raw_exchange_data!$A165,0,MATCH(Q$2,raw_exchange_data!$1:$1,0)-1),""))</f>
        <v/>
      </c>
      <c r="R166" s="162">
        <f ca="1">IF(raw_exchange_data!$A165="","",OFFSET(raw_exchange_data!$A165,0,MATCH(R$2,raw_exchange_data!$1:$1,0)-1))</f>
        <v>4006</v>
      </c>
      <c r="S166" s="190">
        <f ca="1">IF(raw_exchange_data!$A165="","",OFFSET(raw_exchange_data!$A165,0,MATCH(S$2,raw_exchange_data!$1:$1,0)-1))</f>
        <v>44937.660435150465</v>
      </c>
      <c r="T166" s="161">
        <v>1</v>
      </c>
      <c r="W166" t="str">
        <f t="shared" si="11"/>
        <v>GATE</v>
      </c>
      <c r="X166" t="str">
        <f t="shared" si="12"/>
        <v>ETHW</v>
      </c>
      <c r="Y166" s="42">
        <f t="shared" si="13"/>
        <v>9.9825000000000001E-4</v>
      </c>
      <c r="Z166" s="42">
        <f t="shared" ca="1" si="14"/>
        <v>0</v>
      </c>
      <c r="AC166"/>
      <c r="AD166"/>
    </row>
    <row r="167" spans="1:30" x14ac:dyDescent="0.25">
      <c r="A167" t="str">
        <f>IF(Summary_Exchange_Balances_00UTC!$B166="","",Summary_Exchange_Balances_00UTC!$N166)</f>
        <v>GATE</v>
      </c>
      <c r="B167" t="str">
        <f>IF(Summary_Exchange_Balances_00UTC!$B166="","",Summary_Exchange_Balances_00UTC!$B166)</f>
        <v>GATE-1-M-E</v>
      </c>
      <c r="C167" t="str">
        <f>IF(Summary_Exchange_Balances_00UTC!$B166="","",Summary_Exchange_Balances_00UTC!$E166)</f>
        <v>ROSE</v>
      </c>
      <c r="D167" t="str">
        <f>IF(OR(Summary_Exchange_Balances_00UTC!$B166="",Summary_Exchange_Balances_00UTC!$D166=""),"",Summary_Exchange_Balances_00UTC!$D166)</f>
        <v/>
      </c>
      <c r="E167" s="52">
        <f>IF(Summary_Exchange_Balances_00UTC!$B166="","",Summary_Exchange_Balances_00UTC!$C166)</f>
        <v>9.5929999999999998E-5</v>
      </c>
      <c r="G167" s="52" t="e">
        <f ca="1">IF(Summary_Exchange_Balances_00UTC!$B166="","",VLOOKUP(IF(ISERROR(SEARCH(" ", $B167)),UPPER($B167&amp;$C167&amp;IF(OR(NOT(ISERROR(SEARCH("trade",$D167))),NOT(ISERROR(SEARCH("balance",$D167)))),"",$D167)),UPPER(LEFT($B167, SEARCH(" ",$B167)-1)&amp;$C167&amp;IF(OR(NOT(ISERROR(SEARCH("trade",$D167))),NOT(ISERROR(SEARCH("balance",$D167)))),"",$D167))),$L:$T,MATCH("balance",$L$2:$S$2,0),FALSE))</f>
        <v>#N/A</v>
      </c>
      <c r="H167" s="35" t="e">
        <f ca="1">IF(Summary_Exchange_Balances_00UTC!$B166="","",(G167-E167)/E167)</f>
        <v>#N/A</v>
      </c>
      <c r="I167" s="165">
        <f ca="1">IF(Summary_Exchange_Balances_00UTC!$B166="","",IF(ISERROR($G167),$E167,$G167))</f>
        <v>9.5929999999999998E-5</v>
      </c>
      <c r="K167" t="str">
        <f t="shared" ca="1" si="10"/>
        <v>FBLKOXT</v>
      </c>
      <c r="L167" t="str">
        <f ca="1">UPPER($P167&amp;$N167&amp;Q167)</f>
        <v>FBLKOXT</v>
      </c>
      <c r="N167" s="161" t="str">
        <f ca="1">IF(raw_exchange_data!$A166="","",OFFSET(raw_exchange_data!$A166,0,MATCH(N$2,raw_exchange_data!$1:$1,0)-1))</f>
        <v>OXT</v>
      </c>
      <c r="O167" s="161" t="str">
        <f ca="1">IF(raw_exchange_data!$A166="","",OFFSET(raw_exchange_data!$A166,0,MATCH(O$2,raw_exchange_data!$1:$1,0)-1))</f>
        <v>FBLK</v>
      </c>
      <c r="P167" s="161" t="str">
        <f ca="1">IF(raw_exchange_data!$A166="","",OFFSET(raw_exchange_data!$A166,0,MATCH(P$2,raw_exchange_data!$1:$1,0)-1))</f>
        <v>FBLK</v>
      </c>
      <c r="Q167" s="161" t="str">
        <f ca="1">IF(raw_exchange_data!$A166="","",TEXT(OFFSET(raw_exchange_data!$A166,0,MATCH(Q$2,raw_exchange_data!$1:$1,0)-1),""))</f>
        <v/>
      </c>
      <c r="R167" s="162">
        <f ca="1">IF(raw_exchange_data!$A166="","",OFFSET(raw_exchange_data!$A166,0,MATCH(R$2,raw_exchange_data!$1:$1,0)-1))</f>
        <v>837715.31955742999</v>
      </c>
      <c r="S167" s="190">
        <f ca="1">IF(raw_exchange_data!$A166="","",OFFSET(raw_exchange_data!$A166,0,MATCH(S$2,raw_exchange_data!$1:$1,0)-1))</f>
        <v>44937.660435150465</v>
      </c>
      <c r="T167" s="161">
        <v>1</v>
      </c>
      <c r="W167" t="str">
        <f t="shared" si="11"/>
        <v>GATE</v>
      </c>
      <c r="X167" t="str">
        <f t="shared" si="12"/>
        <v>ROSE</v>
      </c>
      <c r="Y167" s="42">
        <f t="shared" si="13"/>
        <v>9.5929999999999998E-5</v>
      </c>
      <c r="Z167" s="42">
        <f t="shared" ca="1" si="14"/>
        <v>0</v>
      </c>
      <c r="AC167"/>
      <c r="AD167"/>
    </row>
    <row r="168" spans="1:30" x14ac:dyDescent="0.25">
      <c r="A168" t="str">
        <f>IF(Summary_Exchange_Balances_00UTC!$B167="","",Summary_Exchange_Balances_00UTC!$N167)</f>
        <v>GATE</v>
      </c>
      <c r="B168" t="str">
        <f>IF(Summary_Exchange_Balances_00UTC!$B167="","",Summary_Exchange_Balances_00UTC!$B167)</f>
        <v>GATE-1-M-E</v>
      </c>
      <c r="C168" t="str">
        <f>IF(Summary_Exchange_Balances_00UTC!$B167="","",Summary_Exchange_Balances_00UTC!$E167)</f>
        <v>USDT</v>
      </c>
      <c r="D168" t="str">
        <f>IF(OR(Summary_Exchange_Balances_00UTC!$B167="",Summary_Exchange_Balances_00UTC!$D167=""),"",Summary_Exchange_Balances_00UTC!$D167)</f>
        <v/>
      </c>
      <c r="E168" s="52">
        <f>IF(Summary_Exchange_Balances_00UTC!$B167="","",Summary_Exchange_Balances_00UTC!$C167)</f>
        <v>71.681742360000001</v>
      </c>
      <c r="G168" s="52" t="e">
        <f ca="1">IF(Summary_Exchange_Balances_00UTC!$B167="","",VLOOKUP(IF(ISERROR(SEARCH(" ", $B168)),UPPER($B168&amp;$C168&amp;IF(OR(NOT(ISERROR(SEARCH("trade",$D168))),NOT(ISERROR(SEARCH("balance",$D168)))),"",$D168)),UPPER(LEFT($B168, SEARCH(" ",$B168)-1)&amp;$C168&amp;IF(OR(NOT(ISERROR(SEARCH("trade",$D168))),NOT(ISERROR(SEARCH("balance",$D168)))),"",$D168))),$L:$T,MATCH("balance",$L$2:$S$2,0),FALSE))</f>
        <v>#N/A</v>
      </c>
      <c r="H168" s="35" t="e">
        <f ca="1">IF(Summary_Exchange_Balances_00UTC!$B167="","",(G168-E168)/E168)</f>
        <v>#N/A</v>
      </c>
      <c r="I168" s="165">
        <f ca="1">IF(Summary_Exchange_Balances_00UTC!$B167="","",IF(ISERROR($G168),$E168,$G168))</f>
        <v>71.681742360000001</v>
      </c>
      <c r="K168" t="str">
        <f t="shared" ca="1" si="10"/>
        <v>FBLKSHIB</v>
      </c>
      <c r="L168" t="str">
        <f ca="1">UPPER($P168&amp;$N168&amp;Q168)</f>
        <v>FBLKSHIB</v>
      </c>
      <c r="N168" s="161" t="str">
        <f ca="1">IF(raw_exchange_data!$A167="","",OFFSET(raw_exchange_data!$A167,0,MATCH(N$2,raw_exchange_data!$1:$1,0)-1))</f>
        <v>SHIB</v>
      </c>
      <c r="O168" s="161" t="str">
        <f ca="1">IF(raw_exchange_data!$A167="","",OFFSET(raw_exchange_data!$A167,0,MATCH(O$2,raw_exchange_data!$1:$1,0)-1))</f>
        <v>FBLK</v>
      </c>
      <c r="P168" s="161" t="str">
        <f ca="1">IF(raw_exchange_data!$A167="","",OFFSET(raw_exchange_data!$A167,0,MATCH(P$2,raw_exchange_data!$1:$1,0)-1))</f>
        <v>FBLK</v>
      </c>
      <c r="Q168" s="161" t="str">
        <f ca="1">IF(raw_exchange_data!$A167="","",TEXT(OFFSET(raw_exchange_data!$A167,0,MATCH(Q$2,raw_exchange_data!$1:$1,0)-1),""))</f>
        <v/>
      </c>
      <c r="R168" s="162">
        <f ca="1">IF(raw_exchange_data!$A167="","",OFFSET(raw_exchange_data!$A167,0,MATCH(R$2,raw_exchange_data!$1:$1,0)-1))</f>
        <v>168343999455.48901</v>
      </c>
      <c r="S168" s="190">
        <f ca="1">IF(raw_exchange_data!$A167="","",OFFSET(raw_exchange_data!$A167,0,MATCH(S$2,raw_exchange_data!$1:$1,0)-1))</f>
        <v>44937.660435150465</v>
      </c>
      <c r="T168" s="161">
        <v>1</v>
      </c>
      <c r="W168" t="str">
        <f t="shared" si="11"/>
        <v>GATE</v>
      </c>
      <c r="X168" t="str">
        <f t="shared" si="12"/>
        <v>USDT</v>
      </c>
      <c r="Y168" s="42">
        <f t="shared" si="13"/>
        <v>71.681742360000001</v>
      </c>
      <c r="Z168" s="42">
        <f t="shared" ca="1" si="14"/>
        <v>0</v>
      </c>
      <c r="AC168"/>
      <c r="AD168"/>
    </row>
    <row r="169" spans="1:30" x14ac:dyDescent="0.25">
      <c r="A169" t="str">
        <f>IF(Summary_Exchange_Balances_00UTC!$B168="","",Summary_Exchange_Balances_00UTC!$N168)</f>
        <v>GATE</v>
      </c>
      <c r="B169" t="str">
        <f>IF(Summary_Exchange_Balances_00UTC!$B168="","",Summary_Exchange_Balances_00UTC!$B168)</f>
        <v>GATE-1-M-M</v>
      </c>
      <c r="C169" t="str">
        <f>IF(Summary_Exchange_Balances_00UTC!$B168="","",Summary_Exchange_Balances_00UTC!$E168)</f>
        <v>BTC</v>
      </c>
      <c r="D169" t="str">
        <f>IF(OR(Summary_Exchange_Balances_00UTC!$B168="",Summary_Exchange_Balances_00UTC!$D168=""),"",Summary_Exchange_Balances_00UTC!$D168)</f>
        <v/>
      </c>
      <c r="E169" s="52">
        <f>IF(Summary_Exchange_Balances_00UTC!$B168="","",Summary_Exchange_Balances_00UTC!$C168)</f>
        <v>1.995E-4</v>
      </c>
      <c r="G169" s="52" t="e">
        <f ca="1">IF(Summary_Exchange_Balances_00UTC!$B168="","",VLOOKUP(IF(ISERROR(SEARCH(" ", $B169)),UPPER($B169&amp;$C169&amp;IF(OR(NOT(ISERROR(SEARCH("trade",$D169))),NOT(ISERROR(SEARCH("balance",$D169)))),"",$D169)),UPPER(LEFT($B169, SEARCH(" ",$B169)-1)&amp;$C169&amp;IF(OR(NOT(ISERROR(SEARCH("trade",$D169))),NOT(ISERROR(SEARCH("balance",$D169)))),"",$D169))),$L:$T,MATCH("balance",$L$2:$S$2,0),FALSE))</f>
        <v>#N/A</v>
      </c>
      <c r="H169" s="35" t="e">
        <f ca="1">IF(Summary_Exchange_Balances_00UTC!$B168="","",(G169-E169)/E169)</f>
        <v>#N/A</v>
      </c>
      <c r="I169" s="165">
        <f ca="1">IF(Summary_Exchange_Balances_00UTC!$B168="","",IF(ISERROR($G169),$E169,$G169))</f>
        <v>1.995E-4</v>
      </c>
      <c r="K169" t="str">
        <f t="shared" ca="1" si="10"/>
        <v>FBLKSOL</v>
      </c>
      <c r="L169" t="str">
        <f ca="1">UPPER($P169&amp;$N169&amp;Q169)</f>
        <v>FBLKSOL</v>
      </c>
      <c r="N169" s="161" t="str">
        <f ca="1">IF(raw_exchange_data!$A168="","",OFFSET(raw_exchange_data!$A168,0,MATCH(N$2,raw_exchange_data!$1:$1,0)-1))</f>
        <v>SOL</v>
      </c>
      <c r="O169" s="161" t="str">
        <f ca="1">IF(raw_exchange_data!$A168="","",OFFSET(raw_exchange_data!$A168,0,MATCH(O$2,raw_exchange_data!$1:$1,0)-1))</f>
        <v>FBLK</v>
      </c>
      <c r="P169" s="161" t="str">
        <f ca="1">IF(raw_exchange_data!$A168="","",OFFSET(raw_exchange_data!$A168,0,MATCH(P$2,raw_exchange_data!$1:$1,0)-1))</f>
        <v>FBLK</v>
      </c>
      <c r="Q169" s="161" t="str">
        <f ca="1">IF(raw_exchange_data!$A168="","",TEXT(OFFSET(raw_exchange_data!$A168,0,MATCH(Q$2,raw_exchange_data!$1:$1,0)-1),""))</f>
        <v/>
      </c>
      <c r="R169" s="162">
        <f ca="1">IF(raw_exchange_data!$A168="","",OFFSET(raw_exchange_data!$A168,0,MATCH(R$2,raw_exchange_data!$1:$1,0)-1))</f>
        <v>822.35711387000003</v>
      </c>
      <c r="S169" s="190">
        <f ca="1">IF(raw_exchange_data!$A168="","",OFFSET(raw_exchange_data!$A168,0,MATCH(S$2,raw_exchange_data!$1:$1,0)-1))</f>
        <v>44937.660435150465</v>
      </c>
      <c r="T169" s="161">
        <v>1</v>
      </c>
      <c r="W169" t="str">
        <f t="shared" si="11"/>
        <v>GATE</v>
      </c>
      <c r="X169" t="str">
        <f t="shared" si="12"/>
        <v>BTC</v>
      </c>
      <c r="Y169" s="42">
        <f t="shared" si="13"/>
        <v>1.995E-4</v>
      </c>
      <c r="Z169" s="42">
        <f t="shared" ca="1" si="14"/>
        <v>0</v>
      </c>
      <c r="AC169"/>
      <c r="AD169"/>
    </row>
    <row r="170" spans="1:30" x14ac:dyDescent="0.25">
      <c r="A170" t="str">
        <f>IF(Summary_Exchange_Balances_00UTC!$B169="","",Summary_Exchange_Balances_00UTC!$N169)</f>
        <v>GATE</v>
      </c>
      <c r="B170" t="str">
        <f>IF(Summary_Exchange_Balances_00UTC!$B169="","",Summary_Exchange_Balances_00UTC!$B169)</f>
        <v>GATE-1-M-M</v>
      </c>
      <c r="C170" t="str">
        <f>IF(Summary_Exchange_Balances_00UTC!$B169="","",Summary_Exchange_Balances_00UTC!$E169)</f>
        <v>ETH</v>
      </c>
      <c r="D170" t="str">
        <f>IF(OR(Summary_Exchange_Balances_00UTC!$B169="",Summary_Exchange_Balances_00UTC!$D169=""),"",Summary_Exchange_Balances_00UTC!$D169)</f>
        <v/>
      </c>
      <c r="E170" s="52">
        <f>IF(Summary_Exchange_Balances_00UTC!$B169="","",Summary_Exchange_Balances_00UTC!$C169)</f>
        <v>9.9825000000000001E-4</v>
      </c>
      <c r="G170" s="52" t="e">
        <f ca="1">IF(Summary_Exchange_Balances_00UTC!$B169="","",VLOOKUP(IF(ISERROR(SEARCH(" ", $B170)),UPPER($B170&amp;$C170&amp;IF(OR(NOT(ISERROR(SEARCH("trade",$D170))),NOT(ISERROR(SEARCH("balance",$D170)))),"",$D170)),UPPER(LEFT($B170, SEARCH(" ",$B170)-1)&amp;$C170&amp;IF(OR(NOT(ISERROR(SEARCH("trade",$D170))),NOT(ISERROR(SEARCH("balance",$D170)))),"",$D170))),$L:$T,MATCH("balance",$L$2:$S$2,0),FALSE))</f>
        <v>#N/A</v>
      </c>
      <c r="H170" s="35" t="e">
        <f ca="1">IF(Summary_Exchange_Balances_00UTC!$B169="","",(G170-E170)/E170)</f>
        <v>#N/A</v>
      </c>
      <c r="I170" s="165">
        <f ca="1">IF(Summary_Exchange_Balances_00UTC!$B169="","",IF(ISERROR($G170),$E170,$G170))</f>
        <v>9.9825000000000001E-4</v>
      </c>
      <c r="K170" t="str">
        <f t="shared" ca="1" si="10"/>
        <v>FBLKSUSHI</v>
      </c>
      <c r="L170" t="str">
        <f ca="1">UPPER($P170&amp;$N170&amp;Q170)</f>
        <v>FBLKSUSHI</v>
      </c>
      <c r="N170" s="161" t="str">
        <f ca="1">IF(raw_exchange_data!$A169="","",OFFSET(raw_exchange_data!$A169,0,MATCH(N$2,raw_exchange_data!$1:$1,0)-1))</f>
        <v>SUSHI</v>
      </c>
      <c r="O170" s="161" t="str">
        <f ca="1">IF(raw_exchange_data!$A169="","",OFFSET(raw_exchange_data!$A169,0,MATCH(O$2,raw_exchange_data!$1:$1,0)-1))</f>
        <v>FBLK</v>
      </c>
      <c r="P170" s="161" t="str">
        <f ca="1">IF(raw_exchange_data!$A169="","",OFFSET(raw_exchange_data!$A169,0,MATCH(P$2,raw_exchange_data!$1:$1,0)-1))</f>
        <v>FBLK</v>
      </c>
      <c r="Q170" s="161" t="str">
        <f ca="1">IF(raw_exchange_data!$A169="","",TEXT(OFFSET(raw_exchange_data!$A169,0,MATCH(Q$2,raw_exchange_data!$1:$1,0)-1),""))</f>
        <v/>
      </c>
      <c r="R170" s="162">
        <f ca="1">IF(raw_exchange_data!$A169="","",OFFSET(raw_exchange_data!$A169,0,MATCH(R$2,raw_exchange_data!$1:$1,0)-1))</f>
        <v>149.7566716</v>
      </c>
      <c r="S170" s="190">
        <f ca="1">IF(raw_exchange_data!$A169="","",OFFSET(raw_exchange_data!$A169,0,MATCH(S$2,raw_exchange_data!$1:$1,0)-1))</f>
        <v>44937.660435150465</v>
      </c>
      <c r="T170" s="161">
        <v>1</v>
      </c>
      <c r="W170" t="str">
        <f t="shared" si="11"/>
        <v>GATE</v>
      </c>
      <c r="X170" t="str">
        <f t="shared" si="12"/>
        <v>ETH</v>
      </c>
      <c r="Y170" s="42">
        <f t="shared" si="13"/>
        <v>9.9825000000000001E-4</v>
      </c>
      <c r="Z170" s="42">
        <f t="shared" ca="1" si="14"/>
        <v>0</v>
      </c>
      <c r="AC170"/>
      <c r="AD170"/>
    </row>
    <row r="171" spans="1:30" x14ac:dyDescent="0.25">
      <c r="A171" t="str">
        <f>IF(Summary_Exchange_Balances_00UTC!$B170="","",Summary_Exchange_Balances_00UTC!$N170)</f>
        <v>GATE</v>
      </c>
      <c r="B171" t="str">
        <f>IF(Summary_Exchange_Balances_00UTC!$B170="","",Summary_Exchange_Balances_00UTC!$B170)</f>
        <v>GATE-1-M-M</v>
      </c>
      <c r="C171" t="str">
        <f>IF(Summary_Exchange_Balances_00UTC!$B170="","",Summary_Exchange_Balances_00UTC!$E170)</f>
        <v>USDT</v>
      </c>
      <c r="D171" t="str">
        <f>IF(OR(Summary_Exchange_Balances_00UTC!$B170="",Summary_Exchange_Balances_00UTC!$D170=""),"",Summary_Exchange_Balances_00UTC!$D170)</f>
        <v/>
      </c>
      <c r="E171" s="52">
        <f>IF(Summary_Exchange_Balances_00UTC!$B170="","",Summary_Exchange_Balances_00UTC!$C170)</f>
        <v>59.393906000000001</v>
      </c>
      <c r="G171" s="52" t="e">
        <f ca="1">IF(Summary_Exchange_Balances_00UTC!$B170="","",VLOOKUP(IF(ISERROR(SEARCH(" ", $B171)),UPPER($B171&amp;$C171&amp;IF(OR(NOT(ISERROR(SEARCH("trade",$D171))),NOT(ISERROR(SEARCH("balance",$D171)))),"",$D171)),UPPER(LEFT($B171, SEARCH(" ",$B171)-1)&amp;$C171&amp;IF(OR(NOT(ISERROR(SEARCH("trade",$D171))),NOT(ISERROR(SEARCH("balance",$D171)))),"",$D171))),$L:$T,MATCH("balance",$L$2:$S$2,0),FALSE))</f>
        <v>#N/A</v>
      </c>
      <c r="H171" s="35" t="e">
        <f ca="1">IF(Summary_Exchange_Balances_00UTC!$B170="","",(G171-E171)/E171)</f>
        <v>#N/A</v>
      </c>
      <c r="I171" s="165">
        <f ca="1">IF(Summary_Exchange_Balances_00UTC!$B170="","",IF(ISERROR($G171),$E171,$G171))</f>
        <v>59.393906000000001</v>
      </c>
      <c r="K171" t="str">
        <f t="shared" ca="1" si="10"/>
        <v>FBLKUNI</v>
      </c>
      <c r="L171" t="str">
        <f ca="1">UPPER($P171&amp;$N171&amp;Q171)</f>
        <v>FBLKUNI</v>
      </c>
      <c r="N171" s="161" t="str">
        <f ca="1">IF(raw_exchange_data!$A170="","",OFFSET(raw_exchange_data!$A170,0,MATCH(N$2,raw_exchange_data!$1:$1,0)-1))</f>
        <v>UNI</v>
      </c>
      <c r="O171" s="161" t="str">
        <f ca="1">IF(raw_exchange_data!$A170="","",OFFSET(raw_exchange_data!$A170,0,MATCH(O$2,raw_exchange_data!$1:$1,0)-1))</f>
        <v>FBLK</v>
      </c>
      <c r="P171" s="161" t="str">
        <f ca="1">IF(raw_exchange_data!$A170="","",OFFSET(raw_exchange_data!$A170,0,MATCH(P$2,raw_exchange_data!$1:$1,0)-1))</f>
        <v>FBLK</v>
      </c>
      <c r="Q171" s="161" t="str">
        <f ca="1">IF(raw_exchange_data!$A170="","",TEXT(OFFSET(raw_exchange_data!$A170,0,MATCH(Q$2,raw_exchange_data!$1:$1,0)-1),""))</f>
        <v/>
      </c>
      <c r="R171" s="162">
        <f ca="1">IF(raw_exchange_data!$A170="","",OFFSET(raw_exchange_data!$A170,0,MATCH(R$2,raw_exchange_data!$1:$1,0)-1))</f>
        <v>137.54021624000001</v>
      </c>
      <c r="S171" s="190">
        <f ca="1">IF(raw_exchange_data!$A170="","",OFFSET(raw_exchange_data!$A170,0,MATCH(S$2,raw_exchange_data!$1:$1,0)-1))</f>
        <v>44937.660435150465</v>
      </c>
      <c r="T171" s="161">
        <v>1</v>
      </c>
      <c r="W171" t="str">
        <f t="shared" si="11"/>
        <v>GATE</v>
      </c>
      <c r="X171" t="str">
        <f t="shared" si="12"/>
        <v>USDT</v>
      </c>
      <c r="Y171" s="42">
        <f t="shared" si="13"/>
        <v>59.393906000000001</v>
      </c>
      <c r="Z171" s="42">
        <f t="shared" ca="1" si="14"/>
        <v>0</v>
      </c>
      <c r="AC171"/>
      <c r="AD171"/>
    </row>
    <row r="172" spans="1:30" x14ac:dyDescent="0.25">
      <c r="A172" t="str">
        <f>IF(Summary_Exchange_Balances_00UTC!$B171="","",Summary_Exchange_Balances_00UTC!$N171)</f>
        <v>GATE</v>
      </c>
      <c r="B172" t="str">
        <f>IF(Summary_Exchange_Balances_00UTC!$B171="","",Summary_Exchange_Balances_00UTC!$B171)</f>
        <v>GATE-1-M-PT</v>
      </c>
      <c r="C172" t="str">
        <f>IF(Summary_Exchange_Balances_00UTC!$B171="","",Summary_Exchange_Balances_00UTC!$E171)</f>
        <v>USDT</v>
      </c>
      <c r="D172" t="str">
        <f>IF(OR(Summary_Exchange_Balances_00UTC!$B171="",Summary_Exchange_Balances_00UTC!$D171=""),"",Summary_Exchange_Balances_00UTC!$D171)</f>
        <v/>
      </c>
      <c r="E172" s="52">
        <f>IF(Summary_Exchange_Balances_00UTC!$B171="","",Summary_Exchange_Balances_00UTC!$C171)</f>
        <v>10045.794859</v>
      </c>
      <c r="G172" s="52" t="e">
        <f ca="1">IF(Summary_Exchange_Balances_00UTC!$B171="","",VLOOKUP(IF(ISERROR(SEARCH(" ", $B172)),UPPER($B172&amp;$C172&amp;IF(OR(NOT(ISERROR(SEARCH("trade",$D172))),NOT(ISERROR(SEARCH("balance",$D172)))),"",$D172)),UPPER(LEFT($B172, SEARCH(" ",$B172)-1)&amp;$C172&amp;IF(OR(NOT(ISERROR(SEARCH("trade",$D172))),NOT(ISERROR(SEARCH("balance",$D172)))),"",$D172))),$L:$T,MATCH("balance",$L$2:$S$2,0),FALSE))</f>
        <v>#N/A</v>
      </c>
      <c r="H172" s="35" t="e">
        <f ca="1">IF(Summary_Exchange_Balances_00UTC!$B171="","",(G172-E172)/E172)</f>
        <v>#N/A</v>
      </c>
      <c r="I172" s="165">
        <f ca="1">IF(Summary_Exchange_Balances_00UTC!$B171="","",IF(ISERROR($G172),$E172,$G172))</f>
        <v>10045.794859</v>
      </c>
      <c r="K172" t="str">
        <f t="shared" ca="1" si="10"/>
        <v>FBLKUSDC</v>
      </c>
      <c r="L172" t="str">
        <f ca="1">UPPER($P172&amp;$N172&amp;Q172)</f>
        <v>FBLKUSDC</v>
      </c>
      <c r="N172" s="161" t="str">
        <f ca="1">IF(raw_exchange_data!$A171="","",OFFSET(raw_exchange_data!$A171,0,MATCH(N$2,raw_exchange_data!$1:$1,0)-1))</f>
        <v>USDC</v>
      </c>
      <c r="O172" s="161" t="str">
        <f ca="1">IF(raw_exchange_data!$A171="","",OFFSET(raw_exchange_data!$A171,0,MATCH(O$2,raw_exchange_data!$1:$1,0)-1))</f>
        <v>FBLK</v>
      </c>
      <c r="P172" s="161" t="str">
        <f ca="1">IF(raw_exchange_data!$A171="","",OFFSET(raw_exchange_data!$A171,0,MATCH(P$2,raw_exchange_data!$1:$1,0)-1))</f>
        <v>FBLK</v>
      </c>
      <c r="Q172" s="161" t="str">
        <f ca="1">IF(raw_exchange_data!$A171="","",TEXT(OFFSET(raw_exchange_data!$A171,0,MATCH(Q$2,raw_exchange_data!$1:$1,0)-1),""))</f>
        <v/>
      </c>
      <c r="R172" s="162">
        <f ca="1">IF(raw_exchange_data!$A171="","",OFFSET(raw_exchange_data!$A171,0,MATCH(R$2,raw_exchange_data!$1:$1,0)-1))</f>
        <v>17251083.073406</v>
      </c>
      <c r="S172" s="190">
        <f ca="1">IF(raw_exchange_data!$A171="","",OFFSET(raw_exchange_data!$A171,0,MATCH(S$2,raw_exchange_data!$1:$1,0)-1))</f>
        <v>44937.660435150465</v>
      </c>
      <c r="T172" s="161">
        <v>1</v>
      </c>
      <c r="W172" t="str">
        <f t="shared" si="11"/>
        <v>GATE</v>
      </c>
      <c r="X172" t="str">
        <f t="shared" si="12"/>
        <v>USDT</v>
      </c>
      <c r="Y172" s="42">
        <f t="shared" si="13"/>
        <v>10045.794859</v>
      </c>
      <c r="Z172" s="42">
        <f t="shared" ca="1" si="14"/>
        <v>0</v>
      </c>
      <c r="AC172"/>
      <c r="AD172"/>
    </row>
    <row r="173" spans="1:30" x14ac:dyDescent="0.25">
      <c r="A173" t="str">
        <f>IF(Summary_Exchange_Balances_00UTC!$B172="","",Summary_Exchange_Balances_00UTC!$N172)</f>
        <v>HUBI</v>
      </c>
      <c r="B173" t="str">
        <f>IF(Summary_Exchange_Balances_00UTC!$B172="","",Summary_Exchange_Balances_00UTC!$B172)</f>
        <v>HUB2-E</v>
      </c>
      <c r="C173" t="str">
        <f>IF(Summary_Exchange_Balances_00UTC!$B172="","",Summary_Exchange_Balances_00UTC!$E172)</f>
        <v>USDT</v>
      </c>
      <c r="D173" t="str">
        <f>IF(OR(Summary_Exchange_Balances_00UTC!$B172="",Summary_Exchange_Balances_00UTC!$D172=""),"",Summary_Exchange_Balances_00UTC!$D172)</f>
        <v/>
      </c>
      <c r="E173" s="52">
        <f>IF(Summary_Exchange_Balances_00UTC!$B172="","",Summary_Exchange_Balances_00UTC!$C172)</f>
        <v>1E-8</v>
      </c>
      <c r="G173" s="52" t="e">
        <f ca="1">IF(Summary_Exchange_Balances_00UTC!$B172="","",VLOOKUP(IF(ISERROR(SEARCH(" ", $B173)),UPPER($B173&amp;$C173&amp;IF(OR(NOT(ISERROR(SEARCH("trade",$D173))),NOT(ISERROR(SEARCH("balance",$D173)))),"",$D173)),UPPER(LEFT($B173, SEARCH(" ",$B173)-1)&amp;$C173&amp;IF(OR(NOT(ISERROR(SEARCH("trade",$D173))),NOT(ISERROR(SEARCH("balance",$D173)))),"",$D173))),$L:$T,MATCH("balance",$L$2:$S$2,0),FALSE))</f>
        <v>#N/A</v>
      </c>
      <c r="H173" s="35" t="e">
        <f ca="1">IF(Summary_Exchange_Balances_00UTC!$B172="","",(G173-E173)/E173)</f>
        <v>#N/A</v>
      </c>
      <c r="I173" s="165">
        <f ca="1">IF(Summary_Exchange_Balances_00UTC!$B172="","",IF(ISERROR($G173),$E173,$G173))</f>
        <v>1E-8</v>
      </c>
      <c r="K173" t="str">
        <f t="shared" ca="1" si="10"/>
        <v>FBLKUSDT_ERC20</v>
      </c>
      <c r="L173" t="str">
        <f ca="1">UPPER($P173&amp;$N173&amp;Q173)</f>
        <v>FBLKUSDT_ERC20</v>
      </c>
      <c r="N173" s="161" t="str">
        <f ca="1">IF(raw_exchange_data!$A172="","",OFFSET(raw_exchange_data!$A172,0,MATCH(N$2,raw_exchange_data!$1:$1,0)-1))</f>
        <v>USDT_ERC20</v>
      </c>
      <c r="O173" s="161" t="str">
        <f ca="1">IF(raw_exchange_data!$A172="","",OFFSET(raw_exchange_data!$A172,0,MATCH(O$2,raw_exchange_data!$1:$1,0)-1))</f>
        <v>FBLK</v>
      </c>
      <c r="P173" s="161" t="str">
        <f ca="1">IF(raw_exchange_data!$A172="","",OFFSET(raw_exchange_data!$A172,0,MATCH(P$2,raw_exchange_data!$1:$1,0)-1))</f>
        <v>FBLK</v>
      </c>
      <c r="Q173" s="161" t="str">
        <f ca="1">IF(raw_exchange_data!$A172="","",TEXT(OFFSET(raw_exchange_data!$A172,0,MATCH(Q$2,raw_exchange_data!$1:$1,0)-1),""))</f>
        <v/>
      </c>
      <c r="R173" s="162">
        <f ca="1">IF(raw_exchange_data!$A172="","",OFFSET(raw_exchange_data!$A172,0,MATCH(R$2,raw_exchange_data!$1:$1,0)-1))</f>
        <v>4612941.358643</v>
      </c>
      <c r="S173" s="190">
        <f ca="1">IF(raw_exchange_data!$A172="","",OFFSET(raw_exchange_data!$A172,0,MATCH(S$2,raw_exchange_data!$1:$1,0)-1))</f>
        <v>44937.660435150465</v>
      </c>
      <c r="T173" s="161">
        <v>1</v>
      </c>
      <c r="W173" t="str">
        <f t="shared" si="11"/>
        <v>HUBI</v>
      </c>
      <c r="X173" t="str">
        <f t="shared" si="12"/>
        <v>USDT</v>
      </c>
      <c r="Y173" s="42">
        <f t="shared" si="13"/>
        <v>1E-8</v>
      </c>
      <c r="Z173" s="42">
        <f t="shared" ca="1" si="14"/>
        <v>0</v>
      </c>
      <c r="AC173"/>
      <c r="AD173"/>
    </row>
    <row r="174" spans="1:30" x14ac:dyDescent="0.25">
      <c r="A174" t="str">
        <f>IF(Summary_Exchange_Balances_00UTC!$B173="","",Summary_Exchange_Balances_00UTC!$N173)</f>
        <v>HUBI</v>
      </c>
      <c r="B174" t="str">
        <f>IF(Summary_Exchange_Balances_00UTC!$B173="","",Summary_Exchange_Balances_00UTC!$B173)</f>
        <v>HUB2-E</v>
      </c>
      <c r="C174" t="str">
        <f>IF(Summary_Exchange_Balances_00UTC!$B173="","",Summary_Exchange_Balances_00UTC!$E173)</f>
        <v>XRP</v>
      </c>
      <c r="D174" t="str">
        <f>IF(OR(Summary_Exchange_Balances_00UTC!$B173="",Summary_Exchange_Balances_00UTC!$D173=""),"",Summary_Exchange_Balances_00UTC!$D173)</f>
        <v/>
      </c>
      <c r="E174" s="52">
        <f>IF(Summary_Exchange_Balances_00UTC!$B173="","",Summary_Exchange_Balances_00UTC!$C173)</f>
        <v>7.4209999999999996E-5</v>
      </c>
      <c r="G174" s="52" t="e">
        <f ca="1">IF(Summary_Exchange_Balances_00UTC!$B173="","",VLOOKUP(IF(ISERROR(SEARCH(" ", $B174)),UPPER($B174&amp;$C174&amp;IF(OR(NOT(ISERROR(SEARCH("trade",$D174))),NOT(ISERROR(SEARCH("balance",$D174)))),"",$D174)),UPPER(LEFT($B174, SEARCH(" ",$B174)-1)&amp;$C174&amp;IF(OR(NOT(ISERROR(SEARCH("trade",$D174))),NOT(ISERROR(SEARCH("balance",$D174)))),"",$D174))),$L:$T,MATCH("balance",$L$2:$S$2,0),FALSE))</f>
        <v>#N/A</v>
      </c>
      <c r="H174" s="35" t="e">
        <f ca="1">IF(Summary_Exchange_Balances_00UTC!$B173="","",(G174-E174)/E174)</f>
        <v>#N/A</v>
      </c>
      <c r="I174" s="165">
        <f ca="1">IF(Summary_Exchange_Balances_00UTC!$B173="","",IF(ISERROR($G174),$E174,$G174))</f>
        <v>7.4209999999999996E-5</v>
      </c>
      <c r="K174" t="str">
        <f t="shared" ca="1" si="10"/>
        <v>FBLKVARIABLEDEBTUSDT</v>
      </c>
      <c r="L174" t="str">
        <f ca="1">UPPER($P174&amp;$N174&amp;Q174)</f>
        <v>FBLKVARIABLEDEBTUSDT</v>
      </c>
      <c r="N174" s="161" t="str">
        <f ca="1">IF(raw_exchange_data!$A173="","",OFFSET(raw_exchange_data!$A173,0,MATCH(N$2,raw_exchange_data!$1:$1,0)-1))</f>
        <v>VARIABLEDEBTUSDT</v>
      </c>
      <c r="O174" s="161" t="str">
        <f ca="1">IF(raw_exchange_data!$A173="","",OFFSET(raw_exchange_data!$A173,0,MATCH(O$2,raw_exchange_data!$1:$1,0)-1))</f>
        <v>FBLK</v>
      </c>
      <c r="P174" s="161" t="str">
        <f ca="1">IF(raw_exchange_data!$A173="","",OFFSET(raw_exchange_data!$A173,0,MATCH(P$2,raw_exchange_data!$1:$1,0)-1))</f>
        <v>FBLK</v>
      </c>
      <c r="Q174" s="161" t="str">
        <f ca="1">IF(raw_exchange_data!$A173="","",TEXT(OFFSET(raw_exchange_data!$A173,0,MATCH(Q$2,raw_exchange_data!$1:$1,0)-1),""))</f>
        <v/>
      </c>
      <c r="R174" s="162">
        <f ca="1">IF(raw_exchange_data!$A173="","",OFFSET(raw_exchange_data!$A173,0,MATCH(R$2,raw_exchange_data!$1:$1,0)-1))</f>
        <v>9990233.1296590008</v>
      </c>
      <c r="S174" s="190">
        <f ca="1">IF(raw_exchange_data!$A173="","",OFFSET(raw_exchange_data!$A173,0,MATCH(S$2,raw_exchange_data!$1:$1,0)-1))</f>
        <v>44937.660435150465</v>
      </c>
      <c r="T174" s="161">
        <v>1</v>
      </c>
      <c r="W174" t="str">
        <f t="shared" si="11"/>
        <v>HUBI</v>
      </c>
      <c r="X174" t="str">
        <f t="shared" si="12"/>
        <v>XRP</v>
      </c>
      <c r="Y174" s="42">
        <f t="shared" si="13"/>
        <v>7.4209999999999996E-5</v>
      </c>
      <c r="Z174" s="42">
        <f t="shared" ca="1" si="14"/>
        <v>0</v>
      </c>
      <c r="AC174"/>
      <c r="AD174"/>
    </row>
    <row r="175" spans="1:30" x14ac:dyDescent="0.25">
      <c r="A175" t="str">
        <f>IF(Summary_Exchange_Balances_00UTC!$B174="","",Summary_Exchange_Balances_00UTC!$N174)</f>
        <v>HUBI</v>
      </c>
      <c r="B175" t="str">
        <f>IF(Summary_Exchange_Balances_00UTC!$B174="","",Summary_Exchange_Balances_00UTC!$B174)</f>
        <v>HUB2-M</v>
      </c>
      <c r="C175" t="str">
        <f>IF(Summary_Exchange_Balances_00UTC!$B174="","",Summary_Exchange_Balances_00UTC!$E174)</f>
        <v>ADA</v>
      </c>
      <c r="D175" t="str">
        <f>IF(OR(Summary_Exchange_Balances_00UTC!$B174="",Summary_Exchange_Balances_00UTC!$D174=""),"",Summary_Exchange_Balances_00UTC!$D174)</f>
        <v/>
      </c>
      <c r="E175" s="52">
        <f>IF(Summary_Exchange_Balances_00UTC!$B174="","",Summary_Exchange_Balances_00UTC!$C174)</f>
        <v>1E-8</v>
      </c>
      <c r="G175" s="52">
        <f ca="1">IF(Summary_Exchange_Balances_00UTC!$B174="","",VLOOKUP(IF(ISERROR(SEARCH(" ", $B175)),UPPER($B175&amp;$C175&amp;IF(OR(NOT(ISERROR(SEARCH("trade",$D175))),NOT(ISERROR(SEARCH("balance",$D175)))),"",$D175)),UPPER(LEFT($B175, SEARCH(" ",$B175)-1)&amp;$C175&amp;IF(OR(NOT(ISERROR(SEARCH("trade",$D175))),NOT(ISERROR(SEARCH("balance",$D175)))),"",$D175))),$L:$T,MATCH("balance",$L$2:$S$2,0),FALSE))</f>
        <v>1E-8</v>
      </c>
      <c r="H175" s="35">
        <f ca="1">IF(Summary_Exchange_Balances_00UTC!$B174="","",(G175-E175)/E175)</f>
        <v>0</v>
      </c>
      <c r="I175" s="165">
        <f ca="1">IF(Summary_Exchange_Balances_00UTC!$B174="","",IF(ISERROR($G175),$E175,$G175))</f>
        <v>1E-8</v>
      </c>
      <c r="K175" t="str">
        <f t="shared" ca="1" si="10"/>
        <v>FBLKWAVAX_AVAX</v>
      </c>
      <c r="L175" t="str">
        <f ca="1">UPPER($P175&amp;$N175&amp;Q175)</f>
        <v>FBLKWAVAX_AVAX</v>
      </c>
      <c r="N175" s="161" t="str">
        <f ca="1">IF(raw_exchange_data!$A174="","",OFFSET(raw_exchange_data!$A174,0,MATCH(N$2,raw_exchange_data!$1:$1,0)-1))</f>
        <v>WAVAX_AVAX</v>
      </c>
      <c r="O175" s="161" t="str">
        <f ca="1">IF(raw_exchange_data!$A174="","",OFFSET(raw_exchange_data!$A174,0,MATCH(O$2,raw_exchange_data!$1:$1,0)-1))</f>
        <v>FBLK</v>
      </c>
      <c r="P175" s="161" t="str">
        <f ca="1">IF(raw_exchange_data!$A174="","",OFFSET(raw_exchange_data!$A174,0,MATCH(P$2,raw_exchange_data!$1:$1,0)-1))</f>
        <v>FBLK</v>
      </c>
      <c r="Q175" s="161" t="str">
        <f ca="1">IF(raw_exchange_data!$A174="","",TEXT(OFFSET(raw_exchange_data!$A174,0,MATCH(Q$2,raw_exchange_data!$1:$1,0)-1),""))</f>
        <v/>
      </c>
      <c r="R175" s="162">
        <f ca="1">IF(raw_exchange_data!$A174="","",OFFSET(raw_exchange_data!$A174,0,MATCH(R$2,raw_exchange_data!$1:$1,0)-1))</f>
        <v>76.887908119499997</v>
      </c>
      <c r="S175" s="190">
        <f ca="1">IF(raw_exchange_data!$A174="","",OFFSET(raw_exchange_data!$A174,0,MATCH(S$2,raw_exchange_data!$1:$1,0)-1))</f>
        <v>44937.660435150465</v>
      </c>
      <c r="T175" s="161">
        <v>1</v>
      </c>
      <c r="W175" t="str">
        <f t="shared" si="11"/>
        <v>HUBI</v>
      </c>
      <c r="X175" t="str">
        <f t="shared" si="12"/>
        <v>ADA</v>
      </c>
      <c r="Y175" s="42">
        <f t="shared" si="13"/>
        <v>1E-8</v>
      </c>
      <c r="Z175" s="42">
        <f t="shared" ca="1" si="14"/>
        <v>1E-8</v>
      </c>
      <c r="AC175"/>
      <c r="AD175"/>
    </row>
    <row r="176" spans="1:30" x14ac:dyDescent="0.25">
      <c r="A176" t="str">
        <f>IF(Summary_Exchange_Balances_00UTC!$B175="","",Summary_Exchange_Balances_00UTC!$N175)</f>
        <v>HUBI</v>
      </c>
      <c r="B176" t="str">
        <f>IF(Summary_Exchange_Balances_00UTC!$B175="","",Summary_Exchange_Balances_00UTC!$B175)</f>
        <v>HUB2-M</v>
      </c>
      <c r="C176" t="str">
        <f>IF(Summary_Exchange_Balances_00UTC!$B175="","",Summary_Exchange_Balances_00UTC!$E175)</f>
        <v>BCH</v>
      </c>
      <c r="D176" t="str">
        <f>IF(OR(Summary_Exchange_Balances_00UTC!$B175="",Summary_Exchange_Balances_00UTC!$D175=""),"",Summary_Exchange_Balances_00UTC!$D175)</f>
        <v/>
      </c>
      <c r="E176" s="52">
        <f>IF(Summary_Exchange_Balances_00UTC!$B175="","",Summary_Exchange_Balances_00UTC!$C175)</f>
        <v>1E-8</v>
      </c>
      <c r="G176" s="52">
        <f ca="1">IF(Summary_Exchange_Balances_00UTC!$B175="","",VLOOKUP(IF(ISERROR(SEARCH(" ", $B176)),UPPER($B176&amp;$C176&amp;IF(OR(NOT(ISERROR(SEARCH("trade",$D176))),NOT(ISERROR(SEARCH("balance",$D176)))),"",$D176)),UPPER(LEFT($B176, SEARCH(" ",$B176)-1)&amp;$C176&amp;IF(OR(NOT(ISERROR(SEARCH("trade",$D176))),NOT(ISERROR(SEARCH("balance",$D176)))),"",$D176))),$L:$T,MATCH("balance",$L$2:$S$2,0),FALSE))</f>
        <v>1E-8</v>
      </c>
      <c r="H176" s="35">
        <f ca="1">IF(Summary_Exchange_Balances_00UTC!$B175="","",(G176-E176)/E176)</f>
        <v>0</v>
      </c>
      <c r="I176" s="165">
        <f ca="1">IF(Summary_Exchange_Balances_00UTC!$B175="","",IF(ISERROR($G176),$E176,$G176))</f>
        <v>1E-8</v>
      </c>
      <c r="K176" t="str">
        <f t="shared" ca="1" si="10"/>
        <v>FBLKWETH</v>
      </c>
      <c r="L176" t="str">
        <f ca="1">UPPER($P176&amp;$N176&amp;Q176)</f>
        <v>FBLKWETH</v>
      </c>
      <c r="N176" s="161" t="str">
        <f ca="1">IF(raw_exchange_data!$A175="","",OFFSET(raw_exchange_data!$A175,0,MATCH(N$2,raw_exchange_data!$1:$1,0)-1))</f>
        <v>WETH</v>
      </c>
      <c r="O176" s="161" t="str">
        <f ca="1">IF(raw_exchange_data!$A175="","",OFFSET(raw_exchange_data!$A175,0,MATCH(O$2,raw_exchange_data!$1:$1,0)-1))</f>
        <v>FBLK</v>
      </c>
      <c r="P176" s="161" t="str">
        <f ca="1">IF(raw_exchange_data!$A175="","",OFFSET(raw_exchange_data!$A175,0,MATCH(P$2,raw_exchange_data!$1:$1,0)-1))</f>
        <v>FBLK</v>
      </c>
      <c r="Q176" s="161" t="str">
        <f ca="1">IF(raw_exchange_data!$A175="","",TEXT(OFFSET(raw_exchange_data!$A175,0,MATCH(Q$2,raw_exchange_data!$1:$1,0)-1),""))</f>
        <v/>
      </c>
      <c r="R176" s="162">
        <f ca="1">IF(raw_exchange_data!$A175="","",OFFSET(raw_exchange_data!$A175,0,MATCH(R$2,raw_exchange_data!$1:$1,0)-1))</f>
        <v>128.58989367390001</v>
      </c>
      <c r="S176" s="190">
        <f ca="1">IF(raw_exchange_data!$A175="","",OFFSET(raw_exchange_data!$A175,0,MATCH(S$2,raw_exchange_data!$1:$1,0)-1))</f>
        <v>44937.660435150465</v>
      </c>
      <c r="T176" s="161">
        <v>1</v>
      </c>
      <c r="W176" t="str">
        <f t="shared" si="11"/>
        <v>HUBI</v>
      </c>
      <c r="X176" t="str">
        <f t="shared" si="12"/>
        <v>BCH</v>
      </c>
      <c r="Y176" s="42">
        <f t="shared" si="13"/>
        <v>1E-8</v>
      </c>
      <c r="Z176" s="42">
        <f t="shared" ca="1" si="14"/>
        <v>1E-8</v>
      </c>
      <c r="AC176"/>
      <c r="AD176"/>
    </row>
    <row r="177" spans="1:30" x14ac:dyDescent="0.25">
      <c r="A177" t="str">
        <f>IF(Summary_Exchange_Balances_00UTC!$B176="","",Summary_Exchange_Balances_00UTC!$N176)</f>
        <v>HUBI</v>
      </c>
      <c r="B177" t="str">
        <f>IF(Summary_Exchange_Balances_00UTC!$B176="","",Summary_Exchange_Balances_00UTC!$B176)</f>
        <v>HUB2-M</v>
      </c>
      <c r="C177" t="str">
        <f>IF(Summary_Exchange_Balances_00UTC!$B176="","",Summary_Exchange_Balances_00UTC!$E176)</f>
        <v>BSV</v>
      </c>
      <c r="D177" t="str">
        <f>IF(OR(Summary_Exchange_Balances_00UTC!$B176="",Summary_Exchange_Balances_00UTC!$D176=""),"",Summary_Exchange_Balances_00UTC!$D176)</f>
        <v/>
      </c>
      <c r="E177" s="52">
        <f>IF(Summary_Exchange_Balances_00UTC!$B176="","",Summary_Exchange_Balances_00UTC!$C176)</f>
        <v>1E-8</v>
      </c>
      <c r="G177" s="52">
        <f ca="1">IF(Summary_Exchange_Balances_00UTC!$B176="","",VLOOKUP(IF(ISERROR(SEARCH(" ", $B177)),UPPER($B177&amp;$C177&amp;IF(OR(NOT(ISERROR(SEARCH("trade",$D177))),NOT(ISERROR(SEARCH("balance",$D177)))),"",$D177)),UPPER(LEFT($B177, SEARCH(" ",$B177)-1)&amp;$C177&amp;IF(OR(NOT(ISERROR(SEARCH("trade",$D177))),NOT(ISERROR(SEARCH("balance",$D177)))),"",$D177))),$L:$T,MATCH("balance",$L$2:$S$2,0),FALSE))</f>
        <v>1E-8</v>
      </c>
      <c r="H177" s="35">
        <f ca="1">IF(Summary_Exchange_Balances_00UTC!$B176="","",(G177-E177)/E177)</f>
        <v>0</v>
      </c>
      <c r="I177" s="165">
        <f ca="1">IF(Summary_Exchange_Balances_00UTC!$B176="","",IF(ISERROR($G177),$E177,$G177))</f>
        <v>1E-8</v>
      </c>
      <c r="K177" t="str">
        <f t="shared" ca="1" si="10"/>
        <v>FBLKXLM</v>
      </c>
      <c r="L177" t="str">
        <f ca="1">UPPER($P177&amp;$N177&amp;Q177)</f>
        <v>FBLKXLM</v>
      </c>
      <c r="N177" s="161" t="str">
        <f ca="1">IF(raw_exchange_data!$A176="","",OFFSET(raw_exchange_data!$A176,0,MATCH(N$2,raw_exchange_data!$1:$1,0)-1))</f>
        <v>XLM</v>
      </c>
      <c r="O177" s="161" t="str">
        <f ca="1">IF(raw_exchange_data!$A176="","",OFFSET(raw_exchange_data!$A176,0,MATCH(O$2,raw_exchange_data!$1:$1,0)-1))</f>
        <v>FBLK</v>
      </c>
      <c r="P177" s="161" t="str">
        <f ca="1">IF(raw_exchange_data!$A176="","",OFFSET(raw_exchange_data!$A176,0,MATCH(P$2,raw_exchange_data!$1:$1,0)-1))</f>
        <v>FBLK</v>
      </c>
      <c r="Q177" s="161" t="str">
        <f ca="1">IF(raw_exchange_data!$A176="","",TEXT(OFFSET(raw_exchange_data!$A176,0,MATCH(Q$2,raw_exchange_data!$1:$1,0)-1),""))</f>
        <v/>
      </c>
      <c r="R177" s="162">
        <f ca="1">IF(raw_exchange_data!$A176="","",OFFSET(raw_exchange_data!$A176,0,MATCH(R$2,raw_exchange_data!$1:$1,0)-1))</f>
        <v>28358.945426099999</v>
      </c>
      <c r="S177" s="190">
        <f ca="1">IF(raw_exchange_data!$A176="","",OFFSET(raw_exchange_data!$A176,0,MATCH(S$2,raw_exchange_data!$1:$1,0)-1))</f>
        <v>44937.660435150465</v>
      </c>
      <c r="T177" s="161">
        <v>1</v>
      </c>
      <c r="W177" t="str">
        <f t="shared" si="11"/>
        <v>HUBI</v>
      </c>
      <c r="X177" t="str">
        <f t="shared" si="12"/>
        <v>BSV</v>
      </c>
      <c r="Y177" s="42">
        <f t="shared" si="13"/>
        <v>1E-8</v>
      </c>
      <c r="Z177" s="42">
        <f t="shared" ca="1" si="14"/>
        <v>1E-8</v>
      </c>
      <c r="AC177"/>
      <c r="AD177"/>
    </row>
    <row r="178" spans="1:30" x14ac:dyDescent="0.25">
      <c r="A178" t="str">
        <f>IF(Summary_Exchange_Balances_00UTC!$B177="","",Summary_Exchange_Balances_00UTC!$N177)</f>
        <v>HUBI</v>
      </c>
      <c r="B178" t="str">
        <f>IF(Summary_Exchange_Balances_00UTC!$B177="","",Summary_Exchange_Balances_00UTC!$B177)</f>
        <v>HUB2-M</v>
      </c>
      <c r="C178" t="str">
        <f>IF(Summary_Exchange_Balances_00UTC!$B177="","",Summary_Exchange_Balances_00UTC!$E177)</f>
        <v>EOS</v>
      </c>
      <c r="D178" t="str">
        <f>IF(OR(Summary_Exchange_Balances_00UTC!$B177="",Summary_Exchange_Balances_00UTC!$D177=""),"",Summary_Exchange_Balances_00UTC!$D177)</f>
        <v/>
      </c>
      <c r="E178" s="53">
        <f>IF(Summary_Exchange_Balances_00UTC!$B177="","",Summary_Exchange_Balances_00UTC!$C177)</f>
        <v>1E-8</v>
      </c>
      <c r="G178" s="52">
        <f ca="1">IF(Summary_Exchange_Balances_00UTC!$B177="","",VLOOKUP(IF(ISERROR(SEARCH(" ", $B178)),UPPER($B178&amp;$C178&amp;IF(OR(NOT(ISERROR(SEARCH("trade",$D178))),NOT(ISERROR(SEARCH("balance",$D178)))),"",$D178)),UPPER(LEFT($B178, SEARCH(" ",$B178)-1)&amp;$C178&amp;IF(OR(NOT(ISERROR(SEARCH("trade",$D178))),NOT(ISERROR(SEARCH("balance",$D178)))),"",$D178))),$L:$T,MATCH("balance",$L$2:$S$2,0),FALSE))</f>
        <v>1E-8</v>
      </c>
      <c r="H178" s="35">
        <f ca="1">IF(Summary_Exchange_Balances_00UTC!$B177="","",(G178-E178)/E178)</f>
        <v>0</v>
      </c>
      <c r="I178" s="165">
        <f ca="1">IF(Summary_Exchange_Balances_00UTC!$B177="","",IF(ISERROR($G178),$E178,$G178))</f>
        <v>1E-8</v>
      </c>
      <c r="K178" t="str">
        <f t="shared" ca="1" si="10"/>
        <v>FBLKXRP</v>
      </c>
      <c r="L178" t="str">
        <f ca="1">UPPER($P178&amp;$N178&amp;Q178)</f>
        <v>FBLKXRP</v>
      </c>
      <c r="N178" s="161" t="str">
        <f ca="1">IF(raw_exchange_data!$A177="","",OFFSET(raw_exchange_data!$A177,0,MATCH(N$2,raw_exchange_data!$1:$1,0)-1))</f>
        <v>XRP</v>
      </c>
      <c r="O178" s="161" t="str">
        <f ca="1">IF(raw_exchange_data!$A177="","",OFFSET(raw_exchange_data!$A177,0,MATCH(O$2,raw_exchange_data!$1:$1,0)-1))</f>
        <v>FBLK</v>
      </c>
      <c r="P178" s="161" t="str">
        <f ca="1">IF(raw_exchange_data!$A177="","",OFFSET(raw_exchange_data!$A177,0,MATCH(P$2,raw_exchange_data!$1:$1,0)-1))</f>
        <v>FBLK</v>
      </c>
      <c r="Q178" s="161" t="str">
        <f ca="1">IF(raw_exchange_data!$A177="","",TEXT(OFFSET(raw_exchange_data!$A177,0,MATCH(Q$2,raw_exchange_data!$1:$1,0)-1),""))</f>
        <v/>
      </c>
      <c r="R178" s="162">
        <f ca="1">IF(raw_exchange_data!$A177="","",OFFSET(raw_exchange_data!$A177,0,MATCH(R$2,raw_exchange_data!$1:$1,0)-1))</f>
        <v>283.58991600000002</v>
      </c>
      <c r="S178" s="190">
        <f ca="1">IF(raw_exchange_data!$A177="","",OFFSET(raw_exchange_data!$A177,0,MATCH(S$2,raw_exchange_data!$1:$1,0)-1))</f>
        <v>44937.660435150465</v>
      </c>
      <c r="T178" s="161">
        <v>1</v>
      </c>
      <c r="W178" t="str">
        <f t="shared" si="11"/>
        <v>HUBI</v>
      </c>
      <c r="X178" t="str">
        <f t="shared" si="12"/>
        <v>EOS</v>
      </c>
      <c r="Y178" s="42">
        <f t="shared" si="13"/>
        <v>1E-8</v>
      </c>
      <c r="Z178" s="42">
        <f t="shared" ca="1" si="14"/>
        <v>1E-8</v>
      </c>
      <c r="AC178"/>
      <c r="AD178"/>
    </row>
    <row r="179" spans="1:30" x14ac:dyDescent="0.25">
      <c r="A179" t="str">
        <f>IF(Summary_Exchange_Balances_00UTC!$B178="","",Summary_Exchange_Balances_00UTC!$N178)</f>
        <v>HUBI</v>
      </c>
      <c r="B179" t="str">
        <f>IF(Summary_Exchange_Balances_00UTC!$B178="","",Summary_Exchange_Balances_00UTC!$B178)</f>
        <v>HUB2-M</v>
      </c>
      <c r="C179" t="str">
        <f>IF(Summary_Exchange_Balances_00UTC!$B178="","",Summary_Exchange_Balances_00UTC!$E178)</f>
        <v>ETC</v>
      </c>
      <c r="D179" t="str">
        <f>IF(OR(Summary_Exchange_Balances_00UTC!$B178="",Summary_Exchange_Balances_00UTC!$D178=""),"",Summary_Exchange_Balances_00UTC!$D178)</f>
        <v/>
      </c>
      <c r="E179" s="52">
        <f>IF(Summary_Exchange_Balances_00UTC!$B178="","",Summary_Exchange_Balances_00UTC!$C178)</f>
        <v>1E-8</v>
      </c>
      <c r="G179" s="52">
        <f ca="1">IF(Summary_Exchange_Balances_00UTC!$B178="","",VLOOKUP(IF(ISERROR(SEARCH(" ", $B179)),UPPER($B179&amp;$C179&amp;IF(OR(NOT(ISERROR(SEARCH("trade",$D179))),NOT(ISERROR(SEARCH("balance",$D179)))),"",$D179)),UPPER(LEFT($B179, SEARCH(" ",$B179)-1)&amp;$C179&amp;IF(OR(NOT(ISERROR(SEARCH("trade",$D179))),NOT(ISERROR(SEARCH("balance",$D179)))),"",$D179))),$L:$T,MATCH("balance",$L$2:$S$2,0),FALSE))</f>
        <v>1E-8</v>
      </c>
      <c r="H179" s="35">
        <f ca="1">IF(Summary_Exchange_Balances_00UTC!$B178="","",(G179-E179)/E179)</f>
        <v>0</v>
      </c>
      <c r="I179" s="165">
        <f ca="1">IF(Summary_Exchange_Balances_00UTC!$B178="","",IF(ISERROR($G179),$E179,$G179))</f>
        <v>1E-8</v>
      </c>
      <c r="K179" t="str">
        <f t="shared" ca="1" si="10"/>
        <v>FBLKXTZ</v>
      </c>
      <c r="L179" t="str">
        <f ca="1">UPPER($P179&amp;$N179&amp;Q179)</f>
        <v>FBLKXTZ</v>
      </c>
      <c r="N179" s="161" t="str">
        <f ca="1">IF(raw_exchange_data!$A178="","",OFFSET(raw_exchange_data!$A178,0,MATCH(N$2,raw_exchange_data!$1:$1,0)-1))</f>
        <v>XTZ</v>
      </c>
      <c r="O179" s="161" t="str">
        <f ca="1">IF(raw_exchange_data!$A178="","",OFFSET(raw_exchange_data!$A178,0,MATCH(O$2,raw_exchange_data!$1:$1,0)-1))</f>
        <v>FBLK</v>
      </c>
      <c r="P179" s="161" t="str">
        <f ca="1">IF(raw_exchange_data!$A178="","",OFFSET(raw_exchange_data!$A178,0,MATCH(P$2,raw_exchange_data!$1:$1,0)-1))</f>
        <v>FBLK</v>
      </c>
      <c r="Q179" s="161" t="str">
        <f ca="1">IF(raw_exchange_data!$A178="","",TEXT(OFFSET(raw_exchange_data!$A178,0,MATCH(Q$2,raw_exchange_data!$1:$1,0)-1),""))</f>
        <v/>
      </c>
      <c r="R179" s="162">
        <f ca="1">IF(raw_exchange_data!$A178="","",OFFSET(raw_exchange_data!$A178,0,MATCH(R$2,raw_exchange_data!$1:$1,0)-1))</f>
        <v>997.63721599999997</v>
      </c>
      <c r="S179" s="190">
        <f ca="1">IF(raw_exchange_data!$A178="","",OFFSET(raw_exchange_data!$A178,0,MATCH(S$2,raw_exchange_data!$1:$1,0)-1))</f>
        <v>44937.660435150465</v>
      </c>
      <c r="T179" s="161">
        <v>1</v>
      </c>
      <c r="W179" t="str">
        <f t="shared" si="11"/>
        <v>HUBI</v>
      </c>
      <c r="X179" t="str">
        <f t="shared" si="12"/>
        <v>ETC</v>
      </c>
      <c r="Y179" s="42">
        <f t="shared" si="13"/>
        <v>1E-8</v>
      </c>
      <c r="Z179" s="42">
        <f t="shared" ca="1" si="14"/>
        <v>1E-8</v>
      </c>
      <c r="AC179"/>
      <c r="AD179"/>
    </row>
    <row r="180" spans="1:30" x14ac:dyDescent="0.25">
      <c r="A180" t="str">
        <f>IF(Summary_Exchange_Balances_00UTC!$B179="","",Summary_Exchange_Balances_00UTC!$N179)</f>
        <v>HUBI</v>
      </c>
      <c r="B180" t="str">
        <f>IF(Summary_Exchange_Balances_00UTC!$B179="","",Summary_Exchange_Balances_00UTC!$B179)</f>
        <v>HUB2-M</v>
      </c>
      <c r="C180" t="str">
        <f>IF(Summary_Exchange_Balances_00UTC!$B179="","",Summary_Exchange_Balances_00UTC!$E179)</f>
        <v>ETH</v>
      </c>
      <c r="D180" t="str">
        <f>IF(OR(Summary_Exchange_Balances_00UTC!$B179="",Summary_Exchange_Balances_00UTC!$D179=""),"",Summary_Exchange_Balances_00UTC!$D179)</f>
        <v/>
      </c>
      <c r="E180" s="52">
        <f>IF(Summary_Exchange_Balances_00UTC!$B179="","",Summary_Exchange_Balances_00UTC!$C179)</f>
        <v>1E-8</v>
      </c>
      <c r="G180" s="52">
        <f ca="1">IF(Summary_Exchange_Balances_00UTC!$B179="","",VLOOKUP(IF(ISERROR(SEARCH(" ", $B180)),UPPER($B180&amp;$C180&amp;IF(OR(NOT(ISERROR(SEARCH("trade",$D180))),NOT(ISERROR(SEARCH("balance",$D180)))),"",$D180)),UPPER(LEFT($B180, SEARCH(" ",$B180)-1)&amp;$C180&amp;IF(OR(NOT(ISERROR(SEARCH("trade",$D180))),NOT(ISERROR(SEARCH("balance",$D180)))),"",$D180))),$L:$T,MATCH("balance",$L$2:$S$2,0),FALSE))</f>
        <v>1E-8</v>
      </c>
      <c r="H180" s="35">
        <f ca="1">IF(Summary_Exchange_Balances_00UTC!$B179="","",(G180-E180)/E180)</f>
        <v>0</v>
      </c>
      <c r="I180" s="165">
        <f ca="1">IF(Summary_Exchange_Balances_00UTC!$B179="","",IF(ISERROR($G180),$E180,$G180))</f>
        <v>1E-8</v>
      </c>
      <c r="K180" t="str">
        <f t="shared" ca="1" si="10"/>
        <v>FBLKYFI</v>
      </c>
      <c r="L180" t="str">
        <f ca="1">UPPER($P180&amp;$N180&amp;Q180)</f>
        <v>FBLKYFI</v>
      </c>
      <c r="N180" s="161" t="str">
        <f ca="1">IF(raw_exchange_data!$A179="","",OFFSET(raw_exchange_data!$A179,0,MATCH(N$2,raw_exchange_data!$1:$1,0)-1))</f>
        <v>YFI</v>
      </c>
      <c r="O180" s="161" t="str">
        <f ca="1">IF(raw_exchange_data!$A179="","",OFFSET(raw_exchange_data!$A179,0,MATCH(O$2,raw_exchange_data!$1:$1,0)-1))</f>
        <v>FBLK</v>
      </c>
      <c r="P180" s="161" t="str">
        <f ca="1">IF(raw_exchange_data!$A179="","",OFFSET(raw_exchange_data!$A179,0,MATCH(P$2,raw_exchange_data!$1:$1,0)-1))</f>
        <v>FBLK</v>
      </c>
      <c r="Q180" s="161" t="str">
        <f ca="1">IF(raw_exchange_data!$A179="","",TEXT(OFFSET(raw_exchange_data!$A179,0,MATCH(Q$2,raw_exchange_data!$1:$1,0)-1),""))</f>
        <v/>
      </c>
      <c r="R180" s="162">
        <f ca="1">IF(raw_exchange_data!$A179="","",OFFSET(raw_exchange_data!$A179,0,MATCH(R$2,raw_exchange_data!$1:$1,0)-1))</f>
        <v>4.1732661899999997</v>
      </c>
      <c r="S180" s="190">
        <f ca="1">IF(raw_exchange_data!$A179="","",OFFSET(raw_exchange_data!$A179,0,MATCH(S$2,raw_exchange_data!$1:$1,0)-1))</f>
        <v>44937.660435150465</v>
      </c>
      <c r="T180" s="161">
        <v>1</v>
      </c>
      <c r="W180" t="str">
        <f t="shared" si="11"/>
        <v>HUBI</v>
      </c>
      <c r="X180" t="str">
        <f t="shared" si="12"/>
        <v>ETH</v>
      </c>
      <c r="Y180" s="42">
        <f t="shared" si="13"/>
        <v>1E-8</v>
      </c>
      <c r="Z180" s="42">
        <f t="shared" ca="1" si="14"/>
        <v>1E-8</v>
      </c>
      <c r="AC180"/>
      <c r="AD180"/>
    </row>
    <row r="181" spans="1:30" x14ac:dyDescent="0.25">
      <c r="A181" t="str">
        <f>IF(Summary_Exchange_Balances_00UTC!$B180="","",Summary_Exchange_Balances_00UTC!$N180)</f>
        <v>HUBI</v>
      </c>
      <c r="B181" t="str">
        <f>IF(Summary_Exchange_Balances_00UTC!$B180="","",Summary_Exchange_Balances_00UTC!$B180)</f>
        <v>HUB2-M</v>
      </c>
      <c r="C181" t="str">
        <f>IF(Summary_Exchange_Balances_00UTC!$B180="","",Summary_Exchange_Balances_00UTC!$E180)</f>
        <v>LINK</v>
      </c>
      <c r="D181" t="str">
        <f>IF(OR(Summary_Exchange_Balances_00UTC!$B180="",Summary_Exchange_Balances_00UTC!$D180=""),"",Summary_Exchange_Balances_00UTC!$D180)</f>
        <v/>
      </c>
      <c r="E181" s="52">
        <f>IF(Summary_Exchange_Balances_00UTC!$B180="","",Summary_Exchange_Balances_00UTC!$C180)</f>
        <v>1E-8</v>
      </c>
      <c r="G181" s="52">
        <f ca="1">IF(Summary_Exchange_Balances_00UTC!$B180="","",VLOOKUP(IF(ISERROR(SEARCH(" ", $B181)),UPPER($B181&amp;$C181&amp;IF(OR(NOT(ISERROR(SEARCH("trade",$D181))),NOT(ISERROR(SEARCH("balance",$D181)))),"",$D181)),UPPER(LEFT($B181, SEARCH(" ",$B181)-1)&amp;$C181&amp;IF(OR(NOT(ISERROR(SEARCH("trade",$D181))),NOT(ISERROR(SEARCH("balance",$D181)))),"",$D181))),$L:$T,MATCH("balance",$L$2:$S$2,0),FALSE))</f>
        <v>1E-8</v>
      </c>
      <c r="H181" s="35">
        <f ca="1">IF(Summary_Exchange_Balances_00UTC!$B180="","",(G181-E181)/E181)</f>
        <v>0</v>
      </c>
      <c r="I181" s="165">
        <f ca="1">IF(Summary_Exchange_Balances_00UTC!$B180="","",IF(ISERROR($G181),$E181,$G181))</f>
        <v>1E-8</v>
      </c>
      <c r="K181" t="str">
        <f t="shared" ca="1" si="10"/>
        <v>FUB2ADA</v>
      </c>
      <c r="L181" t="str">
        <f ca="1">UPPER($P181&amp;$N181&amp;Q181)</f>
        <v>FUB2-MADA</v>
      </c>
      <c r="N181" s="161" t="str">
        <f ca="1">IF(raw_exchange_data!$A180="","",OFFSET(raw_exchange_data!$A180,0,MATCH(N$2,raw_exchange_data!$1:$1,0)-1))</f>
        <v>ADA</v>
      </c>
      <c r="O181" s="161" t="str">
        <f ca="1">IF(raw_exchange_data!$A180="","",OFFSET(raw_exchange_data!$A180,0,MATCH(O$2,raw_exchange_data!$1:$1,0)-1))</f>
        <v>FUB2</v>
      </c>
      <c r="P181" s="161" t="str">
        <f ca="1">IF(raw_exchange_data!$A180="","",OFFSET(raw_exchange_data!$A180,0,MATCH(P$2,raw_exchange_data!$1:$1,0)-1))</f>
        <v>FUB2-M</v>
      </c>
      <c r="Q181" s="161" t="str">
        <f ca="1">IF(raw_exchange_data!$A180="","",TEXT(OFFSET(raw_exchange_data!$A180,0,MATCH(Q$2,raw_exchange_data!$1:$1,0)-1),""))</f>
        <v/>
      </c>
      <c r="R181" s="162">
        <f ca="1">IF(raw_exchange_data!$A180="","",OFFSET(raw_exchange_data!$A180,0,MATCH(R$2,raw_exchange_data!$1:$1,0)-1))</f>
        <v>9.6999999999999992E-9</v>
      </c>
      <c r="S181" s="190">
        <f ca="1">IF(raw_exchange_data!$A180="","",OFFSET(raw_exchange_data!$A180,0,MATCH(S$2,raw_exchange_data!$1:$1,0)-1))</f>
        <v>44937.669656018516</v>
      </c>
      <c r="T181" s="161">
        <v>1</v>
      </c>
      <c r="W181" t="str">
        <f t="shared" si="11"/>
        <v>HUBI</v>
      </c>
      <c r="X181" t="str">
        <f t="shared" si="12"/>
        <v>LINK</v>
      </c>
      <c r="Y181" s="42">
        <f t="shared" si="13"/>
        <v>1E-8</v>
      </c>
      <c r="Z181" s="42">
        <f t="shared" ca="1" si="14"/>
        <v>1E-8</v>
      </c>
      <c r="AC181"/>
      <c r="AD181"/>
    </row>
    <row r="182" spans="1:30" x14ac:dyDescent="0.25">
      <c r="A182" t="str">
        <f>IF(Summary_Exchange_Balances_00UTC!$B181="","",Summary_Exchange_Balances_00UTC!$N181)</f>
        <v>HUBI</v>
      </c>
      <c r="B182" t="str">
        <f>IF(Summary_Exchange_Balances_00UTC!$B181="","",Summary_Exchange_Balances_00UTC!$B181)</f>
        <v>HUB2-M</v>
      </c>
      <c r="C182" t="str">
        <f>IF(Summary_Exchange_Balances_00UTC!$B181="","",Summary_Exchange_Balances_00UTC!$E181)</f>
        <v>LTC</v>
      </c>
      <c r="D182" t="str">
        <f>IF(OR(Summary_Exchange_Balances_00UTC!$B181="",Summary_Exchange_Balances_00UTC!$D181=""),"",Summary_Exchange_Balances_00UTC!$D181)</f>
        <v/>
      </c>
      <c r="E182" s="52">
        <f>IF(Summary_Exchange_Balances_00UTC!$B181="","",Summary_Exchange_Balances_00UTC!$C181)</f>
        <v>1E-8</v>
      </c>
      <c r="G182" s="52">
        <f ca="1">IF(Summary_Exchange_Balances_00UTC!$B181="","",VLOOKUP(IF(ISERROR(SEARCH(" ", $B182)),UPPER($B182&amp;$C182&amp;IF(OR(NOT(ISERROR(SEARCH("trade",$D182))),NOT(ISERROR(SEARCH("balance",$D182)))),"",$D182)),UPPER(LEFT($B182, SEARCH(" ",$B182)-1)&amp;$C182&amp;IF(OR(NOT(ISERROR(SEARCH("trade",$D182))),NOT(ISERROR(SEARCH("balance",$D182)))),"",$D182))),$L:$T,MATCH("balance",$L$2:$S$2,0),FALSE))</f>
        <v>1E-8</v>
      </c>
      <c r="H182" s="35">
        <f ca="1">IF(Summary_Exchange_Balances_00UTC!$B181="","",(G182-E182)/E182)</f>
        <v>0</v>
      </c>
      <c r="I182" s="165">
        <f ca="1">IF(Summary_Exchange_Balances_00UTC!$B181="","",IF(ISERROR($G182),$E182,$G182))</f>
        <v>1E-8</v>
      </c>
      <c r="K182" t="str">
        <f t="shared" ca="1" si="10"/>
        <v>FUB2BCH</v>
      </c>
      <c r="L182" t="str">
        <f ca="1">UPPER($P182&amp;$N182&amp;Q182)</f>
        <v>FUB2-MBCH</v>
      </c>
      <c r="N182" s="161" t="str">
        <f ca="1">IF(raw_exchange_data!$A181="","",OFFSET(raw_exchange_data!$A181,0,MATCH(N$2,raw_exchange_data!$1:$1,0)-1))</f>
        <v>BCH</v>
      </c>
      <c r="O182" s="161" t="str">
        <f ca="1">IF(raw_exchange_data!$A181="","",OFFSET(raw_exchange_data!$A181,0,MATCH(O$2,raw_exchange_data!$1:$1,0)-1))</f>
        <v>FUB2</v>
      </c>
      <c r="P182" s="161" t="str">
        <f ca="1">IF(raw_exchange_data!$A181="","",OFFSET(raw_exchange_data!$A181,0,MATCH(P$2,raw_exchange_data!$1:$1,0)-1))</f>
        <v>FUB2-M</v>
      </c>
      <c r="Q182" s="161" t="str">
        <f ca="1">IF(raw_exchange_data!$A181="","",TEXT(OFFSET(raw_exchange_data!$A181,0,MATCH(Q$2,raw_exchange_data!$1:$1,0)-1),""))</f>
        <v/>
      </c>
      <c r="R182" s="162">
        <f ca="1">IF(raw_exchange_data!$A181="","",OFFSET(raw_exchange_data!$A181,0,MATCH(R$2,raw_exchange_data!$1:$1,0)-1))</f>
        <v>5.02E-8</v>
      </c>
      <c r="S182" s="190">
        <f ca="1">IF(raw_exchange_data!$A181="","",OFFSET(raw_exchange_data!$A181,0,MATCH(S$2,raw_exchange_data!$1:$1,0)-1))</f>
        <v>44937.669656018516</v>
      </c>
      <c r="T182" s="161">
        <v>1</v>
      </c>
      <c r="W182" t="str">
        <f t="shared" si="11"/>
        <v>HUBI</v>
      </c>
      <c r="X182" t="str">
        <f t="shared" si="12"/>
        <v>LTC</v>
      </c>
      <c r="Y182" s="42">
        <f t="shared" si="13"/>
        <v>1E-8</v>
      </c>
      <c r="Z182" s="42">
        <f t="shared" ca="1" si="14"/>
        <v>1E-8</v>
      </c>
      <c r="AC182"/>
      <c r="AD182"/>
    </row>
    <row r="183" spans="1:30" x14ac:dyDescent="0.25">
      <c r="A183" t="str">
        <f>IF(Summary_Exchange_Balances_00UTC!$B182="","",Summary_Exchange_Balances_00UTC!$N182)</f>
        <v>HUBI</v>
      </c>
      <c r="B183" t="str">
        <f>IF(Summary_Exchange_Balances_00UTC!$B182="","",Summary_Exchange_Balances_00UTC!$B182)</f>
        <v>HUB2-M</v>
      </c>
      <c r="C183" t="str">
        <f>IF(Summary_Exchange_Balances_00UTC!$B182="","",Summary_Exchange_Balances_00UTC!$E182)</f>
        <v>USDT</v>
      </c>
      <c r="D183" t="str">
        <f>IF(OR(Summary_Exchange_Balances_00UTC!$B182="",Summary_Exchange_Balances_00UTC!$D182=""),"",Summary_Exchange_Balances_00UTC!$D182)</f>
        <v/>
      </c>
      <c r="E183" s="52">
        <f>IF(Summary_Exchange_Balances_00UTC!$B182="","",Summary_Exchange_Balances_00UTC!$C182)</f>
        <v>3.2621029500000001</v>
      </c>
      <c r="G183" s="52">
        <f ca="1">IF(Summary_Exchange_Balances_00UTC!$B182="","",VLOOKUP(IF(ISERROR(SEARCH(" ", $B183)),UPPER($B183&amp;$C183&amp;IF(OR(NOT(ISERROR(SEARCH("trade",$D183))),NOT(ISERROR(SEARCH("balance",$D183)))),"",$D183)),UPPER(LEFT($B183, SEARCH(" ",$B183)-1)&amp;$C183&amp;IF(OR(NOT(ISERROR(SEARCH("trade",$D183))),NOT(ISERROR(SEARCH("balance",$D183)))),"",$D183))),$L:$T,MATCH("balance",$L$2:$S$2,0),FALSE))</f>
        <v>1E-8</v>
      </c>
      <c r="H183" s="35">
        <f ca="1">IF(Summary_Exchange_Balances_00UTC!$B182="","",(G183-E183)/E183)</f>
        <v>-0.99999999693449282</v>
      </c>
      <c r="I183" s="165">
        <f ca="1">IF(Summary_Exchange_Balances_00UTC!$B182="","",IF(ISERROR($G183),$E183,$G183))</f>
        <v>1E-8</v>
      </c>
      <c r="K183" t="str">
        <f t="shared" ca="1" si="10"/>
        <v>FUB2BSV</v>
      </c>
      <c r="L183" t="str">
        <f ca="1">UPPER($P183&amp;$N183&amp;Q183)</f>
        <v>FUB2-MBSV</v>
      </c>
      <c r="N183" s="161" t="str">
        <f ca="1">IF(raw_exchange_data!$A182="","",OFFSET(raw_exchange_data!$A182,0,MATCH(N$2,raw_exchange_data!$1:$1,0)-1))</f>
        <v>BSV</v>
      </c>
      <c r="O183" s="161" t="str">
        <f ca="1">IF(raw_exchange_data!$A182="","",OFFSET(raw_exchange_data!$A182,0,MATCH(O$2,raw_exchange_data!$1:$1,0)-1))</f>
        <v>FUB2</v>
      </c>
      <c r="P183" s="161" t="str">
        <f ca="1">IF(raw_exchange_data!$A182="","",OFFSET(raw_exchange_data!$A182,0,MATCH(P$2,raw_exchange_data!$1:$1,0)-1))</f>
        <v>FUB2-M</v>
      </c>
      <c r="Q183" s="161" t="str">
        <f ca="1">IF(raw_exchange_data!$A182="","",TEXT(OFFSET(raw_exchange_data!$A182,0,MATCH(Q$2,raw_exchange_data!$1:$1,0)-1),""))</f>
        <v/>
      </c>
      <c r="R183" s="162">
        <f ca="1">IF(raw_exchange_data!$A182="","",OFFSET(raw_exchange_data!$A182,0,MATCH(R$2,raw_exchange_data!$1:$1,0)-1))</f>
        <v>0.47315189390000001</v>
      </c>
      <c r="S183" s="190">
        <f ca="1">IF(raw_exchange_data!$A182="","",OFFSET(raw_exchange_data!$A182,0,MATCH(S$2,raw_exchange_data!$1:$1,0)-1))</f>
        <v>44937.669656018516</v>
      </c>
      <c r="T183" s="161">
        <v>1</v>
      </c>
      <c r="W183" t="str">
        <f t="shared" si="11"/>
        <v>HUBI</v>
      </c>
      <c r="X183" t="str">
        <f t="shared" si="12"/>
        <v>USDT</v>
      </c>
      <c r="Y183" s="42">
        <f t="shared" si="13"/>
        <v>3.2621029500000001</v>
      </c>
      <c r="Z183" s="42">
        <f t="shared" ca="1" si="14"/>
        <v>1E-8</v>
      </c>
      <c r="AC183"/>
      <c r="AD183"/>
    </row>
    <row r="184" spans="1:30" x14ac:dyDescent="0.25">
      <c r="A184" t="str">
        <f>IF(Summary_Exchange_Balances_00UTC!$B183="","",Summary_Exchange_Balances_00UTC!$N183)</f>
        <v>HUBI</v>
      </c>
      <c r="B184" t="str">
        <f>IF(Summary_Exchange_Balances_00UTC!$B183="","",Summary_Exchange_Balances_00UTC!$B183)</f>
        <v>HUB2-M</v>
      </c>
      <c r="C184" t="str">
        <f>IF(Summary_Exchange_Balances_00UTC!$B183="","",Summary_Exchange_Balances_00UTC!$E183)</f>
        <v>XRP</v>
      </c>
      <c r="D184" t="str">
        <f>IF(OR(Summary_Exchange_Balances_00UTC!$B183="",Summary_Exchange_Balances_00UTC!$D183=""),"",Summary_Exchange_Balances_00UTC!$D183)</f>
        <v/>
      </c>
      <c r="E184" s="52">
        <f>IF(Summary_Exchange_Balances_00UTC!$B183="","",Summary_Exchange_Balances_00UTC!$C183)</f>
        <v>6.4869999999999994E-5</v>
      </c>
      <c r="G184" s="52">
        <f ca="1">IF(Summary_Exchange_Balances_00UTC!$B183="","",VLOOKUP(IF(ISERROR(SEARCH(" ", $B184)),UPPER($B184&amp;$C184&amp;IF(OR(NOT(ISERROR(SEARCH("trade",$D184))),NOT(ISERROR(SEARCH("balance",$D184)))),"",$D184)),UPPER(LEFT($B184, SEARCH(" ",$B184)-1)&amp;$C184&amp;IF(OR(NOT(ISERROR(SEARCH("trade",$D184))),NOT(ISERROR(SEARCH("balance",$D184)))),"",$D184))),$L:$T,MATCH("balance",$L$2:$S$2,0),FALSE))</f>
        <v>6.4869999999999994E-5</v>
      </c>
      <c r="H184" s="35">
        <f ca="1">IF(Summary_Exchange_Balances_00UTC!$B183="","",(G184-E184)/E184)</f>
        <v>0</v>
      </c>
      <c r="I184" s="165">
        <f ca="1">IF(Summary_Exchange_Balances_00UTC!$B183="","",IF(ISERROR($G184),$E184,$G184))</f>
        <v>6.4869999999999994E-5</v>
      </c>
      <c r="K184" t="str">
        <f t="shared" ca="1" si="10"/>
        <v>FUB2BTC</v>
      </c>
      <c r="L184" t="str">
        <f ca="1">UPPER($P184&amp;$N184&amp;Q184)</f>
        <v>FUB2-MBTC</v>
      </c>
      <c r="N184" s="161" t="str">
        <f ca="1">IF(raw_exchange_data!$A183="","",OFFSET(raw_exchange_data!$A183,0,MATCH(N$2,raw_exchange_data!$1:$1,0)-1))</f>
        <v>BTC</v>
      </c>
      <c r="O184" s="161" t="str">
        <f ca="1">IF(raw_exchange_data!$A183="","",OFFSET(raw_exchange_data!$A183,0,MATCH(O$2,raw_exchange_data!$1:$1,0)-1))</f>
        <v>FUB2</v>
      </c>
      <c r="P184" s="161" t="str">
        <f ca="1">IF(raw_exchange_data!$A183="","",OFFSET(raw_exchange_data!$A183,0,MATCH(P$2,raw_exchange_data!$1:$1,0)-1))</f>
        <v>FUB2-M</v>
      </c>
      <c r="Q184" s="161" t="str">
        <f ca="1">IF(raw_exchange_data!$A183="","",TEXT(OFFSET(raw_exchange_data!$A183,0,MATCH(Q$2,raw_exchange_data!$1:$1,0)-1),""))</f>
        <v/>
      </c>
      <c r="R184" s="162">
        <f ca="1">IF(raw_exchange_data!$A183="","",OFFSET(raw_exchange_data!$A183,0,MATCH(R$2,raw_exchange_data!$1:$1,0)-1))</f>
        <v>3.8600000000000002E-8</v>
      </c>
      <c r="S184" s="190">
        <f ca="1">IF(raw_exchange_data!$A183="","",OFFSET(raw_exchange_data!$A183,0,MATCH(S$2,raw_exchange_data!$1:$1,0)-1))</f>
        <v>44937.669656018516</v>
      </c>
      <c r="T184" s="161">
        <v>1</v>
      </c>
      <c r="W184" t="str">
        <f t="shared" si="11"/>
        <v>HUBI</v>
      </c>
      <c r="X184" t="str">
        <f t="shared" si="12"/>
        <v>XRP</v>
      </c>
      <c r="Y184" s="42">
        <f t="shared" si="13"/>
        <v>6.4869999999999994E-5</v>
      </c>
      <c r="Z184" s="42">
        <f t="shared" ca="1" si="14"/>
        <v>6.4869999999999994E-5</v>
      </c>
      <c r="AC184"/>
      <c r="AD184"/>
    </row>
    <row r="185" spans="1:30" x14ac:dyDescent="0.25">
      <c r="A185" t="str">
        <f>IF(Summary_Exchange_Balances_00UTC!$B184="","",Summary_Exchange_Balances_00UTC!$N184)</f>
        <v>HUBI</v>
      </c>
      <c r="B185" t="str">
        <f>IF(Summary_Exchange_Balances_00UTC!$B184="","",Summary_Exchange_Balances_00UTC!$B184)</f>
        <v>HUBI-1-M-P</v>
      </c>
      <c r="C185" t="str">
        <f>IF(Summary_Exchange_Balances_00UTC!$B184="","",Summary_Exchange_Balances_00UTC!$E184)</f>
        <v>AAVE</v>
      </c>
      <c r="D185" t="str">
        <f>IF(OR(Summary_Exchange_Balances_00UTC!$B184="",Summary_Exchange_Balances_00UTC!$D184=""),"",Summary_Exchange_Balances_00UTC!$D184)</f>
        <v>Balance</v>
      </c>
      <c r="E185" s="52">
        <f>IF(Summary_Exchange_Balances_00UTC!$B184="","",Summary_Exchange_Balances_00UTC!$C184)</f>
        <v>0.10014646000000001</v>
      </c>
      <c r="G185" s="52">
        <f ca="1">IF(Summary_Exchange_Balances_00UTC!$B184="","",VLOOKUP(IF(ISERROR(SEARCH(" ", $B185)),UPPER($B185&amp;$C185&amp;IF(OR(NOT(ISERROR(SEARCH("trade",$D185))),NOT(ISERROR(SEARCH("balance",$D185)))),"",$D185)),UPPER(LEFT($B185, SEARCH(" ",$B185)-1)&amp;$C185&amp;IF(OR(NOT(ISERROR(SEARCH("trade",$D185))),NOT(ISERROR(SEARCH("balance",$D185)))),"",$D185))),$L:$T,MATCH("balance",$L$2:$S$2,0),FALSE))</f>
        <v>0.10014646000000001</v>
      </c>
      <c r="H185" s="35">
        <f ca="1">IF(Summary_Exchange_Balances_00UTC!$B184="","",(G185-E185)/E185)</f>
        <v>0</v>
      </c>
      <c r="I185" s="165">
        <f ca="1">IF(Summary_Exchange_Balances_00UTC!$B184="","",IF(ISERROR($G185),$E185,$G185))</f>
        <v>0.10014646000000001</v>
      </c>
      <c r="K185" t="str">
        <f t="shared" ca="1" si="10"/>
        <v>FUB2EOS</v>
      </c>
      <c r="L185" t="str">
        <f ca="1">UPPER($P185&amp;$N185&amp;Q185)</f>
        <v>FUB2-MEOS</v>
      </c>
      <c r="N185" s="161" t="str">
        <f ca="1">IF(raw_exchange_data!$A184="","",OFFSET(raw_exchange_data!$A184,0,MATCH(N$2,raw_exchange_data!$1:$1,0)-1))</f>
        <v>EOS</v>
      </c>
      <c r="O185" s="161" t="str">
        <f ca="1">IF(raw_exchange_data!$A184="","",OFFSET(raw_exchange_data!$A184,0,MATCH(O$2,raw_exchange_data!$1:$1,0)-1))</f>
        <v>FUB2</v>
      </c>
      <c r="P185" s="161" t="str">
        <f ca="1">IF(raw_exchange_data!$A184="","",OFFSET(raw_exchange_data!$A184,0,MATCH(P$2,raw_exchange_data!$1:$1,0)-1))</f>
        <v>FUB2-M</v>
      </c>
      <c r="Q185" s="161" t="str">
        <f ca="1">IF(raw_exchange_data!$A184="","",TEXT(OFFSET(raw_exchange_data!$A184,0,MATCH(Q$2,raw_exchange_data!$1:$1,0)-1),""))</f>
        <v/>
      </c>
      <c r="R185" s="162">
        <f ca="1">IF(raw_exchange_data!$A184="","",OFFSET(raw_exchange_data!$A184,0,MATCH(R$2,raw_exchange_data!$1:$1,0)-1))</f>
        <v>3.1699999999999999E-8</v>
      </c>
      <c r="S185" s="190">
        <f ca="1">IF(raw_exchange_data!$A184="","",OFFSET(raw_exchange_data!$A184,0,MATCH(S$2,raw_exchange_data!$1:$1,0)-1))</f>
        <v>44937.669656018516</v>
      </c>
      <c r="T185" s="161">
        <v>1</v>
      </c>
      <c r="W185" t="str">
        <f t="shared" si="11"/>
        <v>HUBI</v>
      </c>
      <c r="X185" t="str">
        <f t="shared" si="12"/>
        <v>AAVE</v>
      </c>
      <c r="Y185" s="42">
        <f t="shared" si="13"/>
        <v>0.10014646000000001</v>
      </c>
      <c r="Z185" s="42">
        <f t="shared" ca="1" si="14"/>
        <v>0.10014646000000001</v>
      </c>
      <c r="AC185"/>
      <c r="AD185"/>
    </row>
    <row r="186" spans="1:30" x14ac:dyDescent="0.25">
      <c r="A186" t="str">
        <f>IF(Summary_Exchange_Balances_00UTC!$B185="","",Summary_Exchange_Balances_00UTC!$N185)</f>
        <v>HUBI</v>
      </c>
      <c r="B186" t="str">
        <f>IF(Summary_Exchange_Balances_00UTC!$B185="","",Summary_Exchange_Balances_00UTC!$B185)</f>
        <v>HUBI-1-M-P</v>
      </c>
      <c r="C186" t="str">
        <f>IF(Summary_Exchange_Balances_00UTC!$B185="","",Summary_Exchange_Balances_00UTC!$E185)</f>
        <v>ADA</v>
      </c>
      <c r="D186" t="str">
        <f>IF(OR(Summary_Exchange_Balances_00UTC!$B185="",Summary_Exchange_Balances_00UTC!$D185=""),"",Summary_Exchange_Balances_00UTC!$D185)</f>
        <v>Balance</v>
      </c>
      <c r="E186" s="52">
        <f>IF(Summary_Exchange_Balances_00UTC!$B185="","",Summary_Exchange_Balances_00UTC!$C185)</f>
        <v>3.2091999999999998E-4</v>
      </c>
      <c r="G186" s="52">
        <f ca="1">IF(Summary_Exchange_Balances_00UTC!$B185="","",VLOOKUP(IF(ISERROR(SEARCH(" ", $B186)),UPPER($B186&amp;$C186&amp;IF(OR(NOT(ISERROR(SEARCH("trade",$D186))),NOT(ISERROR(SEARCH("balance",$D186)))),"",$D186)),UPPER(LEFT($B186, SEARCH(" ",$B186)-1)&amp;$C186&amp;IF(OR(NOT(ISERROR(SEARCH("trade",$D186))),NOT(ISERROR(SEARCH("balance",$D186)))),"",$D186))),$L:$T,MATCH("balance",$L$2:$S$2,0),FALSE))</f>
        <v>3.2091770000000001E-4</v>
      </c>
      <c r="H186" s="35">
        <f ca="1">IF(Summary_Exchange_Balances_00UTC!$B185="","",(G186-E186)/E186)</f>
        <v>-7.166895176278082E-6</v>
      </c>
      <c r="I186" s="165">
        <f ca="1">IF(Summary_Exchange_Balances_00UTC!$B185="","",IF(ISERROR($G186),$E186,$G186))</f>
        <v>3.2091770000000001E-4</v>
      </c>
      <c r="K186" t="str">
        <f t="shared" ca="1" si="10"/>
        <v>FUB2ETC</v>
      </c>
      <c r="L186" t="str">
        <f ca="1">UPPER($P186&amp;$N186&amp;Q186)</f>
        <v>FUB2-METC</v>
      </c>
      <c r="N186" s="161" t="str">
        <f ca="1">IF(raw_exchange_data!$A185="","",OFFSET(raw_exchange_data!$A185,0,MATCH(N$2,raw_exchange_data!$1:$1,0)-1))</f>
        <v>ETC</v>
      </c>
      <c r="O186" s="161" t="str">
        <f ca="1">IF(raw_exchange_data!$A185="","",OFFSET(raw_exchange_data!$A185,0,MATCH(O$2,raw_exchange_data!$1:$1,0)-1))</f>
        <v>FUB2</v>
      </c>
      <c r="P186" s="161" t="str">
        <f ca="1">IF(raw_exchange_data!$A185="","",OFFSET(raw_exchange_data!$A185,0,MATCH(P$2,raw_exchange_data!$1:$1,0)-1))</f>
        <v>FUB2-M</v>
      </c>
      <c r="Q186" s="161" t="str">
        <f ca="1">IF(raw_exchange_data!$A185="","",TEXT(OFFSET(raw_exchange_data!$A185,0,MATCH(Q$2,raw_exchange_data!$1:$1,0)-1),""))</f>
        <v/>
      </c>
      <c r="R186" s="162">
        <f ca="1">IF(raw_exchange_data!$A185="","",OFFSET(raw_exchange_data!$A185,0,MATCH(R$2,raw_exchange_data!$1:$1,0)-1))</f>
        <v>6.1E-9</v>
      </c>
      <c r="S186" s="190">
        <f ca="1">IF(raw_exchange_data!$A185="","",OFFSET(raw_exchange_data!$A185,0,MATCH(S$2,raw_exchange_data!$1:$1,0)-1))</f>
        <v>44937.669656018516</v>
      </c>
      <c r="T186" s="161">
        <v>1</v>
      </c>
      <c r="W186" t="str">
        <f t="shared" si="11"/>
        <v>HUBI</v>
      </c>
      <c r="X186" t="str">
        <f t="shared" si="12"/>
        <v>ADA</v>
      </c>
      <c r="Y186" s="42">
        <f t="shared" si="13"/>
        <v>3.2091999999999998E-4</v>
      </c>
      <c r="Z186" s="42">
        <f t="shared" ca="1" si="14"/>
        <v>3.2091770000000001E-4</v>
      </c>
      <c r="AC186"/>
      <c r="AD186"/>
    </row>
    <row r="187" spans="1:30" x14ac:dyDescent="0.25">
      <c r="A187" t="str">
        <f>IF(Summary_Exchange_Balances_00UTC!$B186="","",Summary_Exchange_Balances_00UTC!$N186)</f>
        <v>HUBI</v>
      </c>
      <c r="B187" t="str">
        <f>IF(Summary_Exchange_Balances_00UTC!$B186="","",Summary_Exchange_Balances_00UTC!$B186)</f>
        <v>HUBI-1-M-P</v>
      </c>
      <c r="C187" t="str">
        <f>IF(Summary_Exchange_Balances_00UTC!$B186="","",Summary_Exchange_Balances_00UTC!$E186)</f>
        <v>BCH</v>
      </c>
      <c r="D187" t="str">
        <f>IF(OR(Summary_Exchange_Balances_00UTC!$B186="",Summary_Exchange_Balances_00UTC!$D186=""),"",Summary_Exchange_Balances_00UTC!$D186)</f>
        <v>Balance</v>
      </c>
      <c r="E187" s="52">
        <f>IF(Summary_Exchange_Balances_00UTC!$B186="","",Summary_Exchange_Balances_00UTC!$C186)</f>
        <v>5.3552000000000005E-4</v>
      </c>
      <c r="G187" s="52">
        <f ca="1">IF(Summary_Exchange_Balances_00UTC!$B186="","",VLOOKUP(IF(ISERROR(SEARCH(" ", $B187)),UPPER($B187&amp;$C187&amp;IF(OR(NOT(ISERROR(SEARCH("trade",$D187))),NOT(ISERROR(SEARCH("balance",$D187)))),"",$D187)),UPPER(LEFT($B187, SEARCH(" ",$B187)-1)&amp;$C187&amp;IF(OR(NOT(ISERROR(SEARCH("trade",$D187))),NOT(ISERROR(SEARCH("balance",$D187)))),"",$D187))),$L:$T,MATCH("balance",$L$2:$S$2,0),FALSE))</f>
        <v>5.3552099999999996E-4</v>
      </c>
      <c r="H187" s="35">
        <f ca="1">IF(Summary_Exchange_Balances_00UTC!$B186="","",(G187-E187)/E187)</f>
        <v>1.8673438898777355E-6</v>
      </c>
      <c r="I187" s="165">
        <f ca="1">IF(Summary_Exchange_Balances_00UTC!$B186="","",IF(ISERROR($G187),$E187,$G187))</f>
        <v>5.3552099999999996E-4</v>
      </c>
      <c r="K187" t="str">
        <f t="shared" ca="1" si="10"/>
        <v>FUB2ETH</v>
      </c>
      <c r="L187" t="str">
        <f ca="1">UPPER($P187&amp;$N187&amp;Q187)</f>
        <v>FUB2-METH</v>
      </c>
      <c r="N187" s="161" t="str">
        <f ca="1">IF(raw_exchange_data!$A186="","",OFFSET(raw_exchange_data!$A186,0,MATCH(N$2,raw_exchange_data!$1:$1,0)-1))</f>
        <v>ETH</v>
      </c>
      <c r="O187" s="161" t="str">
        <f ca="1">IF(raw_exchange_data!$A186="","",OFFSET(raw_exchange_data!$A186,0,MATCH(O$2,raw_exchange_data!$1:$1,0)-1))</f>
        <v>FUB2</v>
      </c>
      <c r="P187" s="161" t="str">
        <f ca="1">IF(raw_exchange_data!$A186="","",OFFSET(raw_exchange_data!$A186,0,MATCH(P$2,raw_exchange_data!$1:$1,0)-1))</f>
        <v>FUB2-M</v>
      </c>
      <c r="Q187" s="161" t="str">
        <f ca="1">IF(raw_exchange_data!$A186="","",TEXT(OFFSET(raw_exchange_data!$A186,0,MATCH(Q$2,raw_exchange_data!$1:$1,0)-1),""))</f>
        <v/>
      </c>
      <c r="R187" s="162">
        <f ca="1">IF(raw_exchange_data!$A186="","",OFFSET(raw_exchange_data!$A186,0,MATCH(R$2,raw_exchange_data!$1:$1,0)-1))</f>
        <v>2.8600000000000001E-8</v>
      </c>
      <c r="S187" s="190">
        <f ca="1">IF(raw_exchange_data!$A186="","",OFFSET(raw_exchange_data!$A186,0,MATCH(S$2,raw_exchange_data!$1:$1,0)-1))</f>
        <v>44937.669656018516</v>
      </c>
      <c r="T187" s="161">
        <v>1</v>
      </c>
      <c r="W187" t="str">
        <f t="shared" si="11"/>
        <v>HUBI</v>
      </c>
      <c r="X187" t="str">
        <f t="shared" si="12"/>
        <v>BCH</v>
      </c>
      <c r="Y187" s="42">
        <f t="shared" si="13"/>
        <v>5.3552000000000005E-4</v>
      </c>
      <c r="Z187" s="42">
        <f t="shared" ca="1" si="14"/>
        <v>5.3552099999999996E-4</v>
      </c>
      <c r="AC187"/>
      <c r="AD187"/>
    </row>
    <row r="188" spans="1:30" x14ac:dyDescent="0.25">
      <c r="A188" t="str">
        <f>IF(Summary_Exchange_Balances_00UTC!$B187="","",Summary_Exchange_Balances_00UTC!$N187)</f>
        <v>HUBI</v>
      </c>
      <c r="B188" t="str">
        <f>IF(Summary_Exchange_Balances_00UTC!$B187="","",Summary_Exchange_Balances_00UTC!$B187)</f>
        <v>HUBI-1-M-P</v>
      </c>
      <c r="C188" t="str">
        <f>IF(Summary_Exchange_Balances_00UTC!$B187="","",Summary_Exchange_Balances_00UTC!$E187)</f>
        <v>BSV</v>
      </c>
      <c r="D188" t="str">
        <f>IF(OR(Summary_Exchange_Balances_00UTC!$B187="",Summary_Exchange_Balances_00UTC!$D187=""),"",Summary_Exchange_Balances_00UTC!$D187)</f>
        <v>Balance</v>
      </c>
      <c r="E188" s="52">
        <f>IF(Summary_Exchange_Balances_00UTC!$B187="","",Summary_Exchange_Balances_00UTC!$C187)</f>
        <v>2.9999999999999997E-8</v>
      </c>
      <c r="G188" s="52">
        <f ca="1">IF(Summary_Exchange_Balances_00UTC!$B187="","",VLOOKUP(IF(ISERROR(SEARCH(" ", $B188)),UPPER($B188&amp;$C188&amp;IF(OR(NOT(ISERROR(SEARCH("trade",$D188))),NOT(ISERROR(SEARCH("balance",$D188)))),"",$D188)),UPPER(LEFT($B188, SEARCH(" ",$B188)-1)&amp;$C188&amp;IF(OR(NOT(ISERROR(SEARCH("trade",$D188))),NOT(ISERROR(SEARCH("balance",$D188)))),"",$D188))),$L:$T,MATCH("balance",$L$2:$S$2,0),FALSE))</f>
        <v>3.3400000000000001E-8</v>
      </c>
      <c r="H188" s="35">
        <f ca="1">IF(Summary_Exchange_Balances_00UTC!$B187="","",(G188-E188)/E188)</f>
        <v>0.11333333333333348</v>
      </c>
      <c r="I188" s="165">
        <f ca="1">IF(Summary_Exchange_Balances_00UTC!$B187="","",IF(ISERROR($G188),$E188,$G188))</f>
        <v>3.3400000000000001E-8</v>
      </c>
      <c r="K188" t="str">
        <f t="shared" ca="1" si="10"/>
        <v>FUB2LINK</v>
      </c>
      <c r="L188" t="str">
        <f ca="1">UPPER($P188&amp;$N188&amp;Q188)</f>
        <v>FUB2-MLINK</v>
      </c>
      <c r="N188" s="161" t="str">
        <f ca="1">IF(raw_exchange_data!$A187="","",OFFSET(raw_exchange_data!$A187,0,MATCH(N$2,raw_exchange_data!$1:$1,0)-1))</f>
        <v>LINK</v>
      </c>
      <c r="O188" s="161" t="str">
        <f ca="1">IF(raw_exchange_data!$A187="","",OFFSET(raw_exchange_data!$A187,0,MATCH(O$2,raw_exchange_data!$1:$1,0)-1))</f>
        <v>FUB2</v>
      </c>
      <c r="P188" s="161" t="str">
        <f ca="1">IF(raw_exchange_data!$A187="","",OFFSET(raw_exchange_data!$A187,0,MATCH(P$2,raw_exchange_data!$1:$1,0)-1))</f>
        <v>FUB2-M</v>
      </c>
      <c r="Q188" s="161" t="str">
        <f ca="1">IF(raw_exchange_data!$A187="","",TEXT(OFFSET(raw_exchange_data!$A187,0,MATCH(Q$2,raw_exchange_data!$1:$1,0)-1),""))</f>
        <v/>
      </c>
      <c r="R188" s="162">
        <f ca="1">IF(raw_exchange_data!$A187="","",OFFSET(raw_exchange_data!$A187,0,MATCH(R$2,raw_exchange_data!$1:$1,0)-1))</f>
        <v>4.6999999999999999E-9</v>
      </c>
      <c r="S188" s="190">
        <f ca="1">IF(raw_exchange_data!$A187="","",OFFSET(raw_exchange_data!$A187,0,MATCH(S$2,raw_exchange_data!$1:$1,0)-1))</f>
        <v>44937.669656018516</v>
      </c>
      <c r="T188" s="161">
        <v>1</v>
      </c>
      <c r="W188" t="str">
        <f t="shared" si="11"/>
        <v>HUBI</v>
      </c>
      <c r="X188" t="str">
        <f t="shared" si="12"/>
        <v>BSV</v>
      </c>
      <c r="Y188" s="42">
        <f t="shared" si="13"/>
        <v>2.9999999999999997E-8</v>
      </c>
      <c r="Z188" s="42">
        <f t="shared" ca="1" si="14"/>
        <v>3.3400000000000001E-8</v>
      </c>
      <c r="AC188"/>
      <c r="AD188"/>
    </row>
    <row r="189" spans="1:30" x14ac:dyDescent="0.25">
      <c r="A189" t="str">
        <f>IF(Summary_Exchange_Balances_00UTC!$B188="","",Summary_Exchange_Balances_00UTC!$N188)</f>
        <v>HUBI</v>
      </c>
      <c r="B189" t="str">
        <f>IF(Summary_Exchange_Balances_00UTC!$B188="","",Summary_Exchange_Balances_00UTC!$B188)</f>
        <v>HUBI-1-M-P</v>
      </c>
      <c r="C189" t="str">
        <f>IF(Summary_Exchange_Balances_00UTC!$B188="","",Summary_Exchange_Balances_00UTC!$E188)</f>
        <v>BTC</v>
      </c>
      <c r="D189" t="str">
        <f>IF(OR(Summary_Exchange_Balances_00UTC!$B188="",Summary_Exchange_Balances_00UTC!$D188=""),"",Summary_Exchange_Balances_00UTC!$D188)</f>
        <v>Balance</v>
      </c>
      <c r="E189" s="52">
        <f>IF(Summary_Exchange_Balances_00UTC!$B188="","",Summary_Exchange_Balances_00UTC!$C188)</f>
        <v>18.041232239999999</v>
      </c>
      <c r="G189" s="52">
        <f ca="1">IF(Summary_Exchange_Balances_00UTC!$B188="","",VLOOKUP(IF(ISERROR(SEARCH(" ", $B189)),UPPER($B189&amp;$C189&amp;IF(OR(NOT(ISERROR(SEARCH("trade",$D189))),NOT(ISERROR(SEARCH("balance",$D189)))),"",$D189)),UPPER(LEFT($B189, SEARCH(" ",$B189)-1)&amp;$C189&amp;IF(OR(NOT(ISERROR(SEARCH("trade",$D189))),NOT(ISERROR(SEARCH("balance",$D189)))),"",$D189))),$L:$T,MATCH("balance",$L$2:$S$2,0),FALSE))</f>
        <v>18.9576884785</v>
      </c>
      <c r="H189" s="35">
        <f ca="1">IF(Summary_Exchange_Balances_00UTC!$B188="","",(G189-E189)/E189)</f>
        <v>5.079787379866911E-2</v>
      </c>
      <c r="I189" s="165">
        <f ca="1">IF(Summary_Exchange_Balances_00UTC!$B188="","",IF(ISERROR($G189),$E189,$G189))</f>
        <v>18.9576884785</v>
      </c>
      <c r="K189" t="str">
        <f t="shared" ca="1" si="10"/>
        <v>FUB2LTC</v>
      </c>
      <c r="L189" t="str">
        <f ca="1">UPPER($P189&amp;$N189&amp;Q189)</f>
        <v>FUB2-MLTC</v>
      </c>
      <c r="N189" s="161" t="str">
        <f ca="1">IF(raw_exchange_data!$A188="","",OFFSET(raw_exchange_data!$A188,0,MATCH(N$2,raw_exchange_data!$1:$1,0)-1))</f>
        <v>LTC</v>
      </c>
      <c r="O189" s="161" t="str">
        <f ca="1">IF(raw_exchange_data!$A188="","",OFFSET(raw_exchange_data!$A188,0,MATCH(O$2,raw_exchange_data!$1:$1,0)-1))</f>
        <v>FUB2</v>
      </c>
      <c r="P189" s="161" t="str">
        <f ca="1">IF(raw_exchange_data!$A188="","",OFFSET(raw_exchange_data!$A188,0,MATCH(P$2,raw_exchange_data!$1:$1,0)-1))</f>
        <v>FUB2-M</v>
      </c>
      <c r="Q189" s="161" t="str">
        <f ca="1">IF(raw_exchange_data!$A188="","",TEXT(OFFSET(raw_exchange_data!$A188,0,MATCH(Q$2,raw_exchange_data!$1:$1,0)-1),""))</f>
        <v/>
      </c>
      <c r="R189" s="162">
        <f ca="1">IF(raw_exchange_data!$A188="","",OFFSET(raw_exchange_data!$A188,0,MATCH(R$2,raw_exchange_data!$1:$1,0)-1))</f>
        <v>9.3000000000000006E-9</v>
      </c>
      <c r="S189" s="190">
        <f ca="1">IF(raw_exchange_data!$A188="","",OFFSET(raw_exchange_data!$A188,0,MATCH(S$2,raw_exchange_data!$1:$1,0)-1))</f>
        <v>44937.669656018516</v>
      </c>
      <c r="T189" s="161">
        <v>1</v>
      </c>
      <c r="W189" t="str">
        <f t="shared" si="11"/>
        <v>HUBI</v>
      </c>
      <c r="X189" t="str">
        <f t="shared" si="12"/>
        <v>BTC</v>
      </c>
      <c r="Y189" s="42">
        <f t="shared" si="13"/>
        <v>18.041232239999999</v>
      </c>
      <c r="Z189" s="42">
        <f t="shared" ca="1" si="14"/>
        <v>18.9576884785</v>
      </c>
      <c r="AC189"/>
      <c r="AD189"/>
    </row>
    <row r="190" spans="1:30" x14ac:dyDescent="0.25">
      <c r="A190" t="str">
        <f>IF(Summary_Exchange_Balances_00UTC!$B189="","",Summary_Exchange_Balances_00UTC!$N189)</f>
        <v>HUBI</v>
      </c>
      <c r="B190" t="str">
        <f>IF(Summary_Exchange_Balances_00UTC!$B189="","",Summary_Exchange_Balances_00UTC!$B189)</f>
        <v>HUBI-1-M-P</v>
      </c>
      <c r="C190" t="str">
        <f>IF(Summary_Exchange_Balances_00UTC!$B189="","",Summary_Exchange_Balances_00UTC!$E189)</f>
        <v>BTC</v>
      </c>
      <c r="D190" t="str">
        <f>IF(OR(Summary_Exchange_Balances_00UTC!$B189="",Summary_Exchange_Balances_00UTC!$D189=""),"",Summary_Exchange_Balances_00UTC!$D189)</f>
        <v>Unrealized</v>
      </c>
      <c r="E190" s="52">
        <f>IF(Summary_Exchange_Balances_00UTC!$B189="","",Summary_Exchange_Balances_00UTC!$C189)</f>
        <v>-0.70682544000000003</v>
      </c>
      <c r="G190" s="52">
        <f ca="1">IF(Summary_Exchange_Balances_00UTC!$B189="","",VLOOKUP(IF(ISERROR(SEARCH(" ", $B190)),UPPER($B190&amp;$C190&amp;IF(OR(NOT(ISERROR(SEARCH("trade",$D190))),NOT(ISERROR(SEARCH("balance",$D190)))),"",$D190)),UPPER(LEFT($B190, SEARCH(" ",$B190)-1)&amp;$C190&amp;IF(OR(NOT(ISERROR(SEARCH("trade",$D190))),NOT(ISERROR(SEARCH("balance",$D190)))),"",$D190))),$L:$T,MATCH("balance",$L$2:$S$2,0),FALSE))</f>
        <v>-0.52278466379999999</v>
      </c>
      <c r="H190" s="35">
        <f ca="1">IF(Summary_Exchange_Balances_00UTC!$B189="","",(G190-E190)/E190)</f>
        <v>-0.26037655945151045</v>
      </c>
      <c r="I190" s="165">
        <f ca="1">IF(Summary_Exchange_Balances_00UTC!$B189="","",IF(ISERROR($G190),$E190,$G190))</f>
        <v>-0.52278466379999999</v>
      </c>
      <c r="K190" t="str">
        <f t="shared" ca="1" si="10"/>
        <v>FUB2TRX</v>
      </c>
      <c r="L190" t="str">
        <f ca="1">UPPER($P190&amp;$N190&amp;Q190)</f>
        <v>FUB2-MTRX</v>
      </c>
      <c r="N190" s="161" t="str">
        <f ca="1">IF(raw_exchange_data!$A189="","",OFFSET(raw_exchange_data!$A189,0,MATCH(N$2,raw_exchange_data!$1:$1,0)-1))</f>
        <v>TRX</v>
      </c>
      <c r="O190" s="161" t="str">
        <f ca="1">IF(raw_exchange_data!$A189="","",OFFSET(raw_exchange_data!$A189,0,MATCH(O$2,raw_exchange_data!$1:$1,0)-1))</f>
        <v>FUB2</v>
      </c>
      <c r="P190" s="161" t="str">
        <f ca="1">IF(raw_exchange_data!$A189="","",OFFSET(raw_exchange_data!$A189,0,MATCH(P$2,raw_exchange_data!$1:$1,0)-1))</f>
        <v>FUB2-M</v>
      </c>
      <c r="Q190" s="161" t="str">
        <f ca="1">IF(raw_exchange_data!$A189="","",TEXT(OFFSET(raw_exchange_data!$A189,0,MATCH(Q$2,raw_exchange_data!$1:$1,0)-1),""))</f>
        <v/>
      </c>
      <c r="R190" s="162">
        <f ca="1">IF(raw_exchange_data!$A189="","",OFFSET(raw_exchange_data!$A189,0,MATCH(R$2,raw_exchange_data!$1:$1,0)-1))</f>
        <v>7.8999999999999996E-9</v>
      </c>
      <c r="S190" s="190">
        <f ca="1">IF(raw_exchange_data!$A189="","",OFFSET(raw_exchange_data!$A189,0,MATCH(S$2,raw_exchange_data!$1:$1,0)-1))</f>
        <v>44937.669656018516</v>
      </c>
      <c r="T190" s="161">
        <v>1</v>
      </c>
      <c r="W190" t="str">
        <f t="shared" si="11"/>
        <v>HUBI</v>
      </c>
      <c r="X190" t="str">
        <f t="shared" si="12"/>
        <v>BTC</v>
      </c>
      <c r="Y190" s="42">
        <f t="shared" si="13"/>
        <v>-0.70682544000000003</v>
      </c>
      <c r="Z190" s="42">
        <f t="shared" ca="1" si="14"/>
        <v>-0.52278466379999999</v>
      </c>
      <c r="AC190"/>
      <c r="AD190"/>
    </row>
    <row r="191" spans="1:30" x14ac:dyDescent="0.25">
      <c r="A191" t="str">
        <f>IF(Summary_Exchange_Balances_00UTC!$B190="","",Summary_Exchange_Balances_00UTC!$N190)</f>
        <v>HUBI</v>
      </c>
      <c r="B191" t="str">
        <f>IF(Summary_Exchange_Balances_00UTC!$B190="","",Summary_Exchange_Balances_00UTC!$B190)</f>
        <v>HUBI-1-M-P</v>
      </c>
      <c r="C191" t="str">
        <f>IF(Summary_Exchange_Balances_00UTC!$B190="","",Summary_Exchange_Balances_00UTC!$E190)</f>
        <v>DOT</v>
      </c>
      <c r="D191" t="str">
        <f>IF(OR(Summary_Exchange_Balances_00UTC!$B190="",Summary_Exchange_Balances_00UTC!$D190=""),"",Summary_Exchange_Balances_00UTC!$D190)</f>
        <v>Balance</v>
      </c>
      <c r="E191" s="52">
        <f>IF(Summary_Exchange_Balances_00UTC!$B190="","",Summary_Exchange_Balances_00UTC!$C190)</f>
        <v>3.8972899999999999E-3</v>
      </c>
      <c r="G191" s="52">
        <f ca="1">IF(Summary_Exchange_Balances_00UTC!$B190="","",VLOOKUP(IF(ISERROR(SEARCH(" ", $B191)),UPPER($B191&amp;$C191&amp;IF(OR(NOT(ISERROR(SEARCH("trade",$D191))),NOT(ISERROR(SEARCH("balance",$D191)))),"",$D191)),UPPER(LEFT($B191, SEARCH(" ",$B191)-1)&amp;$C191&amp;IF(OR(NOT(ISERROR(SEARCH("trade",$D191))),NOT(ISERROR(SEARCH("balance",$D191)))),"",$D191))),$L:$T,MATCH("balance",$L$2:$S$2,0),FALSE))</f>
        <v>3.8972870000000001E-3</v>
      </c>
      <c r="H191" s="35">
        <f ca="1">IF(Summary_Exchange_Balances_00UTC!$B190="","",(G191-E191)/E191)</f>
        <v>-7.6976565760361046E-7</v>
      </c>
      <c r="I191" s="165">
        <f ca="1">IF(Summary_Exchange_Balances_00UTC!$B190="","",IF(ISERROR($G191),$E191,$G191))</f>
        <v>3.8972870000000001E-3</v>
      </c>
      <c r="K191" t="str">
        <f t="shared" ca="1" si="10"/>
        <v>FUB2XRP</v>
      </c>
      <c r="L191" t="str">
        <f ca="1">UPPER($P191&amp;$N191&amp;Q191)</f>
        <v>FUB2-MXRP</v>
      </c>
      <c r="N191" s="161" t="str">
        <f ca="1">IF(raw_exchange_data!$A190="","",OFFSET(raw_exchange_data!$A190,0,MATCH(N$2,raw_exchange_data!$1:$1,0)-1))</f>
        <v>XRP</v>
      </c>
      <c r="O191" s="161" t="str">
        <f ca="1">IF(raw_exchange_data!$A190="","",OFFSET(raw_exchange_data!$A190,0,MATCH(O$2,raw_exchange_data!$1:$1,0)-1))</f>
        <v>FUB2</v>
      </c>
      <c r="P191" s="161" t="str">
        <f ca="1">IF(raw_exchange_data!$A190="","",OFFSET(raw_exchange_data!$A190,0,MATCH(P$2,raw_exchange_data!$1:$1,0)-1))</f>
        <v>FUB2-M</v>
      </c>
      <c r="Q191" s="161" t="str">
        <f ca="1">IF(raw_exchange_data!$A190="","",TEXT(OFFSET(raw_exchange_data!$A190,0,MATCH(Q$2,raw_exchange_data!$1:$1,0)-1),""))</f>
        <v/>
      </c>
      <c r="R191" s="162">
        <f ca="1">IF(raw_exchange_data!$A190="","",OFFSET(raw_exchange_data!$A190,0,MATCH(R$2,raw_exchange_data!$1:$1,0)-1))</f>
        <v>9.7899999999999997E-8</v>
      </c>
      <c r="S191" s="190">
        <f ca="1">IF(raw_exchange_data!$A190="","",OFFSET(raw_exchange_data!$A190,0,MATCH(S$2,raw_exchange_data!$1:$1,0)-1))</f>
        <v>44937.669656018516</v>
      </c>
      <c r="T191" s="161">
        <v>1</v>
      </c>
      <c r="W191" t="str">
        <f t="shared" si="11"/>
        <v>HUBI</v>
      </c>
      <c r="X191" t="str">
        <f t="shared" si="12"/>
        <v>DOT</v>
      </c>
      <c r="Y191" s="42">
        <f t="shared" si="13"/>
        <v>3.8972899999999999E-3</v>
      </c>
      <c r="Z191" s="42">
        <f t="shared" ca="1" si="14"/>
        <v>3.8972870000000001E-3</v>
      </c>
      <c r="AC191"/>
      <c r="AD191"/>
    </row>
    <row r="192" spans="1:30" x14ac:dyDescent="0.25">
      <c r="A192" t="str">
        <f>IF(Summary_Exchange_Balances_00UTC!$B191="","",Summary_Exchange_Balances_00UTC!$N191)</f>
        <v>HUBI</v>
      </c>
      <c r="B192" t="str">
        <f>IF(Summary_Exchange_Balances_00UTC!$B191="","",Summary_Exchange_Balances_00UTC!$B191)</f>
        <v>HUBI-1-M-P</v>
      </c>
      <c r="C192" t="str">
        <f>IF(Summary_Exchange_Balances_00UTC!$B191="","",Summary_Exchange_Balances_00UTC!$E191)</f>
        <v>ETC</v>
      </c>
      <c r="D192" t="str">
        <f>IF(OR(Summary_Exchange_Balances_00UTC!$B191="",Summary_Exchange_Balances_00UTC!$D191=""),"",Summary_Exchange_Balances_00UTC!$D191)</f>
        <v>Balance</v>
      </c>
      <c r="E192" s="52">
        <f>IF(Summary_Exchange_Balances_00UTC!$B191="","",Summary_Exchange_Balances_00UTC!$C191)</f>
        <v>0.1010306</v>
      </c>
      <c r="G192" s="52">
        <f ca="1">IF(Summary_Exchange_Balances_00UTC!$B191="","",VLOOKUP(IF(ISERROR(SEARCH(" ", $B192)),UPPER($B192&amp;$C192&amp;IF(OR(NOT(ISERROR(SEARCH("trade",$D192))),NOT(ISERROR(SEARCH("balance",$D192)))),"",$D192)),UPPER(LEFT($B192, SEARCH(" ",$B192)-1)&amp;$C192&amp;IF(OR(NOT(ISERROR(SEARCH("trade",$D192))),NOT(ISERROR(SEARCH("balance",$D192)))),"",$D192))),$L:$T,MATCH("balance",$L$2:$S$2,0),FALSE))</f>
        <v>0.1010306031</v>
      </c>
      <c r="H192" s="35">
        <f ca="1">IF(Summary_Exchange_Balances_00UTC!$B191="","",(G192-E192)/E192)</f>
        <v>3.0683773101367009E-8</v>
      </c>
      <c r="I192" s="165">
        <f ca="1">IF(Summary_Exchange_Balances_00UTC!$B191="","",IF(ISERROR($G192),$E192,$G192))</f>
        <v>0.1010306031</v>
      </c>
      <c r="K192" t="str">
        <f t="shared" ca="1" si="10"/>
        <v>FUBIADA</v>
      </c>
      <c r="L192" t="str">
        <f ca="1">UPPER($P192&amp;$N192&amp;Q192)</f>
        <v>FUBI-MADA</v>
      </c>
      <c r="N192" s="161" t="str">
        <f ca="1">IF(raw_exchange_data!$A191="","",OFFSET(raw_exchange_data!$A191,0,MATCH(N$2,raw_exchange_data!$1:$1,0)-1))</f>
        <v>ADA</v>
      </c>
      <c r="O192" s="161" t="str">
        <f ca="1">IF(raw_exchange_data!$A191="","",OFFSET(raw_exchange_data!$A191,0,MATCH(O$2,raw_exchange_data!$1:$1,0)-1))</f>
        <v>FUBI</v>
      </c>
      <c r="P192" s="161" t="str">
        <f ca="1">IF(raw_exchange_data!$A191="","",OFFSET(raw_exchange_data!$A191,0,MATCH(P$2,raw_exchange_data!$1:$1,0)-1))</f>
        <v>FUBI-M</v>
      </c>
      <c r="Q192" s="161" t="str">
        <f ca="1">IF(raw_exchange_data!$A191="","",TEXT(OFFSET(raw_exchange_data!$A191,0,MATCH(Q$2,raw_exchange_data!$1:$1,0)-1),""))</f>
        <v/>
      </c>
      <c r="R192" s="162">
        <f ca="1">IF(raw_exchange_data!$A191="","",OFFSET(raw_exchange_data!$A191,0,MATCH(R$2,raw_exchange_data!$1:$1,0)-1))</f>
        <v>5.7406593000000001E-3</v>
      </c>
      <c r="S192" s="190">
        <f ca="1">IF(raw_exchange_data!$A191="","",OFFSET(raw_exchange_data!$A191,0,MATCH(S$2,raw_exchange_data!$1:$1,0)-1))</f>
        <v>44937.669656134261</v>
      </c>
      <c r="T192" s="161">
        <v>1</v>
      </c>
      <c r="W192" t="str">
        <f t="shared" si="11"/>
        <v>HUBI</v>
      </c>
      <c r="X192" t="str">
        <f t="shared" si="12"/>
        <v>ETC</v>
      </c>
      <c r="Y192" s="42">
        <f t="shared" si="13"/>
        <v>0.1010306</v>
      </c>
      <c r="Z192" s="42">
        <f t="shared" ca="1" si="14"/>
        <v>0.1010306031</v>
      </c>
      <c r="AC192"/>
      <c r="AD192"/>
    </row>
    <row r="193" spans="1:30" x14ac:dyDescent="0.25">
      <c r="A193" t="str">
        <f>IF(Summary_Exchange_Balances_00UTC!$B192="","",Summary_Exchange_Balances_00UTC!$N192)</f>
        <v>HUBI</v>
      </c>
      <c r="B193" t="str">
        <f>IF(Summary_Exchange_Balances_00UTC!$B192="","",Summary_Exchange_Balances_00UTC!$B192)</f>
        <v>HUBI-1-M-P</v>
      </c>
      <c r="C193" t="str">
        <f>IF(Summary_Exchange_Balances_00UTC!$B192="","",Summary_Exchange_Balances_00UTC!$E192)</f>
        <v>ETH</v>
      </c>
      <c r="D193" t="str">
        <f>IF(OR(Summary_Exchange_Balances_00UTC!$B192="",Summary_Exchange_Balances_00UTC!$D192=""),"",Summary_Exchange_Balances_00UTC!$D192)</f>
        <v>Balance</v>
      </c>
      <c r="E193" s="52">
        <f>IF(Summary_Exchange_Balances_00UTC!$B192="","",Summary_Exchange_Balances_00UTC!$C192)</f>
        <v>146.63241235999999</v>
      </c>
      <c r="G193" s="52">
        <f ca="1">IF(Summary_Exchange_Balances_00UTC!$B192="","",VLOOKUP(IF(ISERROR(SEARCH(" ", $B193)),UPPER($B193&amp;$C193&amp;IF(OR(NOT(ISERROR(SEARCH("trade",$D193))),NOT(ISERROR(SEARCH("balance",$D193)))),"",$D193)),UPPER(LEFT($B193, SEARCH(" ",$B193)-1)&amp;$C193&amp;IF(OR(NOT(ISERROR(SEARCH("trade",$D193))),NOT(ISERROR(SEARCH("balance",$D193)))),"",$D193))),$L:$T,MATCH("balance",$L$2:$S$2,0),FALSE))</f>
        <v>147.36724370979999</v>
      </c>
      <c r="H193" s="35">
        <f ca="1">IF(Summary_Exchange_Balances_00UTC!$B192="","",(G193-E193)/E193)</f>
        <v>5.0113841678871493E-3</v>
      </c>
      <c r="I193" s="165">
        <f ca="1">IF(Summary_Exchange_Balances_00UTC!$B192="","",IF(ISERROR($G193),$E193,$G193))</f>
        <v>147.36724370979999</v>
      </c>
      <c r="K193" t="str">
        <f t="shared" ca="1" si="10"/>
        <v>FUBIBCH</v>
      </c>
      <c r="L193" t="str">
        <f ca="1">UPPER($P193&amp;$N193&amp;Q193)</f>
        <v>FUBI-MBCH</v>
      </c>
      <c r="N193" s="161" t="str">
        <f ca="1">IF(raw_exchange_data!$A192="","",OFFSET(raw_exchange_data!$A192,0,MATCH(N$2,raw_exchange_data!$1:$1,0)-1))</f>
        <v>BCH</v>
      </c>
      <c r="O193" s="161" t="str">
        <f ca="1">IF(raw_exchange_data!$A192="","",OFFSET(raw_exchange_data!$A192,0,MATCH(O$2,raw_exchange_data!$1:$1,0)-1))</f>
        <v>FUBI</v>
      </c>
      <c r="P193" s="161" t="str">
        <f ca="1">IF(raw_exchange_data!$A192="","",OFFSET(raw_exchange_data!$A192,0,MATCH(P$2,raw_exchange_data!$1:$1,0)-1))</f>
        <v>FUBI-M</v>
      </c>
      <c r="Q193" s="161" t="str">
        <f ca="1">IF(raw_exchange_data!$A192="","",TEXT(OFFSET(raw_exchange_data!$A192,0,MATCH(Q$2,raw_exchange_data!$1:$1,0)-1),""))</f>
        <v/>
      </c>
      <c r="R193" s="162">
        <f ca="1">IF(raw_exchange_data!$A192="","",OFFSET(raw_exchange_data!$A192,0,MATCH(R$2,raw_exchange_data!$1:$1,0)-1))</f>
        <v>0.72885028029999999</v>
      </c>
      <c r="S193" s="190">
        <f ca="1">IF(raw_exchange_data!$A192="","",OFFSET(raw_exchange_data!$A192,0,MATCH(S$2,raw_exchange_data!$1:$1,0)-1))</f>
        <v>44937.669656134261</v>
      </c>
      <c r="T193" s="161">
        <v>1</v>
      </c>
      <c r="W193" t="str">
        <f t="shared" si="11"/>
        <v>HUBI</v>
      </c>
      <c r="X193" t="str">
        <f t="shared" si="12"/>
        <v>ETH</v>
      </c>
      <c r="Y193" s="42">
        <f t="shared" si="13"/>
        <v>146.63241235999999</v>
      </c>
      <c r="Z193" s="42">
        <f t="shared" ca="1" si="14"/>
        <v>147.36724370979999</v>
      </c>
      <c r="AC193"/>
      <c r="AD193"/>
    </row>
    <row r="194" spans="1:30" x14ac:dyDescent="0.25">
      <c r="A194" t="str">
        <f>IF(Summary_Exchange_Balances_00UTC!$B193="","",Summary_Exchange_Balances_00UTC!$N193)</f>
        <v>HUBI</v>
      </c>
      <c r="B194" t="str">
        <f>IF(Summary_Exchange_Balances_00UTC!$B193="","",Summary_Exchange_Balances_00UTC!$B193)</f>
        <v>HUBI-1-M-P</v>
      </c>
      <c r="C194" t="str">
        <f>IF(Summary_Exchange_Balances_00UTC!$B193="","",Summary_Exchange_Balances_00UTC!$E193)</f>
        <v>ETH</v>
      </c>
      <c r="D194" t="str">
        <f>IF(OR(Summary_Exchange_Balances_00UTC!$B193="",Summary_Exchange_Balances_00UTC!$D193=""),"",Summary_Exchange_Balances_00UTC!$D193)</f>
        <v>Unrealized</v>
      </c>
      <c r="E194" s="52">
        <f>IF(Summary_Exchange_Balances_00UTC!$B193="","",Summary_Exchange_Balances_00UTC!$C193)</f>
        <v>-2.6088340000000002E-2</v>
      </c>
      <c r="G194" s="52">
        <f ca="1">IF(Summary_Exchange_Balances_00UTC!$B193="","",VLOOKUP(IF(ISERROR(SEARCH(" ", $B194)),UPPER($B194&amp;$C194&amp;IF(OR(NOT(ISERROR(SEARCH("trade",$D194))),NOT(ISERROR(SEARCH("balance",$D194)))),"",$D194)),UPPER(LEFT($B194, SEARCH(" ",$B194)-1)&amp;$C194&amp;IF(OR(NOT(ISERROR(SEARCH("trade",$D194))),NOT(ISERROR(SEARCH("balance",$D194)))),"",$D194))),$L:$T,MATCH("balance",$L$2:$S$2,0),FALSE))</f>
        <v>-0.63127019120000005</v>
      </c>
      <c r="H194" s="35">
        <f ca="1">IF(Summary_Exchange_Balances_00UTC!$B193="","",(G194-E194)/E194)</f>
        <v>23.197407393494565</v>
      </c>
      <c r="I194" s="165">
        <f ca="1">IF(Summary_Exchange_Balances_00UTC!$B193="","",IF(ISERROR($G194),$E194,$G194))</f>
        <v>-0.63127019120000005</v>
      </c>
      <c r="K194" t="str">
        <f t="shared" ca="1" si="10"/>
        <v>FUBIBSV</v>
      </c>
      <c r="L194" t="str">
        <f ca="1">UPPER($P194&amp;$N194&amp;Q194)</f>
        <v>FUBI-MBSV</v>
      </c>
      <c r="N194" s="161" t="str">
        <f ca="1">IF(raw_exchange_data!$A193="","",OFFSET(raw_exchange_data!$A193,0,MATCH(N$2,raw_exchange_data!$1:$1,0)-1))</f>
        <v>BSV</v>
      </c>
      <c r="O194" s="161" t="str">
        <f ca="1">IF(raw_exchange_data!$A193="","",OFFSET(raw_exchange_data!$A193,0,MATCH(O$2,raw_exchange_data!$1:$1,0)-1))</f>
        <v>FUBI</v>
      </c>
      <c r="P194" s="161" t="str">
        <f ca="1">IF(raw_exchange_data!$A193="","",OFFSET(raw_exchange_data!$A193,0,MATCH(P$2,raw_exchange_data!$1:$1,0)-1))</f>
        <v>FUBI-M</v>
      </c>
      <c r="Q194" s="161" t="str">
        <f ca="1">IF(raw_exchange_data!$A193="","",TEXT(OFFSET(raw_exchange_data!$A193,0,MATCH(Q$2,raw_exchange_data!$1:$1,0)-1),""))</f>
        <v/>
      </c>
      <c r="R194" s="162">
        <f ca="1">IF(raw_exchange_data!$A193="","",OFFSET(raw_exchange_data!$A193,0,MATCH(R$2,raw_exchange_data!$1:$1,0)-1))</f>
        <v>0.11285791119999999</v>
      </c>
      <c r="S194" s="190">
        <f ca="1">IF(raw_exchange_data!$A193="","",OFFSET(raw_exchange_data!$A193,0,MATCH(S$2,raw_exchange_data!$1:$1,0)-1))</f>
        <v>44937.669656134261</v>
      </c>
      <c r="T194" s="161">
        <v>1</v>
      </c>
      <c r="W194" t="str">
        <f t="shared" si="11"/>
        <v>HUBI</v>
      </c>
      <c r="X194" t="str">
        <f t="shared" si="12"/>
        <v>ETH</v>
      </c>
      <c r="Y194" s="42">
        <f t="shared" si="13"/>
        <v>-2.6088340000000002E-2</v>
      </c>
      <c r="Z194" s="42">
        <f t="shared" ca="1" si="14"/>
        <v>-0.63127019120000005</v>
      </c>
      <c r="AC194"/>
      <c r="AD194"/>
    </row>
    <row r="195" spans="1:30" x14ac:dyDescent="0.25">
      <c r="A195" t="str">
        <f>IF(Summary_Exchange_Balances_00UTC!$B194="","",Summary_Exchange_Balances_00UTC!$N194)</f>
        <v>HUBI</v>
      </c>
      <c r="B195" t="str">
        <f>IF(Summary_Exchange_Balances_00UTC!$B194="","",Summary_Exchange_Balances_00UTC!$B194)</f>
        <v>HUBI-1-M-P</v>
      </c>
      <c r="C195" t="str">
        <f>IF(Summary_Exchange_Balances_00UTC!$B194="","",Summary_Exchange_Balances_00UTC!$E194)</f>
        <v>LINK</v>
      </c>
      <c r="D195" t="str">
        <f>IF(OR(Summary_Exchange_Balances_00UTC!$B194="",Summary_Exchange_Balances_00UTC!$D194=""),"",Summary_Exchange_Balances_00UTC!$D194)</f>
        <v>Balance</v>
      </c>
      <c r="E195" s="52">
        <f>IF(Summary_Exchange_Balances_00UTC!$B194="","",Summary_Exchange_Balances_00UTC!$C194)</f>
        <v>9.5620999999999998E-4</v>
      </c>
      <c r="G195" s="52">
        <f ca="1">IF(Summary_Exchange_Balances_00UTC!$B194="","",VLOOKUP(IF(ISERROR(SEARCH(" ", $B195)),UPPER($B195&amp;$C195&amp;IF(OR(NOT(ISERROR(SEARCH("trade",$D195))),NOT(ISERROR(SEARCH("balance",$D195)))),"",$D195)),UPPER(LEFT($B195, SEARCH(" ",$B195)-1)&amp;$C195&amp;IF(OR(NOT(ISERROR(SEARCH("trade",$D195))),NOT(ISERROR(SEARCH("balance",$D195)))),"",$D195))),$L:$T,MATCH("balance",$L$2:$S$2,0),FALSE))</f>
        <v>9.5620959999999995E-4</v>
      </c>
      <c r="H195" s="35">
        <f ca="1">IF(Summary_Exchange_Balances_00UTC!$B194="","",(G195-E195)/E195)</f>
        <v>-4.1831815189966865E-7</v>
      </c>
      <c r="I195" s="165">
        <f ca="1">IF(Summary_Exchange_Balances_00UTC!$B194="","",IF(ISERROR($G195),$E195,$G195))</f>
        <v>9.5620959999999995E-4</v>
      </c>
      <c r="K195" t="str">
        <f t="shared" ref="K195:K258" ca="1" si="15">UPPER($O195&amp;$N195)</f>
        <v>FUBIBTC</v>
      </c>
      <c r="L195" t="str">
        <f ca="1">UPPER($P195&amp;$N195&amp;Q195)</f>
        <v>FUBI-MBTC</v>
      </c>
      <c r="N195" s="161" t="str">
        <f ca="1">IF(raw_exchange_data!$A194="","",OFFSET(raw_exchange_data!$A194,0,MATCH(N$2,raw_exchange_data!$1:$1,0)-1))</f>
        <v>BTC</v>
      </c>
      <c r="O195" s="161" t="str">
        <f ca="1">IF(raw_exchange_data!$A194="","",OFFSET(raw_exchange_data!$A194,0,MATCH(O$2,raw_exchange_data!$1:$1,0)-1))</f>
        <v>FUBI</v>
      </c>
      <c r="P195" s="161" t="str">
        <f ca="1">IF(raw_exchange_data!$A194="","",OFFSET(raw_exchange_data!$A194,0,MATCH(P$2,raw_exchange_data!$1:$1,0)-1))</f>
        <v>FUBI-M</v>
      </c>
      <c r="Q195" s="161" t="str">
        <f ca="1">IF(raw_exchange_data!$A194="","",TEXT(OFFSET(raw_exchange_data!$A194,0,MATCH(Q$2,raw_exchange_data!$1:$1,0)-1),""))</f>
        <v/>
      </c>
      <c r="R195" s="162">
        <f ca="1">IF(raw_exchange_data!$A194="","",OFFSET(raw_exchange_data!$A194,0,MATCH(R$2,raw_exchange_data!$1:$1,0)-1))</f>
        <v>5.1931999999999997E-6</v>
      </c>
      <c r="S195" s="190">
        <f ca="1">IF(raw_exchange_data!$A194="","",OFFSET(raw_exchange_data!$A194,0,MATCH(S$2,raw_exchange_data!$1:$1,0)-1))</f>
        <v>44937.669656134261</v>
      </c>
      <c r="T195" s="161">
        <v>1</v>
      </c>
      <c r="W195" t="str">
        <f t="shared" si="11"/>
        <v>HUBI</v>
      </c>
      <c r="X195" t="str">
        <f t="shared" si="12"/>
        <v>LINK</v>
      </c>
      <c r="Y195" s="42">
        <f t="shared" si="13"/>
        <v>9.5620999999999998E-4</v>
      </c>
      <c r="Z195" s="42">
        <f t="shared" ca="1" si="14"/>
        <v>9.5620959999999995E-4</v>
      </c>
      <c r="AC195"/>
      <c r="AD195"/>
    </row>
    <row r="196" spans="1:30" x14ac:dyDescent="0.25">
      <c r="A196" t="str">
        <f>IF(Summary_Exchange_Balances_00UTC!$B195="","",Summary_Exchange_Balances_00UTC!$N195)</f>
        <v>HUBI</v>
      </c>
      <c r="B196" t="str">
        <f>IF(Summary_Exchange_Balances_00UTC!$B195="","",Summary_Exchange_Balances_00UTC!$B195)</f>
        <v>HUBI-1-M-P</v>
      </c>
      <c r="C196" t="str">
        <f>IF(Summary_Exchange_Balances_00UTC!$B195="","",Summary_Exchange_Balances_00UTC!$E195)</f>
        <v>LTC</v>
      </c>
      <c r="D196" t="str">
        <f>IF(OR(Summary_Exchange_Balances_00UTC!$B195="",Summary_Exchange_Balances_00UTC!$D195=""),"",Summary_Exchange_Balances_00UTC!$D195)</f>
        <v>Balance</v>
      </c>
      <c r="E196" s="52">
        <f>IF(Summary_Exchange_Balances_00UTC!$B195="","",Summary_Exchange_Balances_00UTC!$C195)</f>
        <v>2.4771099999999998E-3</v>
      </c>
      <c r="G196" s="52">
        <f ca="1">IF(Summary_Exchange_Balances_00UTC!$B195="","",VLOOKUP(IF(ISERROR(SEARCH(" ", $B196)),UPPER($B196&amp;$C196&amp;IF(OR(NOT(ISERROR(SEARCH("trade",$D196))),NOT(ISERROR(SEARCH("balance",$D196)))),"",$D196)),UPPER(LEFT($B196, SEARCH(" ",$B196)-1)&amp;$C196&amp;IF(OR(NOT(ISERROR(SEARCH("trade",$D196))),NOT(ISERROR(SEARCH("balance",$D196)))),"",$D196))),$L:$T,MATCH("balance",$L$2:$S$2,0),FALSE))</f>
        <v>2.4771052999999999E-3</v>
      </c>
      <c r="H196" s="35">
        <f ca="1">IF(Summary_Exchange_Balances_00UTC!$B195="","",(G196-E196)/E196)</f>
        <v>-1.8973723411023349E-6</v>
      </c>
      <c r="I196" s="165">
        <f ca="1">IF(Summary_Exchange_Balances_00UTC!$B195="","",IF(ISERROR($G196),$E196,$G196))</f>
        <v>2.4771052999999999E-3</v>
      </c>
      <c r="K196" t="str">
        <f t="shared" ca="1" si="15"/>
        <v>FUBIDOT</v>
      </c>
      <c r="L196" t="str">
        <f ca="1">UPPER($P196&amp;$N196&amp;IF(OR(NOT(ISERROR(SEARCH("trade",Q196))),NOT(ISERROR(SEARCH("balance",Q196)))),"",Q196))</f>
        <v>FUBI-MDOT</v>
      </c>
      <c r="N196" s="161" t="str">
        <f ca="1">IF(raw_exchange_data!$A195="","",OFFSET(raw_exchange_data!$A195,0,MATCH(N$2,raw_exchange_data!$1:$1,0)-1))</f>
        <v>DOT</v>
      </c>
      <c r="O196" s="161" t="str">
        <f ca="1">IF(raw_exchange_data!$A195="","",OFFSET(raw_exchange_data!$A195,0,MATCH(O$2,raw_exchange_data!$1:$1,0)-1))</f>
        <v>FUBI</v>
      </c>
      <c r="P196" s="161" t="str">
        <f ca="1">IF(raw_exchange_data!$A195="","",OFFSET(raw_exchange_data!$A195,0,MATCH(P$2,raw_exchange_data!$1:$1,0)-1))</f>
        <v>FUBI-M</v>
      </c>
      <c r="Q196" s="161" t="str">
        <f ca="1">IF(raw_exchange_data!$A195="","",TEXT(OFFSET(raw_exchange_data!$A195,0,MATCH(Q$2,raw_exchange_data!$1:$1,0)-1),""))</f>
        <v/>
      </c>
      <c r="R196" s="162">
        <f ca="1">IF(raw_exchange_data!$A195="","",OFFSET(raw_exchange_data!$A195,0,MATCH(R$2,raw_exchange_data!$1:$1,0)-1))</f>
        <v>0.97764076359999996</v>
      </c>
      <c r="S196" s="190">
        <f ca="1">IF(raw_exchange_data!$A195="","",OFFSET(raw_exchange_data!$A195,0,MATCH(S$2,raw_exchange_data!$1:$1,0)-1))</f>
        <v>44937.669656134261</v>
      </c>
      <c r="T196" s="161">
        <v>1</v>
      </c>
      <c r="W196" t="str">
        <f t="shared" ref="W196:W259" si="16">IF($A196="","",$A196)</f>
        <v>HUBI</v>
      </c>
      <c r="X196" t="str">
        <f t="shared" ref="X196:X259" si="17">IF($A196="","",$C196)</f>
        <v>LTC</v>
      </c>
      <c r="Y196" s="42">
        <f t="shared" ref="Y196:Y259" si="18">IF($A196="","",$E196)</f>
        <v>2.4771099999999998E-3</v>
      </c>
      <c r="Z196" s="42">
        <f t="shared" ref="Z196:Z259" ca="1" si="19">IF($A196="","",IF(ISERROR($G196),0,$G196))</f>
        <v>2.4771052999999999E-3</v>
      </c>
      <c r="AC196"/>
      <c r="AD196"/>
    </row>
    <row r="197" spans="1:30" x14ac:dyDescent="0.25">
      <c r="A197" t="str">
        <f>IF(Summary_Exchange_Balances_00UTC!$B196="","",Summary_Exchange_Balances_00UTC!$N196)</f>
        <v>HUBI</v>
      </c>
      <c r="B197" t="str">
        <f>IF(Summary_Exchange_Balances_00UTC!$B196="","",Summary_Exchange_Balances_00UTC!$B196)</f>
        <v>HUBI-1-M-P</v>
      </c>
      <c r="C197" t="str">
        <f>IF(Summary_Exchange_Balances_00UTC!$B196="","",Summary_Exchange_Balances_00UTC!$E196)</f>
        <v>SHIB</v>
      </c>
      <c r="D197" t="str">
        <f>IF(OR(Summary_Exchange_Balances_00UTC!$B196="",Summary_Exchange_Balances_00UTC!$D196=""),"",Summary_Exchange_Balances_00UTC!$D196)</f>
        <v>Balance</v>
      </c>
      <c r="E197" s="52">
        <f>IF(Summary_Exchange_Balances_00UTC!$B196="","",Summary_Exchange_Balances_00UTC!$C196)</f>
        <v>71073.205401560001</v>
      </c>
      <c r="G197" s="52">
        <f ca="1">IF(Summary_Exchange_Balances_00UTC!$B196="","",VLOOKUP(IF(ISERROR(SEARCH(" ", $B197)),UPPER($B197&amp;$C197&amp;IF(OR(NOT(ISERROR(SEARCH("trade",$D197))),NOT(ISERROR(SEARCH("balance",$D197)))),"",$D197)),UPPER(LEFT($B197, SEARCH(" ",$B197)-1)&amp;$C197&amp;IF(OR(NOT(ISERROR(SEARCH("trade",$D197))),NOT(ISERROR(SEARCH("balance",$D197)))),"",$D197))),$L:$T,MATCH("balance",$L$2:$S$2,0),FALSE))</f>
        <v>71073.205401560001</v>
      </c>
      <c r="H197" s="35">
        <f ca="1">IF(Summary_Exchange_Balances_00UTC!$B196="","",(G197-E197)/E197)</f>
        <v>0</v>
      </c>
      <c r="I197" s="165">
        <f ca="1">IF(Summary_Exchange_Balances_00UTC!$B196="","",IF(ISERROR($G197),$E197,$G197))</f>
        <v>71073.205401560001</v>
      </c>
      <c r="K197" t="str">
        <f t="shared" ca="1" si="15"/>
        <v>FUBIEOS</v>
      </c>
      <c r="L197" t="str">
        <f ca="1">UPPER($P197&amp;$N197&amp;IF(OR(NOT(ISERROR(SEARCH("trade",Q197))),NOT(ISERROR(SEARCH("balance",Q197)))),"",Q197))</f>
        <v>FUBI-MEOS</v>
      </c>
      <c r="N197" s="161" t="str">
        <f ca="1">IF(raw_exchange_data!$A196="","",OFFSET(raw_exchange_data!$A196,0,MATCH(N$2,raw_exchange_data!$1:$1,0)-1))</f>
        <v>EOS</v>
      </c>
      <c r="O197" s="161" t="str">
        <f ca="1">IF(raw_exchange_data!$A196="","",OFFSET(raw_exchange_data!$A196,0,MATCH(O$2,raw_exchange_data!$1:$1,0)-1))</f>
        <v>FUBI</v>
      </c>
      <c r="P197" s="161" t="str">
        <f ca="1">IF(raw_exchange_data!$A196="","",OFFSET(raw_exchange_data!$A196,0,MATCH(P$2,raw_exchange_data!$1:$1,0)-1))</f>
        <v>FUBI-M</v>
      </c>
      <c r="Q197" s="161" t="str">
        <f ca="1">IF(raw_exchange_data!$A196="","",TEXT(OFFSET(raw_exchange_data!$A196,0,MATCH(Q$2,raw_exchange_data!$1:$1,0)-1),""))</f>
        <v/>
      </c>
      <c r="R197" s="162">
        <f ca="1">IF(raw_exchange_data!$A196="","",OFFSET(raw_exchange_data!$A196,0,MATCH(R$2,raw_exchange_data!$1:$1,0)-1))</f>
        <v>3.7085151300000001E-2</v>
      </c>
      <c r="S197" s="190">
        <f ca="1">IF(raw_exchange_data!$A196="","",OFFSET(raw_exchange_data!$A196,0,MATCH(S$2,raw_exchange_data!$1:$1,0)-1))</f>
        <v>44937.669656134261</v>
      </c>
      <c r="T197" s="161">
        <v>1</v>
      </c>
      <c r="W197" t="str">
        <f t="shared" si="16"/>
        <v>HUBI</v>
      </c>
      <c r="X197" t="str">
        <f t="shared" si="17"/>
        <v>SHIB</v>
      </c>
      <c r="Y197" s="42">
        <f t="shared" si="18"/>
        <v>71073.205401560001</v>
      </c>
      <c r="Z197" s="42">
        <f t="shared" ca="1" si="19"/>
        <v>71073.205401560001</v>
      </c>
      <c r="AC197"/>
      <c r="AD197"/>
    </row>
    <row r="198" spans="1:30" x14ac:dyDescent="0.25">
      <c r="A198" t="str">
        <f>IF(Summary_Exchange_Balances_00UTC!$B197="","",Summary_Exchange_Balances_00UTC!$N197)</f>
        <v>HUBI</v>
      </c>
      <c r="B198" t="str">
        <f>IF(Summary_Exchange_Balances_00UTC!$B197="","",Summary_Exchange_Balances_00UTC!$B197)</f>
        <v>HUBI-1-M-P</v>
      </c>
      <c r="C198" t="str">
        <f>IF(Summary_Exchange_Balances_00UTC!$B197="","",Summary_Exchange_Balances_00UTC!$E197)</f>
        <v>TRX</v>
      </c>
      <c r="D198" t="str">
        <f>IF(OR(Summary_Exchange_Balances_00UTC!$B197="",Summary_Exchange_Balances_00UTC!$D197=""),"",Summary_Exchange_Balances_00UTC!$D197)</f>
        <v>Balance</v>
      </c>
      <c r="E198" s="52">
        <f>IF(Summary_Exchange_Balances_00UTC!$B197="","",Summary_Exchange_Balances_00UTC!$C197)</f>
        <v>4.8644999999999998E-4</v>
      </c>
      <c r="G198" s="52">
        <f ca="1">IF(Summary_Exchange_Balances_00UTC!$B197="","",VLOOKUP(IF(ISERROR(SEARCH(" ", $B198)),UPPER($B198&amp;$C198&amp;IF(OR(NOT(ISERROR(SEARCH("trade",$D198))),NOT(ISERROR(SEARCH("balance",$D198)))),"",$D198)),UPPER(LEFT($B198, SEARCH(" ",$B198)-1)&amp;$C198&amp;IF(OR(NOT(ISERROR(SEARCH("trade",$D198))),NOT(ISERROR(SEARCH("balance",$D198)))),"",$D198))),$L:$T,MATCH("balance",$L$2:$S$2,0),FALSE))</f>
        <v>4.8644820000000002E-4</v>
      </c>
      <c r="H198" s="35">
        <f ca="1">IF(Summary_Exchange_Balances_00UTC!$B197="","",(G198-E198)/E198)</f>
        <v>-3.7002775207385947E-6</v>
      </c>
      <c r="I198" s="165">
        <f ca="1">IF(Summary_Exchange_Balances_00UTC!$B197="","",IF(ISERROR($G198),$E198,$G198))</f>
        <v>4.8644820000000002E-4</v>
      </c>
      <c r="K198" t="str">
        <f t="shared" ca="1" si="15"/>
        <v>FUBIETC</v>
      </c>
      <c r="L198" t="str">
        <f ca="1">UPPER($P198&amp;$N198&amp;IF(OR(NOT(ISERROR(SEARCH("trade",Q198))),NOT(ISERROR(SEARCH("balance",Q198)))),"",Q198))</f>
        <v>FUBI-METC</v>
      </c>
      <c r="N198" s="161" t="str">
        <f ca="1">IF(raw_exchange_data!$A197="","",OFFSET(raw_exchange_data!$A197,0,MATCH(N$2,raw_exchange_data!$1:$1,0)-1))</f>
        <v>ETC</v>
      </c>
      <c r="O198" s="161" t="str">
        <f ca="1">IF(raw_exchange_data!$A197="","",OFFSET(raw_exchange_data!$A197,0,MATCH(O$2,raw_exchange_data!$1:$1,0)-1))</f>
        <v>FUBI</v>
      </c>
      <c r="P198" s="161" t="str">
        <f ca="1">IF(raw_exchange_data!$A197="","",OFFSET(raw_exchange_data!$A197,0,MATCH(P$2,raw_exchange_data!$1:$1,0)-1))</f>
        <v>FUBI-M</v>
      </c>
      <c r="Q198" s="161" t="str">
        <f ca="1">IF(raw_exchange_data!$A197="","",TEXT(OFFSET(raw_exchange_data!$A197,0,MATCH(Q$2,raw_exchange_data!$1:$1,0)-1),""))</f>
        <v/>
      </c>
      <c r="R198" s="162">
        <f ca="1">IF(raw_exchange_data!$A197="","",OFFSET(raw_exchange_data!$A197,0,MATCH(R$2,raw_exchange_data!$1:$1,0)-1))</f>
        <v>0.70701212930000001</v>
      </c>
      <c r="S198" s="190">
        <f ca="1">IF(raw_exchange_data!$A197="","",OFFSET(raw_exchange_data!$A197,0,MATCH(S$2,raw_exchange_data!$1:$1,0)-1))</f>
        <v>44937.669656134261</v>
      </c>
      <c r="T198" s="161">
        <v>1</v>
      </c>
      <c r="W198" t="str">
        <f t="shared" si="16"/>
        <v>HUBI</v>
      </c>
      <c r="X198" t="str">
        <f t="shared" si="17"/>
        <v>TRX</v>
      </c>
      <c r="Y198" s="42">
        <f t="shared" si="18"/>
        <v>4.8644999999999998E-4</v>
      </c>
      <c r="Z198" s="42">
        <f t="shared" ca="1" si="19"/>
        <v>4.8644820000000002E-4</v>
      </c>
      <c r="AC198"/>
      <c r="AD198"/>
    </row>
    <row r="199" spans="1:30" x14ac:dyDescent="0.25">
      <c r="A199" t="str">
        <f>IF(Summary_Exchange_Balances_00UTC!$B198="","",Summary_Exchange_Balances_00UTC!$N198)</f>
        <v>HUBI</v>
      </c>
      <c r="B199" t="str">
        <f>IF(Summary_Exchange_Balances_00UTC!$B198="","",Summary_Exchange_Balances_00UTC!$B198)</f>
        <v>HUBI-1-M-P</v>
      </c>
      <c r="C199" t="str">
        <f>IF(Summary_Exchange_Balances_00UTC!$B198="","",Summary_Exchange_Balances_00UTC!$E198)</f>
        <v>XRP</v>
      </c>
      <c r="D199" t="str">
        <f>IF(OR(Summary_Exchange_Balances_00UTC!$B198="",Summary_Exchange_Balances_00UTC!$D198=""),"",Summary_Exchange_Balances_00UTC!$D198)</f>
        <v>Balance</v>
      </c>
      <c r="E199" s="52">
        <f>IF(Summary_Exchange_Balances_00UTC!$B198="","",Summary_Exchange_Balances_00UTC!$C198)</f>
        <v>1.9184000000000001E-4</v>
      </c>
      <c r="G199" s="52">
        <f ca="1">IF(Summary_Exchange_Balances_00UTC!$B198="","",VLOOKUP(IF(ISERROR(SEARCH(" ", $B199)),UPPER($B199&amp;$C199&amp;IF(OR(NOT(ISERROR(SEARCH("trade",$D199))),NOT(ISERROR(SEARCH("balance",$D199)))),"",$D199)),UPPER(LEFT($B199, SEARCH(" ",$B199)-1)&amp;$C199&amp;IF(OR(NOT(ISERROR(SEARCH("trade",$D199))),NOT(ISERROR(SEARCH("balance",$D199)))),"",$D199))),$L:$T,MATCH("balance",$L$2:$S$2,0),FALSE))</f>
        <v>1.9184280000000001E-4</v>
      </c>
      <c r="H199" s="35">
        <f ca="1">IF(Summary_Exchange_Balances_00UTC!$B198="","",(G199-E199)/E199)</f>
        <v>1.4595496246904397E-5</v>
      </c>
      <c r="I199" s="165">
        <f ca="1">IF(Summary_Exchange_Balances_00UTC!$B198="","",IF(ISERROR($G199),$E199,$G199))</f>
        <v>1.9184280000000001E-4</v>
      </c>
      <c r="K199" t="str">
        <f t="shared" ca="1" si="15"/>
        <v>FUBIETH</v>
      </c>
      <c r="L199" t="str">
        <f ca="1">UPPER($P199&amp;$N199&amp;IF(OR(NOT(ISERROR(SEARCH("trade",Q199))),NOT(ISERROR(SEARCH("balance",Q199)))),"",Q199))</f>
        <v>FUBI-METH</v>
      </c>
      <c r="N199" s="161" t="str">
        <f ca="1">IF(raw_exchange_data!$A198="","",OFFSET(raw_exchange_data!$A198,0,MATCH(N$2,raw_exchange_data!$1:$1,0)-1))</f>
        <v>ETH</v>
      </c>
      <c r="O199" s="161" t="str">
        <f ca="1">IF(raw_exchange_data!$A198="","",OFFSET(raw_exchange_data!$A198,0,MATCH(O$2,raw_exchange_data!$1:$1,0)-1))</f>
        <v>FUBI</v>
      </c>
      <c r="P199" s="161" t="str">
        <f ca="1">IF(raw_exchange_data!$A198="","",OFFSET(raw_exchange_data!$A198,0,MATCH(P$2,raw_exchange_data!$1:$1,0)-1))</f>
        <v>FUBI-M</v>
      </c>
      <c r="Q199" s="161" t="str">
        <f ca="1">IF(raw_exchange_data!$A198="","",TEXT(OFFSET(raw_exchange_data!$A198,0,MATCH(Q$2,raw_exchange_data!$1:$1,0)-1),""))</f>
        <v/>
      </c>
      <c r="R199" s="162">
        <f ca="1">IF(raw_exchange_data!$A198="","",OFFSET(raw_exchange_data!$A198,0,MATCH(R$2,raw_exchange_data!$1:$1,0)-1))</f>
        <v>9.533775E-4</v>
      </c>
      <c r="S199" s="190">
        <f ca="1">IF(raw_exchange_data!$A198="","",OFFSET(raw_exchange_data!$A198,0,MATCH(S$2,raw_exchange_data!$1:$1,0)-1))</f>
        <v>44937.669656134261</v>
      </c>
      <c r="T199" s="161">
        <v>1</v>
      </c>
      <c r="W199" t="str">
        <f t="shared" si="16"/>
        <v>HUBI</v>
      </c>
      <c r="X199" t="str">
        <f t="shared" si="17"/>
        <v>XRP</v>
      </c>
      <c r="Y199" s="42">
        <f t="shared" si="18"/>
        <v>1.9184000000000001E-4</v>
      </c>
      <c r="Z199" s="42">
        <f t="shared" ca="1" si="19"/>
        <v>1.9184280000000001E-4</v>
      </c>
      <c r="AC199"/>
      <c r="AD199"/>
    </row>
    <row r="200" spans="1:30" x14ac:dyDescent="0.25">
      <c r="A200" t="str">
        <f>IF(Summary_Exchange_Balances_00UTC!$B199="","",Summary_Exchange_Balances_00UTC!$N199)</f>
        <v>HUBI</v>
      </c>
      <c r="B200" t="str">
        <f>IF(Summary_Exchange_Balances_00UTC!$B199="","",Summary_Exchange_Balances_00UTC!$B199)</f>
        <v>HUBI-1-M-P</v>
      </c>
      <c r="C200" t="str">
        <f>IF(Summary_Exchange_Balances_00UTC!$B199="","",Summary_Exchange_Balances_00UTC!$E199)</f>
        <v>YFII</v>
      </c>
      <c r="D200" t="str">
        <f>IF(OR(Summary_Exchange_Balances_00UTC!$B199="",Summary_Exchange_Balances_00UTC!$D199=""),"",Summary_Exchange_Balances_00UTC!$D199)</f>
        <v>Balance</v>
      </c>
      <c r="E200" s="52">
        <f>IF(Summary_Exchange_Balances_00UTC!$B199="","",Summary_Exchange_Balances_00UTC!$C199)</f>
        <v>2.4299999999999999E-3</v>
      </c>
      <c r="G200" s="52">
        <f ca="1">IF(Summary_Exchange_Balances_00UTC!$B199="","",VLOOKUP(IF(ISERROR(SEARCH(" ", $B200)),UPPER($B200&amp;$C200&amp;IF(OR(NOT(ISERROR(SEARCH("trade",$D200))),NOT(ISERROR(SEARCH("balance",$D200)))),"",$D200)),UPPER(LEFT($B200, SEARCH(" ",$B200)-1)&amp;$C200&amp;IF(OR(NOT(ISERROR(SEARCH("trade",$D200))),NOT(ISERROR(SEARCH("balance",$D200)))),"",$D200))),$L:$T,MATCH("balance",$L$2:$S$2,0),FALSE))</f>
        <v>2.4299999999999999E-3</v>
      </c>
      <c r="H200" s="35">
        <f ca="1">IF(Summary_Exchange_Balances_00UTC!$B199="","",(G200-E200)/E200)</f>
        <v>0</v>
      </c>
      <c r="I200" s="165">
        <f ca="1">IF(Summary_Exchange_Balances_00UTC!$B199="","",IF(ISERROR($G200),$E200,$G200))</f>
        <v>2.4299999999999999E-3</v>
      </c>
      <c r="K200" t="str">
        <f t="shared" ca="1" si="15"/>
        <v>FUBILINK</v>
      </c>
      <c r="L200" t="str">
        <f ca="1">UPPER($P200&amp;$N200&amp;IF(OR(NOT(ISERROR(SEARCH("trade",Q200))),NOT(ISERROR(SEARCH("balance",Q200)))),"",Q200))</f>
        <v>FUBI-MLINK</v>
      </c>
      <c r="N200" s="161" t="str">
        <f ca="1">IF(raw_exchange_data!$A199="","",OFFSET(raw_exchange_data!$A199,0,MATCH(N$2,raw_exchange_data!$1:$1,0)-1))</f>
        <v>LINK</v>
      </c>
      <c r="O200" s="161" t="str">
        <f ca="1">IF(raw_exchange_data!$A199="","",OFFSET(raw_exchange_data!$A199,0,MATCH(O$2,raw_exchange_data!$1:$1,0)-1))</f>
        <v>FUBI</v>
      </c>
      <c r="P200" s="161" t="str">
        <f ca="1">IF(raw_exchange_data!$A199="","",OFFSET(raw_exchange_data!$A199,0,MATCH(P$2,raw_exchange_data!$1:$1,0)-1))</f>
        <v>FUBI-M</v>
      </c>
      <c r="Q200" s="161" t="str">
        <f ca="1">IF(raw_exchange_data!$A199="","",TEXT(OFFSET(raw_exchange_data!$A199,0,MATCH(Q$2,raw_exchange_data!$1:$1,0)-1),""))</f>
        <v/>
      </c>
      <c r="R200" s="162">
        <f ca="1">IF(raw_exchange_data!$A199="","",OFFSET(raw_exchange_data!$A199,0,MATCH(R$2,raw_exchange_data!$1:$1,0)-1))</f>
        <v>6.2442432399999998E-2</v>
      </c>
      <c r="S200" s="190">
        <f ca="1">IF(raw_exchange_data!$A199="","",OFFSET(raw_exchange_data!$A199,0,MATCH(S$2,raw_exchange_data!$1:$1,0)-1))</f>
        <v>44937.669656134261</v>
      </c>
      <c r="T200" s="161">
        <v>1</v>
      </c>
      <c r="W200" t="str">
        <f t="shared" si="16"/>
        <v>HUBI</v>
      </c>
      <c r="X200" t="str">
        <f t="shared" si="17"/>
        <v>YFII</v>
      </c>
      <c r="Y200" s="42">
        <f t="shared" si="18"/>
        <v>2.4299999999999999E-3</v>
      </c>
      <c r="Z200" s="42">
        <f t="shared" ca="1" si="19"/>
        <v>2.4299999999999999E-3</v>
      </c>
      <c r="AC200"/>
      <c r="AD200"/>
    </row>
    <row r="201" spans="1:30" x14ac:dyDescent="0.25">
      <c r="A201" t="str">
        <f>IF(Summary_Exchange_Balances_00UTC!$B200="","",Summary_Exchange_Balances_00UTC!$N200)</f>
        <v>HUBI</v>
      </c>
      <c r="B201" t="str">
        <f>IF(Summary_Exchange_Balances_00UTC!$B200="","",Summary_Exchange_Balances_00UTC!$B200)</f>
        <v>HUBI-1-M-PT</v>
      </c>
      <c r="C201" t="str">
        <f>IF(Summary_Exchange_Balances_00UTC!$B200="","",Summary_Exchange_Balances_00UTC!$E200)</f>
        <v>USDT</v>
      </c>
      <c r="D201" t="str">
        <f>IF(OR(Summary_Exchange_Balances_00UTC!$B200="",Summary_Exchange_Balances_00UTC!$D200=""),"",Summary_Exchange_Balances_00UTC!$D200)</f>
        <v>Balance</v>
      </c>
      <c r="E201" s="52">
        <f>IF(Summary_Exchange_Balances_00UTC!$B200="","",Summary_Exchange_Balances_00UTC!$C200)</f>
        <v>38063.850801009998</v>
      </c>
      <c r="G201" s="52" t="e">
        <f ca="1">IF(Summary_Exchange_Balances_00UTC!$B200="","",VLOOKUP(IF(ISERROR(SEARCH(" ", $B201)),UPPER($B201&amp;$C201&amp;IF(OR(NOT(ISERROR(SEARCH("trade",$D201))),NOT(ISERROR(SEARCH("balance",$D201)))),"",$D201)),UPPER(LEFT($B201, SEARCH(" ",$B201)-1)&amp;$C201&amp;IF(OR(NOT(ISERROR(SEARCH("trade",$D201))),NOT(ISERROR(SEARCH("balance",$D201)))),"",$D201))),$L:$T,MATCH("balance",$L$2:$S$2,0),FALSE))</f>
        <v>#N/A</v>
      </c>
      <c r="H201" s="35" t="e">
        <f ca="1">IF(Summary_Exchange_Balances_00UTC!$B200="","",(G201-E201)/E201)</f>
        <v>#N/A</v>
      </c>
      <c r="I201" s="165">
        <f ca="1">IF(Summary_Exchange_Balances_00UTC!$B200="","",IF(ISERROR($G201),$E201,$G201))</f>
        <v>38063.850801009998</v>
      </c>
      <c r="K201" t="str">
        <f t="shared" ca="1" si="15"/>
        <v>FUBILTC</v>
      </c>
      <c r="L201" t="str">
        <f ca="1">UPPER($P201&amp;$N201&amp;IF(OR(NOT(ISERROR(SEARCH("trade",Q201))),NOT(ISERROR(SEARCH("balance",Q201)))),"",Q201))</f>
        <v>FUBI-MLTC</v>
      </c>
      <c r="N201" s="161" t="str">
        <f ca="1">IF(raw_exchange_data!$A200="","",OFFSET(raw_exchange_data!$A200,0,MATCH(N$2,raw_exchange_data!$1:$1,0)-1))</f>
        <v>LTC</v>
      </c>
      <c r="O201" s="161" t="str">
        <f ca="1">IF(raw_exchange_data!$A200="","",OFFSET(raw_exchange_data!$A200,0,MATCH(O$2,raw_exchange_data!$1:$1,0)-1))</f>
        <v>FUBI</v>
      </c>
      <c r="P201" s="161" t="str">
        <f ca="1">IF(raw_exchange_data!$A200="","",OFFSET(raw_exchange_data!$A200,0,MATCH(P$2,raw_exchange_data!$1:$1,0)-1))</f>
        <v>FUBI-M</v>
      </c>
      <c r="Q201" s="161" t="str">
        <f ca="1">IF(raw_exchange_data!$A200="","",TEXT(OFFSET(raw_exchange_data!$A200,0,MATCH(Q$2,raw_exchange_data!$1:$1,0)-1),""))</f>
        <v/>
      </c>
      <c r="R201" s="162">
        <f ca="1">IF(raw_exchange_data!$A200="","",OFFSET(raw_exchange_data!$A200,0,MATCH(R$2,raw_exchange_data!$1:$1,0)-1))</f>
        <v>7.1564416123000001</v>
      </c>
      <c r="S201" s="190">
        <f ca="1">IF(raw_exchange_data!$A200="","",OFFSET(raw_exchange_data!$A200,0,MATCH(S$2,raw_exchange_data!$1:$1,0)-1))</f>
        <v>44937.669656134261</v>
      </c>
      <c r="T201" s="161">
        <v>1</v>
      </c>
      <c r="W201" t="str">
        <f t="shared" si="16"/>
        <v>HUBI</v>
      </c>
      <c r="X201" t="str">
        <f t="shared" si="17"/>
        <v>USDT</v>
      </c>
      <c r="Y201" s="42">
        <f t="shared" si="18"/>
        <v>38063.850801009998</v>
      </c>
      <c r="Z201" s="42">
        <f t="shared" ca="1" si="19"/>
        <v>0</v>
      </c>
      <c r="AC201"/>
      <c r="AD201"/>
    </row>
    <row r="202" spans="1:30" x14ac:dyDescent="0.25">
      <c r="A202" t="str">
        <f>IF(Summary_Exchange_Balances_00UTC!$B201="","",Summary_Exchange_Balances_00UTC!$N201)</f>
        <v>HUBI</v>
      </c>
      <c r="B202" t="str">
        <f>IF(Summary_Exchange_Balances_00UTC!$B201="","",Summary_Exchange_Balances_00UTC!$B201)</f>
        <v>HUBI-1-M-PT</v>
      </c>
      <c r="C202" t="str">
        <f>IF(Summary_Exchange_Balances_00UTC!$B201="","",Summary_Exchange_Balances_00UTC!$E201)</f>
        <v>USDT</v>
      </c>
      <c r="D202" t="str">
        <f>IF(OR(Summary_Exchange_Balances_00UTC!$B201="",Summary_Exchange_Balances_00UTC!$D201=""),"",Summary_Exchange_Balances_00UTC!$D201)</f>
        <v>Unrealized</v>
      </c>
      <c r="E202" s="52">
        <f>IF(Summary_Exchange_Balances_00UTC!$B201="","",Summary_Exchange_Balances_00UTC!$C201)</f>
        <v>170.33860000000001</v>
      </c>
      <c r="G202" s="52" t="e">
        <f ca="1">IF(Summary_Exchange_Balances_00UTC!$B201="","",VLOOKUP(IF(ISERROR(SEARCH(" ", $B202)),UPPER($B202&amp;$C202&amp;IF(OR(NOT(ISERROR(SEARCH("trade",$D202))),NOT(ISERROR(SEARCH("balance",$D202)))),"",$D202)),UPPER(LEFT($B202, SEARCH(" ",$B202)-1)&amp;$C202&amp;IF(OR(NOT(ISERROR(SEARCH("trade",$D202))),NOT(ISERROR(SEARCH("balance",$D202)))),"",$D202))),$L:$T,MATCH("balance",$L$2:$S$2,0),FALSE))</f>
        <v>#N/A</v>
      </c>
      <c r="H202" s="35" t="e">
        <f ca="1">IF(Summary_Exchange_Balances_00UTC!$B201="","",(G202-E202)/E202)</f>
        <v>#N/A</v>
      </c>
      <c r="I202" s="165">
        <f ca="1">IF(Summary_Exchange_Balances_00UTC!$B201="","",IF(ISERROR($G202),$E202,$G202))</f>
        <v>170.33860000000001</v>
      </c>
      <c r="K202" t="str">
        <f t="shared" ca="1" si="15"/>
        <v>FUBITRX</v>
      </c>
      <c r="L202" t="str">
        <f ca="1">UPPER($P202&amp;$N202&amp;IF(OR(NOT(ISERROR(SEARCH("trade",Q202))),NOT(ISERROR(SEARCH("balance",Q202)))),"",Q202))</f>
        <v>FUBI-MTRX</v>
      </c>
      <c r="N202" s="161" t="str">
        <f ca="1">IF(raw_exchange_data!$A201="","",OFFSET(raw_exchange_data!$A201,0,MATCH(N$2,raw_exchange_data!$1:$1,0)-1))</f>
        <v>TRX</v>
      </c>
      <c r="O202" s="161" t="str">
        <f ca="1">IF(raw_exchange_data!$A201="","",OFFSET(raw_exchange_data!$A201,0,MATCH(O$2,raw_exchange_data!$1:$1,0)-1))</f>
        <v>FUBI</v>
      </c>
      <c r="P202" s="161" t="str">
        <f ca="1">IF(raw_exchange_data!$A201="","",OFFSET(raw_exchange_data!$A201,0,MATCH(P$2,raw_exchange_data!$1:$1,0)-1))</f>
        <v>FUBI-M</v>
      </c>
      <c r="Q202" s="161" t="str">
        <f ca="1">IF(raw_exchange_data!$A201="","",TEXT(OFFSET(raw_exchange_data!$A201,0,MATCH(Q$2,raw_exchange_data!$1:$1,0)-1),""))</f>
        <v/>
      </c>
      <c r="R202" s="162">
        <f ca="1">IF(raw_exchange_data!$A201="","",OFFSET(raw_exchange_data!$A201,0,MATCH(R$2,raw_exchange_data!$1:$1,0)-1))</f>
        <v>0.95766241559999998</v>
      </c>
      <c r="S202" s="190">
        <f ca="1">IF(raw_exchange_data!$A201="","",OFFSET(raw_exchange_data!$A201,0,MATCH(S$2,raw_exchange_data!$1:$1,0)-1))</f>
        <v>44937.669656134261</v>
      </c>
      <c r="T202" s="161">
        <v>1</v>
      </c>
      <c r="W202" t="str">
        <f t="shared" si="16"/>
        <v>HUBI</v>
      </c>
      <c r="X202" t="str">
        <f t="shared" si="17"/>
        <v>USDT</v>
      </c>
      <c r="Y202" s="42">
        <f t="shared" si="18"/>
        <v>170.33860000000001</v>
      </c>
      <c r="Z202" s="42">
        <f t="shared" ca="1" si="19"/>
        <v>0</v>
      </c>
      <c r="AC202"/>
      <c r="AD202"/>
    </row>
    <row r="203" spans="1:30" x14ac:dyDescent="0.25">
      <c r="A203" t="str">
        <f>IF(Summary_Exchange_Balances_00UTC!$B202="","",Summary_Exchange_Balances_00UTC!$N202)</f>
        <v>HUBI</v>
      </c>
      <c r="B203" t="str">
        <f>IF(Summary_Exchange_Balances_00UTC!$B202="","",Summary_Exchange_Balances_00UTC!$B202)</f>
        <v>HUBI-E</v>
      </c>
      <c r="C203" t="str">
        <f>IF(Summary_Exchange_Balances_00UTC!$B202="","",Summary_Exchange_Balances_00UTC!$E202)</f>
        <v>AAC</v>
      </c>
      <c r="D203" t="str">
        <f>IF(OR(Summary_Exchange_Balances_00UTC!$B202="",Summary_Exchange_Balances_00UTC!$D202=""),"",Summary_Exchange_Balances_00UTC!$D202)</f>
        <v/>
      </c>
      <c r="E203" s="52">
        <f>IF(Summary_Exchange_Balances_00UTC!$B202="","",Summary_Exchange_Balances_00UTC!$C202)</f>
        <v>377.09760540000002</v>
      </c>
      <c r="G203" s="52">
        <f ca="1">IF(Summary_Exchange_Balances_00UTC!$B202="","",VLOOKUP(IF(ISERROR(SEARCH(" ", $B203)),UPPER($B203&amp;$C203&amp;IF(OR(NOT(ISERROR(SEARCH("trade",$D203))),NOT(ISERROR(SEARCH("balance",$D203)))),"",$D203)),UPPER(LEFT($B203, SEARCH(" ",$B203)-1)&amp;$C203&amp;IF(OR(NOT(ISERROR(SEARCH("trade",$D203))),NOT(ISERROR(SEARCH("balance",$D203)))),"",$D203))),$L:$T,MATCH("balance",$L$2:$S$2,0),FALSE))</f>
        <v>377.09760540000002</v>
      </c>
      <c r="H203" s="35">
        <f ca="1">IF(Summary_Exchange_Balances_00UTC!$B202="","",(G203-E203)/E203)</f>
        <v>0</v>
      </c>
      <c r="I203" s="165">
        <f ca="1">IF(Summary_Exchange_Balances_00UTC!$B202="","",IF(ISERROR($G203),$E203,$G203))</f>
        <v>377.09760540000002</v>
      </c>
      <c r="K203" t="str">
        <f t="shared" ca="1" si="15"/>
        <v>FUBIXRP</v>
      </c>
      <c r="L203" t="str">
        <f ca="1">UPPER($P203&amp;$N203&amp;IF(OR(NOT(ISERROR(SEARCH("trade",Q203))),NOT(ISERROR(SEARCH("balance",Q203)))),"",Q203))</f>
        <v>FUBI-MXRP</v>
      </c>
      <c r="N203" s="161" t="str">
        <f ca="1">IF(raw_exchange_data!$A202="","",OFFSET(raw_exchange_data!$A202,0,MATCH(N$2,raw_exchange_data!$1:$1,0)-1))</f>
        <v>XRP</v>
      </c>
      <c r="O203" s="161" t="str">
        <f ca="1">IF(raw_exchange_data!$A202="","",OFFSET(raw_exchange_data!$A202,0,MATCH(O$2,raw_exchange_data!$1:$1,0)-1))</f>
        <v>FUBI</v>
      </c>
      <c r="P203" s="161" t="str">
        <f ca="1">IF(raw_exchange_data!$A202="","",OFFSET(raw_exchange_data!$A202,0,MATCH(P$2,raw_exchange_data!$1:$1,0)-1))</f>
        <v>FUBI-M</v>
      </c>
      <c r="Q203" s="161" t="str">
        <f ca="1">IF(raw_exchange_data!$A202="","",TEXT(OFFSET(raw_exchange_data!$A202,0,MATCH(Q$2,raw_exchange_data!$1:$1,0)-1),""))</f>
        <v/>
      </c>
      <c r="R203" s="162">
        <f ca="1">IF(raw_exchange_data!$A202="","",OFFSET(raw_exchange_data!$A202,0,MATCH(R$2,raw_exchange_data!$1:$1,0)-1))</f>
        <v>0.54364484400000002</v>
      </c>
      <c r="S203" s="190">
        <f ca="1">IF(raw_exchange_data!$A202="","",OFFSET(raw_exchange_data!$A202,0,MATCH(S$2,raw_exchange_data!$1:$1,0)-1))</f>
        <v>44937.669656134261</v>
      </c>
      <c r="T203" s="161">
        <v>1</v>
      </c>
      <c r="W203" t="str">
        <f t="shared" si="16"/>
        <v>HUBI</v>
      </c>
      <c r="X203" t="str">
        <f t="shared" si="17"/>
        <v>AAC</v>
      </c>
      <c r="Y203" s="42">
        <f t="shared" si="18"/>
        <v>377.09760540000002</v>
      </c>
      <c r="Z203" s="42">
        <f t="shared" ca="1" si="19"/>
        <v>377.09760540000002</v>
      </c>
      <c r="AC203"/>
      <c r="AD203"/>
    </row>
    <row r="204" spans="1:30" x14ac:dyDescent="0.25">
      <c r="A204" t="str">
        <f>IF(Summary_Exchange_Balances_00UTC!$B203="","",Summary_Exchange_Balances_00UTC!$N203)</f>
        <v>HUBI</v>
      </c>
      <c r="B204" t="str">
        <f>IF(Summary_Exchange_Balances_00UTC!$B203="","",Summary_Exchange_Balances_00UTC!$B203)</f>
        <v>HUBI-E</v>
      </c>
      <c r="C204" t="str">
        <f>IF(Summary_Exchange_Balances_00UTC!$B203="","",Summary_Exchange_Balances_00UTC!$E203)</f>
        <v>ADA</v>
      </c>
      <c r="D204" t="str">
        <f>IF(OR(Summary_Exchange_Balances_00UTC!$B203="",Summary_Exchange_Balances_00UTC!$D203=""),"",Summary_Exchange_Balances_00UTC!$D203)</f>
        <v/>
      </c>
      <c r="E204" s="52">
        <f>IF(Summary_Exchange_Balances_00UTC!$B203="","",Summary_Exchange_Balances_00UTC!$C203)</f>
        <v>1.1000000000000001E-7</v>
      </c>
      <c r="G204" s="52">
        <f ca="1">IF(Summary_Exchange_Balances_00UTC!$B203="","",VLOOKUP(IF(ISERROR(SEARCH(" ", $B204)),UPPER($B204&amp;$C204&amp;IF(OR(NOT(ISERROR(SEARCH("trade",$D204))),NOT(ISERROR(SEARCH("balance",$D204)))),"",$D204)),UPPER(LEFT($B204, SEARCH(" ",$B204)-1)&amp;$C204&amp;IF(OR(NOT(ISERROR(SEARCH("trade",$D204))),NOT(ISERROR(SEARCH("balance",$D204)))),"",$D204))),$L:$T,MATCH("balance",$L$2:$S$2,0),FALSE))</f>
        <v>1.1000000000000001E-7</v>
      </c>
      <c r="H204" s="35">
        <f ca="1">IF(Summary_Exchange_Balances_00UTC!$B203="","",(G204-E204)/E204)</f>
        <v>0</v>
      </c>
      <c r="I204" s="165">
        <f ca="1">IF(Summary_Exchange_Balances_00UTC!$B203="","",IF(ISERROR($G204),$E204,$G204))</f>
        <v>1.1000000000000001E-7</v>
      </c>
      <c r="K204" t="str">
        <f t="shared" ca="1" si="15"/>
        <v>HUB2ADA</v>
      </c>
      <c r="L204" t="str">
        <f ca="1">UPPER($P204&amp;$N204&amp;IF(OR(NOT(ISERROR(SEARCH("trade",Q204))),NOT(ISERROR(SEARCH("balance",Q204)))),"",Q204))</f>
        <v>HUB2-MADA</v>
      </c>
      <c r="N204" s="161" t="str">
        <f ca="1">IF(raw_exchange_data!$A203="","",OFFSET(raw_exchange_data!$A203,0,MATCH(N$2,raw_exchange_data!$1:$1,0)-1))</f>
        <v>ADA</v>
      </c>
      <c r="O204" s="161" t="str">
        <f ca="1">IF(raw_exchange_data!$A203="","",OFFSET(raw_exchange_data!$A203,0,MATCH(O$2,raw_exchange_data!$1:$1,0)-1))</f>
        <v>HUB2</v>
      </c>
      <c r="P204" s="161" t="str">
        <f ca="1">IF(raw_exchange_data!$A203="","",OFFSET(raw_exchange_data!$A203,0,MATCH(P$2,raw_exchange_data!$1:$1,0)-1))</f>
        <v>HUB2-M</v>
      </c>
      <c r="Q204" s="161" t="str">
        <f ca="1">IF(raw_exchange_data!$A203="","",TEXT(OFFSET(raw_exchange_data!$A203,0,MATCH(Q$2,raw_exchange_data!$1:$1,0)-1),""))</f>
        <v>trade</v>
      </c>
      <c r="R204" s="162">
        <f ca="1">IF(raw_exchange_data!$A203="","",OFFSET(raw_exchange_data!$A203,0,MATCH(R$2,raw_exchange_data!$1:$1,0)-1))</f>
        <v>1E-8</v>
      </c>
      <c r="S204" s="190">
        <f ca="1">IF(raw_exchange_data!$A203="","",OFFSET(raw_exchange_data!$A203,0,MATCH(S$2,raw_exchange_data!$1:$1,0)-1))</f>
        <v>44937.66666790509</v>
      </c>
      <c r="T204" s="161">
        <v>1</v>
      </c>
      <c r="W204" t="str">
        <f t="shared" si="16"/>
        <v>HUBI</v>
      </c>
      <c r="X204" t="str">
        <f t="shared" si="17"/>
        <v>ADA</v>
      </c>
      <c r="Y204" s="42">
        <f t="shared" si="18"/>
        <v>1.1000000000000001E-7</v>
      </c>
      <c r="Z204" s="42">
        <f t="shared" ca="1" si="19"/>
        <v>1.1000000000000001E-7</v>
      </c>
      <c r="AC204"/>
      <c r="AD204"/>
    </row>
    <row r="205" spans="1:30" x14ac:dyDescent="0.25">
      <c r="A205" t="str">
        <f>IF(Summary_Exchange_Balances_00UTC!$B204="","",Summary_Exchange_Balances_00UTC!$N204)</f>
        <v>HUBI</v>
      </c>
      <c r="B205" t="str">
        <f>IF(Summary_Exchange_Balances_00UTC!$B204="","",Summary_Exchange_Balances_00UTC!$B204)</f>
        <v>HUBI-E</v>
      </c>
      <c r="C205" t="str">
        <f>IF(Summary_Exchange_Balances_00UTC!$B204="","",Summary_Exchange_Balances_00UTC!$E204)</f>
        <v>ALGO</v>
      </c>
      <c r="D205" t="str">
        <f>IF(OR(Summary_Exchange_Balances_00UTC!$B204="",Summary_Exchange_Balances_00UTC!$D204=""),"",Summary_Exchange_Balances_00UTC!$D204)</f>
        <v/>
      </c>
      <c r="E205" s="52">
        <f>IF(Summary_Exchange_Balances_00UTC!$B204="","",Summary_Exchange_Balances_00UTC!$C204)</f>
        <v>2.6E-7</v>
      </c>
      <c r="G205" s="52">
        <f ca="1">IF(Summary_Exchange_Balances_00UTC!$B204="","",VLOOKUP(IF(ISERROR(SEARCH(" ", $B205)),UPPER($B205&amp;$C205&amp;IF(OR(NOT(ISERROR(SEARCH("trade",$D205))),NOT(ISERROR(SEARCH("balance",$D205)))),"",$D205)),UPPER(LEFT($B205, SEARCH(" ",$B205)-1)&amp;$C205&amp;IF(OR(NOT(ISERROR(SEARCH("trade",$D205))),NOT(ISERROR(SEARCH("balance",$D205)))),"",$D205))),$L:$T,MATCH("balance",$L$2:$S$2,0),FALSE))</f>
        <v>2.6E-7</v>
      </c>
      <c r="H205" s="35">
        <f ca="1">IF(Summary_Exchange_Balances_00UTC!$B204="","",(G205-E205)/E205)</f>
        <v>0</v>
      </c>
      <c r="I205" s="165">
        <f ca="1">IF(Summary_Exchange_Balances_00UTC!$B204="","",IF(ISERROR($G205),$E205,$G205))</f>
        <v>2.6E-7</v>
      </c>
      <c r="K205" t="str">
        <f t="shared" ca="1" si="15"/>
        <v>HUB2BCH</v>
      </c>
      <c r="L205" t="str">
        <f ca="1">UPPER($P205&amp;$N205&amp;IF(OR(NOT(ISERROR(SEARCH("trade",Q205))),NOT(ISERROR(SEARCH("balance",Q205)))),"",Q205))</f>
        <v>HUB2-MBCH</v>
      </c>
      <c r="N205" s="161" t="str">
        <f ca="1">IF(raw_exchange_data!$A204="","",OFFSET(raw_exchange_data!$A204,0,MATCH(N$2,raw_exchange_data!$1:$1,0)-1))</f>
        <v>BCH</v>
      </c>
      <c r="O205" s="161" t="str">
        <f ca="1">IF(raw_exchange_data!$A204="","",OFFSET(raw_exchange_data!$A204,0,MATCH(O$2,raw_exchange_data!$1:$1,0)-1))</f>
        <v>HUB2</v>
      </c>
      <c r="P205" s="161" t="str">
        <f ca="1">IF(raw_exchange_data!$A204="","",OFFSET(raw_exchange_data!$A204,0,MATCH(P$2,raw_exchange_data!$1:$1,0)-1))</f>
        <v>HUB2-M</v>
      </c>
      <c r="Q205" s="161" t="str">
        <f ca="1">IF(raw_exchange_data!$A204="","",TEXT(OFFSET(raw_exchange_data!$A204,0,MATCH(Q$2,raw_exchange_data!$1:$1,0)-1),""))</f>
        <v>trade</v>
      </c>
      <c r="R205" s="162">
        <f ca="1">IF(raw_exchange_data!$A204="","",OFFSET(raw_exchange_data!$A204,0,MATCH(R$2,raw_exchange_data!$1:$1,0)-1))</f>
        <v>1E-8</v>
      </c>
      <c r="S205" s="190">
        <f ca="1">IF(raw_exchange_data!$A204="","",OFFSET(raw_exchange_data!$A204,0,MATCH(S$2,raw_exchange_data!$1:$1,0)-1))</f>
        <v>44937.66666790509</v>
      </c>
      <c r="T205" s="161">
        <v>1</v>
      </c>
      <c r="W205" t="str">
        <f t="shared" si="16"/>
        <v>HUBI</v>
      </c>
      <c r="X205" t="str">
        <f t="shared" si="17"/>
        <v>ALGO</v>
      </c>
      <c r="Y205" s="42">
        <f t="shared" si="18"/>
        <v>2.6E-7</v>
      </c>
      <c r="Z205" s="42">
        <f t="shared" ca="1" si="19"/>
        <v>2.6E-7</v>
      </c>
      <c r="AC205"/>
      <c r="AD205"/>
    </row>
    <row r="206" spans="1:30" x14ac:dyDescent="0.25">
      <c r="A206" t="str">
        <f>IF(Summary_Exchange_Balances_00UTC!$B205="","",Summary_Exchange_Balances_00UTC!$N205)</f>
        <v>HUBI</v>
      </c>
      <c r="B206" t="str">
        <f>IF(Summary_Exchange_Balances_00UTC!$B205="","",Summary_Exchange_Balances_00UTC!$B205)</f>
        <v>HUBI-E</v>
      </c>
      <c r="C206" t="str">
        <f>IF(Summary_Exchange_Balances_00UTC!$B205="","",Summary_Exchange_Balances_00UTC!$E205)</f>
        <v>ARPA</v>
      </c>
      <c r="D206" t="str">
        <f>IF(OR(Summary_Exchange_Balances_00UTC!$B205="",Summary_Exchange_Balances_00UTC!$D205=""),"",Summary_Exchange_Balances_00UTC!$D205)</f>
        <v/>
      </c>
      <c r="E206" s="52">
        <f>IF(Summary_Exchange_Balances_00UTC!$B205="","",Summary_Exchange_Balances_00UTC!$C205)</f>
        <v>0.53247394999999997</v>
      </c>
      <c r="G206" s="52">
        <f ca="1">IF(Summary_Exchange_Balances_00UTC!$B205="","",VLOOKUP(IF(ISERROR(SEARCH(" ", $B206)),UPPER($B206&amp;$C206&amp;IF(OR(NOT(ISERROR(SEARCH("trade",$D206))),NOT(ISERROR(SEARCH("balance",$D206)))),"",$D206)),UPPER(LEFT($B206, SEARCH(" ",$B206)-1)&amp;$C206&amp;IF(OR(NOT(ISERROR(SEARCH("trade",$D206))),NOT(ISERROR(SEARCH("balance",$D206)))),"",$D206))),$L:$T,MATCH("balance",$L$2:$S$2,0),FALSE))</f>
        <v>0.53247394999999997</v>
      </c>
      <c r="H206" s="35">
        <f ca="1">IF(Summary_Exchange_Balances_00UTC!$B205="","",(G206-E206)/E206)</f>
        <v>0</v>
      </c>
      <c r="I206" s="165">
        <f ca="1">IF(Summary_Exchange_Balances_00UTC!$B205="","",IF(ISERROR($G206),$E206,$G206))</f>
        <v>0.53247394999999997</v>
      </c>
      <c r="K206" t="str">
        <f t="shared" ca="1" si="15"/>
        <v>HUB2BSV</v>
      </c>
      <c r="L206" t="str">
        <f ca="1">UPPER($P206&amp;$N206&amp;IF(OR(NOT(ISERROR(SEARCH("trade",Q206))),NOT(ISERROR(SEARCH("balance",Q206)))),"",Q206))</f>
        <v>HUB2-MBSV</v>
      </c>
      <c r="N206" s="161" t="str">
        <f ca="1">IF(raw_exchange_data!$A205="","",OFFSET(raw_exchange_data!$A205,0,MATCH(N$2,raw_exchange_data!$1:$1,0)-1))</f>
        <v>BSV</v>
      </c>
      <c r="O206" s="161" t="str">
        <f ca="1">IF(raw_exchange_data!$A205="","",OFFSET(raw_exchange_data!$A205,0,MATCH(O$2,raw_exchange_data!$1:$1,0)-1))</f>
        <v>HUB2</v>
      </c>
      <c r="P206" s="161" t="str">
        <f ca="1">IF(raw_exchange_data!$A205="","",OFFSET(raw_exchange_data!$A205,0,MATCH(P$2,raw_exchange_data!$1:$1,0)-1))</f>
        <v>HUB2-M</v>
      </c>
      <c r="Q206" s="161" t="str">
        <f ca="1">IF(raw_exchange_data!$A205="","",TEXT(OFFSET(raw_exchange_data!$A205,0,MATCH(Q$2,raw_exchange_data!$1:$1,0)-1),""))</f>
        <v>trade</v>
      </c>
      <c r="R206" s="162">
        <f ca="1">IF(raw_exchange_data!$A205="","",OFFSET(raw_exchange_data!$A205,0,MATCH(R$2,raw_exchange_data!$1:$1,0)-1))</f>
        <v>1E-8</v>
      </c>
      <c r="S206" s="190">
        <f ca="1">IF(raw_exchange_data!$A205="","",OFFSET(raw_exchange_data!$A205,0,MATCH(S$2,raw_exchange_data!$1:$1,0)-1))</f>
        <v>44937.66666790509</v>
      </c>
      <c r="T206" s="161">
        <v>1</v>
      </c>
      <c r="W206" t="str">
        <f t="shared" si="16"/>
        <v>HUBI</v>
      </c>
      <c r="X206" t="str">
        <f t="shared" si="17"/>
        <v>ARPA</v>
      </c>
      <c r="Y206" s="42">
        <f t="shared" si="18"/>
        <v>0.53247394999999997</v>
      </c>
      <c r="Z206" s="42">
        <f t="shared" ca="1" si="19"/>
        <v>0.53247394999999997</v>
      </c>
      <c r="AC206"/>
      <c r="AD206"/>
    </row>
    <row r="207" spans="1:30" x14ac:dyDescent="0.25">
      <c r="A207" t="str">
        <f>IF(Summary_Exchange_Balances_00UTC!$B206="","",Summary_Exchange_Balances_00UTC!$N206)</f>
        <v>HUBI</v>
      </c>
      <c r="B207" t="str">
        <f>IF(Summary_Exchange_Balances_00UTC!$B206="","",Summary_Exchange_Balances_00UTC!$B206)</f>
        <v>HUBI-E</v>
      </c>
      <c r="C207" t="str">
        <f>IF(Summary_Exchange_Balances_00UTC!$B206="","",Summary_Exchange_Balances_00UTC!$E206)</f>
        <v>ATOM</v>
      </c>
      <c r="D207" t="str">
        <f>IF(OR(Summary_Exchange_Balances_00UTC!$B206="",Summary_Exchange_Balances_00UTC!$D206=""),"",Summary_Exchange_Balances_00UTC!$D206)</f>
        <v/>
      </c>
      <c r="E207" s="52">
        <f>IF(Summary_Exchange_Balances_00UTC!$B206="","",Summary_Exchange_Balances_00UTC!$C206)</f>
        <v>4.3657420000000002E-2</v>
      </c>
      <c r="G207" s="52">
        <f ca="1">IF(Summary_Exchange_Balances_00UTC!$B206="","",VLOOKUP(IF(ISERROR(SEARCH(" ", $B207)),UPPER($B207&amp;$C207&amp;IF(OR(NOT(ISERROR(SEARCH("trade",$D207))),NOT(ISERROR(SEARCH("balance",$D207)))),"",$D207)),UPPER(LEFT($B207, SEARCH(" ",$B207)-1)&amp;$C207&amp;IF(OR(NOT(ISERROR(SEARCH("trade",$D207))),NOT(ISERROR(SEARCH("balance",$D207)))),"",$D207))),$L:$T,MATCH("balance",$L$2:$S$2,0),FALSE))</f>
        <v>4.3657420000000002E-2</v>
      </c>
      <c r="H207" s="35">
        <f ca="1">IF(Summary_Exchange_Balances_00UTC!$B206="","",(G207-E207)/E207)</f>
        <v>0</v>
      </c>
      <c r="I207" s="165">
        <f ca="1">IF(Summary_Exchange_Balances_00UTC!$B206="","",IF(ISERROR($G207),$E207,$G207))</f>
        <v>4.3657420000000002E-2</v>
      </c>
      <c r="K207" t="str">
        <f t="shared" ca="1" si="15"/>
        <v>HUB2EOS</v>
      </c>
      <c r="L207" t="str">
        <f ca="1">UPPER($P207&amp;$N207&amp;IF(OR(NOT(ISERROR(SEARCH("trade",Q207))),NOT(ISERROR(SEARCH("balance",Q207)))),"",Q207))</f>
        <v>HUB2-MEOS</v>
      </c>
      <c r="N207" s="161" t="str">
        <f ca="1">IF(raw_exchange_data!$A206="","",OFFSET(raw_exchange_data!$A206,0,MATCH(N$2,raw_exchange_data!$1:$1,0)-1))</f>
        <v>EOS</v>
      </c>
      <c r="O207" s="161" t="str">
        <f ca="1">IF(raw_exchange_data!$A206="","",OFFSET(raw_exchange_data!$A206,0,MATCH(O$2,raw_exchange_data!$1:$1,0)-1))</f>
        <v>HUB2</v>
      </c>
      <c r="P207" s="161" t="str">
        <f ca="1">IF(raw_exchange_data!$A206="","",OFFSET(raw_exchange_data!$A206,0,MATCH(P$2,raw_exchange_data!$1:$1,0)-1))</f>
        <v>HUB2-M</v>
      </c>
      <c r="Q207" s="161" t="str">
        <f ca="1">IF(raw_exchange_data!$A206="","",TEXT(OFFSET(raw_exchange_data!$A206,0,MATCH(Q$2,raw_exchange_data!$1:$1,0)-1),""))</f>
        <v>trade</v>
      </c>
      <c r="R207" s="162">
        <f ca="1">IF(raw_exchange_data!$A206="","",OFFSET(raw_exchange_data!$A206,0,MATCH(R$2,raw_exchange_data!$1:$1,0)-1))</f>
        <v>1E-8</v>
      </c>
      <c r="S207" s="190">
        <f ca="1">IF(raw_exchange_data!$A206="","",OFFSET(raw_exchange_data!$A206,0,MATCH(S$2,raw_exchange_data!$1:$1,0)-1))</f>
        <v>44937.66666790509</v>
      </c>
      <c r="T207" s="161">
        <v>1</v>
      </c>
      <c r="W207" t="str">
        <f t="shared" si="16"/>
        <v>HUBI</v>
      </c>
      <c r="X207" t="str">
        <f t="shared" si="17"/>
        <v>ATOM</v>
      </c>
      <c r="Y207" s="42">
        <f t="shared" si="18"/>
        <v>4.3657420000000002E-2</v>
      </c>
      <c r="Z207" s="42">
        <f t="shared" ca="1" si="19"/>
        <v>4.3657420000000002E-2</v>
      </c>
      <c r="AC207"/>
      <c r="AD207"/>
    </row>
    <row r="208" spans="1:30" x14ac:dyDescent="0.25">
      <c r="A208" t="str">
        <f>IF(Summary_Exchange_Balances_00UTC!$B207="","",Summary_Exchange_Balances_00UTC!$N207)</f>
        <v>HUBI</v>
      </c>
      <c r="B208" t="str">
        <f>IF(Summary_Exchange_Balances_00UTC!$B207="","",Summary_Exchange_Balances_00UTC!$B207)</f>
        <v>HUBI-E</v>
      </c>
      <c r="C208" t="str">
        <f>IF(Summary_Exchange_Balances_00UTC!$B207="","",Summary_Exchange_Balances_00UTC!$E207)</f>
        <v>AVAX</v>
      </c>
      <c r="D208" t="str">
        <f>IF(OR(Summary_Exchange_Balances_00UTC!$B207="",Summary_Exchange_Balances_00UTC!$D207=""),"",Summary_Exchange_Balances_00UTC!$D207)</f>
        <v/>
      </c>
      <c r="E208" s="52">
        <f>IF(Summary_Exchange_Balances_00UTC!$B207="","",Summary_Exchange_Balances_00UTC!$C207)</f>
        <v>1.5389969999999999E-2</v>
      </c>
      <c r="G208" s="52">
        <f ca="1">IF(Summary_Exchange_Balances_00UTC!$B207="","",VLOOKUP(IF(ISERROR(SEARCH(" ", $B208)),UPPER($B208&amp;$C208&amp;IF(OR(NOT(ISERROR(SEARCH("trade",$D208))),NOT(ISERROR(SEARCH("balance",$D208)))),"",$D208)),UPPER(LEFT($B208, SEARCH(" ",$B208)-1)&amp;$C208&amp;IF(OR(NOT(ISERROR(SEARCH("trade",$D208))),NOT(ISERROR(SEARCH("balance",$D208)))),"",$D208))),$L:$T,MATCH("balance",$L$2:$S$2,0),FALSE))</f>
        <v>1.5389969999999999E-2</v>
      </c>
      <c r="H208" s="35">
        <f ca="1">IF(Summary_Exchange_Balances_00UTC!$B207="","",(G208-E208)/E208)</f>
        <v>0</v>
      </c>
      <c r="I208" s="165">
        <f ca="1">IF(Summary_Exchange_Balances_00UTC!$B207="","",IF(ISERROR($G208),$E208,$G208))</f>
        <v>1.5389969999999999E-2</v>
      </c>
      <c r="K208" t="str">
        <f t="shared" ca="1" si="15"/>
        <v>HUB2ETC</v>
      </c>
      <c r="L208" t="str">
        <f ca="1">UPPER($P208&amp;$N208&amp;IF(OR(NOT(ISERROR(SEARCH("trade",Q208))),NOT(ISERROR(SEARCH("balance",Q208)))),"",Q208))</f>
        <v>HUB2-METC</v>
      </c>
      <c r="N208" s="161" t="str">
        <f ca="1">IF(raw_exchange_data!$A207="","",OFFSET(raw_exchange_data!$A207,0,MATCH(N$2,raw_exchange_data!$1:$1,0)-1))</f>
        <v>ETC</v>
      </c>
      <c r="O208" s="161" t="str">
        <f ca="1">IF(raw_exchange_data!$A207="","",OFFSET(raw_exchange_data!$A207,0,MATCH(O$2,raw_exchange_data!$1:$1,0)-1))</f>
        <v>HUB2</v>
      </c>
      <c r="P208" s="161" t="str">
        <f ca="1">IF(raw_exchange_data!$A207="","",OFFSET(raw_exchange_data!$A207,0,MATCH(P$2,raw_exchange_data!$1:$1,0)-1))</f>
        <v>HUB2-M</v>
      </c>
      <c r="Q208" s="161" t="str">
        <f ca="1">IF(raw_exchange_data!$A207="","",TEXT(OFFSET(raw_exchange_data!$A207,0,MATCH(Q$2,raw_exchange_data!$1:$1,0)-1),""))</f>
        <v>trade</v>
      </c>
      <c r="R208" s="162">
        <f ca="1">IF(raw_exchange_data!$A207="","",OFFSET(raw_exchange_data!$A207,0,MATCH(R$2,raw_exchange_data!$1:$1,0)-1))</f>
        <v>1E-8</v>
      </c>
      <c r="S208" s="190">
        <f ca="1">IF(raw_exchange_data!$A207="","",OFFSET(raw_exchange_data!$A207,0,MATCH(S$2,raw_exchange_data!$1:$1,0)-1))</f>
        <v>44937.66666790509</v>
      </c>
      <c r="T208" s="161">
        <v>1</v>
      </c>
      <c r="W208" t="str">
        <f t="shared" si="16"/>
        <v>HUBI</v>
      </c>
      <c r="X208" t="str">
        <f t="shared" si="17"/>
        <v>AVAX</v>
      </c>
      <c r="Y208" s="42">
        <f t="shared" si="18"/>
        <v>1.5389969999999999E-2</v>
      </c>
      <c r="Z208" s="42">
        <f t="shared" ca="1" si="19"/>
        <v>1.5389969999999999E-2</v>
      </c>
      <c r="AC208"/>
      <c r="AD208"/>
    </row>
    <row r="209" spans="1:30" x14ac:dyDescent="0.25">
      <c r="A209" t="str">
        <f>IF(Summary_Exchange_Balances_00UTC!$B208="","",Summary_Exchange_Balances_00UTC!$N208)</f>
        <v>HUBI</v>
      </c>
      <c r="B209" t="str">
        <f>IF(Summary_Exchange_Balances_00UTC!$B208="","",Summary_Exchange_Balances_00UTC!$B208)</f>
        <v>HUBI-E</v>
      </c>
      <c r="C209" t="str">
        <f>IF(Summary_Exchange_Balances_00UTC!$B208="","",Summary_Exchange_Balances_00UTC!$E208)</f>
        <v>BAT</v>
      </c>
      <c r="D209" t="str">
        <f>IF(OR(Summary_Exchange_Balances_00UTC!$B208="",Summary_Exchange_Balances_00UTC!$D208=""),"",Summary_Exchange_Balances_00UTC!$D208)</f>
        <v/>
      </c>
      <c r="E209" s="52">
        <f>IF(Summary_Exchange_Balances_00UTC!$B208="","",Summary_Exchange_Balances_00UTC!$C208)</f>
        <v>2.0454320000000002E-2</v>
      </c>
      <c r="G209" s="52">
        <f ca="1">IF(Summary_Exchange_Balances_00UTC!$B208="","",VLOOKUP(IF(ISERROR(SEARCH(" ", $B209)),UPPER($B209&amp;$C209&amp;IF(OR(NOT(ISERROR(SEARCH("trade",$D209))),NOT(ISERROR(SEARCH("balance",$D209)))),"",$D209)),UPPER(LEFT($B209, SEARCH(" ",$B209)-1)&amp;$C209&amp;IF(OR(NOT(ISERROR(SEARCH("trade",$D209))),NOT(ISERROR(SEARCH("balance",$D209)))),"",$D209))),$L:$T,MATCH("balance",$L$2:$S$2,0),FALSE))</f>
        <v>2.0454320000000002E-2</v>
      </c>
      <c r="H209" s="35">
        <f ca="1">IF(Summary_Exchange_Balances_00UTC!$B208="","",(G209-E209)/E209)</f>
        <v>0</v>
      </c>
      <c r="I209" s="165">
        <f ca="1">IF(Summary_Exchange_Balances_00UTC!$B208="","",IF(ISERROR($G209),$E209,$G209))</f>
        <v>2.0454320000000002E-2</v>
      </c>
      <c r="K209" t="str">
        <f t="shared" ca="1" si="15"/>
        <v>HUB2ETH</v>
      </c>
      <c r="L209" t="str">
        <f ca="1">UPPER($P209&amp;$N209&amp;IF(OR(NOT(ISERROR(SEARCH("trade",Q209))),NOT(ISERROR(SEARCH("balance",Q209)))),"",Q209))</f>
        <v>HUB2-METH</v>
      </c>
      <c r="N209" s="161" t="str">
        <f ca="1">IF(raw_exchange_data!$A208="","",OFFSET(raw_exchange_data!$A208,0,MATCH(N$2,raw_exchange_data!$1:$1,0)-1))</f>
        <v>ETH</v>
      </c>
      <c r="O209" s="161" t="str">
        <f ca="1">IF(raw_exchange_data!$A208="","",OFFSET(raw_exchange_data!$A208,0,MATCH(O$2,raw_exchange_data!$1:$1,0)-1))</f>
        <v>HUB2</v>
      </c>
      <c r="P209" s="161" t="str">
        <f ca="1">IF(raw_exchange_data!$A208="","",OFFSET(raw_exchange_data!$A208,0,MATCH(P$2,raw_exchange_data!$1:$1,0)-1))</f>
        <v>HUB2-M</v>
      </c>
      <c r="Q209" s="161" t="str">
        <f ca="1">IF(raw_exchange_data!$A208="","",TEXT(OFFSET(raw_exchange_data!$A208,0,MATCH(Q$2,raw_exchange_data!$1:$1,0)-1),""))</f>
        <v>trade</v>
      </c>
      <c r="R209" s="162">
        <f ca="1">IF(raw_exchange_data!$A208="","",OFFSET(raw_exchange_data!$A208,0,MATCH(R$2,raw_exchange_data!$1:$1,0)-1))</f>
        <v>1E-8</v>
      </c>
      <c r="S209" s="190">
        <f ca="1">IF(raw_exchange_data!$A208="","",OFFSET(raw_exchange_data!$A208,0,MATCH(S$2,raw_exchange_data!$1:$1,0)-1))</f>
        <v>44937.66666790509</v>
      </c>
      <c r="T209" s="161">
        <v>1</v>
      </c>
      <c r="W209" t="str">
        <f t="shared" si="16"/>
        <v>HUBI</v>
      </c>
      <c r="X209" t="str">
        <f t="shared" si="17"/>
        <v>BAT</v>
      </c>
      <c r="Y209" s="42">
        <f t="shared" si="18"/>
        <v>2.0454320000000002E-2</v>
      </c>
      <c r="Z209" s="42">
        <f t="shared" ca="1" si="19"/>
        <v>2.0454320000000002E-2</v>
      </c>
      <c r="AC209"/>
      <c r="AD209"/>
    </row>
    <row r="210" spans="1:30" x14ac:dyDescent="0.25">
      <c r="A210" t="str">
        <f>IF(Summary_Exchange_Balances_00UTC!$B209="","",Summary_Exchange_Balances_00UTC!$N209)</f>
        <v>HUBI</v>
      </c>
      <c r="B210" t="str">
        <f>IF(Summary_Exchange_Balances_00UTC!$B209="","",Summary_Exchange_Balances_00UTC!$B209)</f>
        <v>HUBI-E</v>
      </c>
      <c r="C210" t="str">
        <f>IF(Summary_Exchange_Balances_00UTC!$B209="","",Summary_Exchange_Balances_00UTC!$E209)</f>
        <v>BCH</v>
      </c>
      <c r="D210" t="str">
        <f>IF(OR(Summary_Exchange_Balances_00UTC!$B209="",Summary_Exchange_Balances_00UTC!$D209=""),"",Summary_Exchange_Balances_00UTC!$D209)</f>
        <v/>
      </c>
      <c r="E210" s="52">
        <f>IF(Summary_Exchange_Balances_00UTC!$B209="","",Summary_Exchange_Balances_00UTC!$C209)</f>
        <v>22.00176016</v>
      </c>
      <c r="G210" s="52">
        <f ca="1">IF(Summary_Exchange_Balances_00UTC!$B209="","",VLOOKUP(IF(ISERROR(SEARCH(" ", $B210)),UPPER($B210&amp;$C210&amp;IF(OR(NOT(ISERROR(SEARCH("trade",$D210))),NOT(ISERROR(SEARCH("balance",$D210)))),"",$D210)),UPPER(LEFT($B210, SEARCH(" ",$B210)-1)&amp;$C210&amp;IF(OR(NOT(ISERROR(SEARCH("trade",$D210))),NOT(ISERROR(SEARCH("balance",$D210)))),"",$D210))),$L:$T,MATCH("balance",$L$2:$S$2,0),FALSE))</f>
        <v>11.731604239999999</v>
      </c>
      <c r="H210" s="35">
        <f ca="1">IF(Summary_Exchange_Balances_00UTC!$B209="","",(G210-E210)/E210)</f>
        <v>-0.46678792266227487</v>
      </c>
      <c r="I210" s="165">
        <f ca="1">IF(Summary_Exchange_Balances_00UTC!$B209="","",IF(ISERROR($G210),$E210,$G210))</f>
        <v>11.731604239999999</v>
      </c>
      <c r="K210" t="str">
        <f t="shared" ca="1" si="15"/>
        <v>HUB2LINK</v>
      </c>
      <c r="L210" t="str">
        <f ca="1">UPPER($P210&amp;$N210&amp;IF(OR(NOT(ISERROR(SEARCH("trade",Q210))),NOT(ISERROR(SEARCH("balance",Q210)))),"",Q210))</f>
        <v>HUB2-MLINK</v>
      </c>
      <c r="N210" s="161" t="str">
        <f ca="1">IF(raw_exchange_data!$A209="","",OFFSET(raw_exchange_data!$A209,0,MATCH(N$2,raw_exchange_data!$1:$1,0)-1))</f>
        <v>LINK</v>
      </c>
      <c r="O210" s="161" t="str">
        <f ca="1">IF(raw_exchange_data!$A209="","",OFFSET(raw_exchange_data!$A209,0,MATCH(O$2,raw_exchange_data!$1:$1,0)-1))</f>
        <v>HUB2</v>
      </c>
      <c r="P210" s="161" t="str">
        <f ca="1">IF(raw_exchange_data!$A209="","",OFFSET(raw_exchange_data!$A209,0,MATCH(P$2,raw_exchange_data!$1:$1,0)-1))</f>
        <v>HUB2-M</v>
      </c>
      <c r="Q210" s="161" t="str">
        <f ca="1">IF(raw_exchange_data!$A209="","",TEXT(OFFSET(raw_exchange_data!$A209,0,MATCH(Q$2,raw_exchange_data!$1:$1,0)-1),""))</f>
        <v>trade</v>
      </c>
      <c r="R210" s="162">
        <f ca="1">IF(raw_exchange_data!$A209="","",OFFSET(raw_exchange_data!$A209,0,MATCH(R$2,raw_exchange_data!$1:$1,0)-1))</f>
        <v>1E-8</v>
      </c>
      <c r="S210" s="190">
        <f ca="1">IF(raw_exchange_data!$A209="","",OFFSET(raw_exchange_data!$A209,0,MATCH(S$2,raw_exchange_data!$1:$1,0)-1))</f>
        <v>44937.66666790509</v>
      </c>
      <c r="T210" s="161">
        <v>1</v>
      </c>
      <c r="W210" t="str">
        <f t="shared" si="16"/>
        <v>HUBI</v>
      </c>
      <c r="X210" t="str">
        <f t="shared" si="17"/>
        <v>BCH</v>
      </c>
      <c r="Y210" s="42">
        <f t="shared" si="18"/>
        <v>22.00176016</v>
      </c>
      <c r="Z210" s="42">
        <f t="shared" ca="1" si="19"/>
        <v>11.731604239999999</v>
      </c>
      <c r="AC210"/>
      <c r="AD210"/>
    </row>
    <row r="211" spans="1:30" x14ac:dyDescent="0.25">
      <c r="A211" t="str">
        <f>IF(Summary_Exchange_Balances_00UTC!$B210="","",Summary_Exchange_Balances_00UTC!$N210)</f>
        <v>HUBI</v>
      </c>
      <c r="B211" t="str">
        <f>IF(Summary_Exchange_Balances_00UTC!$B210="","",Summary_Exchange_Balances_00UTC!$B210)</f>
        <v>HUBI-E</v>
      </c>
      <c r="C211" t="str">
        <f>IF(Summary_Exchange_Balances_00UTC!$B210="","",Summary_Exchange_Balances_00UTC!$E210)</f>
        <v>BHD</v>
      </c>
      <c r="D211" t="str">
        <f>IF(OR(Summary_Exchange_Balances_00UTC!$B210="",Summary_Exchange_Balances_00UTC!$D210=""),"",Summary_Exchange_Balances_00UTC!$D210)</f>
        <v/>
      </c>
      <c r="E211" s="52">
        <f>IF(Summary_Exchange_Balances_00UTC!$B210="","",Summary_Exchange_Balances_00UTC!$C210)</f>
        <v>2.5033500000000001E-3</v>
      </c>
      <c r="G211" s="52">
        <f ca="1">IF(Summary_Exchange_Balances_00UTC!$B210="","",VLOOKUP(IF(ISERROR(SEARCH(" ", $B211)),UPPER($B211&amp;$C211&amp;IF(OR(NOT(ISERROR(SEARCH("trade",$D211))),NOT(ISERROR(SEARCH("balance",$D211)))),"",$D211)),UPPER(LEFT($B211, SEARCH(" ",$B211)-1)&amp;$C211&amp;IF(OR(NOT(ISERROR(SEARCH("trade",$D211))),NOT(ISERROR(SEARCH("balance",$D211)))),"",$D211))),$L:$T,MATCH("balance",$L$2:$S$2,0),FALSE))</f>
        <v>2.5033500000000001E-3</v>
      </c>
      <c r="H211" s="35">
        <f ca="1">IF(Summary_Exchange_Balances_00UTC!$B210="","",(G211-E211)/E211)</f>
        <v>0</v>
      </c>
      <c r="I211" s="165">
        <f ca="1">IF(Summary_Exchange_Balances_00UTC!$B210="","",IF(ISERROR($G211),$E211,$G211))</f>
        <v>2.5033500000000001E-3</v>
      </c>
      <c r="K211" t="str">
        <f t="shared" ca="1" si="15"/>
        <v>HUB2LTC</v>
      </c>
      <c r="L211" t="str">
        <f ca="1">UPPER($P211&amp;$N211&amp;IF(OR(NOT(ISERROR(SEARCH("trade",Q211))),NOT(ISERROR(SEARCH("balance",Q211)))),"",Q211))</f>
        <v>HUB2-MLTC</v>
      </c>
      <c r="N211" s="161" t="str">
        <f ca="1">IF(raw_exchange_data!$A210="","",OFFSET(raw_exchange_data!$A210,0,MATCH(N$2,raw_exchange_data!$1:$1,0)-1))</f>
        <v>LTC</v>
      </c>
      <c r="O211" s="161" t="str">
        <f ca="1">IF(raw_exchange_data!$A210="","",OFFSET(raw_exchange_data!$A210,0,MATCH(O$2,raw_exchange_data!$1:$1,0)-1))</f>
        <v>HUB2</v>
      </c>
      <c r="P211" s="161" t="str">
        <f ca="1">IF(raw_exchange_data!$A210="","",OFFSET(raw_exchange_data!$A210,0,MATCH(P$2,raw_exchange_data!$1:$1,0)-1))</f>
        <v>HUB2-M</v>
      </c>
      <c r="Q211" s="161" t="str">
        <f ca="1">IF(raw_exchange_data!$A210="","",TEXT(OFFSET(raw_exchange_data!$A210,0,MATCH(Q$2,raw_exchange_data!$1:$1,0)-1),""))</f>
        <v>trade</v>
      </c>
      <c r="R211" s="162">
        <f ca="1">IF(raw_exchange_data!$A210="","",OFFSET(raw_exchange_data!$A210,0,MATCH(R$2,raw_exchange_data!$1:$1,0)-1))</f>
        <v>1E-8</v>
      </c>
      <c r="S211" s="190">
        <f ca="1">IF(raw_exchange_data!$A210="","",OFFSET(raw_exchange_data!$A210,0,MATCH(S$2,raw_exchange_data!$1:$1,0)-1))</f>
        <v>44937.66666790509</v>
      </c>
      <c r="T211" s="161">
        <v>1</v>
      </c>
      <c r="W211" t="str">
        <f t="shared" si="16"/>
        <v>HUBI</v>
      </c>
      <c r="X211" t="str">
        <f t="shared" si="17"/>
        <v>BHD</v>
      </c>
      <c r="Y211" s="42">
        <f t="shared" si="18"/>
        <v>2.5033500000000001E-3</v>
      </c>
      <c r="Z211" s="42">
        <f t="shared" ca="1" si="19"/>
        <v>2.5033500000000001E-3</v>
      </c>
      <c r="AC211"/>
      <c r="AD211"/>
    </row>
    <row r="212" spans="1:30" x14ac:dyDescent="0.25">
      <c r="A212" t="str">
        <f>IF(Summary_Exchange_Balances_00UTC!$B211="","",Summary_Exchange_Balances_00UTC!$N211)</f>
        <v>HUBI</v>
      </c>
      <c r="B212" t="str">
        <f>IF(Summary_Exchange_Balances_00UTC!$B211="","",Summary_Exchange_Balances_00UTC!$B211)</f>
        <v>HUBI-E</v>
      </c>
      <c r="C212" t="str">
        <f>IF(Summary_Exchange_Balances_00UTC!$B211="","",Summary_Exchange_Balances_00UTC!$E211)</f>
        <v>BLZ</v>
      </c>
      <c r="D212" t="str">
        <f>IF(OR(Summary_Exchange_Balances_00UTC!$B211="",Summary_Exchange_Balances_00UTC!$D211=""),"",Summary_Exchange_Balances_00UTC!$D211)</f>
        <v/>
      </c>
      <c r="E212" s="52">
        <f>IF(Summary_Exchange_Balances_00UTC!$B211="","",Summary_Exchange_Balances_00UTC!$C211)</f>
        <v>115.29838952</v>
      </c>
      <c r="G212" s="52">
        <f ca="1">IF(Summary_Exchange_Balances_00UTC!$B211="","",VLOOKUP(IF(ISERROR(SEARCH(" ", $B212)),UPPER($B212&amp;$C212&amp;IF(OR(NOT(ISERROR(SEARCH("trade",$D212))),NOT(ISERROR(SEARCH("balance",$D212)))),"",$D212)),UPPER(LEFT($B212, SEARCH(" ",$B212)-1)&amp;$C212&amp;IF(OR(NOT(ISERROR(SEARCH("trade",$D212))),NOT(ISERROR(SEARCH("balance",$D212)))),"",$D212))),$L:$T,MATCH("balance",$L$2:$S$2,0),FALSE))</f>
        <v>115.29838952</v>
      </c>
      <c r="H212" s="35">
        <f ca="1">IF(Summary_Exchange_Balances_00UTC!$B211="","",(G212-E212)/E212)</f>
        <v>0</v>
      </c>
      <c r="I212" s="165">
        <f ca="1">IF(Summary_Exchange_Balances_00UTC!$B211="","",IF(ISERROR($G212),$E212,$G212))</f>
        <v>115.29838952</v>
      </c>
      <c r="K212" t="str">
        <f t="shared" ca="1" si="15"/>
        <v>HUB2USDT</v>
      </c>
      <c r="L212" t="str">
        <f ca="1">UPPER($P212&amp;$N212&amp;IF(OR(NOT(ISERROR(SEARCH("trade",Q212))),NOT(ISERROR(SEARCH("balance",Q212)))),"",Q212))</f>
        <v>HUB2-MUSDT</v>
      </c>
      <c r="N212" s="161" t="str">
        <f ca="1">IF(raw_exchange_data!$A211="","",OFFSET(raw_exchange_data!$A211,0,MATCH(N$2,raw_exchange_data!$1:$1,0)-1))</f>
        <v>USDT</v>
      </c>
      <c r="O212" s="161" t="str">
        <f ca="1">IF(raw_exchange_data!$A211="","",OFFSET(raw_exchange_data!$A211,0,MATCH(O$2,raw_exchange_data!$1:$1,0)-1))</f>
        <v>HUB2</v>
      </c>
      <c r="P212" s="161" t="str">
        <f ca="1">IF(raw_exchange_data!$A211="","",OFFSET(raw_exchange_data!$A211,0,MATCH(P$2,raw_exchange_data!$1:$1,0)-1))</f>
        <v>HUB2-M</v>
      </c>
      <c r="Q212" s="161" t="str">
        <f ca="1">IF(raw_exchange_data!$A211="","",TEXT(OFFSET(raw_exchange_data!$A211,0,MATCH(Q$2,raw_exchange_data!$1:$1,0)-1),""))</f>
        <v>trade</v>
      </c>
      <c r="R212" s="162">
        <f ca="1">IF(raw_exchange_data!$A211="","",OFFSET(raw_exchange_data!$A211,0,MATCH(R$2,raw_exchange_data!$1:$1,0)-1))</f>
        <v>1E-8</v>
      </c>
      <c r="S212" s="190">
        <f ca="1">IF(raw_exchange_data!$A211="","",OFFSET(raw_exchange_data!$A211,0,MATCH(S$2,raw_exchange_data!$1:$1,0)-1))</f>
        <v>44937.66666790509</v>
      </c>
      <c r="T212" s="161">
        <v>1</v>
      </c>
      <c r="W212" t="str">
        <f t="shared" si="16"/>
        <v>HUBI</v>
      </c>
      <c r="X212" t="str">
        <f t="shared" si="17"/>
        <v>BLZ</v>
      </c>
      <c r="Y212" s="42">
        <f t="shared" si="18"/>
        <v>115.29838952</v>
      </c>
      <c r="Z212" s="42">
        <f t="shared" ca="1" si="19"/>
        <v>115.29838952</v>
      </c>
      <c r="AC212"/>
      <c r="AD212"/>
    </row>
    <row r="213" spans="1:30" x14ac:dyDescent="0.25">
      <c r="A213" t="str">
        <f>IF(Summary_Exchange_Balances_00UTC!$B212="","",Summary_Exchange_Balances_00UTC!$N212)</f>
        <v>HUBI</v>
      </c>
      <c r="B213" t="str">
        <f>IF(Summary_Exchange_Balances_00UTC!$B212="","",Summary_Exchange_Balances_00UTC!$B212)</f>
        <v>HUBI-E</v>
      </c>
      <c r="C213" t="str">
        <f>IF(Summary_Exchange_Balances_00UTC!$B212="","",Summary_Exchange_Balances_00UTC!$E212)</f>
        <v>BOBA</v>
      </c>
      <c r="D213" t="str">
        <f>IF(OR(Summary_Exchange_Balances_00UTC!$B212="",Summary_Exchange_Balances_00UTC!$D212=""),"",Summary_Exchange_Balances_00UTC!$D212)</f>
        <v/>
      </c>
      <c r="E213" s="52">
        <f>IF(Summary_Exchange_Balances_00UTC!$B212="","",Summary_Exchange_Balances_00UTC!$C212)</f>
        <v>14.7502</v>
      </c>
      <c r="G213" s="52">
        <f ca="1">IF(Summary_Exchange_Balances_00UTC!$B212="","",VLOOKUP(IF(ISERROR(SEARCH(" ", $B213)),UPPER($B213&amp;$C213&amp;IF(OR(NOT(ISERROR(SEARCH("trade",$D213))),NOT(ISERROR(SEARCH("balance",$D213)))),"",$D213)),UPPER(LEFT($B213, SEARCH(" ",$B213)-1)&amp;$C213&amp;IF(OR(NOT(ISERROR(SEARCH("trade",$D213))),NOT(ISERROR(SEARCH("balance",$D213)))),"",$D213))),$L:$T,MATCH("balance",$L$2:$S$2,0),FALSE))</f>
        <v>14.7502</v>
      </c>
      <c r="H213" s="35">
        <f ca="1">IF(Summary_Exchange_Balances_00UTC!$B212="","",(G213-E213)/E213)</f>
        <v>0</v>
      </c>
      <c r="I213" s="165">
        <f ca="1">IF(Summary_Exchange_Balances_00UTC!$B212="","",IF(ISERROR($G213),$E213,$G213))</f>
        <v>14.7502</v>
      </c>
      <c r="K213" t="str">
        <f t="shared" ca="1" si="15"/>
        <v>HUB2USDT</v>
      </c>
      <c r="L213" t="str">
        <f ca="1">UPPER($P213&amp;$N213&amp;IF(OR(NOT(ISERROR(SEARCH("trade",Q213))),NOT(ISERROR(SEARCH("balance",Q213)))),"",Q213))</f>
        <v>HUB2-MUSDT</v>
      </c>
      <c r="N213" s="161" t="str">
        <f ca="1">IF(raw_exchange_data!$A212="","",OFFSET(raw_exchange_data!$A212,0,MATCH(N$2,raw_exchange_data!$1:$1,0)-1))</f>
        <v>USDT</v>
      </c>
      <c r="O213" s="161" t="str">
        <f ca="1">IF(raw_exchange_data!$A212="","",OFFSET(raw_exchange_data!$A212,0,MATCH(O$2,raw_exchange_data!$1:$1,0)-1))</f>
        <v>HUB2</v>
      </c>
      <c r="P213" s="161" t="str">
        <f ca="1">IF(raw_exchange_data!$A212="","",OFFSET(raw_exchange_data!$A212,0,MATCH(P$2,raw_exchange_data!$1:$1,0)-1))</f>
        <v>HUB2-M</v>
      </c>
      <c r="Q213" s="161" t="str">
        <f ca="1">IF(raw_exchange_data!$A212="","",TEXT(OFFSET(raw_exchange_data!$A212,0,MATCH(Q$2,raw_exchange_data!$1:$1,0)-1),""))</f>
        <v>trade</v>
      </c>
      <c r="R213" s="162">
        <f ca="1">IF(raw_exchange_data!$A212="","",OFFSET(raw_exchange_data!$A212,0,MATCH(R$2,raw_exchange_data!$1:$1,0)-1))</f>
        <v>1.698995E-2</v>
      </c>
      <c r="S213" s="190">
        <f ca="1">IF(raw_exchange_data!$A212="","",OFFSET(raw_exchange_data!$A212,0,MATCH(S$2,raw_exchange_data!$1:$1,0)-1))</f>
        <v>44937.66666790509</v>
      </c>
      <c r="T213" s="161">
        <v>1</v>
      </c>
      <c r="W213" t="str">
        <f t="shared" si="16"/>
        <v>HUBI</v>
      </c>
      <c r="X213" t="str">
        <f t="shared" si="17"/>
        <v>BOBA</v>
      </c>
      <c r="Y213" s="42">
        <f t="shared" si="18"/>
        <v>14.7502</v>
      </c>
      <c r="Z213" s="42">
        <f t="shared" ca="1" si="19"/>
        <v>14.7502</v>
      </c>
      <c r="AC213"/>
      <c r="AD213"/>
    </row>
    <row r="214" spans="1:30" x14ac:dyDescent="0.25">
      <c r="A214" t="str">
        <f>IF(Summary_Exchange_Balances_00UTC!$B213="","",Summary_Exchange_Balances_00UTC!$N213)</f>
        <v>HUBI</v>
      </c>
      <c r="B214" t="str">
        <f>IF(Summary_Exchange_Balances_00UTC!$B213="","",Summary_Exchange_Balances_00UTC!$B213)</f>
        <v>HUBI-E</v>
      </c>
      <c r="C214" t="str">
        <f>IF(Summary_Exchange_Balances_00UTC!$B213="","",Summary_Exchange_Balances_00UTC!$E213)</f>
        <v>BSV</v>
      </c>
      <c r="D214" t="str">
        <f>IF(OR(Summary_Exchange_Balances_00UTC!$B213="",Summary_Exchange_Balances_00UTC!$D213=""),"",Summary_Exchange_Balances_00UTC!$D213)</f>
        <v/>
      </c>
      <c r="E214" s="52">
        <f>IF(Summary_Exchange_Balances_00UTC!$B213="","",Summary_Exchange_Balances_00UTC!$C213)</f>
        <v>1.807E-4</v>
      </c>
      <c r="G214" s="52">
        <f ca="1">IF(Summary_Exchange_Balances_00UTC!$B213="","",VLOOKUP(IF(ISERROR(SEARCH(" ", $B214)),UPPER($B214&amp;$C214&amp;IF(OR(NOT(ISERROR(SEARCH("trade",$D214))),NOT(ISERROR(SEARCH("balance",$D214)))),"",$D214)),UPPER(LEFT($B214, SEARCH(" ",$B214)-1)&amp;$C214&amp;IF(OR(NOT(ISERROR(SEARCH("trade",$D214))),NOT(ISERROR(SEARCH("balance",$D214)))),"",$D214))),$L:$T,MATCH("balance",$L$2:$S$2,0),FALSE))</f>
        <v>1.807E-4</v>
      </c>
      <c r="H214" s="35">
        <f ca="1">IF(Summary_Exchange_Balances_00UTC!$B213="","",(G214-E214)/E214)</f>
        <v>0</v>
      </c>
      <c r="I214" s="165">
        <f ca="1">IF(Summary_Exchange_Balances_00UTC!$B213="","",IF(ISERROR($G214),$E214,$G214))</f>
        <v>1.807E-4</v>
      </c>
      <c r="K214" t="str">
        <f t="shared" ca="1" si="15"/>
        <v>HUB2USDT</v>
      </c>
      <c r="L214" t="str">
        <f ca="1">UPPER($P214&amp;$N214&amp;IF(OR(NOT(ISERROR(SEARCH("trade",Q214))),NOT(ISERROR(SEARCH("balance",Q214)))),"",Q214))</f>
        <v>HUB2-MUSDT</v>
      </c>
      <c r="N214" s="161" t="str">
        <f ca="1">IF(raw_exchange_data!$A213="","",OFFSET(raw_exchange_data!$A213,0,MATCH(N$2,raw_exchange_data!$1:$1,0)-1))</f>
        <v>USDT</v>
      </c>
      <c r="O214" s="161" t="str">
        <f ca="1">IF(raw_exchange_data!$A213="","",OFFSET(raw_exchange_data!$A213,0,MATCH(O$2,raw_exchange_data!$1:$1,0)-1))</f>
        <v>HUB2</v>
      </c>
      <c r="P214" s="161" t="str">
        <f ca="1">IF(raw_exchange_data!$A213="","",OFFSET(raw_exchange_data!$A213,0,MATCH(P$2,raw_exchange_data!$1:$1,0)-1))</f>
        <v>HUB2-M</v>
      </c>
      <c r="Q214" s="161" t="str">
        <f ca="1">IF(raw_exchange_data!$A213="","",TEXT(OFFSET(raw_exchange_data!$A213,0,MATCH(Q$2,raw_exchange_data!$1:$1,0)-1),""))</f>
        <v>trade</v>
      </c>
      <c r="R214" s="162">
        <f ca="1">IF(raw_exchange_data!$A213="","",OFFSET(raw_exchange_data!$A213,0,MATCH(R$2,raw_exchange_data!$1:$1,0)-1))</f>
        <v>2.0453260000000001E-2</v>
      </c>
      <c r="S214" s="190">
        <f ca="1">IF(raw_exchange_data!$A213="","",OFFSET(raw_exchange_data!$A213,0,MATCH(S$2,raw_exchange_data!$1:$1,0)-1))</f>
        <v>44937.66666790509</v>
      </c>
      <c r="T214" s="161">
        <v>1</v>
      </c>
      <c r="W214" t="str">
        <f t="shared" si="16"/>
        <v>HUBI</v>
      </c>
      <c r="X214" t="str">
        <f t="shared" si="17"/>
        <v>BSV</v>
      </c>
      <c r="Y214" s="42">
        <f t="shared" si="18"/>
        <v>1.807E-4</v>
      </c>
      <c r="Z214" s="42">
        <f t="shared" ca="1" si="19"/>
        <v>1.807E-4</v>
      </c>
      <c r="AC214"/>
      <c r="AD214"/>
    </row>
    <row r="215" spans="1:30" x14ac:dyDescent="0.25">
      <c r="A215" t="str">
        <f>IF(Summary_Exchange_Balances_00UTC!$B214="","",Summary_Exchange_Balances_00UTC!$N214)</f>
        <v>HUBI</v>
      </c>
      <c r="B215" t="str">
        <f>IF(Summary_Exchange_Balances_00UTC!$B214="","",Summary_Exchange_Balances_00UTC!$B214)</f>
        <v>HUBI-E</v>
      </c>
      <c r="C215" t="str">
        <f>IF(Summary_Exchange_Balances_00UTC!$B214="","",Summary_Exchange_Balances_00UTC!$E214)</f>
        <v>BTC</v>
      </c>
      <c r="D215" t="str">
        <f>IF(OR(Summary_Exchange_Balances_00UTC!$B214="",Summary_Exchange_Balances_00UTC!$D214=""),"",Summary_Exchange_Balances_00UTC!$D214)</f>
        <v/>
      </c>
      <c r="E215" s="52">
        <f>IF(Summary_Exchange_Balances_00UTC!$B214="","",Summary_Exchange_Balances_00UTC!$C214)</f>
        <v>108.63868278</v>
      </c>
      <c r="G215" s="52">
        <f ca="1">IF(Summary_Exchange_Balances_00UTC!$B214="","",VLOOKUP(IF(ISERROR(SEARCH(" ", $B215)),UPPER($B215&amp;$C215&amp;IF(OR(NOT(ISERROR(SEARCH("trade",$D215))),NOT(ISERROR(SEARCH("balance",$D215)))),"",$D215)),UPPER(LEFT($B215, SEARCH(" ",$B215)-1)&amp;$C215&amp;IF(OR(NOT(ISERROR(SEARCH("trade",$D215))),NOT(ISERROR(SEARCH("balance",$D215)))),"",$D215))),$L:$T,MATCH("balance",$L$2:$S$2,0),FALSE))</f>
        <v>44.885818860000001</v>
      </c>
      <c r="H215" s="35">
        <f ca="1">IF(Summary_Exchange_Balances_00UTC!$B214="","",(G215-E215)/E215)</f>
        <v>-0.58683391853253097</v>
      </c>
      <c r="I215" s="165">
        <f ca="1">IF(Summary_Exchange_Balances_00UTC!$B214="","",IF(ISERROR($G215),$E215,$G215))</f>
        <v>44.885818860000001</v>
      </c>
      <c r="K215" t="str">
        <f t="shared" ca="1" si="15"/>
        <v>HUB2USDT</v>
      </c>
      <c r="L215" t="str">
        <f ca="1">UPPER($P215&amp;$N215&amp;IF(OR(NOT(ISERROR(SEARCH("trade",Q215))),NOT(ISERROR(SEARCH("balance",Q215)))),"",Q215))</f>
        <v>HUB2-MUSDT</v>
      </c>
      <c r="N215" s="161" t="str">
        <f ca="1">IF(raw_exchange_data!$A214="","",OFFSET(raw_exchange_data!$A214,0,MATCH(N$2,raw_exchange_data!$1:$1,0)-1))</f>
        <v>USDT</v>
      </c>
      <c r="O215" s="161" t="str">
        <f ca="1">IF(raw_exchange_data!$A214="","",OFFSET(raw_exchange_data!$A214,0,MATCH(O$2,raw_exchange_data!$1:$1,0)-1))</f>
        <v>HUB2</v>
      </c>
      <c r="P215" s="161" t="str">
        <f ca="1">IF(raw_exchange_data!$A214="","",OFFSET(raw_exchange_data!$A214,0,MATCH(P$2,raw_exchange_data!$1:$1,0)-1))</f>
        <v>HUB2-M</v>
      </c>
      <c r="Q215" s="161" t="str">
        <f ca="1">IF(raw_exchange_data!$A214="","",TEXT(OFFSET(raw_exchange_data!$A214,0,MATCH(Q$2,raw_exchange_data!$1:$1,0)-1),""))</f>
        <v>trade</v>
      </c>
      <c r="R215" s="162">
        <f ca="1">IF(raw_exchange_data!$A214="","",OFFSET(raw_exchange_data!$A214,0,MATCH(R$2,raw_exchange_data!$1:$1,0)-1))</f>
        <v>0.24323531000000001</v>
      </c>
      <c r="S215" s="190">
        <f ca="1">IF(raw_exchange_data!$A214="","",OFFSET(raw_exchange_data!$A214,0,MATCH(S$2,raw_exchange_data!$1:$1,0)-1))</f>
        <v>44937.66666790509</v>
      </c>
      <c r="T215" s="161">
        <v>1</v>
      </c>
      <c r="W215" t="str">
        <f t="shared" si="16"/>
        <v>HUBI</v>
      </c>
      <c r="X215" t="str">
        <f t="shared" si="17"/>
        <v>BTC</v>
      </c>
      <c r="Y215" s="42">
        <f t="shared" si="18"/>
        <v>108.63868278</v>
      </c>
      <c r="Z215" s="42">
        <f t="shared" ca="1" si="19"/>
        <v>44.885818860000001</v>
      </c>
      <c r="AC215"/>
      <c r="AD215"/>
    </row>
    <row r="216" spans="1:30" x14ac:dyDescent="0.25">
      <c r="A216" t="str">
        <f>IF(Summary_Exchange_Balances_00UTC!$B215="","",Summary_Exchange_Balances_00UTC!$N215)</f>
        <v>HUBI</v>
      </c>
      <c r="B216" t="str">
        <f>IF(Summary_Exchange_Balances_00UTC!$B215="","",Summary_Exchange_Balances_00UTC!$B215)</f>
        <v>HUBI-E</v>
      </c>
      <c r="C216" t="str">
        <f>IF(Summary_Exchange_Balances_00UTC!$B215="","",Summary_Exchange_Balances_00UTC!$E215)</f>
        <v>BTM</v>
      </c>
      <c r="D216" t="str">
        <f>IF(OR(Summary_Exchange_Balances_00UTC!$B215="",Summary_Exchange_Balances_00UTC!$D215=""),"",Summary_Exchange_Balances_00UTC!$D215)</f>
        <v/>
      </c>
      <c r="E216" s="52">
        <f>IF(Summary_Exchange_Balances_00UTC!$B215="","",Summary_Exchange_Balances_00UTC!$C215)</f>
        <v>0.33565571999999999</v>
      </c>
      <c r="G216" s="52">
        <f ca="1">IF(Summary_Exchange_Balances_00UTC!$B215="","",VLOOKUP(IF(ISERROR(SEARCH(" ", $B216)),UPPER($B216&amp;$C216&amp;IF(OR(NOT(ISERROR(SEARCH("trade",$D216))),NOT(ISERROR(SEARCH("balance",$D216)))),"",$D216)),UPPER(LEFT($B216, SEARCH(" ",$B216)-1)&amp;$C216&amp;IF(OR(NOT(ISERROR(SEARCH("trade",$D216))),NOT(ISERROR(SEARCH("balance",$D216)))),"",$D216))),$L:$T,MATCH("balance",$L$2:$S$2,0),FALSE))</f>
        <v>0.33565571999999999</v>
      </c>
      <c r="H216" s="35">
        <f ca="1">IF(Summary_Exchange_Balances_00UTC!$B215="","",(G216-E216)/E216)</f>
        <v>0</v>
      </c>
      <c r="I216" s="165">
        <f ca="1">IF(Summary_Exchange_Balances_00UTC!$B215="","",IF(ISERROR($G216),$E216,$G216))</f>
        <v>0.33565571999999999</v>
      </c>
      <c r="K216" t="str">
        <f t="shared" ca="1" si="15"/>
        <v>HUB2USDT</v>
      </c>
      <c r="L216" t="str">
        <f ca="1">UPPER($P216&amp;$N216&amp;IF(OR(NOT(ISERROR(SEARCH("trade",Q216))),NOT(ISERROR(SEARCH("balance",Q216)))),"",Q216))</f>
        <v>HUB2-MUSDT</v>
      </c>
      <c r="N216" s="161" t="str">
        <f ca="1">IF(raw_exchange_data!$A215="","",OFFSET(raw_exchange_data!$A215,0,MATCH(N$2,raw_exchange_data!$1:$1,0)-1))</f>
        <v>USDT</v>
      </c>
      <c r="O216" s="161" t="str">
        <f ca="1">IF(raw_exchange_data!$A215="","",OFFSET(raw_exchange_data!$A215,0,MATCH(O$2,raw_exchange_data!$1:$1,0)-1))</f>
        <v>HUB2</v>
      </c>
      <c r="P216" s="161" t="str">
        <f ca="1">IF(raw_exchange_data!$A215="","",OFFSET(raw_exchange_data!$A215,0,MATCH(P$2,raw_exchange_data!$1:$1,0)-1))</f>
        <v>HUB2-M</v>
      </c>
      <c r="Q216" s="161" t="str">
        <f ca="1">IF(raw_exchange_data!$A215="","",TEXT(OFFSET(raw_exchange_data!$A215,0,MATCH(Q$2,raw_exchange_data!$1:$1,0)-1),""))</f>
        <v>trade</v>
      </c>
      <c r="R216" s="162">
        <f ca="1">IF(raw_exchange_data!$A215="","",OFFSET(raw_exchange_data!$A215,0,MATCH(R$2,raw_exchange_data!$1:$1,0)-1))</f>
        <v>0.27855855000000002</v>
      </c>
      <c r="S216" s="190">
        <f ca="1">IF(raw_exchange_data!$A215="","",OFFSET(raw_exchange_data!$A215,0,MATCH(S$2,raw_exchange_data!$1:$1,0)-1))</f>
        <v>44937.66666790509</v>
      </c>
      <c r="T216" s="161">
        <v>1</v>
      </c>
      <c r="W216" t="str">
        <f t="shared" si="16"/>
        <v>HUBI</v>
      </c>
      <c r="X216" t="str">
        <f t="shared" si="17"/>
        <v>BTM</v>
      </c>
      <c r="Y216" s="42">
        <f t="shared" si="18"/>
        <v>0.33565571999999999</v>
      </c>
      <c r="Z216" s="42">
        <f t="shared" ca="1" si="19"/>
        <v>0.33565571999999999</v>
      </c>
    </row>
    <row r="217" spans="1:30" x14ac:dyDescent="0.25">
      <c r="A217" t="str">
        <f>IF(Summary_Exchange_Balances_00UTC!$B216="","",Summary_Exchange_Balances_00UTC!$N216)</f>
        <v>HUBI</v>
      </c>
      <c r="B217" t="str">
        <f>IF(Summary_Exchange_Balances_00UTC!$B216="","",Summary_Exchange_Balances_00UTC!$B216)</f>
        <v>HUBI-E</v>
      </c>
      <c r="C217" t="str">
        <f>IF(Summary_Exchange_Balances_00UTC!$B216="","",Summary_Exchange_Balances_00UTC!$E216)</f>
        <v>BTT</v>
      </c>
      <c r="D217" t="str">
        <f>IF(OR(Summary_Exchange_Balances_00UTC!$B216="",Summary_Exchange_Balances_00UTC!$D216=""),"",Summary_Exchange_Balances_00UTC!$D216)</f>
        <v/>
      </c>
      <c r="E217" s="52">
        <f>IF(Summary_Exchange_Balances_00UTC!$B216="","",Summary_Exchange_Balances_00UTC!$C216)</f>
        <v>1367501156.8785999</v>
      </c>
      <c r="G217" s="52">
        <f ca="1">IF(Summary_Exchange_Balances_00UTC!$B216="","",VLOOKUP(IF(ISERROR(SEARCH(" ", $B217)),UPPER($B217&amp;$C217&amp;IF(OR(NOT(ISERROR(SEARCH("trade",$D217))),NOT(ISERROR(SEARCH("balance",$D217)))),"",$D217)),UPPER(LEFT($B217, SEARCH(" ",$B217)-1)&amp;$C217&amp;IF(OR(NOT(ISERROR(SEARCH("trade",$D217))),NOT(ISERROR(SEARCH("balance",$D217)))),"",$D217))),$L:$T,MATCH("balance",$L$2:$S$2,0),FALSE))</f>
        <v>1367501156.8785999</v>
      </c>
      <c r="H217" s="35">
        <f ca="1">IF(Summary_Exchange_Balances_00UTC!$B216="","",(G217-E217)/E217)</f>
        <v>0</v>
      </c>
      <c r="I217" s="165">
        <f ca="1">IF(Summary_Exchange_Balances_00UTC!$B216="","",IF(ISERROR($G217),$E217,$G217))</f>
        <v>1367501156.8785999</v>
      </c>
      <c r="K217" t="str">
        <f t="shared" ca="1" si="15"/>
        <v>HUB2USDT</v>
      </c>
      <c r="L217" t="str">
        <f ca="1">UPPER($P217&amp;$N217&amp;IF(OR(NOT(ISERROR(SEARCH("trade",Q217))),NOT(ISERROR(SEARCH("balance",Q217)))),"",Q217))</f>
        <v>HUB2-MUSDT</v>
      </c>
      <c r="N217" s="161" t="str">
        <f ca="1">IF(raw_exchange_data!$A216="","",OFFSET(raw_exchange_data!$A216,0,MATCH(N$2,raw_exchange_data!$1:$1,0)-1))</f>
        <v>USDT</v>
      </c>
      <c r="O217" s="161" t="str">
        <f ca="1">IF(raw_exchange_data!$A216="","",OFFSET(raw_exchange_data!$A216,0,MATCH(O$2,raw_exchange_data!$1:$1,0)-1))</f>
        <v>HUB2</v>
      </c>
      <c r="P217" s="161" t="str">
        <f ca="1">IF(raw_exchange_data!$A216="","",OFFSET(raw_exchange_data!$A216,0,MATCH(P$2,raw_exchange_data!$1:$1,0)-1))</f>
        <v>HUB2-M</v>
      </c>
      <c r="Q217" s="161" t="str">
        <f ca="1">IF(raw_exchange_data!$A216="","",TEXT(OFFSET(raw_exchange_data!$A216,0,MATCH(Q$2,raw_exchange_data!$1:$1,0)-1),""))</f>
        <v>trade</v>
      </c>
      <c r="R217" s="162">
        <f ca="1">IF(raw_exchange_data!$A216="","",OFFSET(raw_exchange_data!$A216,0,MATCH(R$2,raw_exchange_data!$1:$1,0)-1))</f>
        <v>0.86978191999999999</v>
      </c>
      <c r="S217" s="190">
        <f ca="1">IF(raw_exchange_data!$A216="","",OFFSET(raw_exchange_data!$A216,0,MATCH(S$2,raw_exchange_data!$1:$1,0)-1))</f>
        <v>44937.66666790509</v>
      </c>
      <c r="T217" s="161">
        <v>1</v>
      </c>
      <c r="W217" t="str">
        <f t="shared" si="16"/>
        <v>HUBI</v>
      </c>
      <c r="X217" t="str">
        <f t="shared" si="17"/>
        <v>BTT</v>
      </c>
      <c r="Y217" s="42">
        <f t="shared" si="18"/>
        <v>1367501156.8785999</v>
      </c>
      <c r="Z217" s="42">
        <f t="shared" ca="1" si="19"/>
        <v>1367501156.8785999</v>
      </c>
    </row>
    <row r="218" spans="1:30" x14ac:dyDescent="0.25">
      <c r="A218" t="str">
        <f>IF(Summary_Exchange_Balances_00UTC!$B217="","",Summary_Exchange_Balances_00UTC!$N217)</f>
        <v>HUBI</v>
      </c>
      <c r="B218" t="str">
        <f>IF(Summary_Exchange_Balances_00UTC!$B217="","",Summary_Exchange_Balances_00UTC!$B217)</f>
        <v>HUBI-E</v>
      </c>
      <c r="C218" t="str">
        <f>IF(Summary_Exchange_Balances_00UTC!$B217="","",Summary_Exchange_Balances_00UTC!$E217)</f>
        <v>CMT</v>
      </c>
      <c r="D218" t="str">
        <f>IF(OR(Summary_Exchange_Balances_00UTC!$B217="",Summary_Exchange_Balances_00UTC!$D217=""),"",Summary_Exchange_Balances_00UTC!$D217)</f>
        <v/>
      </c>
      <c r="E218" s="52">
        <f>IF(Summary_Exchange_Balances_00UTC!$B217="","",Summary_Exchange_Balances_00UTC!$C217)</f>
        <v>1.7855998900000001</v>
      </c>
      <c r="G218" s="52">
        <f ca="1">IF(Summary_Exchange_Balances_00UTC!$B217="","",VLOOKUP(IF(ISERROR(SEARCH(" ", $B218)),UPPER($B218&amp;$C218&amp;IF(OR(NOT(ISERROR(SEARCH("trade",$D218))),NOT(ISERROR(SEARCH("balance",$D218)))),"",$D218)),UPPER(LEFT($B218, SEARCH(" ",$B218)-1)&amp;$C218&amp;IF(OR(NOT(ISERROR(SEARCH("trade",$D218))),NOT(ISERROR(SEARCH("balance",$D218)))),"",$D218))),$L:$T,MATCH("balance",$L$2:$S$2,0),FALSE))</f>
        <v>1.7855998900000001</v>
      </c>
      <c r="H218" s="35">
        <f ca="1">IF(Summary_Exchange_Balances_00UTC!$B217="","",(G218-E218)/E218)</f>
        <v>0</v>
      </c>
      <c r="I218" s="165">
        <f ca="1">IF(Summary_Exchange_Balances_00UTC!$B217="","",IF(ISERROR($G218),$E218,$G218))</f>
        <v>1.7855998900000001</v>
      </c>
      <c r="K218" t="str">
        <f t="shared" ca="1" si="15"/>
        <v>HUB2USDT</v>
      </c>
      <c r="L218" t="str">
        <f ca="1">UPPER($P218&amp;$N218&amp;IF(OR(NOT(ISERROR(SEARCH("trade",Q218))),NOT(ISERROR(SEARCH("balance",Q218)))),"",Q218))</f>
        <v>HUB2-MUSDT</v>
      </c>
      <c r="N218" s="161" t="str">
        <f ca="1">IF(raw_exchange_data!$A217="","",OFFSET(raw_exchange_data!$A217,0,MATCH(N$2,raw_exchange_data!$1:$1,0)-1))</f>
        <v>USDT</v>
      </c>
      <c r="O218" s="161" t="str">
        <f ca="1">IF(raw_exchange_data!$A217="","",OFFSET(raw_exchange_data!$A217,0,MATCH(O$2,raw_exchange_data!$1:$1,0)-1))</f>
        <v>HUB2</v>
      </c>
      <c r="P218" s="161" t="str">
        <f ca="1">IF(raw_exchange_data!$A217="","",OFFSET(raw_exchange_data!$A217,0,MATCH(P$2,raw_exchange_data!$1:$1,0)-1))</f>
        <v>HUB2-M</v>
      </c>
      <c r="Q218" s="161" t="str">
        <f ca="1">IF(raw_exchange_data!$A217="","",TEXT(OFFSET(raw_exchange_data!$A217,0,MATCH(Q$2,raw_exchange_data!$1:$1,0)-1),""))</f>
        <v>trade</v>
      </c>
      <c r="R218" s="162">
        <f ca="1">IF(raw_exchange_data!$A217="","",OFFSET(raw_exchange_data!$A217,0,MATCH(R$2,raw_exchange_data!$1:$1,0)-1))</f>
        <v>8.1999999999999998E-7</v>
      </c>
      <c r="S218" s="190">
        <f ca="1">IF(raw_exchange_data!$A217="","",OFFSET(raw_exchange_data!$A217,0,MATCH(S$2,raw_exchange_data!$1:$1,0)-1))</f>
        <v>44937.66666790509</v>
      </c>
      <c r="T218" s="161">
        <v>1</v>
      </c>
      <c r="W218" t="str">
        <f t="shared" si="16"/>
        <v>HUBI</v>
      </c>
      <c r="X218" t="str">
        <f t="shared" si="17"/>
        <v>CMT</v>
      </c>
      <c r="Y218" s="42">
        <f t="shared" si="18"/>
        <v>1.7855998900000001</v>
      </c>
      <c r="Z218" s="42">
        <f t="shared" ca="1" si="19"/>
        <v>1.7855998900000001</v>
      </c>
    </row>
    <row r="219" spans="1:30" x14ac:dyDescent="0.25">
      <c r="A219" t="str">
        <f>IF(Summary_Exchange_Balances_00UTC!$B218="","",Summary_Exchange_Balances_00UTC!$N218)</f>
        <v>HUBI</v>
      </c>
      <c r="B219" t="str">
        <f>IF(Summary_Exchange_Balances_00UTC!$B218="","",Summary_Exchange_Balances_00UTC!$B218)</f>
        <v>HUBI-E</v>
      </c>
      <c r="C219" t="str">
        <f>IF(Summary_Exchange_Balances_00UTC!$B218="","",Summary_Exchange_Balances_00UTC!$E218)</f>
        <v>CRO</v>
      </c>
      <c r="D219" t="str">
        <f>IF(OR(Summary_Exchange_Balances_00UTC!$B218="",Summary_Exchange_Balances_00UTC!$D218=""),"",Summary_Exchange_Balances_00UTC!$D218)</f>
        <v/>
      </c>
      <c r="E219" s="52">
        <f>IF(Summary_Exchange_Balances_00UTC!$B218="","",Summary_Exchange_Balances_00UTC!$C218)</f>
        <v>0.30791584</v>
      </c>
      <c r="G219" s="52">
        <f ca="1">IF(Summary_Exchange_Balances_00UTC!$B218="","",VLOOKUP(IF(ISERROR(SEARCH(" ", $B219)),UPPER($B219&amp;$C219&amp;IF(OR(NOT(ISERROR(SEARCH("trade",$D219))),NOT(ISERROR(SEARCH("balance",$D219)))),"",$D219)),UPPER(LEFT($B219, SEARCH(" ",$B219)-1)&amp;$C219&amp;IF(OR(NOT(ISERROR(SEARCH("trade",$D219))),NOT(ISERROR(SEARCH("balance",$D219)))),"",$D219))),$L:$T,MATCH("balance",$L$2:$S$2,0),FALSE))</f>
        <v>0.30791584</v>
      </c>
      <c r="H219" s="35">
        <f ca="1">IF(Summary_Exchange_Balances_00UTC!$B218="","",(G219-E219)/E219)</f>
        <v>0</v>
      </c>
      <c r="I219" s="165">
        <f ca="1">IF(Summary_Exchange_Balances_00UTC!$B218="","",IF(ISERROR($G219),$E219,$G219))</f>
        <v>0.30791584</v>
      </c>
      <c r="K219" t="str">
        <f t="shared" ca="1" si="15"/>
        <v>HUB2USDT</v>
      </c>
      <c r="L219" t="str">
        <f ca="1">UPPER($P219&amp;$N219&amp;IF(OR(NOT(ISERROR(SEARCH("trade",Q219))),NOT(ISERROR(SEARCH("balance",Q219)))),"",Q219))</f>
        <v>HUB2-MUSDT</v>
      </c>
      <c r="N219" s="161" t="str">
        <f ca="1">IF(raw_exchange_data!$A218="","",OFFSET(raw_exchange_data!$A218,0,MATCH(N$2,raw_exchange_data!$1:$1,0)-1))</f>
        <v>USDT</v>
      </c>
      <c r="O219" s="161" t="str">
        <f ca="1">IF(raw_exchange_data!$A218="","",OFFSET(raw_exchange_data!$A218,0,MATCH(O$2,raw_exchange_data!$1:$1,0)-1))</f>
        <v>HUB2</v>
      </c>
      <c r="P219" s="161" t="str">
        <f ca="1">IF(raw_exchange_data!$A218="","",OFFSET(raw_exchange_data!$A218,0,MATCH(P$2,raw_exchange_data!$1:$1,0)-1))</f>
        <v>HUB2-M</v>
      </c>
      <c r="Q219" s="161" t="str">
        <f ca="1">IF(raw_exchange_data!$A218="","",TEXT(OFFSET(raw_exchange_data!$A218,0,MATCH(Q$2,raw_exchange_data!$1:$1,0)-1),""))</f>
        <v>trade</v>
      </c>
      <c r="R219" s="162">
        <f ca="1">IF(raw_exchange_data!$A218="","",OFFSET(raw_exchange_data!$A218,0,MATCH(R$2,raw_exchange_data!$1:$1,0)-1))</f>
        <v>0.38083325000000001</v>
      </c>
      <c r="S219" s="190">
        <f ca="1">IF(raw_exchange_data!$A218="","",OFFSET(raw_exchange_data!$A218,0,MATCH(S$2,raw_exchange_data!$1:$1,0)-1))</f>
        <v>44937.66666790509</v>
      </c>
      <c r="T219" s="161">
        <v>1</v>
      </c>
      <c r="W219" t="str">
        <f t="shared" si="16"/>
        <v>HUBI</v>
      </c>
      <c r="X219" t="str">
        <f t="shared" si="17"/>
        <v>CRO</v>
      </c>
      <c r="Y219" s="42">
        <f t="shared" si="18"/>
        <v>0.30791584</v>
      </c>
      <c r="Z219" s="42">
        <f t="shared" ca="1" si="19"/>
        <v>0.30791584</v>
      </c>
    </row>
    <row r="220" spans="1:30" x14ac:dyDescent="0.25">
      <c r="A220" t="str">
        <f>IF(Summary_Exchange_Balances_00UTC!$B219="","",Summary_Exchange_Balances_00UTC!$N219)</f>
        <v>HUBI</v>
      </c>
      <c r="B220" t="str">
        <f>IF(Summary_Exchange_Balances_00UTC!$B219="","",Summary_Exchange_Balances_00UTC!$B219)</f>
        <v>HUBI-E</v>
      </c>
      <c r="C220" t="str">
        <f>IF(Summary_Exchange_Balances_00UTC!$B219="","",Summary_Exchange_Balances_00UTC!$E219)</f>
        <v>DASH</v>
      </c>
      <c r="D220" t="str">
        <f>IF(OR(Summary_Exchange_Balances_00UTC!$B219="",Summary_Exchange_Balances_00UTC!$D219=""),"",Summary_Exchange_Balances_00UTC!$D219)</f>
        <v/>
      </c>
      <c r="E220" s="52">
        <f>IF(Summary_Exchange_Balances_00UTC!$B219="","",Summary_Exchange_Balances_00UTC!$C219)</f>
        <v>5.6119999999999998E-5</v>
      </c>
      <c r="G220" s="52">
        <f ca="1">IF(Summary_Exchange_Balances_00UTC!$B219="","",VLOOKUP(IF(ISERROR(SEARCH(" ", $B220)),UPPER($B220&amp;$C220&amp;IF(OR(NOT(ISERROR(SEARCH("trade",$D220))),NOT(ISERROR(SEARCH("balance",$D220)))),"",$D220)),UPPER(LEFT($B220, SEARCH(" ",$B220)-1)&amp;$C220&amp;IF(OR(NOT(ISERROR(SEARCH("trade",$D220))),NOT(ISERROR(SEARCH("balance",$D220)))),"",$D220))),$L:$T,MATCH("balance",$L$2:$S$2,0),FALSE))</f>
        <v>5.6119999999999998E-5</v>
      </c>
      <c r="H220" s="35">
        <f ca="1">IF(Summary_Exchange_Balances_00UTC!$B219="","",(G220-E220)/E220)</f>
        <v>0</v>
      </c>
      <c r="I220" s="165">
        <f ca="1">IF(Summary_Exchange_Balances_00UTC!$B219="","",IF(ISERROR($G220),$E220,$G220))</f>
        <v>5.6119999999999998E-5</v>
      </c>
      <c r="K220" t="str">
        <f t="shared" ca="1" si="15"/>
        <v>HUB2USDT</v>
      </c>
      <c r="L220" t="str">
        <f ca="1">UPPER($P220&amp;$N220&amp;IF(OR(NOT(ISERROR(SEARCH("trade",Q220))),NOT(ISERROR(SEARCH("balance",Q220)))),"",Q220))</f>
        <v>HUB2-MUSDT</v>
      </c>
      <c r="N220" s="161" t="str">
        <f ca="1">IF(raw_exchange_data!$A219="","",OFFSET(raw_exchange_data!$A219,0,MATCH(N$2,raw_exchange_data!$1:$1,0)-1))</f>
        <v>USDT</v>
      </c>
      <c r="O220" s="161" t="str">
        <f ca="1">IF(raw_exchange_data!$A219="","",OFFSET(raw_exchange_data!$A219,0,MATCH(O$2,raw_exchange_data!$1:$1,0)-1))</f>
        <v>HUB2</v>
      </c>
      <c r="P220" s="161" t="str">
        <f ca="1">IF(raw_exchange_data!$A219="","",OFFSET(raw_exchange_data!$A219,0,MATCH(P$2,raw_exchange_data!$1:$1,0)-1))</f>
        <v>HUB2-M</v>
      </c>
      <c r="Q220" s="161" t="str">
        <f ca="1">IF(raw_exchange_data!$A219="","",TEXT(OFFSET(raw_exchange_data!$A219,0,MATCH(Q$2,raw_exchange_data!$1:$1,0)-1),""))</f>
        <v>trade</v>
      </c>
      <c r="R220" s="162">
        <f ca="1">IF(raw_exchange_data!$A219="","",OFFSET(raw_exchange_data!$A219,0,MATCH(R$2,raw_exchange_data!$1:$1,0)-1))</f>
        <v>0.4652213</v>
      </c>
      <c r="S220" s="190">
        <f ca="1">IF(raw_exchange_data!$A219="","",OFFSET(raw_exchange_data!$A219,0,MATCH(S$2,raw_exchange_data!$1:$1,0)-1))</f>
        <v>44937.66666790509</v>
      </c>
      <c r="T220" s="161">
        <v>1</v>
      </c>
      <c r="W220" t="str">
        <f t="shared" si="16"/>
        <v>HUBI</v>
      </c>
      <c r="X220" t="str">
        <f t="shared" si="17"/>
        <v>DASH</v>
      </c>
      <c r="Y220" s="42">
        <f t="shared" si="18"/>
        <v>5.6119999999999998E-5</v>
      </c>
      <c r="Z220" s="42">
        <f t="shared" ca="1" si="19"/>
        <v>5.6119999999999998E-5</v>
      </c>
    </row>
    <row r="221" spans="1:30" x14ac:dyDescent="0.25">
      <c r="A221" t="str">
        <f>IF(Summary_Exchange_Balances_00UTC!$B220="","",Summary_Exchange_Balances_00UTC!$N220)</f>
        <v>HUBI</v>
      </c>
      <c r="B221" t="str">
        <f>IF(Summary_Exchange_Balances_00UTC!$B220="","",Summary_Exchange_Balances_00UTC!$B220)</f>
        <v>HUBI-E</v>
      </c>
      <c r="C221" t="str">
        <f>IF(Summary_Exchange_Balances_00UTC!$B220="","",Summary_Exchange_Balances_00UTC!$E220)</f>
        <v>DON</v>
      </c>
      <c r="D221" t="str">
        <f>IF(OR(Summary_Exchange_Balances_00UTC!$B220="",Summary_Exchange_Balances_00UTC!$D220=""),"",Summary_Exchange_Balances_00UTC!$D220)</f>
        <v/>
      </c>
      <c r="E221" s="52">
        <f>IF(Summary_Exchange_Balances_00UTC!$B220="","",Summary_Exchange_Balances_00UTC!$C220)</f>
        <v>5.9800000000000001E-4</v>
      </c>
      <c r="G221" s="52">
        <f ca="1">IF(Summary_Exchange_Balances_00UTC!$B220="","",VLOOKUP(IF(ISERROR(SEARCH(" ", $B221)),UPPER($B221&amp;$C221&amp;IF(OR(NOT(ISERROR(SEARCH("trade",$D221))),NOT(ISERROR(SEARCH("balance",$D221)))),"",$D221)),UPPER(LEFT($B221, SEARCH(" ",$B221)-1)&amp;$C221&amp;IF(OR(NOT(ISERROR(SEARCH("trade",$D221))),NOT(ISERROR(SEARCH("balance",$D221)))),"",$D221))),$L:$T,MATCH("balance",$L$2:$S$2,0),FALSE))</f>
        <v>5.9800000000000001E-4</v>
      </c>
      <c r="H221" s="35">
        <f ca="1">IF(Summary_Exchange_Balances_00UTC!$B220="","",(G221-E221)/E221)</f>
        <v>0</v>
      </c>
      <c r="I221" s="165">
        <f ca="1">IF(Summary_Exchange_Balances_00UTC!$B220="","",IF(ISERROR($G221),$E221,$G221))</f>
        <v>5.9800000000000001E-4</v>
      </c>
      <c r="K221" t="str">
        <f t="shared" ca="1" si="15"/>
        <v>HUB2USDT</v>
      </c>
      <c r="L221" t="str">
        <f ca="1">UPPER($P221&amp;$N221&amp;IF(OR(NOT(ISERROR(SEARCH("trade",Q221))),NOT(ISERROR(SEARCH("balance",Q221)))),"",Q221))</f>
        <v>HUB2-MUSDT</v>
      </c>
      <c r="N221" s="161" t="str">
        <f ca="1">IF(raw_exchange_data!$A220="","",OFFSET(raw_exchange_data!$A220,0,MATCH(N$2,raw_exchange_data!$1:$1,0)-1))</f>
        <v>USDT</v>
      </c>
      <c r="O221" s="161" t="str">
        <f ca="1">IF(raw_exchange_data!$A220="","",OFFSET(raw_exchange_data!$A220,0,MATCH(O$2,raw_exchange_data!$1:$1,0)-1))</f>
        <v>HUB2</v>
      </c>
      <c r="P221" s="161" t="str">
        <f ca="1">IF(raw_exchange_data!$A220="","",OFFSET(raw_exchange_data!$A220,0,MATCH(P$2,raw_exchange_data!$1:$1,0)-1))</f>
        <v>HUB2-M</v>
      </c>
      <c r="Q221" s="161" t="str">
        <f ca="1">IF(raw_exchange_data!$A220="","",TEXT(OFFSET(raw_exchange_data!$A220,0,MATCH(Q$2,raw_exchange_data!$1:$1,0)-1),""))</f>
        <v>trade</v>
      </c>
      <c r="R221" s="162">
        <f ca="1">IF(raw_exchange_data!$A220="","",OFFSET(raw_exchange_data!$A220,0,MATCH(R$2,raw_exchange_data!$1:$1,0)-1))</f>
        <v>6.2163969999999999E-2</v>
      </c>
      <c r="S221" s="190">
        <f ca="1">IF(raw_exchange_data!$A220="","",OFFSET(raw_exchange_data!$A220,0,MATCH(S$2,raw_exchange_data!$1:$1,0)-1))</f>
        <v>44937.66666790509</v>
      </c>
      <c r="T221" s="161">
        <v>1</v>
      </c>
      <c r="W221" t="str">
        <f t="shared" si="16"/>
        <v>HUBI</v>
      </c>
      <c r="X221" t="str">
        <f t="shared" si="17"/>
        <v>DON</v>
      </c>
      <c r="Y221" s="42">
        <f t="shared" si="18"/>
        <v>5.9800000000000001E-4</v>
      </c>
      <c r="Z221" s="42">
        <f t="shared" ca="1" si="19"/>
        <v>5.9800000000000001E-4</v>
      </c>
    </row>
    <row r="222" spans="1:30" x14ac:dyDescent="0.25">
      <c r="A222" t="str">
        <f>IF(Summary_Exchange_Balances_00UTC!$B221="","",Summary_Exchange_Balances_00UTC!$N221)</f>
        <v>HUBI</v>
      </c>
      <c r="B222" t="str">
        <f>IF(Summary_Exchange_Balances_00UTC!$B221="","",Summary_Exchange_Balances_00UTC!$B221)</f>
        <v>HUBI-E</v>
      </c>
      <c r="C222" t="str">
        <f>IF(Summary_Exchange_Balances_00UTC!$B221="","",Summary_Exchange_Balances_00UTC!$E221)</f>
        <v>DOT</v>
      </c>
      <c r="D222" t="str">
        <f>IF(OR(Summary_Exchange_Balances_00UTC!$B221="",Summary_Exchange_Balances_00UTC!$D221=""),"",Summary_Exchange_Balances_00UTC!$D221)</f>
        <v/>
      </c>
      <c r="E222" s="52">
        <f>IF(Summary_Exchange_Balances_00UTC!$B221="","",Summary_Exchange_Balances_00UTC!$C221)</f>
        <v>40059.791036850002</v>
      </c>
      <c r="G222" s="52">
        <f ca="1">IF(Summary_Exchange_Balances_00UTC!$B221="","",VLOOKUP(IF(ISERROR(SEARCH(" ", $B222)),UPPER($B222&amp;$C222&amp;IF(OR(NOT(ISERROR(SEARCH("trade",$D222))),NOT(ISERROR(SEARCH("balance",$D222)))),"",$D222)),UPPER(LEFT($B222, SEARCH(" ",$B222)-1)&amp;$C222&amp;IF(OR(NOT(ISERROR(SEARCH("trade",$D222))),NOT(ISERROR(SEARCH("balance",$D222)))),"",$D222))),$L:$T,MATCH("balance",$L$2:$S$2,0),FALSE))</f>
        <v>40066.769036849997</v>
      </c>
      <c r="H222" s="35">
        <f ca="1">IF(Summary_Exchange_Balances_00UTC!$B221="","",(G222-E222)/E222)</f>
        <v>1.7418962554189635E-4</v>
      </c>
      <c r="I222" s="165">
        <f ca="1">IF(Summary_Exchange_Balances_00UTC!$B221="","",IF(ISERROR($G222),$E222,$G222))</f>
        <v>40066.769036849997</v>
      </c>
      <c r="K222" t="str">
        <f t="shared" ca="1" si="15"/>
        <v>HUB2USDT</v>
      </c>
      <c r="L222" t="str">
        <f ca="1">UPPER($P222&amp;$N222&amp;IF(OR(NOT(ISERROR(SEARCH("trade",Q222))),NOT(ISERROR(SEARCH("balance",Q222)))),"",Q222))</f>
        <v>HUB2-MUSDT</v>
      </c>
      <c r="N222" s="161" t="str">
        <f ca="1">IF(raw_exchange_data!$A221="","",OFFSET(raw_exchange_data!$A221,0,MATCH(N$2,raw_exchange_data!$1:$1,0)-1))</f>
        <v>USDT</v>
      </c>
      <c r="O222" s="161" t="str">
        <f ca="1">IF(raw_exchange_data!$A221="","",OFFSET(raw_exchange_data!$A221,0,MATCH(O$2,raw_exchange_data!$1:$1,0)-1))</f>
        <v>HUB2</v>
      </c>
      <c r="P222" s="161" t="str">
        <f ca="1">IF(raw_exchange_data!$A221="","",OFFSET(raw_exchange_data!$A221,0,MATCH(P$2,raw_exchange_data!$1:$1,0)-1))</f>
        <v>HUB2-M</v>
      </c>
      <c r="Q222" s="161" t="str">
        <f ca="1">IF(raw_exchange_data!$A221="","",TEXT(OFFSET(raw_exchange_data!$A221,0,MATCH(Q$2,raw_exchange_data!$1:$1,0)-1),""))</f>
        <v>trade</v>
      </c>
      <c r="R222" s="162">
        <f ca="1">IF(raw_exchange_data!$A221="","",OFFSET(raw_exchange_data!$A221,0,MATCH(R$2,raw_exchange_data!$1:$1,0)-1))</f>
        <v>0.1</v>
      </c>
      <c r="S222" s="190">
        <f ca="1">IF(raw_exchange_data!$A221="","",OFFSET(raw_exchange_data!$A221,0,MATCH(S$2,raw_exchange_data!$1:$1,0)-1))</f>
        <v>44937.66666790509</v>
      </c>
      <c r="T222" s="161">
        <v>1</v>
      </c>
      <c r="W222" t="str">
        <f t="shared" si="16"/>
        <v>HUBI</v>
      </c>
      <c r="X222" t="str">
        <f t="shared" si="17"/>
        <v>DOT</v>
      </c>
      <c r="Y222" s="42">
        <f t="shared" si="18"/>
        <v>40059.791036850002</v>
      </c>
      <c r="Z222" s="42">
        <f t="shared" ca="1" si="19"/>
        <v>40066.769036849997</v>
      </c>
    </row>
    <row r="223" spans="1:30" x14ac:dyDescent="0.25">
      <c r="A223" t="str">
        <f>IF(Summary_Exchange_Balances_00UTC!$B222="","",Summary_Exchange_Balances_00UTC!$N222)</f>
        <v>HUBI</v>
      </c>
      <c r="B223" t="str">
        <f>IF(Summary_Exchange_Balances_00UTC!$B222="","",Summary_Exchange_Balances_00UTC!$B222)</f>
        <v>HUBI-E</v>
      </c>
      <c r="C223" t="str">
        <f>IF(Summary_Exchange_Balances_00UTC!$B222="","",Summary_Exchange_Balances_00UTC!$E222)</f>
        <v>ENJ</v>
      </c>
      <c r="D223" t="str">
        <f>IF(OR(Summary_Exchange_Balances_00UTC!$B222="",Summary_Exchange_Balances_00UTC!$D222=""),"",Summary_Exchange_Balances_00UTC!$D222)</f>
        <v/>
      </c>
      <c r="E223" s="52">
        <f>IF(Summary_Exchange_Balances_00UTC!$B222="","",Summary_Exchange_Balances_00UTC!$C222)</f>
        <v>1E-8</v>
      </c>
      <c r="G223" s="52">
        <f ca="1">IF(Summary_Exchange_Balances_00UTC!$B222="","",VLOOKUP(IF(ISERROR(SEARCH(" ", $B223)),UPPER($B223&amp;$C223&amp;IF(OR(NOT(ISERROR(SEARCH("trade",$D223))),NOT(ISERROR(SEARCH("balance",$D223)))),"",$D223)),UPPER(LEFT($B223, SEARCH(" ",$B223)-1)&amp;$C223&amp;IF(OR(NOT(ISERROR(SEARCH("trade",$D223))),NOT(ISERROR(SEARCH("balance",$D223)))),"",$D223))),$L:$T,MATCH("balance",$L$2:$S$2,0),FALSE))</f>
        <v>1E-8</v>
      </c>
      <c r="H223" s="35">
        <f ca="1">IF(Summary_Exchange_Balances_00UTC!$B222="","",(G223-E223)/E223)</f>
        <v>0</v>
      </c>
      <c r="I223" s="165">
        <f ca="1">IF(Summary_Exchange_Balances_00UTC!$B222="","",IF(ISERROR($G223),$E223,$G223))</f>
        <v>1E-8</v>
      </c>
      <c r="K223" t="str">
        <f t="shared" ca="1" si="15"/>
        <v>HUB2USDT</v>
      </c>
      <c r="L223" t="str">
        <f ca="1">UPPER($P223&amp;$N223&amp;IF(OR(NOT(ISERROR(SEARCH("trade",Q223))),NOT(ISERROR(SEARCH("balance",Q223)))),"",Q223))</f>
        <v>HUB2-MUSDT</v>
      </c>
      <c r="N223" s="161" t="str">
        <f ca="1">IF(raw_exchange_data!$A222="","",OFFSET(raw_exchange_data!$A222,0,MATCH(N$2,raw_exchange_data!$1:$1,0)-1))</f>
        <v>USDT</v>
      </c>
      <c r="O223" s="161" t="str">
        <f ca="1">IF(raw_exchange_data!$A222="","",OFFSET(raw_exchange_data!$A222,0,MATCH(O$2,raw_exchange_data!$1:$1,0)-1))</f>
        <v>HUB2</v>
      </c>
      <c r="P223" s="161" t="str">
        <f ca="1">IF(raw_exchange_data!$A222="","",OFFSET(raw_exchange_data!$A222,0,MATCH(P$2,raw_exchange_data!$1:$1,0)-1))</f>
        <v>HUB2-M</v>
      </c>
      <c r="Q223" s="161" t="str">
        <f ca="1">IF(raw_exchange_data!$A222="","",TEXT(OFFSET(raw_exchange_data!$A222,0,MATCH(Q$2,raw_exchange_data!$1:$1,0)-1),""))</f>
        <v>trade</v>
      </c>
      <c r="R223" s="162">
        <f ca="1">IF(raw_exchange_data!$A222="","",OFFSET(raw_exchange_data!$A222,0,MATCH(R$2,raw_exchange_data!$1:$1,0)-1))</f>
        <v>0.82486462000000005</v>
      </c>
      <c r="S223" s="190">
        <f ca="1">IF(raw_exchange_data!$A222="","",OFFSET(raw_exchange_data!$A222,0,MATCH(S$2,raw_exchange_data!$1:$1,0)-1))</f>
        <v>44937.66666790509</v>
      </c>
      <c r="T223" s="161">
        <v>1</v>
      </c>
      <c r="W223" t="str">
        <f t="shared" si="16"/>
        <v>HUBI</v>
      </c>
      <c r="X223" t="str">
        <f t="shared" si="17"/>
        <v>ENJ</v>
      </c>
      <c r="Y223" s="42">
        <f t="shared" si="18"/>
        <v>1E-8</v>
      </c>
      <c r="Z223" s="42">
        <f t="shared" ca="1" si="19"/>
        <v>1E-8</v>
      </c>
    </row>
    <row r="224" spans="1:30" x14ac:dyDescent="0.25">
      <c r="A224" t="str">
        <f>IF(Summary_Exchange_Balances_00UTC!$B223="","",Summary_Exchange_Balances_00UTC!$N223)</f>
        <v>HUBI</v>
      </c>
      <c r="B224" t="str">
        <f>IF(Summary_Exchange_Balances_00UTC!$B223="","",Summary_Exchange_Balances_00UTC!$B223)</f>
        <v>HUBI-E</v>
      </c>
      <c r="C224" t="str">
        <f>IF(Summary_Exchange_Balances_00UTC!$B223="","",Summary_Exchange_Balances_00UTC!$E223)</f>
        <v>EOS</v>
      </c>
      <c r="D224" t="str">
        <f>IF(OR(Summary_Exchange_Balances_00UTC!$B223="",Summary_Exchange_Balances_00UTC!$D223=""),"",Summary_Exchange_Balances_00UTC!$D223)</f>
        <v/>
      </c>
      <c r="E224" s="52">
        <f>IF(Summary_Exchange_Balances_00UTC!$B223="","",Summary_Exchange_Balances_00UTC!$C223)</f>
        <v>2110.8363221999998</v>
      </c>
      <c r="G224" s="52">
        <f ca="1">IF(Summary_Exchange_Balances_00UTC!$B223="","",VLOOKUP(IF(ISERROR(SEARCH(" ", $B224)),UPPER($B224&amp;$C224&amp;IF(OR(NOT(ISERROR(SEARCH("trade",$D224))),NOT(ISERROR(SEARCH("balance",$D224)))),"",$D224)),UPPER(LEFT($B224, SEARCH(" ",$B224)-1)&amp;$C224&amp;IF(OR(NOT(ISERROR(SEARCH("trade",$D224))),NOT(ISERROR(SEARCH("balance",$D224)))),"",$D224))),$L:$T,MATCH("balance",$L$2:$S$2,0),FALSE))</f>
        <v>70.35249924</v>
      </c>
      <c r="H224" s="35">
        <f ca="1">IF(Summary_Exchange_Balances_00UTC!$B223="","",(G224-E224)/E224)</f>
        <v>-0.96667079370385489</v>
      </c>
      <c r="I224" s="165">
        <f ca="1">IF(Summary_Exchange_Balances_00UTC!$B223="","",IF(ISERROR($G224),$E224,$G224))</f>
        <v>70.35249924</v>
      </c>
      <c r="K224" t="str">
        <f t="shared" ca="1" si="15"/>
        <v>HUB2XRP</v>
      </c>
      <c r="L224" t="str">
        <f ca="1">UPPER($P224&amp;$N224&amp;IF(OR(NOT(ISERROR(SEARCH("trade",Q224))),NOT(ISERROR(SEARCH("balance",Q224)))),"",Q224))</f>
        <v>HUB2-MXRP</v>
      </c>
      <c r="N224" s="161" t="str">
        <f ca="1">IF(raw_exchange_data!$A223="","",OFFSET(raw_exchange_data!$A223,0,MATCH(N$2,raw_exchange_data!$1:$1,0)-1))</f>
        <v>XRP</v>
      </c>
      <c r="O224" s="161" t="str">
        <f ca="1">IF(raw_exchange_data!$A223="","",OFFSET(raw_exchange_data!$A223,0,MATCH(O$2,raw_exchange_data!$1:$1,0)-1))</f>
        <v>HUB2</v>
      </c>
      <c r="P224" s="161" t="str">
        <f ca="1">IF(raw_exchange_data!$A223="","",OFFSET(raw_exchange_data!$A223,0,MATCH(P$2,raw_exchange_data!$1:$1,0)-1))</f>
        <v>HUB2-M</v>
      </c>
      <c r="Q224" s="161" t="str">
        <f ca="1">IF(raw_exchange_data!$A223="","",TEXT(OFFSET(raw_exchange_data!$A223,0,MATCH(Q$2,raw_exchange_data!$1:$1,0)-1),""))</f>
        <v>trade</v>
      </c>
      <c r="R224" s="162">
        <f ca="1">IF(raw_exchange_data!$A223="","",OFFSET(raw_exchange_data!$A223,0,MATCH(R$2,raw_exchange_data!$1:$1,0)-1))</f>
        <v>6.4869999999999994E-5</v>
      </c>
      <c r="S224" s="190">
        <f ca="1">IF(raw_exchange_data!$A223="","",OFFSET(raw_exchange_data!$A223,0,MATCH(S$2,raw_exchange_data!$1:$1,0)-1))</f>
        <v>44937.66666790509</v>
      </c>
      <c r="T224" s="161">
        <v>1</v>
      </c>
      <c r="W224" t="str">
        <f t="shared" si="16"/>
        <v>HUBI</v>
      </c>
      <c r="X224" t="str">
        <f t="shared" si="17"/>
        <v>EOS</v>
      </c>
      <c r="Y224" s="42">
        <f t="shared" si="18"/>
        <v>2110.8363221999998</v>
      </c>
      <c r="Z224" s="42">
        <f t="shared" ca="1" si="19"/>
        <v>70.35249924</v>
      </c>
    </row>
    <row r="225" spans="1:26" x14ac:dyDescent="0.25">
      <c r="A225" t="str">
        <f>IF(Summary_Exchange_Balances_00UTC!$B224="","",Summary_Exchange_Balances_00UTC!$N224)</f>
        <v>HUBI</v>
      </c>
      <c r="B225" t="str">
        <f>IF(Summary_Exchange_Balances_00UTC!$B224="","",Summary_Exchange_Balances_00UTC!$B224)</f>
        <v>HUBI-E</v>
      </c>
      <c r="C225" t="str">
        <f>IF(Summary_Exchange_Balances_00UTC!$B224="","",Summary_Exchange_Balances_00UTC!$E224)</f>
        <v>ETC</v>
      </c>
      <c r="D225" t="str">
        <f>IF(OR(Summary_Exchange_Balances_00UTC!$B224="",Summary_Exchange_Balances_00UTC!$D224=""),"",Summary_Exchange_Balances_00UTC!$D224)</f>
        <v/>
      </c>
      <c r="E225" s="52">
        <f>IF(Summary_Exchange_Balances_00UTC!$B224="","",Summary_Exchange_Balances_00UTC!$C224)</f>
        <v>8859.7328020599998</v>
      </c>
      <c r="G225" s="52">
        <f ca="1">IF(Summary_Exchange_Balances_00UTC!$B224="","",VLOOKUP(IF(ISERROR(SEARCH(" ", $B225)),UPPER($B225&amp;$C225&amp;IF(OR(NOT(ISERROR(SEARCH("trade",$D225))),NOT(ISERROR(SEARCH("balance",$D225)))),"",$D225)),UPPER(LEFT($B225, SEARCH(" ",$B225)-1)&amp;$C225&amp;IF(OR(NOT(ISERROR(SEARCH("trade",$D225))),NOT(ISERROR(SEARCH("balance",$D225)))),"",$D225))),$L:$T,MATCH("balance",$L$2:$S$2,0),FALSE))</f>
        <v>8848.9328020600005</v>
      </c>
      <c r="H225" s="35">
        <f ca="1">IF(Summary_Exchange_Balances_00UTC!$B224="","",(G225-E225)/E225)</f>
        <v>-1.2189983875685434E-3</v>
      </c>
      <c r="I225" s="165">
        <f ca="1">IF(Summary_Exchange_Balances_00UTC!$B224="","",IF(ISERROR($G225),$E225,$G225))</f>
        <v>8848.9328020600005</v>
      </c>
      <c r="K225" t="str">
        <f t="shared" ca="1" si="15"/>
        <v>HUB2XRP</v>
      </c>
      <c r="L225" t="str">
        <f ca="1">UPPER($P225&amp;$N225&amp;IF(OR(NOT(ISERROR(SEARCH("trade",Q225))),NOT(ISERROR(SEARCH("balance",Q225)))),"",Q225))</f>
        <v>HUB2-MXRP</v>
      </c>
      <c r="N225" s="161" t="str">
        <f ca="1">IF(raw_exchange_data!$A224="","",OFFSET(raw_exchange_data!$A224,0,MATCH(N$2,raw_exchange_data!$1:$1,0)-1))</f>
        <v>XRP</v>
      </c>
      <c r="O225" s="161" t="str">
        <f ca="1">IF(raw_exchange_data!$A224="","",OFFSET(raw_exchange_data!$A224,0,MATCH(O$2,raw_exchange_data!$1:$1,0)-1))</f>
        <v>HUB2</v>
      </c>
      <c r="P225" s="161" t="str">
        <f ca="1">IF(raw_exchange_data!$A224="","",OFFSET(raw_exchange_data!$A224,0,MATCH(P$2,raw_exchange_data!$1:$1,0)-1))</f>
        <v>HUB2-M</v>
      </c>
      <c r="Q225" s="161" t="str">
        <f ca="1">IF(raw_exchange_data!$A224="","",TEXT(OFFSET(raw_exchange_data!$A224,0,MATCH(Q$2,raw_exchange_data!$1:$1,0)-1),""))</f>
        <v>trade</v>
      </c>
      <c r="R225" s="162">
        <f ca="1">IF(raw_exchange_data!$A224="","",OFFSET(raw_exchange_data!$A224,0,MATCH(R$2,raw_exchange_data!$1:$1,0)-1))</f>
        <v>7.4209999999999996E-5</v>
      </c>
      <c r="S225" s="190">
        <f ca="1">IF(raw_exchange_data!$A224="","",OFFSET(raw_exchange_data!$A224,0,MATCH(S$2,raw_exchange_data!$1:$1,0)-1))</f>
        <v>44937.66666790509</v>
      </c>
      <c r="T225" s="161">
        <v>1</v>
      </c>
      <c r="W225" t="str">
        <f t="shared" si="16"/>
        <v>HUBI</v>
      </c>
      <c r="X225" t="str">
        <f t="shared" si="17"/>
        <v>ETC</v>
      </c>
      <c r="Y225" s="42">
        <f t="shared" si="18"/>
        <v>8859.7328020599998</v>
      </c>
      <c r="Z225" s="42">
        <f t="shared" ca="1" si="19"/>
        <v>8848.9328020600005</v>
      </c>
    </row>
    <row r="226" spans="1:26" x14ac:dyDescent="0.25">
      <c r="A226" t="str">
        <f>IF(Summary_Exchange_Balances_00UTC!$B225="","",Summary_Exchange_Balances_00UTC!$N225)</f>
        <v>HUBI</v>
      </c>
      <c r="B226" t="str">
        <f>IF(Summary_Exchange_Balances_00UTC!$B225="","",Summary_Exchange_Balances_00UTC!$B225)</f>
        <v>HUBI-E</v>
      </c>
      <c r="C226" t="str">
        <f>IF(Summary_Exchange_Balances_00UTC!$B225="","",Summary_Exchange_Balances_00UTC!$E225)</f>
        <v>ETH</v>
      </c>
      <c r="D226" t="str">
        <f>IF(OR(Summary_Exchange_Balances_00UTC!$B225="",Summary_Exchange_Balances_00UTC!$D225=""),"",Summary_Exchange_Balances_00UTC!$D225)</f>
        <v/>
      </c>
      <c r="E226" s="52">
        <f>IF(Summary_Exchange_Balances_00UTC!$B225="","",Summary_Exchange_Balances_00UTC!$C225)</f>
        <v>4854.4770517999996</v>
      </c>
      <c r="G226" s="52">
        <f ca="1">IF(Summary_Exchange_Balances_00UTC!$B225="","",VLOOKUP(IF(ISERROR(SEARCH(" ", $B226)),UPPER($B226&amp;$C226&amp;IF(OR(NOT(ISERROR(SEARCH("trade",$D226))),NOT(ISERROR(SEARCH("balance",$D226)))),"",$D226)),UPPER(LEFT($B226, SEARCH(" ",$B226)-1)&amp;$C226&amp;IF(OR(NOT(ISERROR(SEARCH("trade",$D226))),NOT(ISERROR(SEARCH("balance",$D226)))),"",$D226))),$L:$T,MATCH("balance",$L$2:$S$2,0),FALSE))</f>
        <v>4100.9776247399996</v>
      </c>
      <c r="H226" s="35">
        <f ca="1">IF(Summary_Exchange_Balances_00UTC!$B225="","",(G226-E226)/E226)</f>
        <v>-0.1552174248677535</v>
      </c>
      <c r="I226" s="165">
        <f ca="1">IF(Summary_Exchange_Balances_00UTC!$B225="","",IF(ISERROR($G226),$E226,$G226))</f>
        <v>4100.9776247399996</v>
      </c>
      <c r="K226" t="str">
        <f t="shared" ca="1" si="15"/>
        <v>HUBIAAVE</v>
      </c>
      <c r="L226" t="str">
        <f ca="1">UPPER($P226&amp;$N226&amp;IF(OR(NOT(ISERROR(SEARCH("trade",Q226))),NOT(ISERROR(SEARCH("balance",Q226)))),"",Q226))</f>
        <v>HUBI-1-M-PAAVE</v>
      </c>
      <c r="N226" s="161" t="str">
        <f ca="1">IF(raw_exchange_data!$A225="","",OFFSET(raw_exchange_data!$A225,0,MATCH(N$2,raw_exchange_data!$1:$1,0)-1))</f>
        <v>AAVE</v>
      </c>
      <c r="O226" s="161" t="str">
        <f ca="1">IF(raw_exchange_data!$A225="","",OFFSET(raw_exchange_data!$A225,0,MATCH(O$2,raw_exchange_data!$1:$1,0)-1))</f>
        <v>HUBI</v>
      </c>
      <c r="P226" s="161" t="str">
        <f ca="1">IF(raw_exchange_data!$A225="","",OFFSET(raw_exchange_data!$A225,0,MATCH(P$2,raw_exchange_data!$1:$1,0)-1))</f>
        <v>HUBI-1-M-P</v>
      </c>
      <c r="Q226" s="161" t="str">
        <f ca="1">IF(raw_exchange_data!$A225="","",TEXT(OFFSET(raw_exchange_data!$A225,0,MATCH(Q$2,raw_exchange_data!$1:$1,0)-1),""))</f>
        <v/>
      </c>
      <c r="R226" s="162">
        <f ca="1">IF(raw_exchange_data!$A225="","",OFFSET(raw_exchange_data!$A225,0,MATCH(R$2,raw_exchange_data!$1:$1,0)-1))</f>
        <v>0.10014646000000001</v>
      </c>
      <c r="S226" s="190">
        <f ca="1">IF(raw_exchange_data!$A225="","",OFFSET(raw_exchange_data!$A225,0,MATCH(S$2,raw_exchange_data!$1:$1,0)-1))</f>
        <v>44937.66965625</v>
      </c>
      <c r="T226" s="161">
        <v>1</v>
      </c>
      <c r="W226" t="str">
        <f t="shared" si="16"/>
        <v>HUBI</v>
      </c>
      <c r="X226" t="str">
        <f t="shared" si="17"/>
        <v>ETH</v>
      </c>
      <c r="Y226" s="42">
        <f t="shared" si="18"/>
        <v>4854.4770517999996</v>
      </c>
      <c r="Z226" s="42">
        <f t="shared" ca="1" si="19"/>
        <v>4100.9776247399996</v>
      </c>
    </row>
    <row r="227" spans="1:26" x14ac:dyDescent="0.25">
      <c r="A227" t="str">
        <f>IF(Summary_Exchange_Balances_00UTC!$B226="","",Summary_Exchange_Balances_00UTC!$N226)</f>
        <v>HUBI</v>
      </c>
      <c r="B227" t="str">
        <f>IF(Summary_Exchange_Balances_00UTC!$B226="","",Summary_Exchange_Balances_00UTC!$B226)</f>
        <v>HUBI-E</v>
      </c>
      <c r="C227" t="str">
        <f>IF(Summary_Exchange_Balances_00UTC!$B226="","",Summary_Exchange_Balances_00UTC!$E226)</f>
        <v>ETHF</v>
      </c>
      <c r="D227" t="str">
        <f>IF(OR(Summary_Exchange_Balances_00UTC!$B226="",Summary_Exchange_Balances_00UTC!$D226=""),"",Summary_Exchange_Balances_00UTC!$D226)</f>
        <v/>
      </c>
      <c r="E227" s="52">
        <f>IF(Summary_Exchange_Balances_00UTC!$B226="","",Summary_Exchange_Balances_00UTC!$C226)</f>
        <v>9823.8364263999993</v>
      </c>
      <c r="G227" s="52">
        <f ca="1">IF(Summary_Exchange_Balances_00UTC!$B226="","",VLOOKUP(IF(ISERROR(SEARCH(" ", $B227)),UPPER($B227&amp;$C227&amp;IF(OR(NOT(ISERROR(SEARCH("trade",$D227))),NOT(ISERROR(SEARCH("balance",$D227)))),"",$D227)),UPPER(LEFT($B227, SEARCH(" ",$B227)-1)&amp;$C227&amp;IF(OR(NOT(ISERROR(SEARCH("trade",$D227))),NOT(ISERROR(SEARCH("balance",$D227)))),"",$D227))),$L:$T,MATCH("balance",$L$2:$S$2,0),FALSE))</f>
        <v>9823.8364263999993</v>
      </c>
      <c r="H227" s="35">
        <f ca="1">IF(Summary_Exchange_Balances_00UTC!$B226="","",(G227-E227)/E227)</f>
        <v>0</v>
      </c>
      <c r="I227" s="165">
        <f ca="1">IF(Summary_Exchange_Balances_00UTC!$B226="","",IF(ISERROR($G227),$E227,$G227))</f>
        <v>9823.8364263999993</v>
      </c>
      <c r="K227" t="str">
        <f t="shared" ca="1" si="15"/>
        <v>HUBIADA</v>
      </c>
      <c r="L227" t="str">
        <f ca="1">UPPER($P227&amp;$N227&amp;IF(OR(NOT(ISERROR(SEARCH("trade",Q227))),NOT(ISERROR(SEARCH("balance",Q227)))),"",Q227))</f>
        <v>HUBI-1-M-PADA</v>
      </c>
      <c r="N227" s="161" t="str">
        <f ca="1">IF(raw_exchange_data!$A226="","",OFFSET(raw_exchange_data!$A226,0,MATCH(N$2,raw_exchange_data!$1:$1,0)-1))</f>
        <v>ADA</v>
      </c>
      <c r="O227" s="161" t="str">
        <f ca="1">IF(raw_exchange_data!$A226="","",OFFSET(raw_exchange_data!$A226,0,MATCH(O$2,raw_exchange_data!$1:$1,0)-1))</f>
        <v>HUBI</v>
      </c>
      <c r="P227" s="161" t="str">
        <f ca="1">IF(raw_exchange_data!$A226="","",OFFSET(raw_exchange_data!$A226,0,MATCH(P$2,raw_exchange_data!$1:$1,0)-1))</f>
        <v>HUBI-1-M-P</v>
      </c>
      <c r="Q227" s="161" t="str">
        <f ca="1">IF(raw_exchange_data!$A226="","",TEXT(OFFSET(raw_exchange_data!$A226,0,MATCH(Q$2,raw_exchange_data!$1:$1,0)-1),""))</f>
        <v/>
      </c>
      <c r="R227" s="162">
        <f ca="1">IF(raw_exchange_data!$A226="","",OFFSET(raw_exchange_data!$A226,0,MATCH(R$2,raw_exchange_data!$1:$1,0)-1))</f>
        <v>3.2091770000000001E-4</v>
      </c>
      <c r="S227" s="190">
        <f ca="1">IF(raw_exchange_data!$A226="","",OFFSET(raw_exchange_data!$A226,0,MATCH(S$2,raw_exchange_data!$1:$1,0)-1))</f>
        <v>44937.66965625</v>
      </c>
      <c r="T227" s="161">
        <v>1</v>
      </c>
      <c r="W227" t="str">
        <f t="shared" si="16"/>
        <v>HUBI</v>
      </c>
      <c r="X227" t="str">
        <f t="shared" si="17"/>
        <v>ETHF</v>
      </c>
      <c r="Y227" s="42">
        <f t="shared" si="18"/>
        <v>9823.8364263999993</v>
      </c>
      <c r="Z227" s="42">
        <f t="shared" ca="1" si="19"/>
        <v>9823.8364263999993</v>
      </c>
    </row>
    <row r="228" spans="1:26" x14ac:dyDescent="0.25">
      <c r="A228" t="str">
        <f>IF(Summary_Exchange_Balances_00UTC!$B227="","",Summary_Exchange_Balances_00UTC!$N227)</f>
        <v>HUBI</v>
      </c>
      <c r="B228" t="str">
        <f>IF(Summary_Exchange_Balances_00UTC!$B227="","",Summary_Exchange_Balances_00UTC!$B227)</f>
        <v>HUBI-E</v>
      </c>
      <c r="C228" t="str">
        <f>IF(Summary_Exchange_Balances_00UTC!$B227="","",Summary_Exchange_Balances_00UTC!$E227)</f>
        <v>ETHW</v>
      </c>
      <c r="D228" t="str">
        <f>IF(OR(Summary_Exchange_Balances_00UTC!$B227="",Summary_Exchange_Balances_00UTC!$D227=""),"",Summary_Exchange_Balances_00UTC!$D227)</f>
        <v/>
      </c>
      <c r="E228" s="52">
        <f>IF(Summary_Exchange_Balances_00UTC!$B227="","",Summary_Exchange_Balances_00UTC!$C227)</f>
        <v>3460.93190667</v>
      </c>
      <c r="G228" s="52">
        <f ca="1">IF(Summary_Exchange_Balances_00UTC!$B227="","",VLOOKUP(IF(ISERROR(SEARCH(" ", $B228)),UPPER($B228&amp;$C228&amp;IF(OR(NOT(ISERROR(SEARCH("trade",$D228))),NOT(ISERROR(SEARCH("balance",$D228)))),"",$D228)),UPPER(LEFT($B228, SEARCH(" ",$B228)-1)&amp;$C228&amp;IF(OR(NOT(ISERROR(SEARCH("trade",$D228))),NOT(ISERROR(SEARCH("balance",$D228)))),"",$D228))),$L:$T,MATCH("balance",$L$2:$S$2,0),FALSE))</f>
        <v>3460.93190667</v>
      </c>
      <c r="H228" s="35">
        <f ca="1">IF(Summary_Exchange_Balances_00UTC!$B227="","",(G228-E228)/E228)</f>
        <v>0</v>
      </c>
      <c r="I228" s="165">
        <f ca="1">IF(Summary_Exchange_Balances_00UTC!$B227="","",IF(ISERROR($G228),$E228,$G228))</f>
        <v>3460.93190667</v>
      </c>
      <c r="K228" t="str">
        <f t="shared" ca="1" si="15"/>
        <v>HUBIBCH</v>
      </c>
      <c r="L228" t="str">
        <f ca="1">UPPER($P228&amp;$N228&amp;IF(OR(NOT(ISERROR(SEARCH("trade",Q228))),NOT(ISERROR(SEARCH("balance",Q228)))),"",Q228))</f>
        <v>HUBI-1-M-PBCH</v>
      </c>
      <c r="N228" s="161" t="str">
        <f ca="1">IF(raw_exchange_data!$A227="","",OFFSET(raw_exchange_data!$A227,0,MATCH(N$2,raw_exchange_data!$1:$1,0)-1))</f>
        <v>BCH</v>
      </c>
      <c r="O228" s="161" t="str">
        <f ca="1">IF(raw_exchange_data!$A227="","",OFFSET(raw_exchange_data!$A227,0,MATCH(O$2,raw_exchange_data!$1:$1,0)-1))</f>
        <v>HUBI</v>
      </c>
      <c r="P228" s="161" t="str">
        <f ca="1">IF(raw_exchange_data!$A227="","",OFFSET(raw_exchange_data!$A227,0,MATCH(P$2,raw_exchange_data!$1:$1,0)-1))</f>
        <v>HUBI-1-M-P</v>
      </c>
      <c r="Q228" s="161" t="str">
        <f ca="1">IF(raw_exchange_data!$A227="","",TEXT(OFFSET(raw_exchange_data!$A227,0,MATCH(Q$2,raw_exchange_data!$1:$1,0)-1),""))</f>
        <v/>
      </c>
      <c r="R228" s="162">
        <f ca="1">IF(raw_exchange_data!$A227="","",OFFSET(raw_exchange_data!$A227,0,MATCH(R$2,raw_exchange_data!$1:$1,0)-1))</f>
        <v>5.3552099999999996E-4</v>
      </c>
      <c r="S228" s="190">
        <f ca="1">IF(raw_exchange_data!$A227="","",OFFSET(raw_exchange_data!$A227,0,MATCH(S$2,raw_exchange_data!$1:$1,0)-1))</f>
        <v>44937.66965625</v>
      </c>
      <c r="T228" s="161">
        <v>1</v>
      </c>
      <c r="W228" t="str">
        <f t="shared" si="16"/>
        <v>HUBI</v>
      </c>
      <c r="X228" t="str">
        <f t="shared" si="17"/>
        <v>ETHW</v>
      </c>
      <c r="Y228" s="42">
        <f t="shared" si="18"/>
        <v>3460.93190667</v>
      </c>
      <c r="Z228" s="42">
        <f t="shared" ca="1" si="19"/>
        <v>3460.93190667</v>
      </c>
    </row>
    <row r="229" spans="1:26" x14ac:dyDescent="0.25">
      <c r="A229" t="str">
        <f>IF(Summary_Exchange_Balances_00UTC!$B228="","",Summary_Exchange_Balances_00UTC!$N228)</f>
        <v>HUBI</v>
      </c>
      <c r="B229" t="str">
        <f>IF(Summary_Exchange_Balances_00UTC!$B228="","",Summary_Exchange_Balances_00UTC!$B228)</f>
        <v>HUBI-E</v>
      </c>
      <c r="C229" t="str">
        <f>IF(Summary_Exchange_Balances_00UTC!$B228="","",Summary_Exchange_Balances_00UTC!$E228)</f>
        <v>EUROC</v>
      </c>
      <c r="D229" t="str">
        <f>IF(OR(Summary_Exchange_Balances_00UTC!$B228="",Summary_Exchange_Balances_00UTC!$D228=""),"",Summary_Exchange_Balances_00UTC!$D228)</f>
        <v/>
      </c>
      <c r="E229" s="52">
        <f>IF(Summary_Exchange_Balances_00UTC!$B228="","",Summary_Exchange_Balances_00UTC!$C228)</f>
        <v>106105.15993081999</v>
      </c>
      <c r="G229" s="52">
        <f ca="1">IF(Summary_Exchange_Balances_00UTC!$B228="","",VLOOKUP(IF(ISERROR(SEARCH(" ", $B229)),UPPER($B229&amp;$C229&amp;IF(OR(NOT(ISERROR(SEARCH("trade",$D229))),NOT(ISERROR(SEARCH("balance",$D229)))),"",$D229)),UPPER(LEFT($B229, SEARCH(" ",$B229)-1)&amp;$C229&amp;IF(OR(NOT(ISERROR(SEARCH("trade",$D229))),NOT(ISERROR(SEARCH("balance",$D229)))),"",$D229))),$L:$T,MATCH("balance",$L$2:$S$2,0),FALSE))</f>
        <v>98854.041595679999</v>
      </c>
      <c r="H229" s="35">
        <f ca="1">IF(Summary_Exchange_Balances_00UTC!$B228="","",(G229-E229)/E229)</f>
        <v>-6.8338979366014685E-2</v>
      </c>
      <c r="I229" s="165">
        <f ca="1">IF(Summary_Exchange_Balances_00UTC!$B228="","",IF(ISERROR($G229),$E229,$G229))</f>
        <v>98854.041595679999</v>
      </c>
      <c r="K229" t="str">
        <f t="shared" ca="1" si="15"/>
        <v>HUBIBSV</v>
      </c>
      <c r="L229" t="str">
        <f ca="1">UPPER($P229&amp;$N229&amp;IF(OR(NOT(ISERROR(SEARCH("trade",Q229))),NOT(ISERROR(SEARCH("balance",Q229)))),"",Q229))</f>
        <v>HUBI-1-M-PBSV</v>
      </c>
      <c r="N229" s="161" t="str">
        <f ca="1">IF(raw_exchange_data!$A228="","",OFFSET(raw_exchange_data!$A228,0,MATCH(N$2,raw_exchange_data!$1:$1,0)-1))</f>
        <v>BSV</v>
      </c>
      <c r="O229" s="161" t="str">
        <f ca="1">IF(raw_exchange_data!$A228="","",OFFSET(raw_exchange_data!$A228,0,MATCH(O$2,raw_exchange_data!$1:$1,0)-1))</f>
        <v>HUBI</v>
      </c>
      <c r="P229" s="161" t="str">
        <f ca="1">IF(raw_exchange_data!$A228="","",OFFSET(raw_exchange_data!$A228,0,MATCH(P$2,raw_exchange_data!$1:$1,0)-1))</f>
        <v>HUBI-1-M-P</v>
      </c>
      <c r="Q229" s="161" t="str">
        <f ca="1">IF(raw_exchange_data!$A228="","",TEXT(OFFSET(raw_exchange_data!$A228,0,MATCH(Q$2,raw_exchange_data!$1:$1,0)-1),""))</f>
        <v/>
      </c>
      <c r="R229" s="162">
        <f ca="1">IF(raw_exchange_data!$A228="","",OFFSET(raw_exchange_data!$A228,0,MATCH(R$2,raw_exchange_data!$1:$1,0)-1))</f>
        <v>3.3400000000000001E-8</v>
      </c>
      <c r="S229" s="190">
        <f ca="1">IF(raw_exchange_data!$A228="","",OFFSET(raw_exchange_data!$A228,0,MATCH(S$2,raw_exchange_data!$1:$1,0)-1))</f>
        <v>44937.66965625</v>
      </c>
      <c r="T229" s="161">
        <v>1</v>
      </c>
      <c r="W229" t="str">
        <f t="shared" si="16"/>
        <v>HUBI</v>
      </c>
      <c r="X229" t="str">
        <f t="shared" si="17"/>
        <v>EUROC</v>
      </c>
      <c r="Y229" s="42">
        <f t="shared" si="18"/>
        <v>106105.15993081999</v>
      </c>
      <c r="Z229" s="42">
        <f t="shared" ca="1" si="19"/>
        <v>98854.041595679999</v>
      </c>
    </row>
    <row r="230" spans="1:26" x14ac:dyDescent="0.25">
      <c r="A230" t="str">
        <f>IF(Summary_Exchange_Balances_00UTC!$B229="","",Summary_Exchange_Balances_00UTC!$N229)</f>
        <v>HUBI</v>
      </c>
      <c r="B230" t="str">
        <f>IF(Summary_Exchange_Balances_00UTC!$B229="","",Summary_Exchange_Balances_00UTC!$B229)</f>
        <v>HUBI-E</v>
      </c>
      <c r="C230" t="str">
        <f>IF(Summary_Exchange_Balances_00UTC!$B229="","",Summary_Exchange_Balances_00UTC!$E229)</f>
        <v>FIL</v>
      </c>
      <c r="D230" t="str">
        <f>IF(OR(Summary_Exchange_Balances_00UTC!$B229="",Summary_Exchange_Balances_00UTC!$D229=""),"",Summary_Exchange_Balances_00UTC!$D229)</f>
        <v/>
      </c>
      <c r="E230" s="52">
        <f>IF(Summary_Exchange_Balances_00UTC!$B229="","",Summary_Exchange_Balances_00UTC!$C229)</f>
        <v>1.0244641699999999</v>
      </c>
      <c r="G230" s="52">
        <f ca="1">IF(Summary_Exchange_Balances_00UTC!$B229="","",VLOOKUP(IF(ISERROR(SEARCH(" ", $B230)),UPPER($B230&amp;$C230&amp;IF(OR(NOT(ISERROR(SEARCH("trade",$D230))),NOT(ISERROR(SEARCH("balance",$D230)))),"",$D230)),UPPER(LEFT($B230, SEARCH(" ",$B230)-1)&amp;$C230&amp;IF(OR(NOT(ISERROR(SEARCH("trade",$D230))),NOT(ISERROR(SEARCH("balance",$D230)))),"",$D230))),$L:$T,MATCH("balance",$L$2:$S$2,0),FALSE))</f>
        <v>1.0244641699999999</v>
      </c>
      <c r="H230" s="35">
        <f ca="1">IF(Summary_Exchange_Balances_00UTC!$B229="","",(G230-E230)/E230)</f>
        <v>0</v>
      </c>
      <c r="I230" s="165">
        <f ca="1">IF(Summary_Exchange_Balances_00UTC!$B229="","",IF(ISERROR($G230),$E230,$G230))</f>
        <v>1.0244641699999999</v>
      </c>
      <c r="K230" t="str">
        <f t="shared" ca="1" si="15"/>
        <v>HUBIBTC</v>
      </c>
      <c r="L230" t="str">
        <f ca="1">UPPER($P230&amp;$N230&amp;IF(OR(NOT(ISERROR(SEARCH("trade",Q230))),NOT(ISERROR(SEARCH("balance",Q230)))),"",Q230))</f>
        <v>HUBI-1-M-PBTC</v>
      </c>
      <c r="N230" s="161" t="str">
        <f ca="1">IF(raw_exchange_data!$A229="","",OFFSET(raw_exchange_data!$A229,0,MATCH(N$2,raw_exchange_data!$1:$1,0)-1))</f>
        <v>BTC</v>
      </c>
      <c r="O230" s="161" t="str">
        <f ca="1">IF(raw_exchange_data!$A229="","",OFFSET(raw_exchange_data!$A229,0,MATCH(O$2,raw_exchange_data!$1:$1,0)-1))</f>
        <v>HUBI</v>
      </c>
      <c r="P230" s="161" t="str">
        <f ca="1">IF(raw_exchange_data!$A229="","",OFFSET(raw_exchange_data!$A229,0,MATCH(P$2,raw_exchange_data!$1:$1,0)-1))</f>
        <v>HUBI-1-M-P</v>
      </c>
      <c r="Q230" s="161" t="str">
        <f ca="1">IF(raw_exchange_data!$A229="","",TEXT(OFFSET(raw_exchange_data!$A229,0,MATCH(Q$2,raw_exchange_data!$1:$1,0)-1),""))</f>
        <v/>
      </c>
      <c r="R230" s="162">
        <f ca="1">IF(raw_exchange_data!$A229="","",OFFSET(raw_exchange_data!$A229,0,MATCH(R$2,raw_exchange_data!$1:$1,0)-1))</f>
        <v>18.9576884785</v>
      </c>
      <c r="S230" s="190">
        <f ca="1">IF(raw_exchange_data!$A229="","",OFFSET(raw_exchange_data!$A229,0,MATCH(S$2,raw_exchange_data!$1:$1,0)-1))</f>
        <v>44937.66965625</v>
      </c>
      <c r="T230" s="161">
        <v>1</v>
      </c>
      <c r="W230" t="str">
        <f t="shared" si="16"/>
        <v>HUBI</v>
      </c>
      <c r="X230" t="str">
        <f t="shared" si="17"/>
        <v>FIL</v>
      </c>
      <c r="Y230" s="42">
        <f t="shared" si="18"/>
        <v>1.0244641699999999</v>
      </c>
      <c r="Z230" s="42">
        <f t="shared" ca="1" si="19"/>
        <v>1.0244641699999999</v>
      </c>
    </row>
    <row r="231" spans="1:26" x14ac:dyDescent="0.25">
      <c r="A231" t="str">
        <f>IF(Summary_Exchange_Balances_00UTC!$B230="","",Summary_Exchange_Balances_00UTC!$N230)</f>
        <v>HUBI</v>
      </c>
      <c r="B231" t="str">
        <f>IF(Summary_Exchange_Balances_00UTC!$B230="","",Summary_Exchange_Balances_00UTC!$B230)</f>
        <v>HUBI-E</v>
      </c>
      <c r="C231" t="str">
        <f>IF(Summary_Exchange_Balances_00UTC!$B230="","",Summary_Exchange_Balances_00UTC!$E230)</f>
        <v>FLR</v>
      </c>
      <c r="D231" t="str">
        <f>IF(OR(Summary_Exchange_Balances_00UTC!$B230="",Summary_Exchange_Balances_00UTC!$D230=""),"",Summary_Exchange_Balances_00UTC!$D230)</f>
        <v/>
      </c>
      <c r="E231" s="52">
        <f>IF(Summary_Exchange_Balances_00UTC!$B230="","",Summary_Exchange_Balances_00UTC!$C230)</f>
        <v>1214222.2371169401</v>
      </c>
      <c r="G231" s="52">
        <f ca="1">IF(Summary_Exchange_Balances_00UTC!$B230="","",VLOOKUP(IF(ISERROR(SEARCH(" ", $B231)),UPPER($B231&amp;$C231&amp;IF(OR(NOT(ISERROR(SEARCH("trade",$D231))),NOT(ISERROR(SEARCH("balance",$D231)))),"",$D231)),UPPER(LEFT($B231, SEARCH(" ",$B231)-1)&amp;$C231&amp;IF(OR(NOT(ISERROR(SEARCH("trade",$D231))),NOT(ISERROR(SEARCH("balance",$D231)))),"",$D231))),$L:$T,MATCH("balance",$L$2:$S$2,0),FALSE))</f>
        <v>1214222.2371169401</v>
      </c>
      <c r="H231" s="35">
        <f ca="1">IF(Summary_Exchange_Balances_00UTC!$B230="","",(G231-E231)/E231)</f>
        <v>0</v>
      </c>
      <c r="I231" s="165">
        <f ca="1">IF(Summary_Exchange_Balances_00UTC!$B230="","",IF(ISERROR($G231),$E231,$G231))</f>
        <v>1214222.2371169401</v>
      </c>
      <c r="K231" t="str">
        <f t="shared" ca="1" si="15"/>
        <v>HUBIBTC</v>
      </c>
      <c r="L231" t="str">
        <f ca="1">UPPER($P231&amp;$N231&amp;IF(OR(NOT(ISERROR(SEARCH("trade",Q231))),NOT(ISERROR(SEARCH("balance",Q231)))),"",Q231))</f>
        <v>HUBI-1-M-PBTCUNREALIZED</v>
      </c>
      <c r="N231" s="161" t="str">
        <f ca="1">IF(raw_exchange_data!$A230="","",OFFSET(raw_exchange_data!$A230,0,MATCH(N$2,raw_exchange_data!$1:$1,0)-1))</f>
        <v>BTC</v>
      </c>
      <c r="O231" s="161" t="str">
        <f ca="1">IF(raw_exchange_data!$A230="","",OFFSET(raw_exchange_data!$A230,0,MATCH(O$2,raw_exchange_data!$1:$1,0)-1))</f>
        <v>HUBI</v>
      </c>
      <c r="P231" s="161" t="str">
        <f ca="1">IF(raw_exchange_data!$A230="","",OFFSET(raw_exchange_data!$A230,0,MATCH(P$2,raw_exchange_data!$1:$1,0)-1))</f>
        <v>HUBI-1-M-P</v>
      </c>
      <c r="Q231" s="161" t="str">
        <f ca="1">IF(raw_exchange_data!$A230="","",TEXT(OFFSET(raw_exchange_data!$A230,0,MATCH(Q$2,raw_exchange_data!$1:$1,0)-1),""))</f>
        <v>Unrealized</v>
      </c>
      <c r="R231" s="162">
        <f ca="1">IF(raw_exchange_data!$A230="","",OFFSET(raw_exchange_data!$A230,0,MATCH(R$2,raw_exchange_data!$1:$1,0)-1))</f>
        <v>-0.52278466379999999</v>
      </c>
      <c r="S231" s="190">
        <f ca="1">IF(raw_exchange_data!$A230="","",OFFSET(raw_exchange_data!$A230,0,MATCH(S$2,raw_exchange_data!$1:$1,0)-1))</f>
        <v>44937.66965625</v>
      </c>
      <c r="T231" s="161">
        <v>1</v>
      </c>
      <c r="W231" t="str">
        <f t="shared" si="16"/>
        <v>HUBI</v>
      </c>
      <c r="X231" t="str">
        <f t="shared" si="17"/>
        <v>FLR</v>
      </c>
      <c r="Y231" s="42">
        <f t="shared" si="18"/>
        <v>1214222.2371169401</v>
      </c>
      <c r="Z231" s="42">
        <f t="shared" ca="1" si="19"/>
        <v>1214222.2371169401</v>
      </c>
    </row>
    <row r="232" spans="1:26" x14ac:dyDescent="0.25">
      <c r="A232" t="str">
        <f>IF(Summary_Exchange_Balances_00UTC!$B231="","",Summary_Exchange_Balances_00UTC!$N231)</f>
        <v>HUBI</v>
      </c>
      <c r="B232" t="str">
        <f>IF(Summary_Exchange_Balances_00UTC!$B231="","",Summary_Exchange_Balances_00UTC!$B231)</f>
        <v>HUBI-E</v>
      </c>
      <c r="C232" t="str">
        <f>IF(Summary_Exchange_Balances_00UTC!$B231="","",Summary_Exchange_Balances_00UTC!$E231)</f>
        <v>FTT</v>
      </c>
      <c r="D232" t="str">
        <f>IF(OR(Summary_Exchange_Balances_00UTC!$B231="",Summary_Exchange_Balances_00UTC!$D231=""),"",Summary_Exchange_Balances_00UTC!$D231)</f>
        <v/>
      </c>
      <c r="E232" s="52">
        <f>IF(Summary_Exchange_Balances_00UTC!$B231="","",Summary_Exchange_Balances_00UTC!$C231)</f>
        <v>0.68557060000000003</v>
      </c>
      <c r="G232" s="52">
        <f ca="1">IF(Summary_Exchange_Balances_00UTC!$B231="","",VLOOKUP(IF(ISERROR(SEARCH(" ", $B232)),UPPER($B232&amp;$C232&amp;IF(OR(NOT(ISERROR(SEARCH("trade",$D232))),NOT(ISERROR(SEARCH("balance",$D232)))),"",$D232)),UPPER(LEFT($B232, SEARCH(" ",$B232)-1)&amp;$C232&amp;IF(OR(NOT(ISERROR(SEARCH("trade",$D232))),NOT(ISERROR(SEARCH("balance",$D232)))),"",$D232))),$L:$T,MATCH("balance",$L$2:$S$2,0),FALSE))</f>
        <v>0.68557060000000003</v>
      </c>
      <c r="H232" s="35">
        <f ca="1">IF(Summary_Exchange_Balances_00UTC!$B231="","",(G232-E232)/E232)</f>
        <v>0</v>
      </c>
      <c r="I232" s="165">
        <f ca="1">IF(Summary_Exchange_Balances_00UTC!$B231="","",IF(ISERROR($G232),$E232,$G232))</f>
        <v>0.68557060000000003</v>
      </c>
      <c r="K232" t="str">
        <f t="shared" ca="1" si="15"/>
        <v>HUBIDOT</v>
      </c>
      <c r="L232" t="str">
        <f ca="1">UPPER($P232&amp;$N232&amp;IF(OR(NOT(ISERROR(SEARCH("trade",Q232))),NOT(ISERROR(SEARCH("balance",Q232)))),"",Q232))</f>
        <v>HUBI-1-M-PDOT</v>
      </c>
      <c r="N232" s="161" t="str">
        <f ca="1">IF(raw_exchange_data!$A231="","",OFFSET(raw_exchange_data!$A231,0,MATCH(N$2,raw_exchange_data!$1:$1,0)-1))</f>
        <v>DOT</v>
      </c>
      <c r="O232" s="161" t="str">
        <f ca="1">IF(raw_exchange_data!$A231="","",OFFSET(raw_exchange_data!$A231,0,MATCH(O$2,raw_exchange_data!$1:$1,0)-1))</f>
        <v>HUBI</v>
      </c>
      <c r="P232" s="161" t="str">
        <f ca="1">IF(raw_exchange_data!$A231="","",OFFSET(raw_exchange_data!$A231,0,MATCH(P$2,raw_exchange_data!$1:$1,0)-1))</f>
        <v>HUBI-1-M-P</v>
      </c>
      <c r="Q232" s="161" t="str">
        <f ca="1">IF(raw_exchange_data!$A231="","",TEXT(OFFSET(raw_exchange_data!$A231,0,MATCH(Q$2,raw_exchange_data!$1:$1,0)-1),""))</f>
        <v/>
      </c>
      <c r="R232" s="162">
        <f ca="1">IF(raw_exchange_data!$A231="","",OFFSET(raw_exchange_data!$A231,0,MATCH(R$2,raw_exchange_data!$1:$1,0)-1))</f>
        <v>3.8972870000000001E-3</v>
      </c>
      <c r="S232" s="190">
        <f ca="1">IF(raw_exchange_data!$A231="","",OFFSET(raw_exchange_data!$A231,0,MATCH(S$2,raw_exchange_data!$1:$1,0)-1))</f>
        <v>44937.66965625</v>
      </c>
      <c r="T232" s="161">
        <v>1</v>
      </c>
      <c r="W232" t="str">
        <f t="shared" si="16"/>
        <v>HUBI</v>
      </c>
      <c r="X232" t="str">
        <f t="shared" si="17"/>
        <v>FTT</v>
      </c>
      <c r="Y232" s="42">
        <f t="shared" si="18"/>
        <v>0.68557060000000003</v>
      </c>
      <c r="Z232" s="42">
        <f t="shared" ca="1" si="19"/>
        <v>0.68557060000000003</v>
      </c>
    </row>
    <row r="233" spans="1:26" x14ac:dyDescent="0.25">
      <c r="A233" t="str">
        <f>IF(Summary_Exchange_Balances_00UTC!$B232="","",Summary_Exchange_Balances_00UTC!$N232)</f>
        <v>HUBI</v>
      </c>
      <c r="B233" t="str">
        <f>IF(Summary_Exchange_Balances_00UTC!$B232="","",Summary_Exchange_Balances_00UTC!$B232)</f>
        <v>HUBI-E</v>
      </c>
      <c r="C233" t="str">
        <f>IF(Summary_Exchange_Balances_00UTC!$B232="","",Summary_Exchange_Balances_00UTC!$E232)</f>
        <v>GAS</v>
      </c>
      <c r="D233" t="str">
        <f>IF(OR(Summary_Exchange_Balances_00UTC!$B232="",Summary_Exchange_Balances_00UTC!$D232=""),"",Summary_Exchange_Balances_00UTC!$D232)</f>
        <v/>
      </c>
      <c r="E233" s="52">
        <f>IF(Summary_Exchange_Balances_00UTC!$B232="","",Summary_Exchange_Balances_00UTC!$C232)</f>
        <v>54.776400000000002</v>
      </c>
      <c r="G233" s="52">
        <f ca="1">IF(Summary_Exchange_Balances_00UTC!$B232="","",VLOOKUP(IF(ISERROR(SEARCH(" ", $B233)),UPPER($B233&amp;$C233&amp;IF(OR(NOT(ISERROR(SEARCH("trade",$D233))),NOT(ISERROR(SEARCH("balance",$D233)))),"",$D233)),UPPER(LEFT($B233, SEARCH(" ",$B233)-1)&amp;$C233&amp;IF(OR(NOT(ISERROR(SEARCH("trade",$D233))),NOT(ISERROR(SEARCH("balance",$D233)))),"",$D233))),$L:$T,MATCH("balance",$L$2:$S$2,0),FALSE))</f>
        <v>54.776400000000002</v>
      </c>
      <c r="H233" s="35">
        <f ca="1">IF(Summary_Exchange_Balances_00UTC!$B232="","",(G233-E233)/E233)</f>
        <v>0</v>
      </c>
      <c r="I233" s="165">
        <f ca="1">IF(Summary_Exchange_Balances_00UTC!$B232="","",IF(ISERROR($G233),$E233,$G233))</f>
        <v>54.776400000000002</v>
      </c>
      <c r="K233" t="str">
        <f t="shared" ca="1" si="15"/>
        <v>HUBIETC</v>
      </c>
      <c r="L233" t="str">
        <f ca="1">UPPER($P233&amp;$N233&amp;IF(OR(NOT(ISERROR(SEARCH("trade",Q233))),NOT(ISERROR(SEARCH("balance",Q233)))),"",Q233))</f>
        <v>HUBI-1-M-PETC</v>
      </c>
      <c r="N233" s="161" t="str">
        <f ca="1">IF(raw_exchange_data!$A232="","",OFFSET(raw_exchange_data!$A232,0,MATCH(N$2,raw_exchange_data!$1:$1,0)-1))</f>
        <v>ETC</v>
      </c>
      <c r="O233" s="161" t="str">
        <f ca="1">IF(raw_exchange_data!$A232="","",OFFSET(raw_exchange_data!$A232,0,MATCH(O$2,raw_exchange_data!$1:$1,0)-1))</f>
        <v>HUBI</v>
      </c>
      <c r="P233" s="161" t="str">
        <f ca="1">IF(raw_exchange_data!$A232="","",OFFSET(raw_exchange_data!$A232,0,MATCH(P$2,raw_exchange_data!$1:$1,0)-1))</f>
        <v>HUBI-1-M-P</v>
      </c>
      <c r="Q233" s="161" t="str">
        <f ca="1">IF(raw_exchange_data!$A232="","",TEXT(OFFSET(raw_exchange_data!$A232,0,MATCH(Q$2,raw_exchange_data!$1:$1,0)-1),""))</f>
        <v/>
      </c>
      <c r="R233" s="162">
        <f ca="1">IF(raw_exchange_data!$A232="","",OFFSET(raw_exchange_data!$A232,0,MATCH(R$2,raw_exchange_data!$1:$1,0)-1))</f>
        <v>0.1010306031</v>
      </c>
      <c r="S233" s="190">
        <f ca="1">IF(raw_exchange_data!$A232="","",OFFSET(raw_exchange_data!$A232,0,MATCH(S$2,raw_exchange_data!$1:$1,0)-1))</f>
        <v>44937.66965625</v>
      </c>
      <c r="T233" s="161">
        <v>1</v>
      </c>
      <c r="W233" t="str">
        <f t="shared" si="16"/>
        <v>HUBI</v>
      </c>
      <c r="X233" t="str">
        <f t="shared" si="17"/>
        <v>GAS</v>
      </c>
      <c r="Y233" s="42">
        <f t="shared" si="18"/>
        <v>54.776400000000002</v>
      </c>
      <c r="Z233" s="42">
        <f t="shared" ca="1" si="19"/>
        <v>54.776400000000002</v>
      </c>
    </row>
    <row r="234" spans="1:26" x14ac:dyDescent="0.25">
      <c r="A234" t="str">
        <f>IF(Summary_Exchange_Balances_00UTC!$B233="","",Summary_Exchange_Balances_00UTC!$N233)</f>
        <v>HUBI</v>
      </c>
      <c r="B234" t="str">
        <f>IF(Summary_Exchange_Balances_00UTC!$B233="","",Summary_Exchange_Balances_00UTC!$B233)</f>
        <v>HUBI-E</v>
      </c>
      <c r="C234" t="str">
        <f>IF(Summary_Exchange_Balances_00UTC!$B233="","",Summary_Exchange_Balances_00UTC!$E233)</f>
        <v>HBAR</v>
      </c>
      <c r="D234" t="str">
        <f>IF(OR(Summary_Exchange_Balances_00UTC!$B233="",Summary_Exchange_Balances_00UTC!$D233=""),"",Summary_Exchange_Balances_00UTC!$D233)</f>
        <v/>
      </c>
      <c r="E234" s="52">
        <f>IF(Summary_Exchange_Balances_00UTC!$B233="","",Summary_Exchange_Balances_00UTC!$C233)</f>
        <v>3.4060489999999999E-2</v>
      </c>
      <c r="G234" s="52">
        <f ca="1">IF(Summary_Exchange_Balances_00UTC!$B233="","",VLOOKUP(IF(ISERROR(SEARCH(" ", $B234)),UPPER($B234&amp;$C234&amp;IF(OR(NOT(ISERROR(SEARCH("trade",$D234))),NOT(ISERROR(SEARCH("balance",$D234)))),"",$D234)),UPPER(LEFT($B234, SEARCH(" ",$B234)-1)&amp;$C234&amp;IF(OR(NOT(ISERROR(SEARCH("trade",$D234))),NOT(ISERROR(SEARCH("balance",$D234)))),"",$D234))),$L:$T,MATCH("balance",$L$2:$S$2,0),FALSE))</f>
        <v>3.4060489999999999E-2</v>
      </c>
      <c r="H234" s="35">
        <f ca="1">IF(Summary_Exchange_Balances_00UTC!$B233="","",(G234-E234)/E234)</f>
        <v>0</v>
      </c>
      <c r="I234" s="165">
        <f ca="1">IF(Summary_Exchange_Balances_00UTC!$B233="","",IF(ISERROR($G234),$E234,$G234))</f>
        <v>3.4060489999999999E-2</v>
      </c>
      <c r="K234" t="str">
        <f t="shared" ca="1" si="15"/>
        <v>HUBIETH</v>
      </c>
      <c r="L234" t="str">
        <f ca="1">UPPER($P234&amp;$N234&amp;IF(OR(NOT(ISERROR(SEARCH("trade",Q234))),NOT(ISERROR(SEARCH("balance",Q234)))),"",Q234))</f>
        <v>HUBI-1-M-PETH</v>
      </c>
      <c r="N234" s="161" t="str">
        <f ca="1">IF(raw_exchange_data!$A233="","",OFFSET(raw_exchange_data!$A233,0,MATCH(N$2,raw_exchange_data!$1:$1,0)-1))</f>
        <v>ETH</v>
      </c>
      <c r="O234" s="161" t="str">
        <f ca="1">IF(raw_exchange_data!$A233="","",OFFSET(raw_exchange_data!$A233,0,MATCH(O$2,raw_exchange_data!$1:$1,0)-1))</f>
        <v>HUBI</v>
      </c>
      <c r="P234" s="161" t="str">
        <f ca="1">IF(raw_exchange_data!$A233="","",OFFSET(raw_exchange_data!$A233,0,MATCH(P$2,raw_exchange_data!$1:$1,0)-1))</f>
        <v>HUBI-1-M-P</v>
      </c>
      <c r="Q234" s="161" t="str">
        <f ca="1">IF(raw_exchange_data!$A233="","",TEXT(OFFSET(raw_exchange_data!$A233,0,MATCH(Q$2,raw_exchange_data!$1:$1,0)-1),""))</f>
        <v/>
      </c>
      <c r="R234" s="162">
        <f ca="1">IF(raw_exchange_data!$A233="","",OFFSET(raw_exchange_data!$A233,0,MATCH(R$2,raw_exchange_data!$1:$1,0)-1))</f>
        <v>147.36724370979999</v>
      </c>
      <c r="S234" s="190">
        <f ca="1">IF(raw_exchange_data!$A233="","",OFFSET(raw_exchange_data!$A233,0,MATCH(S$2,raw_exchange_data!$1:$1,0)-1))</f>
        <v>44937.66965625</v>
      </c>
      <c r="T234" s="161">
        <v>1</v>
      </c>
      <c r="W234" t="str">
        <f t="shared" si="16"/>
        <v>HUBI</v>
      </c>
      <c r="X234" t="str">
        <f t="shared" si="17"/>
        <v>HBAR</v>
      </c>
      <c r="Y234" s="42">
        <f t="shared" si="18"/>
        <v>3.4060489999999999E-2</v>
      </c>
      <c r="Z234" s="42">
        <f t="shared" ca="1" si="19"/>
        <v>3.4060489999999999E-2</v>
      </c>
    </row>
    <row r="235" spans="1:26" x14ac:dyDescent="0.25">
      <c r="A235" t="str">
        <f>IF(Summary_Exchange_Balances_00UTC!$B234="","",Summary_Exchange_Balances_00UTC!$N234)</f>
        <v>HUBI</v>
      </c>
      <c r="B235" t="str">
        <f>IF(Summary_Exchange_Balances_00UTC!$B234="","",Summary_Exchange_Balances_00UTC!$B234)</f>
        <v>HUBI-E</v>
      </c>
      <c r="C235" t="str">
        <f>IF(Summary_Exchange_Balances_00UTC!$B234="","",Summary_Exchange_Balances_00UTC!$E234)</f>
        <v>HPT</v>
      </c>
      <c r="D235" t="str">
        <f>IF(OR(Summary_Exchange_Balances_00UTC!$B234="",Summary_Exchange_Balances_00UTC!$D234=""),"",Summary_Exchange_Balances_00UTC!$D234)</f>
        <v/>
      </c>
      <c r="E235" s="52">
        <f>IF(Summary_Exchange_Balances_00UTC!$B234="","",Summary_Exchange_Balances_00UTC!$C234)</f>
        <v>5337.6979873099999</v>
      </c>
      <c r="G235" s="52">
        <f ca="1">IF(Summary_Exchange_Balances_00UTC!$B234="","",VLOOKUP(IF(ISERROR(SEARCH(" ", $B235)),UPPER($B235&amp;$C235&amp;IF(OR(NOT(ISERROR(SEARCH("trade",$D235))),NOT(ISERROR(SEARCH("balance",$D235)))),"",$D235)),UPPER(LEFT($B235, SEARCH(" ",$B235)-1)&amp;$C235&amp;IF(OR(NOT(ISERROR(SEARCH("trade",$D235))),NOT(ISERROR(SEARCH("balance",$D235)))),"",$D235))),$L:$T,MATCH("balance",$L$2:$S$2,0),FALSE))</f>
        <v>5337.6979873099999</v>
      </c>
      <c r="H235" s="35">
        <f ca="1">IF(Summary_Exchange_Balances_00UTC!$B234="","",(G235-E235)/E235)</f>
        <v>0</v>
      </c>
      <c r="I235" s="165">
        <f ca="1">IF(Summary_Exchange_Balances_00UTC!$B234="","",IF(ISERROR($G235),$E235,$G235))</f>
        <v>5337.6979873099999</v>
      </c>
      <c r="K235" t="str">
        <f t="shared" ca="1" si="15"/>
        <v>HUBIETH</v>
      </c>
      <c r="L235" t="str">
        <f ca="1">UPPER($P235&amp;$N235&amp;IF(OR(NOT(ISERROR(SEARCH("trade",Q235))),NOT(ISERROR(SEARCH("balance",Q235)))),"",Q235))</f>
        <v>HUBI-1-M-PETHUNREALIZED</v>
      </c>
      <c r="N235" s="161" t="str">
        <f ca="1">IF(raw_exchange_data!$A234="","",OFFSET(raw_exchange_data!$A234,0,MATCH(N$2,raw_exchange_data!$1:$1,0)-1))</f>
        <v>ETH</v>
      </c>
      <c r="O235" s="161" t="str">
        <f ca="1">IF(raw_exchange_data!$A234="","",OFFSET(raw_exchange_data!$A234,0,MATCH(O$2,raw_exchange_data!$1:$1,0)-1))</f>
        <v>HUBI</v>
      </c>
      <c r="P235" s="161" t="str">
        <f ca="1">IF(raw_exchange_data!$A234="","",OFFSET(raw_exchange_data!$A234,0,MATCH(P$2,raw_exchange_data!$1:$1,0)-1))</f>
        <v>HUBI-1-M-P</v>
      </c>
      <c r="Q235" s="161" t="str">
        <f ca="1">IF(raw_exchange_data!$A234="","",TEXT(OFFSET(raw_exchange_data!$A234,0,MATCH(Q$2,raw_exchange_data!$1:$1,0)-1),""))</f>
        <v>Unrealized</v>
      </c>
      <c r="R235" s="162">
        <f ca="1">IF(raw_exchange_data!$A234="","",OFFSET(raw_exchange_data!$A234,0,MATCH(R$2,raw_exchange_data!$1:$1,0)-1))</f>
        <v>-0.63127019120000005</v>
      </c>
      <c r="S235" s="190">
        <f ca="1">IF(raw_exchange_data!$A234="","",OFFSET(raw_exchange_data!$A234,0,MATCH(S$2,raw_exchange_data!$1:$1,0)-1))</f>
        <v>44937.66965625</v>
      </c>
      <c r="T235" s="161">
        <v>1</v>
      </c>
      <c r="W235" t="str">
        <f t="shared" si="16"/>
        <v>HUBI</v>
      </c>
      <c r="X235" t="str">
        <f t="shared" si="17"/>
        <v>HPT</v>
      </c>
      <c r="Y235" s="42">
        <f t="shared" si="18"/>
        <v>5337.6979873099999</v>
      </c>
      <c r="Z235" s="42">
        <f t="shared" ca="1" si="19"/>
        <v>5337.6979873099999</v>
      </c>
    </row>
    <row r="236" spans="1:26" x14ac:dyDescent="0.25">
      <c r="A236" t="str">
        <f>IF(Summary_Exchange_Balances_00UTC!$B235="","",Summary_Exchange_Balances_00UTC!$N235)</f>
        <v>HUBI</v>
      </c>
      <c r="B236" t="str">
        <f>IF(Summary_Exchange_Balances_00UTC!$B235="","",Summary_Exchange_Balances_00UTC!$B235)</f>
        <v>HUBI-E</v>
      </c>
      <c r="C236" t="str">
        <f>IF(Summary_Exchange_Balances_00UTC!$B235="","",Summary_Exchange_Balances_00UTC!$E235)</f>
        <v>HT</v>
      </c>
      <c r="D236" t="str">
        <f>IF(OR(Summary_Exchange_Balances_00UTC!$B235="",Summary_Exchange_Balances_00UTC!$D235=""),"",Summary_Exchange_Balances_00UTC!$D235)</f>
        <v/>
      </c>
      <c r="E236" s="52">
        <f>IF(Summary_Exchange_Balances_00UTC!$B235="","",Summary_Exchange_Balances_00UTC!$C235)</f>
        <v>1594.9850023900001</v>
      </c>
      <c r="G236" s="52">
        <f ca="1">IF(Summary_Exchange_Balances_00UTC!$B235="","",VLOOKUP(IF(ISERROR(SEARCH(" ", $B236)),UPPER($B236&amp;$C236&amp;IF(OR(NOT(ISERROR(SEARCH("trade",$D236))),NOT(ISERROR(SEARCH("balance",$D236)))),"",$D236)),UPPER(LEFT($B236, SEARCH(" ",$B236)-1)&amp;$C236&amp;IF(OR(NOT(ISERROR(SEARCH("trade",$D236))),NOT(ISERROR(SEARCH("balance",$D236)))),"",$D236))),$L:$T,MATCH("balance",$L$2:$S$2,0),FALSE))</f>
        <v>1649.1605055099999</v>
      </c>
      <c r="H236" s="35">
        <f ca="1">IF(Summary_Exchange_Balances_00UTC!$B235="","",(G236-E236)/E236)</f>
        <v>3.3966152057116963E-2</v>
      </c>
      <c r="I236" s="165">
        <f ca="1">IF(Summary_Exchange_Balances_00UTC!$B235="","",IF(ISERROR($G236),$E236,$G236))</f>
        <v>1649.1605055099999</v>
      </c>
      <c r="K236" t="str">
        <f t="shared" ca="1" si="15"/>
        <v>HUBILINK</v>
      </c>
      <c r="L236" t="str">
        <f ca="1">UPPER($P236&amp;$N236&amp;IF(OR(NOT(ISERROR(SEARCH("trade",Q236))),NOT(ISERROR(SEARCH("balance",Q236)))),"",Q236))</f>
        <v>HUBI-1-M-PLINK</v>
      </c>
      <c r="N236" s="161" t="str">
        <f ca="1">IF(raw_exchange_data!$A235="","",OFFSET(raw_exchange_data!$A235,0,MATCH(N$2,raw_exchange_data!$1:$1,0)-1))</f>
        <v>LINK</v>
      </c>
      <c r="O236" s="161" t="str">
        <f ca="1">IF(raw_exchange_data!$A235="","",OFFSET(raw_exchange_data!$A235,0,MATCH(O$2,raw_exchange_data!$1:$1,0)-1))</f>
        <v>HUBI</v>
      </c>
      <c r="P236" s="161" t="str">
        <f ca="1">IF(raw_exchange_data!$A235="","",OFFSET(raw_exchange_data!$A235,0,MATCH(P$2,raw_exchange_data!$1:$1,0)-1))</f>
        <v>HUBI-1-M-P</v>
      </c>
      <c r="Q236" s="161" t="str">
        <f ca="1">IF(raw_exchange_data!$A235="","",TEXT(OFFSET(raw_exchange_data!$A235,0,MATCH(Q$2,raw_exchange_data!$1:$1,0)-1),""))</f>
        <v/>
      </c>
      <c r="R236" s="162">
        <f ca="1">IF(raw_exchange_data!$A235="","",OFFSET(raw_exchange_data!$A235,0,MATCH(R$2,raw_exchange_data!$1:$1,0)-1))</f>
        <v>9.5620959999999995E-4</v>
      </c>
      <c r="S236" s="190">
        <f ca="1">IF(raw_exchange_data!$A235="","",OFFSET(raw_exchange_data!$A235,0,MATCH(S$2,raw_exchange_data!$1:$1,0)-1))</f>
        <v>44937.66965625</v>
      </c>
      <c r="T236" s="161">
        <v>1</v>
      </c>
      <c r="W236" t="str">
        <f t="shared" si="16"/>
        <v>HUBI</v>
      </c>
      <c r="X236" t="str">
        <f t="shared" si="17"/>
        <v>HT</v>
      </c>
      <c r="Y236" s="42">
        <f t="shared" si="18"/>
        <v>1594.9850023900001</v>
      </c>
      <c r="Z236" s="42">
        <f t="shared" ca="1" si="19"/>
        <v>1649.1605055099999</v>
      </c>
    </row>
    <row r="237" spans="1:26" x14ac:dyDescent="0.25">
      <c r="A237" t="str">
        <f>IF(Summary_Exchange_Balances_00UTC!$B236="","",Summary_Exchange_Balances_00UTC!$N236)</f>
        <v>HUBI</v>
      </c>
      <c r="B237" t="str">
        <f>IF(Summary_Exchange_Balances_00UTC!$B236="","",Summary_Exchange_Balances_00UTC!$B236)</f>
        <v>HUBI-E</v>
      </c>
      <c r="C237" t="str">
        <f>IF(Summary_Exchange_Balances_00UTC!$B236="","",Summary_Exchange_Balances_00UTC!$E236)</f>
        <v>IOST</v>
      </c>
      <c r="D237" t="str">
        <f>IF(OR(Summary_Exchange_Balances_00UTC!$B236="",Summary_Exchange_Balances_00UTC!$D236=""),"",Summary_Exchange_Balances_00UTC!$D236)</f>
        <v/>
      </c>
      <c r="E237" s="52">
        <f>IF(Summary_Exchange_Balances_00UTC!$B236="","",Summary_Exchange_Balances_00UTC!$C236)</f>
        <v>14.785856219999999</v>
      </c>
      <c r="G237" s="52">
        <f ca="1">IF(Summary_Exchange_Balances_00UTC!$B236="","",VLOOKUP(IF(ISERROR(SEARCH(" ", $B237)),UPPER($B237&amp;$C237&amp;IF(OR(NOT(ISERROR(SEARCH("trade",$D237))),NOT(ISERROR(SEARCH("balance",$D237)))),"",$D237)),UPPER(LEFT($B237, SEARCH(" ",$B237)-1)&amp;$C237&amp;IF(OR(NOT(ISERROR(SEARCH("trade",$D237))),NOT(ISERROR(SEARCH("balance",$D237)))),"",$D237))),$L:$T,MATCH("balance",$L$2:$S$2,0),FALSE))</f>
        <v>14.785856219999999</v>
      </c>
      <c r="H237" s="35">
        <f ca="1">IF(Summary_Exchange_Balances_00UTC!$B236="","",(G237-E237)/E237)</f>
        <v>0</v>
      </c>
      <c r="I237" s="165">
        <f ca="1">IF(Summary_Exchange_Balances_00UTC!$B236="","",IF(ISERROR($G237),$E237,$G237))</f>
        <v>14.785856219999999</v>
      </c>
      <c r="K237" t="str">
        <f t="shared" ca="1" si="15"/>
        <v>HUBILTC</v>
      </c>
      <c r="L237" t="str">
        <f ca="1">UPPER($P237&amp;$N237&amp;IF(OR(NOT(ISERROR(SEARCH("trade",Q237))),NOT(ISERROR(SEARCH("balance",Q237)))),"",Q237))</f>
        <v>HUBI-1-M-PLTC</v>
      </c>
      <c r="N237" s="161" t="str">
        <f ca="1">IF(raw_exchange_data!$A236="","",OFFSET(raw_exchange_data!$A236,0,MATCH(N$2,raw_exchange_data!$1:$1,0)-1))</f>
        <v>LTC</v>
      </c>
      <c r="O237" s="161" t="str">
        <f ca="1">IF(raw_exchange_data!$A236="","",OFFSET(raw_exchange_data!$A236,0,MATCH(O$2,raw_exchange_data!$1:$1,0)-1))</f>
        <v>HUBI</v>
      </c>
      <c r="P237" s="161" t="str">
        <f ca="1">IF(raw_exchange_data!$A236="","",OFFSET(raw_exchange_data!$A236,0,MATCH(P$2,raw_exchange_data!$1:$1,0)-1))</f>
        <v>HUBI-1-M-P</v>
      </c>
      <c r="Q237" s="161" t="str">
        <f ca="1">IF(raw_exchange_data!$A236="","",TEXT(OFFSET(raw_exchange_data!$A236,0,MATCH(Q$2,raw_exchange_data!$1:$1,0)-1),""))</f>
        <v/>
      </c>
      <c r="R237" s="162">
        <f ca="1">IF(raw_exchange_data!$A236="","",OFFSET(raw_exchange_data!$A236,0,MATCH(R$2,raw_exchange_data!$1:$1,0)-1))</f>
        <v>2.4771052999999999E-3</v>
      </c>
      <c r="S237" s="190">
        <f ca="1">IF(raw_exchange_data!$A236="","",OFFSET(raw_exchange_data!$A236,0,MATCH(S$2,raw_exchange_data!$1:$1,0)-1))</f>
        <v>44937.66965625</v>
      </c>
      <c r="T237" s="161">
        <v>1</v>
      </c>
      <c r="W237" t="str">
        <f t="shared" si="16"/>
        <v>HUBI</v>
      </c>
      <c r="X237" t="str">
        <f t="shared" si="17"/>
        <v>IOST</v>
      </c>
      <c r="Y237" s="42">
        <f t="shared" si="18"/>
        <v>14.785856219999999</v>
      </c>
      <c r="Z237" s="42">
        <f t="shared" ca="1" si="19"/>
        <v>14.785856219999999</v>
      </c>
    </row>
    <row r="238" spans="1:26" x14ac:dyDescent="0.25">
      <c r="A238" t="str">
        <f>IF(Summary_Exchange_Balances_00UTC!$B237="","",Summary_Exchange_Balances_00UTC!$N237)</f>
        <v>HUBI</v>
      </c>
      <c r="B238" t="str">
        <f>IF(Summary_Exchange_Balances_00UTC!$B237="","",Summary_Exchange_Balances_00UTC!$B237)</f>
        <v>HUBI-E</v>
      </c>
      <c r="C238" t="str">
        <f>IF(Summary_Exchange_Balances_00UTC!$B237="","",Summary_Exchange_Balances_00UTC!$E237)</f>
        <v>IRIS</v>
      </c>
      <c r="D238" t="str">
        <f>IF(OR(Summary_Exchange_Balances_00UTC!$B237="",Summary_Exchange_Balances_00UTC!$D237=""),"",Summary_Exchange_Balances_00UTC!$D237)</f>
        <v/>
      </c>
      <c r="E238" s="52">
        <f>IF(Summary_Exchange_Balances_00UTC!$B237="","",Summary_Exchange_Balances_00UTC!$C237)</f>
        <v>0.81765067999999996</v>
      </c>
      <c r="G238" s="52">
        <f ca="1">IF(Summary_Exchange_Balances_00UTC!$B237="","",VLOOKUP(IF(ISERROR(SEARCH(" ", $B238)),UPPER($B238&amp;$C238&amp;IF(OR(NOT(ISERROR(SEARCH("trade",$D238))),NOT(ISERROR(SEARCH("balance",$D238)))),"",$D238)),UPPER(LEFT($B238, SEARCH(" ",$B238)-1)&amp;$C238&amp;IF(OR(NOT(ISERROR(SEARCH("trade",$D238))),NOT(ISERROR(SEARCH("balance",$D238)))),"",$D238))),$L:$T,MATCH("balance",$L$2:$S$2,0),FALSE))</f>
        <v>0.81765067999999996</v>
      </c>
      <c r="H238" s="35">
        <f ca="1">IF(Summary_Exchange_Balances_00UTC!$B237="","",(G238-E238)/E238)</f>
        <v>0</v>
      </c>
      <c r="I238" s="165">
        <f ca="1">IF(Summary_Exchange_Balances_00UTC!$B237="","",IF(ISERROR($G238),$E238,$G238))</f>
        <v>0.81765067999999996</v>
      </c>
      <c r="K238" t="str">
        <f t="shared" ca="1" si="15"/>
        <v>HUBISHIB</v>
      </c>
      <c r="L238" t="str">
        <f ca="1">UPPER($P238&amp;$N238&amp;IF(OR(NOT(ISERROR(SEARCH("trade",Q238))),NOT(ISERROR(SEARCH("balance",Q238)))),"",Q238))</f>
        <v>HUBI-1-M-PSHIB</v>
      </c>
      <c r="N238" s="161" t="str">
        <f ca="1">IF(raw_exchange_data!$A237="","",OFFSET(raw_exchange_data!$A237,0,MATCH(N$2,raw_exchange_data!$1:$1,0)-1))</f>
        <v>SHIB</v>
      </c>
      <c r="O238" s="161" t="str">
        <f ca="1">IF(raw_exchange_data!$A237="","",OFFSET(raw_exchange_data!$A237,0,MATCH(O$2,raw_exchange_data!$1:$1,0)-1))</f>
        <v>HUBI</v>
      </c>
      <c r="P238" s="161" t="str">
        <f ca="1">IF(raw_exchange_data!$A237="","",OFFSET(raw_exchange_data!$A237,0,MATCH(P$2,raw_exchange_data!$1:$1,0)-1))</f>
        <v>HUBI-1-M-P</v>
      </c>
      <c r="Q238" s="161" t="str">
        <f ca="1">IF(raw_exchange_data!$A237="","",TEXT(OFFSET(raw_exchange_data!$A237,0,MATCH(Q$2,raw_exchange_data!$1:$1,0)-1),""))</f>
        <v/>
      </c>
      <c r="R238" s="162">
        <f ca="1">IF(raw_exchange_data!$A237="","",OFFSET(raw_exchange_data!$A237,0,MATCH(R$2,raw_exchange_data!$1:$1,0)-1))</f>
        <v>71073.205401560001</v>
      </c>
      <c r="S238" s="190">
        <f ca="1">IF(raw_exchange_data!$A237="","",OFFSET(raw_exchange_data!$A237,0,MATCH(S$2,raw_exchange_data!$1:$1,0)-1))</f>
        <v>44937.66965625</v>
      </c>
      <c r="T238" s="161">
        <v>1</v>
      </c>
      <c r="W238" t="str">
        <f t="shared" si="16"/>
        <v>HUBI</v>
      </c>
      <c r="X238" t="str">
        <f t="shared" si="17"/>
        <v>IRIS</v>
      </c>
      <c r="Y238" s="42">
        <f t="shared" si="18"/>
        <v>0.81765067999999996</v>
      </c>
      <c r="Z238" s="42">
        <f t="shared" ca="1" si="19"/>
        <v>0.81765067999999996</v>
      </c>
    </row>
    <row r="239" spans="1:26" x14ac:dyDescent="0.25">
      <c r="A239" t="str">
        <f>IF(Summary_Exchange_Balances_00UTC!$B238="","",Summary_Exchange_Balances_00UTC!$N238)</f>
        <v>HUBI</v>
      </c>
      <c r="B239" t="str">
        <f>IF(Summary_Exchange_Balances_00UTC!$B238="","",Summary_Exchange_Balances_00UTC!$B238)</f>
        <v>HUBI-E</v>
      </c>
      <c r="C239" t="str">
        <f>IF(Summary_Exchange_Balances_00UTC!$B238="","",Summary_Exchange_Balances_00UTC!$E238)</f>
        <v>JST</v>
      </c>
      <c r="D239" t="str">
        <f>IF(OR(Summary_Exchange_Balances_00UTC!$B238="",Summary_Exchange_Balances_00UTC!$D238=""),"",Summary_Exchange_Balances_00UTC!$D238)</f>
        <v/>
      </c>
      <c r="E239" s="52">
        <f>IF(Summary_Exchange_Balances_00UTC!$B238="","",Summary_Exchange_Balances_00UTC!$C238)</f>
        <v>9.1121815000000002</v>
      </c>
      <c r="G239" s="52">
        <f ca="1">IF(Summary_Exchange_Balances_00UTC!$B238="","",VLOOKUP(IF(ISERROR(SEARCH(" ", $B239)),UPPER($B239&amp;$C239&amp;IF(OR(NOT(ISERROR(SEARCH("trade",$D239))),NOT(ISERROR(SEARCH("balance",$D239)))),"",$D239)),UPPER(LEFT($B239, SEARCH(" ",$B239)-1)&amp;$C239&amp;IF(OR(NOT(ISERROR(SEARCH("trade",$D239))),NOT(ISERROR(SEARCH("balance",$D239)))),"",$D239))),$L:$T,MATCH("balance",$L$2:$S$2,0),FALSE))</f>
        <v>9.1121815000000002</v>
      </c>
      <c r="H239" s="35">
        <f ca="1">IF(Summary_Exchange_Balances_00UTC!$B238="","",(G239-E239)/E239)</f>
        <v>0</v>
      </c>
      <c r="I239" s="165">
        <f ca="1">IF(Summary_Exchange_Balances_00UTC!$B238="","",IF(ISERROR($G239),$E239,$G239))</f>
        <v>9.1121815000000002</v>
      </c>
      <c r="K239" t="str">
        <f t="shared" ca="1" si="15"/>
        <v>HUBITRX</v>
      </c>
      <c r="L239" t="str">
        <f ca="1">UPPER($P239&amp;$N239&amp;IF(OR(NOT(ISERROR(SEARCH("trade",Q239))),NOT(ISERROR(SEARCH("balance",Q239)))),"",Q239))</f>
        <v>HUBI-1-M-PTRX</v>
      </c>
      <c r="N239" s="161" t="str">
        <f ca="1">IF(raw_exchange_data!$A238="","",OFFSET(raw_exchange_data!$A238,0,MATCH(N$2,raw_exchange_data!$1:$1,0)-1))</f>
        <v>TRX</v>
      </c>
      <c r="O239" s="161" t="str">
        <f ca="1">IF(raw_exchange_data!$A238="","",OFFSET(raw_exchange_data!$A238,0,MATCH(O$2,raw_exchange_data!$1:$1,0)-1))</f>
        <v>HUBI</v>
      </c>
      <c r="P239" s="161" t="str">
        <f ca="1">IF(raw_exchange_data!$A238="","",OFFSET(raw_exchange_data!$A238,0,MATCH(P$2,raw_exchange_data!$1:$1,0)-1))</f>
        <v>HUBI-1-M-P</v>
      </c>
      <c r="Q239" s="161" t="str">
        <f ca="1">IF(raw_exchange_data!$A238="","",TEXT(OFFSET(raw_exchange_data!$A238,0,MATCH(Q$2,raw_exchange_data!$1:$1,0)-1),""))</f>
        <v/>
      </c>
      <c r="R239" s="162">
        <f ca="1">IF(raw_exchange_data!$A238="","",OFFSET(raw_exchange_data!$A238,0,MATCH(R$2,raw_exchange_data!$1:$1,0)-1))</f>
        <v>4.8644820000000002E-4</v>
      </c>
      <c r="S239" s="190">
        <f ca="1">IF(raw_exchange_data!$A238="","",OFFSET(raw_exchange_data!$A238,0,MATCH(S$2,raw_exchange_data!$1:$1,0)-1))</f>
        <v>44937.66965625</v>
      </c>
      <c r="T239" s="161">
        <v>1</v>
      </c>
      <c r="W239" t="str">
        <f t="shared" si="16"/>
        <v>HUBI</v>
      </c>
      <c r="X239" t="str">
        <f t="shared" si="17"/>
        <v>JST</v>
      </c>
      <c r="Y239" s="42">
        <f t="shared" si="18"/>
        <v>9.1121815000000002</v>
      </c>
      <c r="Z239" s="42">
        <f t="shared" ca="1" si="19"/>
        <v>9.1121815000000002</v>
      </c>
    </row>
    <row r="240" spans="1:26" x14ac:dyDescent="0.25">
      <c r="A240" t="str">
        <f>IF(Summary_Exchange_Balances_00UTC!$B239="","",Summary_Exchange_Balances_00UTC!$N239)</f>
        <v>HUBI</v>
      </c>
      <c r="B240" t="str">
        <f>IF(Summary_Exchange_Balances_00UTC!$B239="","",Summary_Exchange_Balances_00UTC!$B239)</f>
        <v>HUBI-E</v>
      </c>
      <c r="C240" t="str">
        <f>IF(Summary_Exchange_Balances_00UTC!$B239="","",Summary_Exchange_Balances_00UTC!$E239)</f>
        <v>KSM</v>
      </c>
      <c r="D240" t="str">
        <f>IF(OR(Summary_Exchange_Balances_00UTC!$B239="",Summary_Exchange_Balances_00UTC!$D239=""),"",Summary_Exchange_Balances_00UTC!$D239)</f>
        <v/>
      </c>
      <c r="E240" s="52">
        <f>IF(Summary_Exchange_Balances_00UTC!$B239="","",Summary_Exchange_Balances_00UTC!$C239)</f>
        <v>1.4966E-4</v>
      </c>
      <c r="G240" s="52">
        <f ca="1">IF(Summary_Exchange_Balances_00UTC!$B239="","",VLOOKUP(IF(ISERROR(SEARCH(" ", $B240)),UPPER($B240&amp;$C240&amp;IF(OR(NOT(ISERROR(SEARCH("trade",$D240))),NOT(ISERROR(SEARCH("balance",$D240)))),"",$D240)),UPPER(LEFT($B240, SEARCH(" ",$B240)-1)&amp;$C240&amp;IF(OR(NOT(ISERROR(SEARCH("trade",$D240))),NOT(ISERROR(SEARCH("balance",$D240)))),"",$D240))),$L:$T,MATCH("balance",$L$2:$S$2,0),FALSE))</f>
        <v>1.4966E-4</v>
      </c>
      <c r="H240" s="35">
        <f ca="1">IF(Summary_Exchange_Balances_00UTC!$B239="","",(G240-E240)/E240)</f>
        <v>0</v>
      </c>
      <c r="I240" s="165">
        <f ca="1">IF(Summary_Exchange_Balances_00UTC!$B239="","",IF(ISERROR($G240),$E240,$G240))</f>
        <v>1.4966E-4</v>
      </c>
      <c r="K240" t="str">
        <f t="shared" ca="1" si="15"/>
        <v>HUBIXRP</v>
      </c>
      <c r="L240" t="str">
        <f ca="1">UPPER($P240&amp;$N240&amp;IF(OR(NOT(ISERROR(SEARCH("trade",Q240))),NOT(ISERROR(SEARCH("balance",Q240)))),"",Q240))</f>
        <v>HUBI-1-M-PXRP</v>
      </c>
      <c r="N240" s="161" t="str">
        <f ca="1">IF(raw_exchange_data!$A239="","",OFFSET(raw_exchange_data!$A239,0,MATCH(N$2,raw_exchange_data!$1:$1,0)-1))</f>
        <v>XRP</v>
      </c>
      <c r="O240" s="161" t="str">
        <f ca="1">IF(raw_exchange_data!$A239="","",OFFSET(raw_exchange_data!$A239,0,MATCH(O$2,raw_exchange_data!$1:$1,0)-1))</f>
        <v>HUBI</v>
      </c>
      <c r="P240" s="161" t="str">
        <f ca="1">IF(raw_exchange_data!$A239="","",OFFSET(raw_exchange_data!$A239,0,MATCH(P$2,raw_exchange_data!$1:$1,0)-1))</f>
        <v>HUBI-1-M-P</v>
      </c>
      <c r="Q240" s="161" t="str">
        <f ca="1">IF(raw_exchange_data!$A239="","",TEXT(OFFSET(raw_exchange_data!$A239,0,MATCH(Q$2,raw_exchange_data!$1:$1,0)-1),""))</f>
        <v/>
      </c>
      <c r="R240" s="162">
        <f ca="1">IF(raw_exchange_data!$A239="","",OFFSET(raw_exchange_data!$A239,0,MATCH(R$2,raw_exchange_data!$1:$1,0)-1))</f>
        <v>1.9184280000000001E-4</v>
      </c>
      <c r="S240" s="190">
        <f ca="1">IF(raw_exchange_data!$A239="","",OFFSET(raw_exchange_data!$A239,0,MATCH(S$2,raw_exchange_data!$1:$1,0)-1))</f>
        <v>44937.66965625</v>
      </c>
      <c r="T240" s="161">
        <v>1</v>
      </c>
      <c r="W240" t="str">
        <f t="shared" si="16"/>
        <v>HUBI</v>
      </c>
      <c r="X240" t="str">
        <f t="shared" si="17"/>
        <v>KSM</v>
      </c>
      <c r="Y240" s="42">
        <f t="shared" si="18"/>
        <v>1.4966E-4</v>
      </c>
      <c r="Z240" s="42">
        <f t="shared" ca="1" si="19"/>
        <v>1.4966E-4</v>
      </c>
    </row>
    <row r="241" spans="1:26" x14ac:dyDescent="0.25">
      <c r="A241" t="str">
        <f>IF(Summary_Exchange_Balances_00UTC!$B240="","",Summary_Exchange_Balances_00UTC!$N240)</f>
        <v>HUBI</v>
      </c>
      <c r="B241" t="str">
        <f>IF(Summary_Exchange_Balances_00UTC!$B240="","",Summary_Exchange_Balances_00UTC!$B240)</f>
        <v>HUBI-E</v>
      </c>
      <c r="C241" t="str">
        <f>IF(Summary_Exchange_Balances_00UTC!$B240="","",Summary_Exchange_Balances_00UTC!$E240)</f>
        <v>LAMB</v>
      </c>
      <c r="D241" t="str">
        <f>IF(OR(Summary_Exchange_Balances_00UTC!$B240="",Summary_Exchange_Balances_00UTC!$D240=""),"",Summary_Exchange_Balances_00UTC!$D240)</f>
        <v/>
      </c>
      <c r="E241" s="52">
        <f>IF(Summary_Exchange_Balances_00UTC!$B240="","",Summary_Exchange_Balances_00UTC!$C240)</f>
        <v>0.24234807999999999</v>
      </c>
      <c r="G241" s="52">
        <f ca="1">IF(Summary_Exchange_Balances_00UTC!$B240="","",VLOOKUP(IF(ISERROR(SEARCH(" ", $B241)),UPPER($B241&amp;$C241&amp;IF(OR(NOT(ISERROR(SEARCH("trade",$D241))),NOT(ISERROR(SEARCH("balance",$D241)))),"",$D241)),UPPER(LEFT($B241, SEARCH(" ",$B241)-1)&amp;$C241&amp;IF(OR(NOT(ISERROR(SEARCH("trade",$D241))),NOT(ISERROR(SEARCH("balance",$D241)))),"",$D241))),$L:$T,MATCH("balance",$L$2:$S$2,0),FALSE))</f>
        <v>0.24234807999999999</v>
      </c>
      <c r="H241" s="35">
        <f ca="1">IF(Summary_Exchange_Balances_00UTC!$B240="","",(G241-E241)/E241)</f>
        <v>0</v>
      </c>
      <c r="I241" s="165">
        <f ca="1">IF(Summary_Exchange_Balances_00UTC!$B240="","",IF(ISERROR($G241),$E241,$G241))</f>
        <v>0.24234807999999999</v>
      </c>
      <c r="K241" t="str">
        <f t="shared" ca="1" si="15"/>
        <v>HUBIYFII</v>
      </c>
      <c r="L241" t="str">
        <f ca="1">UPPER($P241&amp;$N241&amp;IF(OR(NOT(ISERROR(SEARCH("trade",Q241))),NOT(ISERROR(SEARCH("balance",Q241)))),"",Q241))</f>
        <v>HUBI-1-M-PYFII</v>
      </c>
      <c r="N241" s="161" t="str">
        <f ca="1">IF(raw_exchange_data!$A240="","",OFFSET(raw_exchange_data!$A240,0,MATCH(N$2,raw_exchange_data!$1:$1,0)-1))</f>
        <v>YFII</v>
      </c>
      <c r="O241" s="161" t="str">
        <f ca="1">IF(raw_exchange_data!$A240="","",OFFSET(raw_exchange_data!$A240,0,MATCH(O$2,raw_exchange_data!$1:$1,0)-1))</f>
        <v>HUBI</v>
      </c>
      <c r="P241" s="161" t="str">
        <f ca="1">IF(raw_exchange_data!$A240="","",OFFSET(raw_exchange_data!$A240,0,MATCH(P$2,raw_exchange_data!$1:$1,0)-1))</f>
        <v>HUBI-1-M-P</v>
      </c>
      <c r="Q241" s="161" t="str">
        <f ca="1">IF(raw_exchange_data!$A240="","",TEXT(OFFSET(raw_exchange_data!$A240,0,MATCH(Q$2,raw_exchange_data!$1:$1,0)-1),""))</f>
        <v/>
      </c>
      <c r="R241" s="162">
        <f ca="1">IF(raw_exchange_data!$A240="","",OFFSET(raw_exchange_data!$A240,0,MATCH(R$2,raw_exchange_data!$1:$1,0)-1))</f>
        <v>2.4299999999999999E-3</v>
      </c>
      <c r="S241" s="190">
        <f ca="1">IF(raw_exchange_data!$A240="","",OFFSET(raw_exchange_data!$A240,0,MATCH(S$2,raw_exchange_data!$1:$1,0)-1))</f>
        <v>44937.66965625</v>
      </c>
      <c r="T241" s="161">
        <v>1</v>
      </c>
      <c r="W241" t="str">
        <f t="shared" si="16"/>
        <v>HUBI</v>
      </c>
      <c r="X241" t="str">
        <f t="shared" si="17"/>
        <v>LAMB</v>
      </c>
      <c r="Y241" s="42">
        <f t="shared" si="18"/>
        <v>0.24234807999999999</v>
      </c>
      <c r="Z241" s="42">
        <f t="shared" ca="1" si="19"/>
        <v>0.24234807999999999</v>
      </c>
    </row>
    <row r="242" spans="1:26" x14ac:dyDescent="0.25">
      <c r="A242" t="str">
        <f>IF(Summary_Exchange_Balances_00UTC!$B241="","",Summary_Exchange_Balances_00UTC!$N241)</f>
        <v>HUBI</v>
      </c>
      <c r="B242" t="str">
        <f>IF(Summary_Exchange_Balances_00UTC!$B241="","",Summary_Exchange_Balances_00UTC!$B241)</f>
        <v>HUBI-E</v>
      </c>
      <c r="C242" t="str">
        <f>IF(Summary_Exchange_Balances_00UTC!$B241="","",Summary_Exchange_Balances_00UTC!$E241)</f>
        <v>LEND</v>
      </c>
      <c r="D242" t="str">
        <f>IF(OR(Summary_Exchange_Balances_00UTC!$B241="",Summary_Exchange_Balances_00UTC!$D241=""),"",Summary_Exchange_Balances_00UTC!$D241)</f>
        <v/>
      </c>
      <c r="E242" s="52">
        <f>IF(Summary_Exchange_Balances_00UTC!$B241="","",Summary_Exchange_Balances_00UTC!$C241)</f>
        <v>1E-8</v>
      </c>
      <c r="G242" s="52">
        <f ca="1">IF(Summary_Exchange_Balances_00UTC!$B241="","",VLOOKUP(IF(ISERROR(SEARCH(" ", $B242)),UPPER($B242&amp;$C242&amp;IF(OR(NOT(ISERROR(SEARCH("trade",$D242))),NOT(ISERROR(SEARCH("balance",$D242)))),"",$D242)),UPPER(LEFT($B242, SEARCH(" ",$B242)-1)&amp;$C242&amp;IF(OR(NOT(ISERROR(SEARCH("trade",$D242))),NOT(ISERROR(SEARCH("balance",$D242)))),"",$D242))),$L:$T,MATCH("balance",$L$2:$S$2,0),FALSE))</f>
        <v>1E-8</v>
      </c>
      <c r="H242" s="35">
        <f ca="1">IF(Summary_Exchange_Balances_00UTC!$B241="","",(G242-E242)/E242)</f>
        <v>0</v>
      </c>
      <c r="I242" s="165">
        <f ca="1">IF(Summary_Exchange_Balances_00UTC!$B241="","",IF(ISERROR($G242),$E242,$G242))</f>
        <v>1E-8</v>
      </c>
      <c r="K242" t="str">
        <f t="shared" ca="1" si="15"/>
        <v>HUBIAAC</v>
      </c>
      <c r="L242" t="str">
        <f ca="1">UPPER($P242&amp;$N242&amp;IF(OR(NOT(ISERROR(SEARCH("trade",Q242))),NOT(ISERROR(SEARCH("balance",Q242)))),"",Q242))</f>
        <v>HUBI-EAAC</v>
      </c>
      <c r="N242" s="161" t="str">
        <f ca="1">IF(raw_exchange_data!$A241="","",OFFSET(raw_exchange_data!$A241,0,MATCH(N$2,raw_exchange_data!$1:$1,0)-1))</f>
        <v>AAC</v>
      </c>
      <c r="O242" s="161" t="str">
        <f ca="1">IF(raw_exchange_data!$A241="","",OFFSET(raw_exchange_data!$A241,0,MATCH(O$2,raw_exchange_data!$1:$1,0)-1))</f>
        <v>HUBI</v>
      </c>
      <c r="P242" s="161" t="str">
        <f ca="1">IF(raw_exchange_data!$A241="","",OFFSET(raw_exchange_data!$A241,0,MATCH(P$2,raw_exchange_data!$1:$1,0)-1))</f>
        <v>HUBI-E</v>
      </c>
      <c r="Q242" s="161" t="str">
        <f ca="1">IF(raw_exchange_data!$A241="","",TEXT(OFFSET(raw_exchange_data!$A241,0,MATCH(Q$2,raw_exchange_data!$1:$1,0)-1),""))</f>
        <v/>
      </c>
      <c r="R242" s="162">
        <f ca="1">IF(raw_exchange_data!$A241="","",OFFSET(raw_exchange_data!$A241,0,MATCH(R$2,raw_exchange_data!$1:$1,0)-1))</f>
        <v>377.09760540000002</v>
      </c>
      <c r="S242" s="190">
        <f ca="1">IF(raw_exchange_data!$A241="","",OFFSET(raw_exchange_data!$A241,0,MATCH(S$2,raw_exchange_data!$1:$1,0)-1))</f>
        <v>44937.666669409722</v>
      </c>
      <c r="T242" s="161">
        <v>1</v>
      </c>
      <c r="W242" t="str">
        <f t="shared" si="16"/>
        <v>HUBI</v>
      </c>
      <c r="X242" t="str">
        <f t="shared" si="17"/>
        <v>LEND</v>
      </c>
      <c r="Y242" s="42">
        <f t="shared" si="18"/>
        <v>1E-8</v>
      </c>
      <c r="Z242" s="42">
        <f t="shared" ca="1" si="19"/>
        <v>1E-8</v>
      </c>
    </row>
    <row r="243" spans="1:26" x14ac:dyDescent="0.25">
      <c r="A243" t="str">
        <f>IF(Summary_Exchange_Balances_00UTC!$B242="","",Summary_Exchange_Balances_00UTC!$N242)</f>
        <v>HUBI</v>
      </c>
      <c r="B243" t="str">
        <f>IF(Summary_Exchange_Balances_00UTC!$B242="","",Summary_Exchange_Balances_00UTC!$B242)</f>
        <v>HUBI-E</v>
      </c>
      <c r="C243" t="str">
        <f>IF(Summary_Exchange_Balances_00UTC!$B242="","",Summary_Exchange_Balances_00UTC!$E242)</f>
        <v>LINK</v>
      </c>
      <c r="D243" t="str">
        <f>IF(OR(Summary_Exchange_Balances_00UTC!$B242="",Summary_Exchange_Balances_00UTC!$D242=""),"",Summary_Exchange_Balances_00UTC!$D242)</f>
        <v/>
      </c>
      <c r="E243" s="52">
        <f>IF(Summary_Exchange_Balances_00UTC!$B242="","",Summary_Exchange_Balances_00UTC!$C242)</f>
        <v>538.90453062999995</v>
      </c>
      <c r="G243" s="52">
        <f ca="1">IF(Summary_Exchange_Balances_00UTC!$B242="","",VLOOKUP(IF(ISERROR(SEARCH(" ", $B243)),UPPER($B243&amp;$C243&amp;IF(OR(NOT(ISERROR(SEARCH("trade",$D243))),NOT(ISERROR(SEARCH("balance",$D243)))),"",$D243)),UPPER(LEFT($B243, SEARCH(" ",$B243)-1)&amp;$C243&amp;IF(OR(NOT(ISERROR(SEARCH("trade",$D243))),NOT(ISERROR(SEARCH("balance",$D243)))),"",$D243))),$L:$T,MATCH("balance",$L$2:$S$2,0),FALSE))</f>
        <v>529.30097855999998</v>
      </c>
      <c r="H243" s="35">
        <f ca="1">IF(Summary_Exchange_Balances_00UTC!$B242="","",(G243-E243)/E243)</f>
        <v>-1.7820507203331653E-2</v>
      </c>
      <c r="I243" s="165">
        <f ca="1">IF(Summary_Exchange_Balances_00UTC!$B242="","",IF(ISERROR($G243),$E243,$G243))</f>
        <v>529.30097855999998</v>
      </c>
      <c r="K243" t="str">
        <f t="shared" ca="1" si="15"/>
        <v>HUBIADA</v>
      </c>
      <c r="L243" t="str">
        <f ca="1">UPPER($P243&amp;$N243&amp;IF(OR(NOT(ISERROR(SEARCH("trade",Q243))),NOT(ISERROR(SEARCH("balance",Q243)))),"",Q243))</f>
        <v>HUBI-EADA</v>
      </c>
      <c r="N243" s="161" t="str">
        <f ca="1">IF(raw_exchange_data!$A242="","",OFFSET(raw_exchange_data!$A242,0,MATCH(N$2,raw_exchange_data!$1:$1,0)-1))</f>
        <v>ADA</v>
      </c>
      <c r="O243" s="161" t="str">
        <f ca="1">IF(raw_exchange_data!$A242="","",OFFSET(raw_exchange_data!$A242,0,MATCH(O$2,raw_exchange_data!$1:$1,0)-1))</f>
        <v>HUBI</v>
      </c>
      <c r="P243" s="161" t="str">
        <f ca="1">IF(raw_exchange_data!$A242="","",OFFSET(raw_exchange_data!$A242,0,MATCH(P$2,raw_exchange_data!$1:$1,0)-1))</f>
        <v>HUBI-E</v>
      </c>
      <c r="Q243" s="161" t="str">
        <f ca="1">IF(raw_exchange_data!$A242="","",TEXT(OFFSET(raw_exchange_data!$A242,0,MATCH(Q$2,raw_exchange_data!$1:$1,0)-1),""))</f>
        <v/>
      </c>
      <c r="R243" s="162">
        <f ca="1">IF(raw_exchange_data!$A242="","",OFFSET(raw_exchange_data!$A242,0,MATCH(R$2,raw_exchange_data!$1:$1,0)-1))</f>
        <v>1.1000000000000001E-7</v>
      </c>
      <c r="S243" s="190">
        <f ca="1">IF(raw_exchange_data!$A242="","",OFFSET(raw_exchange_data!$A242,0,MATCH(S$2,raw_exchange_data!$1:$1,0)-1))</f>
        <v>44937.666669409722</v>
      </c>
      <c r="T243" s="161">
        <v>1</v>
      </c>
      <c r="W243" t="str">
        <f t="shared" si="16"/>
        <v>HUBI</v>
      </c>
      <c r="X243" t="str">
        <f t="shared" si="17"/>
        <v>LINK</v>
      </c>
      <c r="Y243" s="42">
        <f t="shared" si="18"/>
        <v>538.90453062999995</v>
      </c>
      <c r="Z243" s="42">
        <f t="shared" ca="1" si="19"/>
        <v>529.30097855999998</v>
      </c>
    </row>
    <row r="244" spans="1:26" x14ac:dyDescent="0.25">
      <c r="A244" t="str">
        <f>IF(Summary_Exchange_Balances_00UTC!$B243="","",Summary_Exchange_Balances_00UTC!$N243)</f>
        <v>HUBI</v>
      </c>
      <c r="B244" t="str">
        <f>IF(Summary_Exchange_Balances_00UTC!$B243="","",Summary_Exchange_Balances_00UTC!$B243)</f>
        <v>HUBI-E</v>
      </c>
      <c r="C244" t="str">
        <f>IF(Summary_Exchange_Balances_00UTC!$B243="","",Summary_Exchange_Balances_00UTC!$E243)</f>
        <v>LOL</v>
      </c>
      <c r="D244" t="str">
        <f>IF(OR(Summary_Exchange_Balances_00UTC!$B243="",Summary_Exchange_Balances_00UTC!$D243=""),"",Summary_Exchange_Balances_00UTC!$D243)</f>
        <v/>
      </c>
      <c r="E244" s="52">
        <f>IF(Summary_Exchange_Balances_00UTC!$B243="","",Summary_Exchange_Balances_00UTC!$C243)</f>
        <v>4.3289484800000002</v>
      </c>
      <c r="G244" s="52">
        <f ca="1">IF(Summary_Exchange_Balances_00UTC!$B243="","",VLOOKUP(IF(ISERROR(SEARCH(" ", $B244)),UPPER($B244&amp;$C244&amp;IF(OR(NOT(ISERROR(SEARCH("trade",$D244))),NOT(ISERROR(SEARCH("balance",$D244)))),"",$D244)),UPPER(LEFT($B244, SEARCH(" ",$B244)-1)&amp;$C244&amp;IF(OR(NOT(ISERROR(SEARCH("trade",$D244))),NOT(ISERROR(SEARCH("balance",$D244)))),"",$D244))),$L:$T,MATCH("balance",$L$2:$S$2,0),FALSE))</f>
        <v>4.3289484800000002</v>
      </c>
      <c r="H244" s="35">
        <f ca="1">IF(Summary_Exchange_Balances_00UTC!$B243="","",(G244-E244)/E244)</f>
        <v>0</v>
      </c>
      <c r="I244" s="165">
        <f ca="1">IF(Summary_Exchange_Balances_00UTC!$B243="","",IF(ISERROR($G244),$E244,$G244))</f>
        <v>4.3289484800000002</v>
      </c>
      <c r="K244" t="str">
        <f t="shared" ca="1" si="15"/>
        <v>HUBIALGO</v>
      </c>
      <c r="L244" t="str">
        <f ca="1">UPPER($P244&amp;$N244&amp;IF(OR(NOT(ISERROR(SEARCH("trade",Q244))),NOT(ISERROR(SEARCH("balance",Q244)))),"",Q244))</f>
        <v>HUBI-EALGO</v>
      </c>
      <c r="N244" s="161" t="str">
        <f ca="1">IF(raw_exchange_data!$A243="","",OFFSET(raw_exchange_data!$A243,0,MATCH(N$2,raw_exchange_data!$1:$1,0)-1))</f>
        <v>ALGO</v>
      </c>
      <c r="O244" s="161" t="str">
        <f ca="1">IF(raw_exchange_data!$A243="","",OFFSET(raw_exchange_data!$A243,0,MATCH(O$2,raw_exchange_data!$1:$1,0)-1))</f>
        <v>HUBI</v>
      </c>
      <c r="P244" s="161" t="str">
        <f ca="1">IF(raw_exchange_data!$A243="","",OFFSET(raw_exchange_data!$A243,0,MATCH(P$2,raw_exchange_data!$1:$1,0)-1))</f>
        <v>HUBI-E</v>
      </c>
      <c r="Q244" s="161" t="str">
        <f ca="1">IF(raw_exchange_data!$A243="","",TEXT(OFFSET(raw_exchange_data!$A243,0,MATCH(Q$2,raw_exchange_data!$1:$1,0)-1),""))</f>
        <v/>
      </c>
      <c r="R244" s="162">
        <f ca="1">IF(raw_exchange_data!$A243="","",OFFSET(raw_exchange_data!$A243,0,MATCH(R$2,raw_exchange_data!$1:$1,0)-1))</f>
        <v>2.6E-7</v>
      </c>
      <c r="S244" s="190">
        <f ca="1">IF(raw_exchange_data!$A243="","",OFFSET(raw_exchange_data!$A243,0,MATCH(S$2,raw_exchange_data!$1:$1,0)-1))</f>
        <v>44937.666669409722</v>
      </c>
      <c r="T244" s="161">
        <v>1</v>
      </c>
      <c r="W244" t="str">
        <f t="shared" si="16"/>
        <v>HUBI</v>
      </c>
      <c r="X244" t="str">
        <f t="shared" si="17"/>
        <v>LOL</v>
      </c>
      <c r="Y244" s="42">
        <f t="shared" si="18"/>
        <v>4.3289484800000002</v>
      </c>
      <c r="Z244" s="42">
        <f t="shared" ca="1" si="19"/>
        <v>4.3289484800000002</v>
      </c>
    </row>
    <row r="245" spans="1:26" x14ac:dyDescent="0.25">
      <c r="A245" t="str">
        <f>IF(Summary_Exchange_Balances_00UTC!$B244="","",Summary_Exchange_Balances_00UTC!$N244)</f>
        <v>HUBI</v>
      </c>
      <c r="B245" t="str">
        <f>IF(Summary_Exchange_Balances_00UTC!$B244="","",Summary_Exchange_Balances_00UTC!$B244)</f>
        <v>HUBI-E</v>
      </c>
      <c r="C245" t="str">
        <f>IF(Summary_Exchange_Balances_00UTC!$B244="","",Summary_Exchange_Balances_00UTC!$E244)</f>
        <v>LTC</v>
      </c>
      <c r="D245" t="str">
        <f>IF(OR(Summary_Exchange_Balances_00UTC!$B244="",Summary_Exchange_Balances_00UTC!$D244=""),"",Summary_Exchange_Balances_00UTC!$D244)</f>
        <v/>
      </c>
      <c r="E245" s="52">
        <f>IF(Summary_Exchange_Balances_00UTC!$B244="","",Summary_Exchange_Balances_00UTC!$C244)</f>
        <v>7241.7835004299995</v>
      </c>
      <c r="G245" s="52">
        <f ca="1">IF(Summary_Exchange_Balances_00UTC!$B244="","",VLOOKUP(IF(ISERROR(SEARCH(" ", $B245)),UPPER($B245&amp;$C245&amp;IF(OR(NOT(ISERROR(SEARCH("trade",$D245))),NOT(ISERROR(SEARCH("balance",$D245)))),"",$D245)),UPPER(LEFT($B245, SEARCH(" ",$B245)-1)&amp;$C245&amp;IF(OR(NOT(ISERROR(SEARCH("trade",$D245))),NOT(ISERROR(SEARCH("balance",$D245)))),"",$D245))),$L:$T,MATCH("balance",$L$2:$S$2,0),FALSE))</f>
        <v>7719.11831145</v>
      </c>
      <c r="H245" s="35">
        <f ca="1">IF(Summary_Exchange_Balances_00UTC!$B244="","",(G245-E245)/E245)</f>
        <v>6.5913985276093587E-2</v>
      </c>
      <c r="I245" s="165">
        <f ca="1">IF(Summary_Exchange_Balances_00UTC!$B244="","",IF(ISERROR($G245),$E245,$G245))</f>
        <v>7719.11831145</v>
      </c>
      <c r="K245" t="str">
        <f t="shared" ca="1" si="15"/>
        <v>HUBIARPA</v>
      </c>
      <c r="L245" t="str">
        <f ca="1">UPPER($P245&amp;$N245&amp;IF(OR(NOT(ISERROR(SEARCH("trade",Q245))),NOT(ISERROR(SEARCH("balance",Q245)))),"",Q245))</f>
        <v>HUBI-EARPA</v>
      </c>
      <c r="N245" s="161" t="str">
        <f ca="1">IF(raw_exchange_data!$A244="","",OFFSET(raw_exchange_data!$A244,0,MATCH(N$2,raw_exchange_data!$1:$1,0)-1))</f>
        <v>ARPA</v>
      </c>
      <c r="O245" s="161" t="str">
        <f ca="1">IF(raw_exchange_data!$A244="","",OFFSET(raw_exchange_data!$A244,0,MATCH(O$2,raw_exchange_data!$1:$1,0)-1))</f>
        <v>HUBI</v>
      </c>
      <c r="P245" s="161" t="str">
        <f ca="1">IF(raw_exchange_data!$A244="","",OFFSET(raw_exchange_data!$A244,0,MATCH(P$2,raw_exchange_data!$1:$1,0)-1))</f>
        <v>HUBI-E</v>
      </c>
      <c r="Q245" s="161" t="str">
        <f ca="1">IF(raw_exchange_data!$A244="","",TEXT(OFFSET(raw_exchange_data!$A244,0,MATCH(Q$2,raw_exchange_data!$1:$1,0)-1),""))</f>
        <v/>
      </c>
      <c r="R245" s="162">
        <f ca="1">IF(raw_exchange_data!$A244="","",OFFSET(raw_exchange_data!$A244,0,MATCH(R$2,raw_exchange_data!$1:$1,0)-1))</f>
        <v>0.53247394999999997</v>
      </c>
      <c r="S245" s="190">
        <f ca="1">IF(raw_exchange_data!$A244="","",OFFSET(raw_exchange_data!$A244,0,MATCH(S$2,raw_exchange_data!$1:$1,0)-1))</f>
        <v>44937.666669409722</v>
      </c>
      <c r="T245" s="161">
        <v>1</v>
      </c>
      <c r="W245" t="str">
        <f t="shared" si="16"/>
        <v>HUBI</v>
      </c>
      <c r="X245" t="str">
        <f t="shared" si="17"/>
        <v>LTC</v>
      </c>
      <c r="Y245" s="42">
        <f t="shared" si="18"/>
        <v>7241.7835004299995</v>
      </c>
      <c r="Z245" s="42">
        <f t="shared" ca="1" si="19"/>
        <v>7719.11831145</v>
      </c>
    </row>
    <row r="246" spans="1:26" x14ac:dyDescent="0.25">
      <c r="A246" t="str">
        <f>IF(Summary_Exchange_Balances_00UTC!$B245="","",Summary_Exchange_Balances_00UTC!$N245)</f>
        <v>HUBI</v>
      </c>
      <c r="B246" t="str">
        <f>IF(Summary_Exchange_Balances_00UTC!$B245="","",Summary_Exchange_Balances_00UTC!$B245)</f>
        <v>HUBI-E</v>
      </c>
      <c r="C246" t="str">
        <f>IF(Summary_Exchange_Balances_00UTC!$B245="","",Summary_Exchange_Balances_00UTC!$E245)</f>
        <v>LXT</v>
      </c>
      <c r="D246" t="str">
        <f>IF(OR(Summary_Exchange_Balances_00UTC!$B245="",Summary_Exchange_Balances_00UTC!$D245=""),"",Summary_Exchange_Balances_00UTC!$D245)</f>
        <v/>
      </c>
      <c r="E246" s="52">
        <f>IF(Summary_Exchange_Balances_00UTC!$B245="","",Summary_Exchange_Balances_00UTC!$C245)</f>
        <v>0.66495972999999997</v>
      </c>
      <c r="G246" s="52">
        <f ca="1">IF(Summary_Exchange_Balances_00UTC!$B245="","",VLOOKUP(IF(ISERROR(SEARCH(" ", $B246)),UPPER($B246&amp;$C246&amp;IF(OR(NOT(ISERROR(SEARCH("trade",$D246))),NOT(ISERROR(SEARCH("balance",$D246)))),"",$D246)),UPPER(LEFT($B246, SEARCH(" ",$B246)-1)&amp;$C246&amp;IF(OR(NOT(ISERROR(SEARCH("trade",$D246))),NOT(ISERROR(SEARCH("balance",$D246)))),"",$D246))),$L:$T,MATCH("balance",$L$2:$S$2,0),FALSE))</f>
        <v>0.66495972999999997</v>
      </c>
      <c r="H246" s="35">
        <f ca="1">IF(Summary_Exchange_Balances_00UTC!$B245="","",(G246-E246)/E246)</f>
        <v>0</v>
      </c>
      <c r="I246" s="165">
        <f ca="1">IF(Summary_Exchange_Balances_00UTC!$B245="","",IF(ISERROR($G246),$E246,$G246))</f>
        <v>0.66495972999999997</v>
      </c>
      <c r="K246" t="str">
        <f t="shared" ca="1" si="15"/>
        <v>HUBIATOM</v>
      </c>
      <c r="L246" t="str">
        <f ca="1">UPPER($P246&amp;$N246&amp;IF(OR(NOT(ISERROR(SEARCH("trade",Q246))),NOT(ISERROR(SEARCH("balance",Q246)))),"",Q246))</f>
        <v>HUBI-EATOM</v>
      </c>
      <c r="N246" s="161" t="str">
        <f ca="1">IF(raw_exchange_data!$A245="","",OFFSET(raw_exchange_data!$A245,0,MATCH(N$2,raw_exchange_data!$1:$1,0)-1))</f>
        <v>ATOM</v>
      </c>
      <c r="O246" s="161" t="str">
        <f ca="1">IF(raw_exchange_data!$A245="","",OFFSET(raw_exchange_data!$A245,0,MATCH(O$2,raw_exchange_data!$1:$1,0)-1))</f>
        <v>HUBI</v>
      </c>
      <c r="P246" s="161" t="str">
        <f ca="1">IF(raw_exchange_data!$A245="","",OFFSET(raw_exchange_data!$A245,0,MATCH(P$2,raw_exchange_data!$1:$1,0)-1))</f>
        <v>HUBI-E</v>
      </c>
      <c r="Q246" s="161" t="str">
        <f ca="1">IF(raw_exchange_data!$A245="","",TEXT(OFFSET(raw_exchange_data!$A245,0,MATCH(Q$2,raw_exchange_data!$1:$1,0)-1),""))</f>
        <v/>
      </c>
      <c r="R246" s="162">
        <f ca="1">IF(raw_exchange_data!$A245="","",OFFSET(raw_exchange_data!$A245,0,MATCH(R$2,raw_exchange_data!$1:$1,0)-1))</f>
        <v>4.3657420000000002E-2</v>
      </c>
      <c r="S246" s="190">
        <f ca="1">IF(raw_exchange_data!$A245="","",OFFSET(raw_exchange_data!$A245,0,MATCH(S$2,raw_exchange_data!$1:$1,0)-1))</f>
        <v>44937.666669409722</v>
      </c>
      <c r="T246" s="161">
        <v>1</v>
      </c>
      <c r="W246" t="str">
        <f t="shared" si="16"/>
        <v>HUBI</v>
      </c>
      <c r="X246" t="str">
        <f t="shared" si="17"/>
        <v>LXT</v>
      </c>
      <c r="Y246" s="42">
        <f t="shared" si="18"/>
        <v>0.66495972999999997</v>
      </c>
      <c r="Z246" s="42">
        <f t="shared" ca="1" si="19"/>
        <v>0.66495972999999997</v>
      </c>
    </row>
    <row r="247" spans="1:26" x14ac:dyDescent="0.25">
      <c r="A247" t="str">
        <f>IF(Summary_Exchange_Balances_00UTC!$B246="","",Summary_Exchange_Balances_00UTC!$N246)</f>
        <v>HUBI</v>
      </c>
      <c r="B247" t="str">
        <f>IF(Summary_Exchange_Balances_00UTC!$B246="","",Summary_Exchange_Balances_00UTC!$B246)</f>
        <v>HUBI-E</v>
      </c>
      <c r="C247" t="str">
        <f>IF(Summary_Exchange_Balances_00UTC!$B246="","",Summary_Exchange_Balances_00UTC!$E246)</f>
        <v>MANA</v>
      </c>
      <c r="D247" t="str">
        <f>IF(OR(Summary_Exchange_Balances_00UTC!$B246="",Summary_Exchange_Balances_00UTC!$D246=""),"",Summary_Exchange_Balances_00UTC!$D246)</f>
        <v/>
      </c>
      <c r="E247" s="52">
        <f>IF(Summary_Exchange_Balances_00UTC!$B246="","",Summary_Exchange_Balances_00UTC!$C246)</f>
        <v>0.34</v>
      </c>
      <c r="G247" s="52">
        <f ca="1">IF(Summary_Exchange_Balances_00UTC!$B246="","",VLOOKUP(IF(ISERROR(SEARCH(" ", $B247)),UPPER($B247&amp;$C247&amp;IF(OR(NOT(ISERROR(SEARCH("trade",$D247))),NOT(ISERROR(SEARCH("balance",$D247)))),"",$D247)),UPPER(LEFT($B247, SEARCH(" ",$B247)-1)&amp;$C247&amp;IF(OR(NOT(ISERROR(SEARCH("trade",$D247))),NOT(ISERROR(SEARCH("balance",$D247)))),"",$D247))),$L:$T,MATCH("balance",$L$2:$S$2,0),FALSE))</f>
        <v>0.34</v>
      </c>
      <c r="H247" s="35">
        <f ca="1">IF(Summary_Exchange_Balances_00UTC!$B246="","",(G247-E247)/E247)</f>
        <v>0</v>
      </c>
      <c r="I247" s="165">
        <f ca="1">IF(Summary_Exchange_Balances_00UTC!$B246="","",IF(ISERROR($G247),$E247,$G247))</f>
        <v>0.34</v>
      </c>
      <c r="K247" t="str">
        <f t="shared" ca="1" si="15"/>
        <v>HUBIAVAX</v>
      </c>
      <c r="L247" t="str">
        <f ca="1">UPPER($P247&amp;$N247&amp;IF(OR(NOT(ISERROR(SEARCH("trade",Q247))),NOT(ISERROR(SEARCH("balance",Q247)))),"",Q247))</f>
        <v>HUBI-EAVAX</v>
      </c>
      <c r="N247" s="161" t="str">
        <f ca="1">IF(raw_exchange_data!$A246="","",OFFSET(raw_exchange_data!$A246,0,MATCH(N$2,raw_exchange_data!$1:$1,0)-1))</f>
        <v>AVAX</v>
      </c>
      <c r="O247" s="161" t="str">
        <f ca="1">IF(raw_exchange_data!$A246="","",OFFSET(raw_exchange_data!$A246,0,MATCH(O$2,raw_exchange_data!$1:$1,0)-1))</f>
        <v>HUBI</v>
      </c>
      <c r="P247" s="161" t="str">
        <f ca="1">IF(raw_exchange_data!$A246="","",OFFSET(raw_exchange_data!$A246,0,MATCH(P$2,raw_exchange_data!$1:$1,0)-1))</f>
        <v>HUBI-E</v>
      </c>
      <c r="Q247" s="161" t="str">
        <f ca="1">IF(raw_exchange_data!$A246="","",TEXT(OFFSET(raw_exchange_data!$A246,0,MATCH(Q$2,raw_exchange_data!$1:$1,0)-1),""))</f>
        <v/>
      </c>
      <c r="R247" s="162">
        <f ca="1">IF(raw_exchange_data!$A246="","",OFFSET(raw_exchange_data!$A246,0,MATCH(R$2,raw_exchange_data!$1:$1,0)-1))</f>
        <v>1.5389969999999999E-2</v>
      </c>
      <c r="S247" s="190">
        <f ca="1">IF(raw_exchange_data!$A246="","",OFFSET(raw_exchange_data!$A246,0,MATCH(S$2,raw_exchange_data!$1:$1,0)-1))</f>
        <v>44937.666669409722</v>
      </c>
      <c r="T247" s="161">
        <v>1</v>
      </c>
      <c r="W247" t="str">
        <f t="shared" si="16"/>
        <v>HUBI</v>
      </c>
      <c r="X247" t="str">
        <f t="shared" si="17"/>
        <v>MANA</v>
      </c>
      <c r="Y247" s="42">
        <f t="shared" si="18"/>
        <v>0.34</v>
      </c>
      <c r="Z247" s="42">
        <f t="shared" ca="1" si="19"/>
        <v>0.34</v>
      </c>
    </row>
    <row r="248" spans="1:26" x14ac:dyDescent="0.25">
      <c r="A248" t="str">
        <f>IF(Summary_Exchange_Balances_00UTC!$B247="","",Summary_Exchange_Balances_00UTC!$N247)</f>
        <v>HUBI</v>
      </c>
      <c r="B248" t="str">
        <f>IF(Summary_Exchange_Balances_00UTC!$B247="","",Summary_Exchange_Balances_00UTC!$B247)</f>
        <v>HUBI-E</v>
      </c>
      <c r="C248" t="str">
        <f>IF(Summary_Exchange_Balances_00UTC!$B247="","",Summary_Exchange_Balances_00UTC!$E247)</f>
        <v>NEO</v>
      </c>
      <c r="D248" t="str">
        <f>IF(OR(Summary_Exchange_Balances_00UTC!$B247="",Summary_Exchange_Balances_00UTC!$D247=""),"",Summary_Exchange_Balances_00UTC!$D247)</f>
        <v/>
      </c>
      <c r="E248" s="52">
        <f>IF(Summary_Exchange_Balances_00UTC!$B247="","",Summary_Exchange_Balances_00UTC!$C247)</f>
        <v>0.89105878000000005</v>
      </c>
      <c r="G248" s="52">
        <f ca="1">IF(Summary_Exchange_Balances_00UTC!$B247="","",VLOOKUP(IF(ISERROR(SEARCH(" ", $B248)),UPPER($B248&amp;$C248&amp;IF(OR(NOT(ISERROR(SEARCH("trade",$D248))),NOT(ISERROR(SEARCH("balance",$D248)))),"",$D248)),UPPER(LEFT($B248, SEARCH(" ",$B248)-1)&amp;$C248&amp;IF(OR(NOT(ISERROR(SEARCH("trade",$D248))),NOT(ISERROR(SEARCH("balance",$D248)))),"",$D248))),$L:$T,MATCH("balance",$L$2:$S$2,0),FALSE))</f>
        <v>0.89105878000000005</v>
      </c>
      <c r="H248" s="35">
        <f ca="1">IF(Summary_Exchange_Balances_00UTC!$B247="","",(G248-E248)/E248)</f>
        <v>0</v>
      </c>
      <c r="I248" s="165">
        <f ca="1">IF(Summary_Exchange_Balances_00UTC!$B247="","",IF(ISERROR($G248),$E248,$G248))</f>
        <v>0.89105878000000005</v>
      </c>
      <c r="K248" t="str">
        <f t="shared" ca="1" si="15"/>
        <v>HUBIBAT</v>
      </c>
      <c r="L248" t="str">
        <f ca="1">UPPER($P248&amp;$N248&amp;IF(OR(NOT(ISERROR(SEARCH("trade",Q248))),NOT(ISERROR(SEARCH("balance",Q248)))),"",Q248))</f>
        <v>HUBI-EBAT</v>
      </c>
      <c r="N248" s="161" t="str">
        <f ca="1">IF(raw_exchange_data!$A247="","",OFFSET(raw_exchange_data!$A247,0,MATCH(N$2,raw_exchange_data!$1:$1,0)-1))</f>
        <v>BAT</v>
      </c>
      <c r="O248" s="161" t="str">
        <f ca="1">IF(raw_exchange_data!$A247="","",OFFSET(raw_exchange_data!$A247,0,MATCH(O$2,raw_exchange_data!$1:$1,0)-1))</f>
        <v>HUBI</v>
      </c>
      <c r="P248" s="161" t="str">
        <f ca="1">IF(raw_exchange_data!$A247="","",OFFSET(raw_exchange_data!$A247,0,MATCH(P$2,raw_exchange_data!$1:$1,0)-1))</f>
        <v>HUBI-E</v>
      </c>
      <c r="Q248" s="161" t="str">
        <f ca="1">IF(raw_exchange_data!$A247="","",TEXT(OFFSET(raw_exchange_data!$A247,0,MATCH(Q$2,raw_exchange_data!$1:$1,0)-1),""))</f>
        <v/>
      </c>
      <c r="R248" s="162">
        <f ca="1">IF(raw_exchange_data!$A247="","",OFFSET(raw_exchange_data!$A247,0,MATCH(R$2,raw_exchange_data!$1:$1,0)-1))</f>
        <v>2.0454320000000002E-2</v>
      </c>
      <c r="S248" s="190">
        <f ca="1">IF(raw_exchange_data!$A247="","",OFFSET(raw_exchange_data!$A247,0,MATCH(S$2,raw_exchange_data!$1:$1,0)-1))</f>
        <v>44937.666669409722</v>
      </c>
      <c r="T248" s="161">
        <v>1</v>
      </c>
      <c r="W248" t="str">
        <f t="shared" si="16"/>
        <v>HUBI</v>
      </c>
      <c r="X248" t="str">
        <f t="shared" si="17"/>
        <v>NEO</v>
      </c>
      <c r="Y248" s="42">
        <f t="shared" si="18"/>
        <v>0.89105878000000005</v>
      </c>
      <c r="Z248" s="42">
        <f t="shared" ca="1" si="19"/>
        <v>0.89105878000000005</v>
      </c>
    </row>
    <row r="249" spans="1:26" x14ac:dyDescent="0.25">
      <c r="A249" t="str">
        <f>IF(Summary_Exchange_Balances_00UTC!$B248="","",Summary_Exchange_Balances_00UTC!$N248)</f>
        <v>HUBI</v>
      </c>
      <c r="B249" t="str">
        <f>IF(Summary_Exchange_Balances_00UTC!$B248="","",Summary_Exchange_Balances_00UTC!$B248)</f>
        <v>HUBI-E</v>
      </c>
      <c r="C249" t="str">
        <f>IF(Summary_Exchange_Balances_00UTC!$B248="","",Summary_Exchange_Balances_00UTC!$E248)</f>
        <v>NEW</v>
      </c>
      <c r="D249" t="str">
        <f>IF(OR(Summary_Exchange_Balances_00UTC!$B248="",Summary_Exchange_Balances_00UTC!$D248=""),"",Summary_Exchange_Balances_00UTC!$D248)</f>
        <v/>
      </c>
      <c r="E249" s="52">
        <f>IF(Summary_Exchange_Balances_00UTC!$B248="","",Summary_Exchange_Balances_00UTC!$C248)</f>
        <v>40.704174029999997</v>
      </c>
      <c r="G249" s="52">
        <f ca="1">IF(Summary_Exchange_Balances_00UTC!$B248="","",VLOOKUP(IF(ISERROR(SEARCH(" ", $B249)),UPPER($B249&amp;$C249&amp;IF(OR(NOT(ISERROR(SEARCH("trade",$D249))),NOT(ISERROR(SEARCH("balance",$D249)))),"",$D249)),UPPER(LEFT($B249, SEARCH(" ",$B249)-1)&amp;$C249&amp;IF(OR(NOT(ISERROR(SEARCH("trade",$D249))),NOT(ISERROR(SEARCH("balance",$D249)))),"",$D249))),$L:$T,MATCH("balance",$L$2:$S$2,0),FALSE))</f>
        <v>40.704174029999997</v>
      </c>
      <c r="H249" s="35">
        <f ca="1">IF(Summary_Exchange_Balances_00UTC!$B248="","",(G249-E249)/E249)</f>
        <v>0</v>
      </c>
      <c r="I249" s="165">
        <f ca="1">IF(Summary_Exchange_Balances_00UTC!$B248="","",IF(ISERROR($G249),$E249,$G249))</f>
        <v>40.704174029999997</v>
      </c>
      <c r="K249" t="str">
        <f t="shared" ca="1" si="15"/>
        <v>HUBIBCH</v>
      </c>
      <c r="L249" t="str">
        <f ca="1">UPPER($P249&amp;$N249&amp;IF(OR(NOT(ISERROR(SEARCH("trade",Q249))),NOT(ISERROR(SEARCH("balance",Q249)))),"",Q249))</f>
        <v>HUBI-EBCH</v>
      </c>
      <c r="N249" s="161" t="str">
        <f ca="1">IF(raw_exchange_data!$A248="","",OFFSET(raw_exchange_data!$A248,0,MATCH(N$2,raw_exchange_data!$1:$1,0)-1))</f>
        <v>BCH</v>
      </c>
      <c r="O249" s="161" t="str">
        <f ca="1">IF(raw_exchange_data!$A248="","",OFFSET(raw_exchange_data!$A248,0,MATCH(O$2,raw_exchange_data!$1:$1,0)-1))</f>
        <v>HUBI</v>
      </c>
      <c r="P249" s="161" t="str">
        <f ca="1">IF(raw_exchange_data!$A248="","",OFFSET(raw_exchange_data!$A248,0,MATCH(P$2,raw_exchange_data!$1:$1,0)-1))</f>
        <v>HUBI-E</v>
      </c>
      <c r="Q249" s="161" t="str">
        <f ca="1">IF(raw_exchange_data!$A248="","",TEXT(OFFSET(raw_exchange_data!$A248,0,MATCH(Q$2,raw_exchange_data!$1:$1,0)-1),""))</f>
        <v/>
      </c>
      <c r="R249" s="162">
        <f ca="1">IF(raw_exchange_data!$A248="","",OFFSET(raw_exchange_data!$A248,0,MATCH(R$2,raw_exchange_data!$1:$1,0)-1))</f>
        <v>11.731604239999999</v>
      </c>
      <c r="S249" s="190">
        <f ca="1">IF(raw_exchange_data!$A248="","",OFFSET(raw_exchange_data!$A248,0,MATCH(S$2,raw_exchange_data!$1:$1,0)-1))</f>
        <v>44937.666669409722</v>
      </c>
      <c r="T249" s="161">
        <v>1</v>
      </c>
      <c r="W249" t="str">
        <f t="shared" si="16"/>
        <v>HUBI</v>
      </c>
      <c r="X249" t="str">
        <f t="shared" si="17"/>
        <v>NEW</v>
      </c>
      <c r="Y249" s="42">
        <f t="shared" si="18"/>
        <v>40.704174029999997</v>
      </c>
      <c r="Z249" s="42">
        <f t="shared" ca="1" si="19"/>
        <v>40.704174029999997</v>
      </c>
    </row>
    <row r="250" spans="1:26" x14ac:dyDescent="0.25">
      <c r="A250" t="str">
        <f>IF(Summary_Exchange_Balances_00UTC!$B249="","",Summary_Exchange_Balances_00UTC!$N249)</f>
        <v>HUBI</v>
      </c>
      <c r="B250" t="str">
        <f>IF(Summary_Exchange_Balances_00UTC!$B249="","",Summary_Exchange_Balances_00UTC!$B249)</f>
        <v>HUBI-E</v>
      </c>
      <c r="C250" t="str">
        <f>IF(Summary_Exchange_Balances_00UTC!$B249="","",Summary_Exchange_Balances_00UTC!$E249)</f>
        <v>NFT</v>
      </c>
      <c r="D250" t="str">
        <f>IF(OR(Summary_Exchange_Balances_00UTC!$B249="",Summary_Exchange_Balances_00UTC!$D249=""),"",Summary_Exchange_Balances_00UTC!$D249)</f>
        <v/>
      </c>
      <c r="E250" s="52">
        <f>IF(Summary_Exchange_Balances_00UTC!$B249="","",Summary_Exchange_Balances_00UTC!$C249)</f>
        <v>3049025070.2014399</v>
      </c>
      <c r="G250" s="52">
        <f ca="1">IF(Summary_Exchange_Balances_00UTC!$B249="","",VLOOKUP(IF(ISERROR(SEARCH(" ", $B250)),UPPER($B250&amp;$C250&amp;IF(OR(NOT(ISERROR(SEARCH("trade",$D250))),NOT(ISERROR(SEARCH("balance",$D250)))),"",$D250)),UPPER(LEFT($B250, SEARCH(" ",$B250)-1)&amp;$C250&amp;IF(OR(NOT(ISERROR(SEARCH("trade",$D250))),NOT(ISERROR(SEARCH("balance",$D250)))),"",$D250))),$L:$T,MATCH("balance",$L$2:$S$2,0),FALSE))</f>
        <v>3049025070.2014399</v>
      </c>
      <c r="H250" s="35">
        <f ca="1">IF(Summary_Exchange_Balances_00UTC!$B249="","",(G250-E250)/E250)</f>
        <v>0</v>
      </c>
      <c r="I250" s="165">
        <f ca="1">IF(Summary_Exchange_Balances_00UTC!$B249="","",IF(ISERROR($G250),$E250,$G250))</f>
        <v>3049025070.2014399</v>
      </c>
      <c r="K250" t="str">
        <f t="shared" ca="1" si="15"/>
        <v>HUBIBHD</v>
      </c>
      <c r="L250" t="str">
        <f ca="1">UPPER($P250&amp;$N250&amp;IF(OR(NOT(ISERROR(SEARCH("trade",Q250))),NOT(ISERROR(SEARCH("balance",Q250)))),"",Q250))</f>
        <v>HUBI-EBHD</v>
      </c>
      <c r="N250" s="161" t="str">
        <f ca="1">IF(raw_exchange_data!$A249="","",OFFSET(raw_exchange_data!$A249,0,MATCH(N$2,raw_exchange_data!$1:$1,0)-1))</f>
        <v>BHD</v>
      </c>
      <c r="O250" s="161" t="str">
        <f ca="1">IF(raw_exchange_data!$A249="","",OFFSET(raw_exchange_data!$A249,0,MATCH(O$2,raw_exchange_data!$1:$1,0)-1))</f>
        <v>HUBI</v>
      </c>
      <c r="P250" s="161" t="str">
        <f ca="1">IF(raw_exchange_data!$A249="","",OFFSET(raw_exchange_data!$A249,0,MATCH(P$2,raw_exchange_data!$1:$1,0)-1))</f>
        <v>HUBI-E</v>
      </c>
      <c r="Q250" s="161" t="str">
        <f ca="1">IF(raw_exchange_data!$A249="","",TEXT(OFFSET(raw_exchange_data!$A249,0,MATCH(Q$2,raw_exchange_data!$1:$1,0)-1),""))</f>
        <v/>
      </c>
      <c r="R250" s="162">
        <f ca="1">IF(raw_exchange_data!$A249="","",OFFSET(raw_exchange_data!$A249,0,MATCH(R$2,raw_exchange_data!$1:$1,0)-1))</f>
        <v>2.5033500000000001E-3</v>
      </c>
      <c r="S250" s="190">
        <f ca="1">IF(raw_exchange_data!$A249="","",OFFSET(raw_exchange_data!$A249,0,MATCH(S$2,raw_exchange_data!$1:$1,0)-1))</f>
        <v>44937.666669409722</v>
      </c>
      <c r="T250" s="161">
        <v>1</v>
      </c>
      <c r="W250" t="str">
        <f t="shared" si="16"/>
        <v>HUBI</v>
      </c>
      <c r="X250" t="str">
        <f t="shared" si="17"/>
        <v>NFT</v>
      </c>
      <c r="Y250" s="42">
        <f t="shared" si="18"/>
        <v>3049025070.2014399</v>
      </c>
      <c r="Z250" s="42">
        <f t="shared" ca="1" si="19"/>
        <v>3049025070.2014399</v>
      </c>
    </row>
    <row r="251" spans="1:26" x14ac:dyDescent="0.25">
      <c r="A251" t="str">
        <f>IF(Summary_Exchange_Balances_00UTC!$B250="","",Summary_Exchange_Balances_00UTC!$N250)</f>
        <v>HUBI</v>
      </c>
      <c r="B251" t="str">
        <f>IF(Summary_Exchange_Balances_00UTC!$B250="","",Summary_Exchange_Balances_00UTC!$B250)</f>
        <v>HUBI-E</v>
      </c>
      <c r="C251" t="str">
        <f>IF(Summary_Exchange_Balances_00UTC!$B250="","",Summary_Exchange_Balances_00UTC!$E250)</f>
        <v>NULS</v>
      </c>
      <c r="D251" t="str">
        <f>IF(OR(Summary_Exchange_Balances_00UTC!$B250="",Summary_Exchange_Balances_00UTC!$D250=""),"",Summary_Exchange_Balances_00UTC!$D250)</f>
        <v/>
      </c>
      <c r="E251" s="52">
        <f>IF(Summary_Exchange_Balances_00UTC!$B250="","",Summary_Exchange_Balances_00UTC!$C250)</f>
        <v>4.3068300000000002E-3</v>
      </c>
      <c r="G251" s="52">
        <f ca="1">IF(Summary_Exchange_Balances_00UTC!$B250="","",VLOOKUP(IF(ISERROR(SEARCH(" ", $B251)),UPPER($B251&amp;$C251&amp;IF(OR(NOT(ISERROR(SEARCH("trade",$D251))),NOT(ISERROR(SEARCH("balance",$D251)))),"",$D251)),UPPER(LEFT($B251, SEARCH(" ",$B251)-1)&amp;$C251&amp;IF(OR(NOT(ISERROR(SEARCH("trade",$D251))),NOT(ISERROR(SEARCH("balance",$D251)))),"",$D251))),$L:$T,MATCH("balance",$L$2:$S$2,0),FALSE))</f>
        <v>4.3068300000000002E-3</v>
      </c>
      <c r="H251" s="35">
        <f ca="1">IF(Summary_Exchange_Balances_00UTC!$B250="","",(G251-E251)/E251)</f>
        <v>0</v>
      </c>
      <c r="I251" s="165">
        <f ca="1">IF(Summary_Exchange_Balances_00UTC!$B250="","",IF(ISERROR($G251),$E251,$G251))</f>
        <v>4.3068300000000002E-3</v>
      </c>
      <c r="K251" t="str">
        <f t="shared" ca="1" si="15"/>
        <v>HUBIBLZ</v>
      </c>
      <c r="L251" t="str">
        <f ca="1">UPPER($P251&amp;$N251&amp;IF(OR(NOT(ISERROR(SEARCH("trade",Q251))),NOT(ISERROR(SEARCH("balance",Q251)))),"",Q251))</f>
        <v>HUBI-EBLZ</v>
      </c>
      <c r="N251" s="161" t="str">
        <f ca="1">IF(raw_exchange_data!$A250="","",OFFSET(raw_exchange_data!$A250,0,MATCH(N$2,raw_exchange_data!$1:$1,0)-1))</f>
        <v>BLZ</v>
      </c>
      <c r="O251" s="161" t="str">
        <f ca="1">IF(raw_exchange_data!$A250="","",OFFSET(raw_exchange_data!$A250,0,MATCH(O$2,raw_exchange_data!$1:$1,0)-1))</f>
        <v>HUBI</v>
      </c>
      <c r="P251" s="161" t="str">
        <f ca="1">IF(raw_exchange_data!$A250="","",OFFSET(raw_exchange_data!$A250,0,MATCH(P$2,raw_exchange_data!$1:$1,0)-1))</f>
        <v>HUBI-E</v>
      </c>
      <c r="Q251" s="161" t="str">
        <f ca="1">IF(raw_exchange_data!$A250="","",TEXT(OFFSET(raw_exchange_data!$A250,0,MATCH(Q$2,raw_exchange_data!$1:$1,0)-1),""))</f>
        <v/>
      </c>
      <c r="R251" s="162">
        <f ca="1">IF(raw_exchange_data!$A250="","",OFFSET(raw_exchange_data!$A250,0,MATCH(R$2,raw_exchange_data!$1:$1,0)-1))</f>
        <v>115.29838952</v>
      </c>
      <c r="S251" s="190">
        <f ca="1">IF(raw_exchange_data!$A250="","",OFFSET(raw_exchange_data!$A250,0,MATCH(S$2,raw_exchange_data!$1:$1,0)-1))</f>
        <v>44937.666669409722</v>
      </c>
      <c r="T251" s="161">
        <v>1</v>
      </c>
      <c r="W251" t="str">
        <f t="shared" si="16"/>
        <v>HUBI</v>
      </c>
      <c r="X251" t="str">
        <f t="shared" si="17"/>
        <v>NULS</v>
      </c>
      <c r="Y251" s="42">
        <f t="shared" si="18"/>
        <v>4.3068300000000002E-3</v>
      </c>
      <c r="Z251" s="42">
        <f t="shared" ca="1" si="19"/>
        <v>4.3068300000000002E-3</v>
      </c>
    </row>
    <row r="252" spans="1:26" x14ac:dyDescent="0.25">
      <c r="A252" t="str">
        <f>IF(Summary_Exchange_Balances_00UTC!$B251="","",Summary_Exchange_Balances_00UTC!$N251)</f>
        <v>HUBI</v>
      </c>
      <c r="B252" t="str">
        <f>IF(Summary_Exchange_Balances_00UTC!$B251="","",Summary_Exchange_Balances_00UTC!$B251)</f>
        <v>HUBI-E</v>
      </c>
      <c r="C252" t="str">
        <f>IF(Summary_Exchange_Balances_00UTC!$B251="","",Summary_Exchange_Balances_00UTC!$E251)</f>
        <v>ONG</v>
      </c>
      <c r="D252" t="str">
        <f>IF(OR(Summary_Exchange_Balances_00UTC!$B251="",Summary_Exchange_Balances_00UTC!$D251=""),"",Summary_Exchange_Balances_00UTC!$D251)</f>
        <v/>
      </c>
      <c r="E252" s="52">
        <f>IF(Summary_Exchange_Balances_00UTC!$B251="","",Summary_Exchange_Balances_00UTC!$C251)</f>
        <v>0.34782034000000001</v>
      </c>
      <c r="G252" s="52">
        <f ca="1">IF(Summary_Exchange_Balances_00UTC!$B251="","",VLOOKUP(IF(ISERROR(SEARCH(" ", $B252)),UPPER($B252&amp;$C252&amp;IF(OR(NOT(ISERROR(SEARCH("trade",$D252))),NOT(ISERROR(SEARCH("balance",$D252)))),"",$D252)),UPPER(LEFT($B252, SEARCH(" ",$B252)-1)&amp;$C252&amp;IF(OR(NOT(ISERROR(SEARCH("trade",$D252))),NOT(ISERROR(SEARCH("balance",$D252)))),"",$D252))),$L:$T,MATCH("balance",$L$2:$S$2,0),FALSE))</f>
        <v>0.34782034000000001</v>
      </c>
      <c r="H252" s="35">
        <f ca="1">IF(Summary_Exchange_Balances_00UTC!$B251="","",(G252-E252)/E252)</f>
        <v>0</v>
      </c>
      <c r="I252" s="165">
        <f ca="1">IF(Summary_Exchange_Balances_00UTC!$B251="","",IF(ISERROR($G252),$E252,$G252))</f>
        <v>0.34782034000000001</v>
      </c>
      <c r="K252" t="str">
        <f t="shared" ca="1" si="15"/>
        <v>HUBIBOBA</v>
      </c>
      <c r="L252" t="str">
        <f ca="1">UPPER($P252&amp;$N252&amp;IF(OR(NOT(ISERROR(SEARCH("trade",Q252))),NOT(ISERROR(SEARCH("balance",Q252)))),"",Q252))</f>
        <v>HUBI-EBOBA</v>
      </c>
      <c r="N252" s="161" t="str">
        <f ca="1">IF(raw_exchange_data!$A251="","",OFFSET(raw_exchange_data!$A251,0,MATCH(N$2,raw_exchange_data!$1:$1,0)-1))</f>
        <v>BOBA</v>
      </c>
      <c r="O252" s="161" t="str">
        <f ca="1">IF(raw_exchange_data!$A251="","",OFFSET(raw_exchange_data!$A251,0,MATCH(O$2,raw_exchange_data!$1:$1,0)-1))</f>
        <v>HUBI</v>
      </c>
      <c r="P252" s="161" t="str">
        <f ca="1">IF(raw_exchange_data!$A251="","",OFFSET(raw_exchange_data!$A251,0,MATCH(P$2,raw_exchange_data!$1:$1,0)-1))</f>
        <v>HUBI-E</v>
      </c>
      <c r="Q252" s="161" t="str">
        <f ca="1">IF(raw_exchange_data!$A251="","",TEXT(OFFSET(raw_exchange_data!$A251,0,MATCH(Q$2,raw_exchange_data!$1:$1,0)-1),""))</f>
        <v/>
      </c>
      <c r="R252" s="162">
        <f ca="1">IF(raw_exchange_data!$A251="","",OFFSET(raw_exchange_data!$A251,0,MATCH(R$2,raw_exchange_data!$1:$1,0)-1))</f>
        <v>14.7502</v>
      </c>
      <c r="S252" s="190">
        <f ca="1">IF(raw_exchange_data!$A251="","",OFFSET(raw_exchange_data!$A251,0,MATCH(S$2,raw_exchange_data!$1:$1,0)-1))</f>
        <v>44937.666669409722</v>
      </c>
      <c r="T252" s="161">
        <v>1</v>
      </c>
      <c r="W252" t="str">
        <f t="shared" si="16"/>
        <v>HUBI</v>
      </c>
      <c r="X252" t="str">
        <f t="shared" si="17"/>
        <v>ONG</v>
      </c>
      <c r="Y252" s="42">
        <f t="shared" si="18"/>
        <v>0.34782034000000001</v>
      </c>
      <c r="Z252" s="42">
        <f t="shared" ca="1" si="19"/>
        <v>0.34782034000000001</v>
      </c>
    </row>
    <row r="253" spans="1:26" x14ac:dyDescent="0.25">
      <c r="A253" t="str">
        <f>IF(Summary_Exchange_Balances_00UTC!$B252="","",Summary_Exchange_Balances_00UTC!$N252)</f>
        <v>HUBI</v>
      </c>
      <c r="B253" t="str">
        <f>IF(Summary_Exchange_Balances_00UTC!$B252="","",Summary_Exchange_Balances_00UTC!$B252)</f>
        <v>HUBI-E</v>
      </c>
      <c r="C253" t="str">
        <f>IF(Summary_Exchange_Balances_00UTC!$B252="","",Summary_Exchange_Balances_00UTC!$E252)</f>
        <v>OXT</v>
      </c>
      <c r="D253" t="str">
        <f>IF(OR(Summary_Exchange_Balances_00UTC!$B252="",Summary_Exchange_Balances_00UTC!$D252=""),"",Summary_Exchange_Balances_00UTC!$D252)</f>
        <v/>
      </c>
      <c r="E253" s="52">
        <f>IF(Summary_Exchange_Balances_00UTC!$B252="","",Summary_Exchange_Balances_00UTC!$C252)</f>
        <v>78631.814589489994</v>
      </c>
      <c r="G253" s="52">
        <f ca="1">IF(Summary_Exchange_Balances_00UTC!$B252="","",VLOOKUP(IF(ISERROR(SEARCH(" ", $B253)),UPPER($B253&amp;$C253&amp;IF(OR(NOT(ISERROR(SEARCH("trade",$D253))),NOT(ISERROR(SEARCH("balance",$D253)))),"",$D253)),UPPER(LEFT($B253, SEARCH(" ",$B253)-1)&amp;$C253&amp;IF(OR(NOT(ISERROR(SEARCH("trade",$D253))),NOT(ISERROR(SEARCH("balance",$D253)))),"",$D253))),$L:$T,MATCH("balance",$L$2:$S$2,0),FALSE))</f>
        <v>58045.553474139997</v>
      </c>
      <c r="H253" s="35">
        <f ca="1">IF(Summary_Exchange_Balances_00UTC!$B252="","",(G253-E253)/E253)</f>
        <v>-0.26180574901932352</v>
      </c>
      <c r="I253" s="165">
        <f ca="1">IF(Summary_Exchange_Balances_00UTC!$B252="","",IF(ISERROR($G253),$E253,$G253))</f>
        <v>58045.553474139997</v>
      </c>
      <c r="K253" t="str">
        <f t="shared" ca="1" si="15"/>
        <v>HUBIBSV</v>
      </c>
      <c r="L253" t="str">
        <f ca="1">UPPER($P253&amp;$N253&amp;IF(OR(NOT(ISERROR(SEARCH("trade",Q253))),NOT(ISERROR(SEARCH("balance",Q253)))),"",Q253))</f>
        <v>HUBI-EBSV</v>
      </c>
      <c r="N253" s="161" t="str">
        <f ca="1">IF(raw_exchange_data!$A252="","",OFFSET(raw_exchange_data!$A252,0,MATCH(N$2,raw_exchange_data!$1:$1,0)-1))</f>
        <v>BSV</v>
      </c>
      <c r="O253" s="161" t="str">
        <f ca="1">IF(raw_exchange_data!$A252="","",OFFSET(raw_exchange_data!$A252,0,MATCH(O$2,raw_exchange_data!$1:$1,0)-1))</f>
        <v>HUBI</v>
      </c>
      <c r="P253" s="161" t="str">
        <f ca="1">IF(raw_exchange_data!$A252="","",OFFSET(raw_exchange_data!$A252,0,MATCH(P$2,raw_exchange_data!$1:$1,0)-1))</f>
        <v>HUBI-E</v>
      </c>
      <c r="Q253" s="161" t="str">
        <f ca="1">IF(raw_exchange_data!$A252="","",TEXT(OFFSET(raw_exchange_data!$A252,0,MATCH(Q$2,raw_exchange_data!$1:$1,0)-1),""))</f>
        <v/>
      </c>
      <c r="R253" s="162">
        <f ca="1">IF(raw_exchange_data!$A252="","",OFFSET(raw_exchange_data!$A252,0,MATCH(R$2,raw_exchange_data!$1:$1,0)-1))</f>
        <v>1.807E-4</v>
      </c>
      <c r="S253" s="190">
        <f ca="1">IF(raw_exchange_data!$A252="","",OFFSET(raw_exchange_data!$A252,0,MATCH(S$2,raw_exchange_data!$1:$1,0)-1))</f>
        <v>44937.666669409722</v>
      </c>
      <c r="T253" s="161">
        <v>1</v>
      </c>
      <c r="W253" t="str">
        <f t="shared" si="16"/>
        <v>HUBI</v>
      </c>
      <c r="X253" t="str">
        <f t="shared" si="17"/>
        <v>OXT</v>
      </c>
      <c r="Y253" s="42">
        <f t="shared" si="18"/>
        <v>78631.814589489994</v>
      </c>
      <c r="Z253" s="42">
        <f t="shared" ca="1" si="19"/>
        <v>58045.553474139997</v>
      </c>
    </row>
    <row r="254" spans="1:26" x14ac:dyDescent="0.25">
      <c r="A254" t="str">
        <f>IF(Summary_Exchange_Balances_00UTC!$B253="","",Summary_Exchange_Balances_00UTC!$N253)</f>
        <v>HUBI</v>
      </c>
      <c r="B254" t="str">
        <f>IF(Summary_Exchange_Balances_00UTC!$B253="","",Summary_Exchange_Balances_00UTC!$B253)</f>
        <v>HUBI-E</v>
      </c>
      <c r="C254" t="str">
        <f>IF(Summary_Exchange_Balances_00UTC!$B253="","",Summary_Exchange_Balances_00UTC!$E253)</f>
        <v>QTUM</v>
      </c>
      <c r="D254" t="str">
        <f>IF(OR(Summary_Exchange_Balances_00UTC!$B253="",Summary_Exchange_Balances_00UTC!$D253=""),"",Summary_Exchange_Balances_00UTC!$D253)</f>
        <v/>
      </c>
      <c r="E254" s="52">
        <f>IF(Summary_Exchange_Balances_00UTC!$B253="","",Summary_Exchange_Balances_00UTC!$C253)</f>
        <v>3.0962099999999998E-3</v>
      </c>
      <c r="G254" s="52">
        <f ca="1">IF(Summary_Exchange_Balances_00UTC!$B253="","",VLOOKUP(IF(ISERROR(SEARCH(" ", $B254)),UPPER($B254&amp;$C254&amp;IF(OR(NOT(ISERROR(SEARCH("trade",$D254))),NOT(ISERROR(SEARCH("balance",$D254)))),"",$D254)),UPPER(LEFT($B254, SEARCH(" ",$B254)-1)&amp;$C254&amp;IF(OR(NOT(ISERROR(SEARCH("trade",$D254))),NOT(ISERROR(SEARCH("balance",$D254)))),"",$D254))),$L:$T,MATCH("balance",$L$2:$S$2,0),FALSE))</f>
        <v>3.0962099999999998E-3</v>
      </c>
      <c r="H254" s="35">
        <f ca="1">IF(Summary_Exchange_Balances_00UTC!$B253="","",(G254-E254)/E254)</f>
        <v>0</v>
      </c>
      <c r="I254" s="165">
        <f ca="1">IF(Summary_Exchange_Balances_00UTC!$B253="","",IF(ISERROR($G254),$E254,$G254))</f>
        <v>3.0962099999999998E-3</v>
      </c>
      <c r="K254" t="str">
        <f t="shared" ca="1" si="15"/>
        <v>HUBIBTC</v>
      </c>
      <c r="L254" t="str">
        <f ca="1">UPPER($P254&amp;$N254&amp;IF(OR(NOT(ISERROR(SEARCH("trade",Q254))),NOT(ISERROR(SEARCH("balance",Q254)))),"",Q254))</f>
        <v>HUBI-EBTC</v>
      </c>
      <c r="N254" s="161" t="str">
        <f ca="1">IF(raw_exchange_data!$A253="","",OFFSET(raw_exchange_data!$A253,0,MATCH(N$2,raw_exchange_data!$1:$1,0)-1))</f>
        <v>BTC</v>
      </c>
      <c r="O254" s="161" t="str">
        <f ca="1">IF(raw_exchange_data!$A253="","",OFFSET(raw_exchange_data!$A253,0,MATCH(O$2,raw_exchange_data!$1:$1,0)-1))</f>
        <v>HUBI</v>
      </c>
      <c r="P254" s="161" t="str">
        <f ca="1">IF(raw_exchange_data!$A253="","",OFFSET(raw_exchange_data!$A253,0,MATCH(P$2,raw_exchange_data!$1:$1,0)-1))</f>
        <v>HUBI-E</v>
      </c>
      <c r="Q254" s="161" t="str">
        <f ca="1">IF(raw_exchange_data!$A253="","",TEXT(OFFSET(raw_exchange_data!$A253,0,MATCH(Q$2,raw_exchange_data!$1:$1,0)-1),""))</f>
        <v/>
      </c>
      <c r="R254" s="162">
        <f ca="1">IF(raw_exchange_data!$A253="","",OFFSET(raw_exchange_data!$A253,0,MATCH(R$2,raw_exchange_data!$1:$1,0)-1))</f>
        <v>44.885818860000001</v>
      </c>
      <c r="S254" s="190">
        <f ca="1">IF(raw_exchange_data!$A253="","",OFFSET(raw_exchange_data!$A253,0,MATCH(S$2,raw_exchange_data!$1:$1,0)-1))</f>
        <v>44937.666669409722</v>
      </c>
      <c r="T254" s="161">
        <v>1</v>
      </c>
      <c r="W254" t="str">
        <f t="shared" si="16"/>
        <v>HUBI</v>
      </c>
      <c r="X254" t="str">
        <f t="shared" si="17"/>
        <v>QTUM</v>
      </c>
      <c r="Y254" s="42">
        <f t="shared" si="18"/>
        <v>3.0962099999999998E-3</v>
      </c>
      <c r="Z254" s="42">
        <f t="shared" ca="1" si="19"/>
        <v>3.0962099999999998E-3</v>
      </c>
    </row>
    <row r="255" spans="1:26" x14ac:dyDescent="0.25">
      <c r="A255" t="str">
        <f>IF(Summary_Exchange_Balances_00UTC!$B254="","",Summary_Exchange_Balances_00UTC!$N254)</f>
        <v>HUBI</v>
      </c>
      <c r="B255" t="str">
        <f>IF(Summary_Exchange_Balances_00UTC!$B254="","",Summary_Exchange_Balances_00UTC!$B254)</f>
        <v>HUBI-E</v>
      </c>
      <c r="C255" t="str">
        <f>IF(Summary_Exchange_Balances_00UTC!$B254="","",Summary_Exchange_Balances_00UTC!$E254)</f>
        <v>REI</v>
      </c>
      <c r="D255" t="str">
        <f>IF(OR(Summary_Exchange_Balances_00UTC!$B254="",Summary_Exchange_Balances_00UTC!$D254=""),"",Summary_Exchange_Balances_00UTC!$D254)</f>
        <v/>
      </c>
      <c r="E255" s="52">
        <f>IF(Summary_Exchange_Balances_00UTC!$B254="","",Summary_Exchange_Balances_00UTC!$C254)</f>
        <v>2.6598900000000002E-2</v>
      </c>
      <c r="G255" s="52">
        <f ca="1">IF(Summary_Exchange_Balances_00UTC!$B254="","",VLOOKUP(IF(ISERROR(SEARCH(" ", $B255)),UPPER($B255&amp;$C255&amp;IF(OR(NOT(ISERROR(SEARCH("trade",$D255))),NOT(ISERROR(SEARCH("balance",$D255)))),"",$D255)),UPPER(LEFT($B255, SEARCH(" ",$B255)-1)&amp;$C255&amp;IF(OR(NOT(ISERROR(SEARCH("trade",$D255))),NOT(ISERROR(SEARCH("balance",$D255)))),"",$D255))),$L:$T,MATCH("balance",$L$2:$S$2,0),FALSE))</f>
        <v>2.6598900000000002E-2</v>
      </c>
      <c r="H255" s="35">
        <f ca="1">IF(Summary_Exchange_Balances_00UTC!$B254="","",(G255-E255)/E255)</f>
        <v>0</v>
      </c>
      <c r="I255" s="165">
        <f ca="1">IF(Summary_Exchange_Balances_00UTC!$B254="","",IF(ISERROR($G255),$E255,$G255))</f>
        <v>2.6598900000000002E-2</v>
      </c>
      <c r="K255" t="str">
        <f t="shared" ca="1" si="15"/>
        <v>HUBIBTM</v>
      </c>
      <c r="L255" t="str">
        <f ca="1">UPPER($P255&amp;$N255&amp;IF(OR(NOT(ISERROR(SEARCH("trade",Q255))),NOT(ISERROR(SEARCH("balance",Q255)))),"",Q255))</f>
        <v>HUBI-EBTM</v>
      </c>
      <c r="N255" s="161" t="str">
        <f ca="1">IF(raw_exchange_data!$A254="","",OFFSET(raw_exchange_data!$A254,0,MATCH(N$2,raw_exchange_data!$1:$1,0)-1))</f>
        <v>BTM</v>
      </c>
      <c r="O255" s="161" t="str">
        <f ca="1">IF(raw_exchange_data!$A254="","",OFFSET(raw_exchange_data!$A254,0,MATCH(O$2,raw_exchange_data!$1:$1,0)-1))</f>
        <v>HUBI</v>
      </c>
      <c r="P255" s="161" t="str">
        <f ca="1">IF(raw_exchange_data!$A254="","",OFFSET(raw_exchange_data!$A254,0,MATCH(P$2,raw_exchange_data!$1:$1,0)-1))</f>
        <v>HUBI-E</v>
      </c>
      <c r="Q255" s="161" t="str">
        <f ca="1">IF(raw_exchange_data!$A254="","",TEXT(OFFSET(raw_exchange_data!$A254,0,MATCH(Q$2,raw_exchange_data!$1:$1,0)-1),""))</f>
        <v/>
      </c>
      <c r="R255" s="162">
        <f ca="1">IF(raw_exchange_data!$A254="","",OFFSET(raw_exchange_data!$A254,0,MATCH(R$2,raw_exchange_data!$1:$1,0)-1))</f>
        <v>0.33565571999999999</v>
      </c>
      <c r="S255" s="190">
        <f ca="1">IF(raw_exchange_data!$A254="","",OFFSET(raw_exchange_data!$A254,0,MATCH(S$2,raw_exchange_data!$1:$1,0)-1))</f>
        <v>44937.666669409722</v>
      </c>
      <c r="T255" s="161">
        <v>1</v>
      </c>
      <c r="W255" t="str">
        <f t="shared" si="16"/>
        <v>HUBI</v>
      </c>
      <c r="X255" t="str">
        <f t="shared" si="17"/>
        <v>REI</v>
      </c>
      <c r="Y255" s="42">
        <f t="shared" si="18"/>
        <v>2.6598900000000002E-2</v>
      </c>
      <c r="Z255" s="42">
        <f t="shared" ca="1" si="19"/>
        <v>2.6598900000000002E-2</v>
      </c>
    </row>
    <row r="256" spans="1:26" x14ac:dyDescent="0.25">
      <c r="A256" t="str">
        <f>IF(Summary_Exchange_Balances_00UTC!$B255="","",Summary_Exchange_Balances_00UTC!$N255)</f>
        <v>HUBI</v>
      </c>
      <c r="B256" t="str">
        <f>IF(Summary_Exchange_Balances_00UTC!$B255="","",Summary_Exchange_Balances_00UTC!$B255)</f>
        <v>HUBI-E</v>
      </c>
      <c r="C256" t="str">
        <f>IF(Summary_Exchange_Balances_00UTC!$B255="","",Summary_Exchange_Balances_00UTC!$E255)</f>
        <v>SGB</v>
      </c>
      <c r="D256" t="str">
        <f>IF(OR(Summary_Exchange_Balances_00UTC!$B255="",Summary_Exchange_Balances_00UTC!$D255=""),"",Summary_Exchange_Balances_00UTC!$D255)</f>
        <v/>
      </c>
      <c r="E256" s="52">
        <f>IF(Summary_Exchange_Balances_00UTC!$B255="","",Summary_Exchange_Balances_00UTC!$C255)</f>
        <v>1214222.2371159999</v>
      </c>
      <c r="G256" s="52">
        <f ca="1">IF(Summary_Exchange_Balances_00UTC!$B255="","",VLOOKUP(IF(ISERROR(SEARCH(" ", $B256)),UPPER($B256&amp;$C256&amp;IF(OR(NOT(ISERROR(SEARCH("trade",$D256))),NOT(ISERROR(SEARCH("balance",$D256)))),"",$D256)),UPPER(LEFT($B256, SEARCH(" ",$B256)-1)&amp;$C256&amp;IF(OR(NOT(ISERROR(SEARCH("trade",$D256))),NOT(ISERROR(SEARCH("balance",$D256)))),"",$D256))),$L:$T,MATCH("balance",$L$2:$S$2,0),FALSE))</f>
        <v>1214222.2371159999</v>
      </c>
      <c r="H256" s="35">
        <f ca="1">IF(Summary_Exchange_Balances_00UTC!$B255="","",(G256-E256)/E256)</f>
        <v>0</v>
      </c>
      <c r="I256" s="165">
        <f ca="1">IF(Summary_Exchange_Balances_00UTC!$B255="","",IF(ISERROR($G256),$E256,$G256))</f>
        <v>1214222.2371159999</v>
      </c>
      <c r="K256" t="str">
        <f t="shared" ca="1" si="15"/>
        <v>HUBIBTT</v>
      </c>
      <c r="L256" t="str">
        <f ca="1">UPPER($P256&amp;$N256&amp;IF(OR(NOT(ISERROR(SEARCH("trade",Q256))),NOT(ISERROR(SEARCH("balance",Q256)))),"",Q256))</f>
        <v>HUBI-EBTT</v>
      </c>
      <c r="N256" s="161" t="str">
        <f ca="1">IF(raw_exchange_data!$A255="","",OFFSET(raw_exchange_data!$A255,0,MATCH(N$2,raw_exchange_data!$1:$1,0)-1))</f>
        <v>BTT</v>
      </c>
      <c r="O256" s="161" t="str">
        <f ca="1">IF(raw_exchange_data!$A255="","",OFFSET(raw_exchange_data!$A255,0,MATCH(O$2,raw_exchange_data!$1:$1,0)-1))</f>
        <v>HUBI</v>
      </c>
      <c r="P256" s="161" t="str">
        <f ca="1">IF(raw_exchange_data!$A255="","",OFFSET(raw_exchange_data!$A255,0,MATCH(P$2,raw_exchange_data!$1:$1,0)-1))</f>
        <v>HUBI-E</v>
      </c>
      <c r="Q256" s="161" t="str">
        <f ca="1">IF(raw_exchange_data!$A255="","",TEXT(OFFSET(raw_exchange_data!$A255,0,MATCH(Q$2,raw_exchange_data!$1:$1,0)-1),""))</f>
        <v/>
      </c>
      <c r="R256" s="162">
        <f ca="1">IF(raw_exchange_data!$A255="","",OFFSET(raw_exchange_data!$A255,0,MATCH(R$2,raw_exchange_data!$1:$1,0)-1))</f>
        <v>1367501156.8785999</v>
      </c>
      <c r="S256" s="190">
        <f ca="1">IF(raw_exchange_data!$A255="","",OFFSET(raw_exchange_data!$A255,0,MATCH(S$2,raw_exchange_data!$1:$1,0)-1))</f>
        <v>44937.666669409722</v>
      </c>
      <c r="T256" s="161">
        <v>1</v>
      </c>
      <c r="W256" t="str">
        <f t="shared" si="16"/>
        <v>HUBI</v>
      </c>
      <c r="X256" t="str">
        <f t="shared" si="17"/>
        <v>SGB</v>
      </c>
      <c r="Y256" s="42">
        <f t="shared" si="18"/>
        <v>1214222.2371159999</v>
      </c>
      <c r="Z256" s="42">
        <f t="shared" ca="1" si="19"/>
        <v>1214222.2371159999</v>
      </c>
    </row>
    <row r="257" spans="1:26" x14ac:dyDescent="0.25">
      <c r="A257" t="str">
        <f>IF(Summary_Exchange_Balances_00UTC!$B256="","",Summary_Exchange_Balances_00UTC!$N256)</f>
        <v>HUBI</v>
      </c>
      <c r="B257" t="str">
        <f>IF(Summary_Exchange_Balances_00UTC!$B256="","",Summary_Exchange_Balances_00UTC!$B256)</f>
        <v>HUBI-E</v>
      </c>
      <c r="C257" t="str">
        <f>IF(Summary_Exchange_Balances_00UTC!$B256="","",Summary_Exchange_Balances_00UTC!$E256)</f>
        <v>SHIB</v>
      </c>
      <c r="D257" t="str">
        <f>IF(OR(Summary_Exchange_Balances_00UTC!$B256="",Summary_Exchange_Balances_00UTC!$D256=""),"",Summary_Exchange_Balances_00UTC!$D256)</f>
        <v/>
      </c>
      <c r="E257" s="52">
        <f>IF(Summary_Exchange_Balances_00UTC!$B256="","",Summary_Exchange_Balances_00UTC!$C256)</f>
        <v>1884988.30453923</v>
      </c>
      <c r="G257" s="52">
        <f ca="1">IF(Summary_Exchange_Balances_00UTC!$B256="","",VLOOKUP(IF(ISERROR(SEARCH(" ", $B257)),UPPER($B257&amp;$C257&amp;IF(OR(NOT(ISERROR(SEARCH("trade",$D257))),NOT(ISERROR(SEARCH("balance",$D257)))),"",$D257)),UPPER(LEFT($B257, SEARCH(" ",$B257)-1)&amp;$C257&amp;IF(OR(NOT(ISERROR(SEARCH("trade",$D257))),NOT(ISERROR(SEARCH("balance",$D257)))),"",$D257))),$L:$T,MATCH("balance",$L$2:$S$2,0),FALSE))</f>
        <v>1884988.30453923</v>
      </c>
      <c r="H257" s="35">
        <f ca="1">IF(Summary_Exchange_Balances_00UTC!$B256="","",(G257-E257)/E257)</f>
        <v>0</v>
      </c>
      <c r="I257" s="165">
        <f ca="1">IF(Summary_Exchange_Balances_00UTC!$B256="","",IF(ISERROR($G257),$E257,$G257))</f>
        <v>1884988.30453923</v>
      </c>
      <c r="K257" t="str">
        <f t="shared" ca="1" si="15"/>
        <v>HUBICMT</v>
      </c>
      <c r="L257" t="str">
        <f ca="1">UPPER($P257&amp;$N257&amp;IF(OR(NOT(ISERROR(SEARCH("trade",Q257))),NOT(ISERROR(SEARCH("balance",Q257)))),"",Q257))</f>
        <v>HUBI-ECMT</v>
      </c>
      <c r="N257" s="161" t="str">
        <f ca="1">IF(raw_exchange_data!$A256="","",OFFSET(raw_exchange_data!$A256,0,MATCH(N$2,raw_exchange_data!$1:$1,0)-1))</f>
        <v>CMT</v>
      </c>
      <c r="O257" s="161" t="str">
        <f ca="1">IF(raw_exchange_data!$A256="","",OFFSET(raw_exchange_data!$A256,0,MATCH(O$2,raw_exchange_data!$1:$1,0)-1))</f>
        <v>HUBI</v>
      </c>
      <c r="P257" s="161" t="str">
        <f ca="1">IF(raw_exchange_data!$A256="","",OFFSET(raw_exchange_data!$A256,0,MATCH(P$2,raw_exchange_data!$1:$1,0)-1))</f>
        <v>HUBI-E</v>
      </c>
      <c r="Q257" s="161" t="str">
        <f ca="1">IF(raw_exchange_data!$A256="","",TEXT(OFFSET(raw_exchange_data!$A256,0,MATCH(Q$2,raw_exchange_data!$1:$1,0)-1),""))</f>
        <v/>
      </c>
      <c r="R257" s="162">
        <f ca="1">IF(raw_exchange_data!$A256="","",OFFSET(raw_exchange_data!$A256,0,MATCH(R$2,raw_exchange_data!$1:$1,0)-1))</f>
        <v>1.7855998900000001</v>
      </c>
      <c r="S257" s="190">
        <f ca="1">IF(raw_exchange_data!$A256="","",OFFSET(raw_exchange_data!$A256,0,MATCH(S$2,raw_exchange_data!$1:$1,0)-1))</f>
        <v>44937.666669409722</v>
      </c>
      <c r="T257" s="161">
        <v>1</v>
      </c>
      <c r="W257" t="str">
        <f t="shared" si="16"/>
        <v>HUBI</v>
      </c>
      <c r="X257" t="str">
        <f t="shared" si="17"/>
        <v>SHIB</v>
      </c>
      <c r="Y257" s="42">
        <f t="shared" si="18"/>
        <v>1884988.30453923</v>
      </c>
      <c r="Z257" s="42">
        <f t="shared" ca="1" si="19"/>
        <v>1884988.30453923</v>
      </c>
    </row>
    <row r="258" spans="1:26" x14ac:dyDescent="0.25">
      <c r="A258" t="str">
        <f>IF(Summary_Exchange_Balances_00UTC!$B257="","",Summary_Exchange_Balances_00UTC!$N257)</f>
        <v>HUBI</v>
      </c>
      <c r="B258" t="str">
        <f>IF(Summary_Exchange_Balances_00UTC!$B257="","",Summary_Exchange_Balances_00UTC!$B257)</f>
        <v>HUBI-E</v>
      </c>
      <c r="C258" t="str">
        <f>IF(Summary_Exchange_Balances_00UTC!$B257="","",Summary_Exchange_Balances_00UTC!$E257)</f>
        <v>SOL</v>
      </c>
      <c r="D258" t="str">
        <f>IF(OR(Summary_Exchange_Balances_00UTC!$B257="",Summary_Exchange_Balances_00UTC!$D257=""),"",Summary_Exchange_Balances_00UTC!$D257)</f>
        <v/>
      </c>
      <c r="E258" s="52">
        <f>IF(Summary_Exchange_Balances_00UTC!$B257="","",Summary_Exchange_Balances_00UTC!$C257)</f>
        <v>0.14106867000000001</v>
      </c>
      <c r="G258" s="52">
        <f ca="1">IF(Summary_Exchange_Balances_00UTC!$B257="","",VLOOKUP(IF(ISERROR(SEARCH(" ", $B258)),UPPER($B258&amp;$C258&amp;IF(OR(NOT(ISERROR(SEARCH("trade",$D258))),NOT(ISERROR(SEARCH("balance",$D258)))),"",$D258)),UPPER(LEFT($B258, SEARCH(" ",$B258)-1)&amp;$C258&amp;IF(OR(NOT(ISERROR(SEARCH("trade",$D258))),NOT(ISERROR(SEARCH("balance",$D258)))),"",$D258))),$L:$T,MATCH("balance",$L$2:$S$2,0),FALSE))</f>
        <v>0.14106867000000001</v>
      </c>
      <c r="H258" s="35">
        <f ca="1">IF(Summary_Exchange_Balances_00UTC!$B257="","",(G258-E258)/E258)</f>
        <v>0</v>
      </c>
      <c r="I258" s="165">
        <f ca="1">IF(Summary_Exchange_Balances_00UTC!$B257="","",IF(ISERROR($G258),$E258,$G258))</f>
        <v>0.14106867000000001</v>
      </c>
      <c r="K258" t="str">
        <f t="shared" ca="1" si="15"/>
        <v>HUBICRO</v>
      </c>
      <c r="L258" t="str">
        <f ca="1">UPPER($P258&amp;$N258&amp;IF(OR(NOT(ISERROR(SEARCH("trade",Q258))),NOT(ISERROR(SEARCH("balance",Q258)))),"",Q258))</f>
        <v>HUBI-ECRO</v>
      </c>
      <c r="N258" s="161" t="str">
        <f ca="1">IF(raw_exchange_data!$A257="","",OFFSET(raw_exchange_data!$A257,0,MATCH(N$2,raw_exchange_data!$1:$1,0)-1))</f>
        <v>CRO</v>
      </c>
      <c r="O258" s="161" t="str">
        <f ca="1">IF(raw_exchange_data!$A257="","",OFFSET(raw_exchange_data!$A257,0,MATCH(O$2,raw_exchange_data!$1:$1,0)-1))</f>
        <v>HUBI</v>
      </c>
      <c r="P258" s="161" t="str">
        <f ca="1">IF(raw_exchange_data!$A257="","",OFFSET(raw_exchange_data!$A257,0,MATCH(P$2,raw_exchange_data!$1:$1,0)-1))</f>
        <v>HUBI-E</v>
      </c>
      <c r="Q258" s="161" t="str">
        <f ca="1">IF(raw_exchange_data!$A257="","",TEXT(OFFSET(raw_exchange_data!$A257,0,MATCH(Q$2,raw_exchange_data!$1:$1,0)-1),""))</f>
        <v/>
      </c>
      <c r="R258" s="162">
        <f ca="1">IF(raw_exchange_data!$A257="","",OFFSET(raw_exchange_data!$A257,0,MATCH(R$2,raw_exchange_data!$1:$1,0)-1))</f>
        <v>0.30791584</v>
      </c>
      <c r="S258" s="190">
        <f ca="1">IF(raw_exchange_data!$A257="","",OFFSET(raw_exchange_data!$A257,0,MATCH(S$2,raw_exchange_data!$1:$1,0)-1))</f>
        <v>44937.666669409722</v>
      </c>
      <c r="T258" s="161">
        <v>1</v>
      </c>
      <c r="W258" t="str">
        <f t="shared" si="16"/>
        <v>HUBI</v>
      </c>
      <c r="X258" t="str">
        <f t="shared" si="17"/>
        <v>SOL</v>
      </c>
      <c r="Y258" s="42">
        <f t="shared" si="18"/>
        <v>0.14106867000000001</v>
      </c>
      <c r="Z258" s="42">
        <f t="shared" ca="1" si="19"/>
        <v>0.14106867000000001</v>
      </c>
    </row>
    <row r="259" spans="1:26" x14ac:dyDescent="0.25">
      <c r="A259" t="str">
        <f>IF(Summary_Exchange_Balances_00UTC!$B258="","",Summary_Exchange_Balances_00UTC!$N258)</f>
        <v>HUBI</v>
      </c>
      <c r="B259" t="str">
        <f>IF(Summary_Exchange_Balances_00UTC!$B258="","",Summary_Exchange_Balances_00UTC!$B258)</f>
        <v>HUBI-E</v>
      </c>
      <c r="C259" t="str">
        <f>IF(Summary_Exchange_Balances_00UTC!$B258="","",Summary_Exchange_Balances_00UTC!$E258)</f>
        <v>SOLO</v>
      </c>
      <c r="D259" t="str">
        <f>IF(OR(Summary_Exchange_Balances_00UTC!$B258="",Summary_Exchange_Balances_00UTC!$D258=""),"",Summary_Exchange_Balances_00UTC!$D258)</f>
        <v/>
      </c>
      <c r="E259" s="52">
        <f>IF(Summary_Exchange_Balances_00UTC!$B258="","",Summary_Exchange_Balances_00UTC!$C258)</f>
        <v>38753.774400000002</v>
      </c>
      <c r="G259" s="52">
        <f ca="1">IF(Summary_Exchange_Balances_00UTC!$B258="","",VLOOKUP(IF(ISERROR(SEARCH(" ", $B259)),UPPER($B259&amp;$C259&amp;IF(OR(NOT(ISERROR(SEARCH("trade",$D259))),NOT(ISERROR(SEARCH("balance",$D259)))),"",$D259)),UPPER(LEFT($B259, SEARCH(" ",$B259)-1)&amp;$C259&amp;IF(OR(NOT(ISERROR(SEARCH("trade",$D259))),NOT(ISERROR(SEARCH("balance",$D259)))),"",$D259))),$L:$T,MATCH("balance",$L$2:$S$2,0),FALSE))</f>
        <v>38753.774400000002</v>
      </c>
      <c r="H259" s="35">
        <f ca="1">IF(Summary_Exchange_Balances_00UTC!$B258="","",(G259-E259)/E259)</f>
        <v>0</v>
      </c>
      <c r="I259" s="165">
        <f ca="1">IF(Summary_Exchange_Balances_00UTC!$B258="","",IF(ISERROR($G259),$E259,$G259))</f>
        <v>38753.774400000002</v>
      </c>
      <c r="K259" t="str">
        <f t="shared" ref="K259:K322" ca="1" si="20">UPPER($O259&amp;$N259)</f>
        <v>HUBIDASH</v>
      </c>
      <c r="L259" t="str">
        <f ca="1">UPPER($P259&amp;$N259&amp;IF(OR(NOT(ISERROR(SEARCH("trade",Q259))),NOT(ISERROR(SEARCH("balance",Q259)))),"",Q259))</f>
        <v>HUBI-EDASH</v>
      </c>
      <c r="N259" s="161" t="str">
        <f ca="1">IF(raw_exchange_data!$A258="","",OFFSET(raw_exchange_data!$A258,0,MATCH(N$2,raw_exchange_data!$1:$1,0)-1))</f>
        <v>DASH</v>
      </c>
      <c r="O259" s="161" t="str">
        <f ca="1">IF(raw_exchange_data!$A258="","",OFFSET(raw_exchange_data!$A258,0,MATCH(O$2,raw_exchange_data!$1:$1,0)-1))</f>
        <v>HUBI</v>
      </c>
      <c r="P259" s="161" t="str">
        <f ca="1">IF(raw_exchange_data!$A258="","",OFFSET(raw_exchange_data!$A258,0,MATCH(P$2,raw_exchange_data!$1:$1,0)-1))</f>
        <v>HUBI-E</v>
      </c>
      <c r="Q259" s="161" t="str">
        <f ca="1">IF(raw_exchange_data!$A258="","",TEXT(OFFSET(raw_exchange_data!$A258,0,MATCH(Q$2,raw_exchange_data!$1:$1,0)-1),""))</f>
        <v/>
      </c>
      <c r="R259" s="162">
        <f ca="1">IF(raw_exchange_data!$A258="","",OFFSET(raw_exchange_data!$A258,0,MATCH(R$2,raw_exchange_data!$1:$1,0)-1))</f>
        <v>5.6119999999999998E-5</v>
      </c>
      <c r="S259" s="190">
        <f ca="1">IF(raw_exchange_data!$A258="","",OFFSET(raw_exchange_data!$A258,0,MATCH(S$2,raw_exchange_data!$1:$1,0)-1))</f>
        <v>44937.666669409722</v>
      </c>
      <c r="T259" s="161">
        <v>1</v>
      </c>
      <c r="W259" t="str">
        <f t="shared" si="16"/>
        <v>HUBI</v>
      </c>
      <c r="X259" t="str">
        <f t="shared" si="17"/>
        <v>SOLO</v>
      </c>
      <c r="Y259" s="42">
        <f t="shared" si="18"/>
        <v>38753.774400000002</v>
      </c>
      <c r="Z259" s="42">
        <f t="shared" ca="1" si="19"/>
        <v>38753.774400000002</v>
      </c>
    </row>
    <row r="260" spans="1:26" x14ac:dyDescent="0.25">
      <c r="A260" t="str">
        <f>IF(Summary_Exchange_Balances_00UTC!$B259="","",Summary_Exchange_Balances_00UTC!$N259)</f>
        <v>HUBI</v>
      </c>
      <c r="B260" t="str">
        <f>IF(Summary_Exchange_Balances_00UTC!$B259="","",Summary_Exchange_Balances_00UTC!$B259)</f>
        <v>HUBI-E</v>
      </c>
      <c r="C260" t="str">
        <f>IF(Summary_Exchange_Balances_00UTC!$B259="","",Summary_Exchange_Balances_00UTC!$E259)</f>
        <v>STORJ</v>
      </c>
      <c r="D260" t="str">
        <f>IF(OR(Summary_Exchange_Balances_00UTC!$B259="",Summary_Exchange_Balances_00UTC!$D259=""),"",Summary_Exchange_Balances_00UTC!$D259)</f>
        <v/>
      </c>
      <c r="E260" s="52">
        <f>IF(Summary_Exchange_Balances_00UTC!$B259="","",Summary_Exchange_Balances_00UTC!$C259)</f>
        <v>29.76350429</v>
      </c>
      <c r="G260" s="52">
        <f ca="1">IF(Summary_Exchange_Balances_00UTC!$B259="","",VLOOKUP(IF(ISERROR(SEARCH(" ", $B260)),UPPER($B260&amp;$C260&amp;IF(OR(NOT(ISERROR(SEARCH("trade",$D260))),NOT(ISERROR(SEARCH("balance",$D260)))),"",$D260)),UPPER(LEFT($B260, SEARCH(" ",$B260)-1)&amp;$C260&amp;IF(OR(NOT(ISERROR(SEARCH("trade",$D260))),NOT(ISERROR(SEARCH("balance",$D260)))),"",$D260))),$L:$T,MATCH("balance",$L$2:$S$2,0),FALSE))</f>
        <v>29.76350429</v>
      </c>
      <c r="H260" s="35">
        <f ca="1">IF(Summary_Exchange_Balances_00UTC!$B259="","",(G260-E260)/E260)</f>
        <v>0</v>
      </c>
      <c r="I260" s="165">
        <f ca="1">IF(Summary_Exchange_Balances_00UTC!$B259="","",IF(ISERROR($G260),$E260,$G260))</f>
        <v>29.76350429</v>
      </c>
      <c r="K260" t="str">
        <f t="shared" ca="1" si="20"/>
        <v>HUBIDON</v>
      </c>
      <c r="L260" t="str">
        <f t="shared" ref="L260:L323" ca="1" si="21">UPPER($P260&amp;$N260&amp;IF(OR(NOT(ISERROR(SEARCH("trade",Q260))),NOT(ISERROR(SEARCH("balance",Q260)))),"",Q260))</f>
        <v>HUBI-EDON</v>
      </c>
      <c r="N260" s="161" t="str">
        <f ca="1">IF(raw_exchange_data!$A259="","",OFFSET(raw_exchange_data!$A259,0,MATCH(N$2,raw_exchange_data!$1:$1,0)-1))</f>
        <v>DON</v>
      </c>
      <c r="O260" s="161" t="str">
        <f ca="1">IF(raw_exchange_data!$A259="","",OFFSET(raw_exchange_data!$A259,0,MATCH(O$2,raw_exchange_data!$1:$1,0)-1))</f>
        <v>HUBI</v>
      </c>
      <c r="P260" s="161" t="str">
        <f ca="1">IF(raw_exchange_data!$A259="","",OFFSET(raw_exchange_data!$A259,0,MATCH(P$2,raw_exchange_data!$1:$1,0)-1))</f>
        <v>HUBI-E</v>
      </c>
      <c r="Q260" s="161" t="str">
        <f ca="1">IF(raw_exchange_data!$A259="","",TEXT(OFFSET(raw_exchange_data!$A259,0,MATCH(Q$2,raw_exchange_data!$1:$1,0)-1),""))</f>
        <v/>
      </c>
      <c r="R260" s="162">
        <f ca="1">IF(raw_exchange_data!$A259="","",OFFSET(raw_exchange_data!$A259,0,MATCH(R$2,raw_exchange_data!$1:$1,0)-1))</f>
        <v>5.9800000000000001E-4</v>
      </c>
      <c r="S260" s="190">
        <f ca="1">IF(raw_exchange_data!$A259="","",OFFSET(raw_exchange_data!$A259,0,MATCH(S$2,raw_exchange_data!$1:$1,0)-1))</f>
        <v>44937.666669409722</v>
      </c>
      <c r="T260" s="161">
        <v>1</v>
      </c>
      <c r="W260" t="str">
        <f t="shared" ref="W260:W323" si="22">IF($A260="","",$A260)</f>
        <v>HUBI</v>
      </c>
      <c r="X260" t="str">
        <f t="shared" ref="X260:X323" si="23">IF($A260="","",$C260)</f>
        <v>STORJ</v>
      </c>
      <c r="Y260" s="42">
        <f t="shared" ref="Y260:Y323" si="24">IF($A260="","",$E260)</f>
        <v>29.76350429</v>
      </c>
      <c r="Z260" s="42">
        <f t="shared" ref="Z260:Z323" ca="1" si="25">IF($A260="","",IF(ISERROR($G260),0,$G260))</f>
        <v>29.76350429</v>
      </c>
    </row>
    <row r="261" spans="1:26" x14ac:dyDescent="0.25">
      <c r="A261" t="str">
        <f>IF(Summary_Exchange_Balances_00UTC!$B260="","",Summary_Exchange_Balances_00UTC!$N260)</f>
        <v>HUBI</v>
      </c>
      <c r="B261" t="str">
        <f>IF(Summary_Exchange_Balances_00UTC!$B260="","",Summary_Exchange_Balances_00UTC!$B260)</f>
        <v>HUBI-E</v>
      </c>
      <c r="C261" t="str">
        <f>IF(Summary_Exchange_Balances_00UTC!$B260="","",Summary_Exchange_Balances_00UTC!$E260)</f>
        <v>TRX</v>
      </c>
      <c r="D261" t="str">
        <f>IF(OR(Summary_Exchange_Balances_00UTC!$B260="",Summary_Exchange_Balances_00UTC!$D260=""),"",Summary_Exchange_Balances_00UTC!$D260)</f>
        <v/>
      </c>
      <c r="E261" s="52">
        <f>IF(Summary_Exchange_Balances_00UTC!$B260="","",Summary_Exchange_Balances_00UTC!$C260)</f>
        <v>44.266270740000003</v>
      </c>
      <c r="G261" s="52">
        <f ca="1">IF(Summary_Exchange_Balances_00UTC!$B260="","",VLOOKUP(IF(ISERROR(SEARCH(" ", $B261)),UPPER($B261&amp;$C261&amp;IF(OR(NOT(ISERROR(SEARCH("trade",$D261))),NOT(ISERROR(SEARCH("balance",$D261)))),"",$D261)),UPPER(LEFT($B261, SEARCH(" ",$B261)-1)&amp;$C261&amp;IF(OR(NOT(ISERROR(SEARCH("trade",$D261))),NOT(ISERROR(SEARCH("balance",$D261)))),"",$D261))),$L:$T,MATCH("balance",$L$2:$S$2,0),FALSE))</f>
        <v>44.266270740000003</v>
      </c>
      <c r="H261" s="35">
        <f ca="1">IF(Summary_Exchange_Balances_00UTC!$B260="","",(G261-E261)/E261)</f>
        <v>0</v>
      </c>
      <c r="I261" s="165">
        <f ca="1">IF(Summary_Exchange_Balances_00UTC!$B260="","",IF(ISERROR($G261),$E261,$G261))</f>
        <v>44.266270740000003</v>
      </c>
      <c r="K261" t="str">
        <f t="shared" ca="1" si="20"/>
        <v>HUBIDOT</v>
      </c>
      <c r="L261" t="str">
        <f t="shared" ca="1" si="21"/>
        <v>HUBI-EDOT</v>
      </c>
      <c r="N261" s="161" t="str">
        <f ca="1">IF(raw_exchange_data!$A260="","",OFFSET(raw_exchange_data!$A260,0,MATCH(N$2,raw_exchange_data!$1:$1,0)-1))</f>
        <v>DOT</v>
      </c>
      <c r="O261" s="161" t="str">
        <f ca="1">IF(raw_exchange_data!$A260="","",OFFSET(raw_exchange_data!$A260,0,MATCH(O$2,raw_exchange_data!$1:$1,0)-1))</f>
        <v>HUBI</v>
      </c>
      <c r="P261" s="161" t="str">
        <f ca="1">IF(raw_exchange_data!$A260="","",OFFSET(raw_exchange_data!$A260,0,MATCH(P$2,raw_exchange_data!$1:$1,0)-1))</f>
        <v>HUBI-E</v>
      </c>
      <c r="Q261" s="161" t="str">
        <f ca="1">IF(raw_exchange_data!$A260="","",TEXT(OFFSET(raw_exchange_data!$A260,0,MATCH(Q$2,raw_exchange_data!$1:$1,0)-1),""))</f>
        <v/>
      </c>
      <c r="R261" s="162">
        <f ca="1">IF(raw_exchange_data!$A260="","",OFFSET(raw_exchange_data!$A260,0,MATCH(R$2,raw_exchange_data!$1:$1,0)-1))</f>
        <v>40066.769036849997</v>
      </c>
      <c r="S261" s="190">
        <f ca="1">IF(raw_exchange_data!$A260="","",OFFSET(raw_exchange_data!$A260,0,MATCH(S$2,raw_exchange_data!$1:$1,0)-1))</f>
        <v>44937.666669409722</v>
      </c>
      <c r="T261" s="161">
        <v>1</v>
      </c>
      <c r="W261" t="str">
        <f t="shared" si="22"/>
        <v>HUBI</v>
      </c>
      <c r="X261" t="str">
        <f t="shared" si="23"/>
        <v>TRX</v>
      </c>
      <c r="Y261" s="42">
        <f t="shared" si="24"/>
        <v>44.266270740000003</v>
      </c>
      <c r="Z261" s="42">
        <f t="shared" ca="1" si="25"/>
        <v>44.266270740000003</v>
      </c>
    </row>
    <row r="262" spans="1:26" x14ac:dyDescent="0.25">
      <c r="A262" t="str">
        <f>IF(Summary_Exchange_Balances_00UTC!$B261="","",Summary_Exchange_Balances_00UTC!$N261)</f>
        <v>HUBI</v>
      </c>
      <c r="B262" t="str">
        <f>IF(Summary_Exchange_Balances_00UTC!$B261="","",Summary_Exchange_Balances_00UTC!$B261)</f>
        <v>HUBI-E</v>
      </c>
      <c r="C262" t="str">
        <f>IF(Summary_Exchange_Balances_00UTC!$B261="","",Summary_Exchange_Balances_00UTC!$E261)</f>
        <v>TT</v>
      </c>
      <c r="D262" t="str">
        <f>IF(OR(Summary_Exchange_Balances_00UTC!$B261="",Summary_Exchange_Balances_00UTC!$D261=""),"",Summary_Exchange_Balances_00UTC!$D261)</f>
        <v/>
      </c>
      <c r="E262" s="52">
        <f>IF(Summary_Exchange_Balances_00UTC!$B261="","",Summary_Exchange_Balances_00UTC!$C261)</f>
        <v>6.3152970000000003E-2</v>
      </c>
      <c r="G262" s="52">
        <f ca="1">IF(Summary_Exchange_Balances_00UTC!$B261="","",VLOOKUP(IF(ISERROR(SEARCH(" ", $B262)),UPPER($B262&amp;$C262&amp;IF(OR(NOT(ISERROR(SEARCH("trade",$D262))),NOT(ISERROR(SEARCH("balance",$D262)))),"",$D262)),UPPER(LEFT($B262, SEARCH(" ",$B262)-1)&amp;$C262&amp;IF(OR(NOT(ISERROR(SEARCH("trade",$D262))),NOT(ISERROR(SEARCH("balance",$D262)))),"",$D262))),$L:$T,MATCH("balance",$L$2:$S$2,0),FALSE))</f>
        <v>6.3152970000000003E-2</v>
      </c>
      <c r="H262" s="35">
        <f ca="1">IF(Summary_Exchange_Balances_00UTC!$B261="","",(G262-E262)/E262)</f>
        <v>0</v>
      </c>
      <c r="I262" s="165">
        <f ca="1">IF(Summary_Exchange_Balances_00UTC!$B261="","",IF(ISERROR($G262),$E262,$G262))</f>
        <v>6.3152970000000003E-2</v>
      </c>
      <c r="K262" t="str">
        <f t="shared" ca="1" si="20"/>
        <v>HUBIENJ</v>
      </c>
      <c r="L262" t="str">
        <f t="shared" ca="1" si="21"/>
        <v>HUBI-EENJ</v>
      </c>
      <c r="N262" s="161" t="str">
        <f ca="1">IF(raw_exchange_data!$A261="","",OFFSET(raw_exchange_data!$A261,0,MATCH(N$2,raw_exchange_data!$1:$1,0)-1))</f>
        <v>ENJ</v>
      </c>
      <c r="O262" s="161" t="str">
        <f ca="1">IF(raw_exchange_data!$A261="","",OFFSET(raw_exchange_data!$A261,0,MATCH(O$2,raw_exchange_data!$1:$1,0)-1))</f>
        <v>HUBI</v>
      </c>
      <c r="P262" s="161" t="str">
        <f ca="1">IF(raw_exchange_data!$A261="","",OFFSET(raw_exchange_data!$A261,0,MATCH(P$2,raw_exchange_data!$1:$1,0)-1))</f>
        <v>HUBI-E</v>
      </c>
      <c r="Q262" s="161" t="str">
        <f ca="1">IF(raw_exchange_data!$A261="","",TEXT(OFFSET(raw_exchange_data!$A261,0,MATCH(Q$2,raw_exchange_data!$1:$1,0)-1),""))</f>
        <v/>
      </c>
      <c r="R262" s="162">
        <f ca="1">IF(raw_exchange_data!$A261="","",OFFSET(raw_exchange_data!$A261,0,MATCH(R$2,raw_exchange_data!$1:$1,0)-1))</f>
        <v>1E-8</v>
      </c>
      <c r="S262" s="190">
        <f ca="1">IF(raw_exchange_data!$A261="","",OFFSET(raw_exchange_data!$A261,0,MATCH(S$2,raw_exchange_data!$1:$1,0)-1))</f>
        <v>44937.666669409722</v>
      </c>
      <c r="T262" s="161">
        <v>1</v>
      </c>
      <c r="W262" t="str">
        <f t="shared" si="22"/>
        <v>HUBI</v>
      </c>
      <c r="X262" t="str">
        <f t="shared" si="23"/>
        <v>TT</v>
      </c>
      <c r="Y262" s="42">
        <f t="shared" si="24"/>
        <v>6.3152970000000003E-2</v>
      </c>
      <c r="Z262" s="42">
        <f t="shared" ca="1" si="25"/>
        <v>6.3152970000000003E-2</v>
      </c>
    </row>
    <row r="263" spans="1:26" x14ac:dyDescent="0.25">
      <c r="A263" t="str">
        <f>IF(Summary_Exchange_Balances_00UTC!$B262="","",Summary_Exchange_Balances_00UTC!$N262)</f>
        <v>HUBI</v>
      </c>
      <c r="B263" t="str">
        <f>IF(Summary_Exchange_Balances_00UTC!$B262="","",Summary_Exchange_Balances_00UTC!$B262)</f>
        <v>HUBI-E</v>
      </c>
      <c r="C263" t="str">
        <f>IF(Summary_Exchange_Balances_00UTC!$B262="","",Summary_Exchange_Balances_00UTC!$E262)</f>
        <v>TUSD</v>
      </c>
      <c r="D263" t="str">
        <f>IF(OR(Summary_Exchange_Balances_00UTC!$B262="",Summary_Exchange_Balances_00UTC!$D262=""),"",Summary_Exchange_Balances_00UTC!$D262)</f>
        <v/>
      </c>
      <c r="E263" s="52">
        <f>IF(Summary_Exchange_Balances_00UTC!$B262="","",Summary_Exchange_Balances_00UTC!$C262)</f>
        <v>20</v>
      </c>
      <c r="G263" s="52">
        <f ca="1">IF(Summary_Exchange_Balances_00UTC!$B262="","",VLOOKUP(IF(ISERROR(SEARCH(" ", $B263)),UPPER($B263&amp;$C263&amp;IF(OR(NOT(ISERROR(SEARCH("trade",$D263))),NOT(ISERROR(SEARCH("balance",$D263)))),"",$D263)),UPPER(LEFT($B263, SEARCH(" ",$B263)-1)&amp;$C263&amp;IF(OR(NOT(ISERROR(SEARCH("trade",$D263))),NOT(ISERROR(SEARCH("balance",$D263)))),"",$D263))),$L:$T,MATCH("balance",$L$2:$S$2,0),FALSE))</f>
        <v>20</v>
      </c>
      <c r="H263" s="35">
        <f ca="1">IF(Summary_Exchange_Balances_00UTC!$B262="","",(G263-E263)/E263)</f>
        <v>0</v>
      </c>
      <c r="I263" s="165">
        <f ca="1">IF(Summary_Exchange_Balances_00UTC!$B262="","",IF(ISERROR($G263),$E263,$G263))</f>
        <v>20</v>
      </c>
      <c r="K263" t="str">
        <f t="shared" ca="1" si="20"/>
        <v>HUBIEOS</v>
      </c>
      <c r="L263" t="str">
        <f t="shared" ca="1" si="21"/>
        <v>HUBI-EEOS</v>
      </c>
      <c r="N263" s="161" t="str">
        <f ca="1">IF(raw_exchange_data!$A262="","",OFFSET(raw_exchange_data!$A262,0,MATCH(N$2,raw_exchange_data!$1:$1,0)-1))</f>
        <v>EOS</v>
      </c>
      <c r="O263" s="161" t="str">
        <f ca="1">IF(raw_exchange_data!$A262="","",OFFSET(raw_exchange_data!$A262,0,MATCH(O$2,raw_exchange_data!$1:$1,0)-1))</f>
        <v>HUBI</v>
      </c>
      <c r="P263" s="161" t="str">
        <f ca="1">IF(raw_exchange_data!$A262="","",OFFSET(raw_exchange_data!$A262,0,MATCH(P$2,raw_exchange_data!$1:$1,0)-1))</f>
        <v>HUBI-E</v>
      </c>
      <c r="Q263" s="161" t="str">
        <f ca="1">IF(raw_exchange_data!$A262="","",TEXT(OFFSET(raw_exchange_data!$A262,0,MATCH(Q$2,raw_exchange_data!$1:$1,0)-1),""))</f>
        <v/>
      </c>
      <c r="R263" s="162">
        <f ca="1">IF(raw_exchange_data!$A262="","",OFFSET(raw_exchange_data!$A262,0,MATCH(R$2,raw_exchange_data!$1:$1,0)-1))</f>
        <v>70.35249924</v>
      </c>
      <c r="S263" s="190">
        <f ca="1">IF(raw_exchange_data!$A262="","",OFFSET(raw_exchange_data!$A262,0,MATCH(S$2,raw_exchange_data!$1:$1,0)-1))</f>
        <v>44937.666669409722</v>
      </c>
      <c r="T263" s="161">
        <v>1</v>
      </c>
      <c r="W263" t="str">
        <f t="shared" si="22"/>
        <v>HUBI</v>
      </c>
      <c r="X263" t="str">
        <f t="shared" si="23"/>
        <v>TUSD</v>
      </c>
      <c r="Y263" s="42">
        <f t="shared" si="24"/>
        <v>20</v>
      </c>
      <c r="Z263" s="42">
        <f t="shared" ca="1" si="25"/>
        <v>20</v>
      </c>
    </row>
    <row r="264" spans="1:26" x14ac:dyDescent="0.25">
      <c r="A264" t="str">
        <f>IF(Summary_Exchange_Balances_00UTC!$B263="","",Summary_Exchange_Balances_00UTC!$N263)</f>
        <v>HUBI</v>
      </c>
      <c r="B264" t="str">
        <f>IF(Summary_Exchange_Balances_00UTC!$B263="","",Summary_Exchange_Balances_00UTC!$B263)</f>
        <v>HUBI-E</v>
      </c>
      <c r="C264" t="str">
        <f>IF(Summary_Exchange_Balances_00UTC!$B263="","",Summary_Exchange_Balances_00UTC!$E263)</f>
        <v>UNI</v>
      </c>
      <c r="D264" t="str">
        <f>IF(OR(Summary_Exchange_Balances_00UTC!$B263="",Summary_Exchange_Balances_00UTC!$D263=""),"",Summary_Exchange_Balances_00UTC!$D263)</f>
        <v/>
      </c>
      <c r="E264" s="52">
        <f>IF(Summary_Exchange_Balances_00UTC!$B263="","",Summary_Exchange_Balances_00UTC!$C263)</f>
        <v>1E-8</v>
      </c>
      <c r="G264" s="52">
        <f ca="1">IF(Summary_Exchange_Balances_00UTC!$B263="","",VLOOKUP(IF(ISERROR(SEARCH(" ", $B264)),UPPER($B264&amp;$C264&amp;IF(OR(NOT(ISERROR(SEARCH("trade",$D264))),NOT(ISERROR(SEARCH("balance",$D264)))),"",$D264)),UPPER(LEFT($B264, SEARCH(" ",$B264)-1)&amp;$C264&amp;IF(OR(NOT(ISERROR(SEARCH("trade",$D264))),NOT(ISERROR(SEARCH("balance",$D264)))),"",$D264))),$L:$T,MATCH("balance",$L$2:$S$2,0),FALSE))</f>
        <v>1E-8</v>
      </c>
      <c r="H264" s="35">
        <f ca="1">IF(Summary_Exchange_Balances_00UTC!$B263="","",(G264-E264)/E264)</f>
        <v>0</v>
      </c>
      <c r="I264" s="165">
        <f ca="1">IF(Summary_Exchange_Balances_00UTC!$B263="","",IF(ISERROR($G264),$E264,$G264))</f>
        <v>1E-8</v>
      </c>
      <c r="K264" t="str">
        <f t="shared" ca="1" si="20"/>
        <v>HUBIETC</v>
      </c>
      <c r="L264" t="str">
        <f t="shared" ca="1" si="21"/>
        <v>HUBI-EETC</v>
      </c>
      <c r="N264" s="161" t="str">
        <f ca="1">IF(raw_exchange_data!$A263="","",OFFSET(raw_exchange_data!$A263,0,MATCH(N$2,raw_exchange_data!$1:$1,0)-1))</f>
        <v>ETC</v>
      </c>
      <c r="O264" s="161" t="str">
        <f ca="1">IF(raw_exchange_data!$A263="","",OFFSET(raw_exchange_data!$A263,0,MATCH(O$2,raw_exchange_data!$1:$1,0)-1))</f>
        <v>HUBI</v>
      </c>
      <c r="P264" s="161" t="str">
        <f ca="1">IF(raw_exchange_data!$A263="","",OFFSET(raw_exchange_data!$A263,0,MATCH(P$2,raw_exchange_data!$1:$1,0)-1))</f>
        <v>HUBI-E</v>
      </c>
      <c r="Q264" s="161" t="str">
        <f ca="1">IF(raw_exchange_data!$A263="","",TEXT(OFFSET(raw_exchange_data!$A263,0,MATCH(Q$2,raw_exchange_data!$1:$1,0)-1),""))</f>
        <v/>
      </c>
      <c r="R264" s="162">
        <f ca="1">IF(raw_exchange_data!$A263="","",OFFSET(raw_exchange_data!$A263,0,MATCH(R$2,raw_exchange_data!$1:$1,0)-1))</f>
        <v>8848.9328020600005</v>
      </c>
      <c r="S264" s="190">
        <f ca="1">IF(raw_exchange_data!$A263="","",OFFSET(raw_exchange_data!$A263,0,MATCH(S$2,raw_exchange_data!$1:$1,0)-1))</f>
        <v>44937.666669409722</v>
      </c>
      <c r="T264" s="161">
        <v>1</v>
      </c>
      <c r="W264" t="str">
        <f t="shared" si="22"/>
        <v>HUBI</v>
      </c>
      <c r="X264" t="str">
        <f t="shared" si="23"/>
        <v>UNI</v>
      </c>
      <c r="Y264" s="42">
        <f t="shared" si="24"/>
        <v>1E-8</v>
      </c>
      <c r="Z264" s="42">
        <f t="shared" ca="1" si="25"/>
        <v>1E-8</v>
      </c>
    </row>
    <row r="265" spans="1:26" x14ac:dyDescent="0.25">
      <c r="A265" t="str">
        <f>IF(Summary_Exchange_Balances_00UTC!$B264="","",Summary_Exchange_Balances_00UTC!$N264)</f>
        <v>HUBI</v>
      </c>
      <c r="B265" t="str">
        <f>IF(Summary_Exchange_Balances_00UTC!$B264="","",Summary_Exchange_Balances_00UTC!$B264)</f>
        <v>HUBI-E</v>
      </c>
      <c r="C265" t="str">
        <f>IF(Summary_Exchange_Balances_00UTC!$B264="","",Summary_Exchange_Balances_00UTC!$E264)</f>
        <v>USDC</v>
      </c>
      <c r="D265" t="str">
        <f>IF(OR(Summary_Exchange_Balances_00UTC!$B264="",Summary_Exchange_Balances_00UTC!$D264=""),"",Summary_Exchange_Balances_00UTC!$D264)</f>
        <v/>
      </c>
      <c r="E265" s="52">
        <f>IF(Summary_Exchange_Balances_00UTC!$B264="","",Summary_Exchange_Balances_00UTC!$C264)</f>
        <v>5.6000000000000004E-7</v>
      </c>
      <c r="G265" s="52">
        <f ca="1">IF(Summary_Exchange_Balances_00UTC!$B264="","",VLOOKUP(IF(ISERROR(SEARCH(" ", $B265)),UPPER($B265&amp;$C265&amp;IF(OR(NOT(ISERROR(SEARCH("trade",$D265))),NOT(ISERROR(SEARCH("balance",$D265)))),"",$D265)),UPPER(LEFT($B265, SEARCH(" ",$B265)-1)&amp;$C265&amp;IF(OR(NOT(ISERROR(SEARCH("trade",$D265))),NOT(ISERROR(SEARCH("balance",$D265)))),"",$D265))),$L:$T,MATCH("balance",$L$2:$S$2,0),FALSE))</f>
        <v>5.6000000000000004E-7</v>
      </c>
      <c r="H265" s="35">
        <f ca="1">IF(Summary_Exchange_Balances_00UTC!$B264="","",(G265-E265)/E265)</f>
        <v>0</v>
      </c>
      <c r="I265" s="165">
        <f ca="1">IF(Summary_Exchange_Balances_00UTC!$B264="","",IF(ISERROR($G265),$E265,$G265))</f>
        <v>5.6000000000000004E-7</v>
      </c>
      <c r="K265" t="str">
        <f t="shared" ca="1" si="20"/>
        <v>HUBIETH</v>
      </c>
      <c r="L265" t="str">
        <f t="shared" ca="1" si="21"/>
        <v>HUBI-EETH</v>
      </c>
      <c r="N265" s="161" t="str">
        <f ca="1">IF(raw_exchange_data!$A264="","",OFFSET(raw_exchange_data!$A264,0,MATCH(N$2,raw_exchange_data!$1:$1,0)-1))</f>
        <v>ETH</v>
      </c>
      <c r="O265" s="161" t="str">
        <f ca="1">IF(raw_exchange_data!$A264="","",OFFSET(raw_exchange_data!$A264,0,MATCH(O$2,raw_exchange_data!$1:$1,0)-1))</f>
        <v>HUBI</v>
      </c>
      <c r="P265" s="161" t="str">
        <f ca="1">IF(raw_exchange_data!$A264="","",OFFSET(raw_exchange_data!$A264,0,MATCH(P$2,raw_exchange_data!$1:$1,0)-1))</f>
        <v>HUBI-E</v>
      </c>
      <c r="Q265" s="161" t="str">
        <f ca="1">IF(raw_exchange_data!$A264="","",TEXT(OFFSET(raw_exchange_data!$A264,0,MATCH(Q$2,raw_exchange_data!$1:$1,0)-1),""))</f>
        <v/>
      </c>
      <c r="R265" s="162">
        <f ca="1">IF(raw_exchange_data!$A264="","",OFFSET(raw_exchange_data!$A264,0,MATCH(R$2,raw_exchange_data!$1:$1,0)-1))</f>
        <v>4100.9776247399996</v>
      </c>
      <c r="S265" s="190">
        <f ca="1">IF(raw_exchange_data!$A264="","",OFFSET(raw_exchange_data!$A264,0,MATCH(S$2,raw_exchange_data!$1:$1,0)-1))</f>
        <v>44937.666669409722</v>
      </c>
      <c r="T265" s="161">
        <v>1</v>
      </c>
      <c r="W265" t="str">
        <f t="shared" si="22"/>
        <v>HUBI</v>
      </c>
      <c r="X265" t="str">
        <f t="shared" si="23"/>
        <v>USDC</v>
      </c>
      <c r="Y265" s="42">
        <f t="shared" si="24"/>
        <v>5.6000000000000004E-7</v>
      </c>
      <c r="Z265" s="42">
        <f t="shared" ca="1" si="25"/>
        <v>5.6000000000000004E-7</v>
      </c>
    </row>
    <row r="266" spans="1:26" x14ac:dyDescent="0.25">
      <c r="A266" t="str">
        <f>IF(Summary_Exchange_Balances_00UTC!$B265="","",Summary_Exchange_Balances_00UTC!$N265)</f>
        <v>HUBI</v>
      </c>
      <c r="B266" t="str">
        <f>IF(Summary_Exchange_Balances_00UTC!$B265="","",Summary_Exchange_Balances_00UTC!$B265)</f>
        <v>HUBI-E</v>
      </c>
      <c r="C266" t="str">
        <f>IF(Summary_Exchange_Balances_00UTC!$B265="","",Summary_Exchange_Balances_00UTC!$E265)</f>
        <v>USDP</v>
      </c>
      <c r="D266" t="str">
        <f>IF(OR(Summary_Exchange_Balances_00UTC!$B265="",Summary_Exchange_Balances_00UTC!$D265=""),"",Summary_Exchange_Balances_00UTC!$D265)</f>
        <v/>
      </c>
      <c r="E266" s="52">
        <f>IF(Summary_Exchange_Balances_00UTC!$B265="","",Summary_Exchange_Balances_00UTC!$C265)</f>
        <v>0.34680431</v>
      </c>
      <c r="G266" s="52">
        <f ca="1">IF(Summary_Exchange_Balances_00UTC!$B265="","",VLOOKUP(IF(ISERROR(SEARCH(" ", $B266)),UPPER($B266&amp;$C266&amp;IF(OR(NOT(ISERROR(SEARCH("trade",$D266))),NOT(ISERROR(SEARCH("balance",$D266)))),"",$D266)),UPPER(LEFT($B266, SEARCH(" ",$B266)-1)&amp;$C266&amp;IF(OR(NOT(ISERROR(SEARCH("trade",$D266))),NOT(ISERROR(SEARCH("balance",$D266)))),"",$D266))),$L:$T,MATCH("balance",$L$2:$S$2,0),FALSE))</f>
        <v>0.34680431</v>
      </c>
      <c r="H266" s="35">
        <f ca="1">IF(Summary_Exchange_Balances_00UTC!$B265="","",(G266-E266)/E266)</f>
        <v>0</v>
      </c>
      <c r="I266" s="165">
        <f ca="1">IF(Summary_Exchange_Balances_00UTC!$B265="","",IF(ISERROR($G266),$E266,$G266))</f>
        <v>0.34680431</v>
      </c>
      <c r="K266" t="str">
        <f t="shared" ca="1" si="20"/>
        <v>HUBIETHF</v>
      </c>
      <c r="L266" t="str">
        <f t="shared" ca="1" si="21"/>
        <v>HUBI-EETHF</v>
      </c>
      <c r="N266" s="161" t="str">
        <f ca="1">IF(raw_exchange_data!$A265="","",OFFSET(raw_exchange_data!$A265,0,MATCH(N$2,raw_exchange_data!$1:$1,0)-1))</f>
        <v>ETHF</v>
      </c>
      <c r="O266" s="161" t="str">
        <f ca="1">IF(raw_exchange_data!$A265="","",OFFSET(raw_exchange_data!$A265,0,MATCH(O$2,raw_exchange_data!$1:$1,0)-1))</f>
        <v>HUBI</v>
      </c>
      <c r="P266" s="161" t="str">
        <f ca="1">IF(raw_exchange_data!$A265="","",OFFSET(raw_exchange_data!$A265,0,MATCH(P$2,raw_exchange_data!$1:$1,0)-1))</f>
        <v>HUBI-E</v>
      </c>
      <c r="Q266" s="161" t="str">
        <f ca="1">IF(raw_exchange_data!$A265="","",TEXT(OFFSET(raw_exchange_data!$A265,0,MATCH(Q$2,raw_exchange_data!$1:$1,0)-1),""))</f>
        <v/>
      </c>
      <c r="R266" s="162">
        <f ca="1">IF(raw_exchange_data!$A265="","",OFFSET(raw_exchange_data!$A265,0,MATCH(R$2,raw_exchange_data!$1:$1,0)-1))</f>
        <v>9823.8364263999993</v>
      </c>
      <c r="S266" s="190">
        <f ca="1">IF(raw_exchange_data!$A265="","",OFFSET(raw_exchange_data!$A265,0,MATCH(S$2,raw_exchange_data!$1:$1,0)-1))</f>
        <v>44937.666669409722</v>
      </c>
      <c r="T266" s="161">
        <v>1</v>
      </c>
      <c r="W266" t="str">
        <f t="shared" si="22"/>
        <v>HUBI</v>
      </c>
      <c r="X266" t="str">
        <f t="shared" si="23"/>
        <v>USDP</v>
      </c>
      <c r="Y266" s="42">
        <f t="shared" si="24"/>
        <v>0.34680431</v>
      </c>
      <c r="Z266" s="42">
        <f t="shared" ca="1" si="25"/>
        <v>0.34680431</v>
      </c>
    </row>
    <row r="267" spans="1:26" x14ac:dyDescent="0.25">
      <c r="A267" t="str">
        <f>IF(Summary_Exchange_Balances_00UTC!$B266="","",Summary_Exchange_Balances_00UTC!$N266)</f>
        <v>HUBI</v>
      </c>
      <c r="B267" t="str">
        <f>IF(Summary_Exchange_Balances_00UTC!$B266="","",Summary_Exchange_Balances_00UTC!$B266)</f>
        <v>HUBI-E</v>
      </c>
      <c r="C267" t="str">
        <f>IF(Summary_Exchange_Balances_00UTC!$B266="","",Summary_Exchange_Balances_00UTC!$E266)</f>
        <v>USDT</v>
      </c>
      <c r="D267" t="str">
        <f>IF(OR(Summary_Exchange_Balances_00UTC!$B266="",Summary_Exchange_Balances_00UTC!$D266=""),"",Summary_Exchange_Balances_00UTC!$D266)</f>
        <v/>
      </c>
      <c r="E267" s="52">
        <f>IF(Summary_Exchange_Balances_00UTC!$B266="","",Summary_Exchange_Balances_00UTC!$C266)</f>
        <v>2871094.4364123498</v>
      </c>
      <c r="G267" s="52">
        <f ca="1">IF(Summary_Exchange_Balances_00UTC!$B266="","",VLOOKUP(IF(ISERROR(SEARCH(" ", $B267)),UPPER($B267&amp;$C267&amp;IF(OR(NOT(ISERROR(SEARCH("trade",$D267))),NOT(ISERROR(SEARCH("balance",$D267)))),"",$D267)),UPPER(LEFT($B267, SEARCH(" ",$B267)-1)&amp;$C267&amp;IF(OR(NOT(ISERROR(SEARCH("trade",$D267))),NOT(ISERROR(SEARCH("balance",$D267)))),"",$D267))),$L:$T,MATCH("balance",$L$2:$S$2,0),FALSE))</f>
        <v>4143338.6014388101</v>
      </c>
      <c r="H267" s="35">
        <f ca="1">IF(Summary_Exchange_Balances_00UTC!$B266="","",(G267-E267)/E267)</f>
        <v>0.44312167126631541</v>
      </c>
      <c r="I267" s="165">
        <f ca="1">IF(Summary_Exchange_Balances_00UTC!$B266="","",IF(ISERROR($G267),$E267,$G267))</f>
        <v>4143338.6014388101</v>
      </c>
      <c r="K267" t="str">
        <f t="shared" ca="1" si="20"/>
        <v>HUBIETHW</v>
      </c>
      <c r="L267" t="str">
        <f t="shared" ca="1" si="21"/>
        <v>HUBI-EETHW</v>
      </c>
      <c r="N267" s="161" t="str">
        <f ca="1">IF(raw_exchange_data!$A266="","",OFFSET(raw_exchange_data!$A266,0,MATCH(N$2,raw_exchange_data!$1:$1,0)-1))</f>
        <v>ETHW</v>
      </c>
      <c r="O267" s="161" t="str">
        <f ca="1">IF(raw_exchange_data!$A266="","",OFFSET(raw_exchange_data!$A266,0,MATCH(O$2,raw_exchange_data!$1:$1,0)-1))</f>
        <v>HUBI</v>
      </c>
      <c r="P267" s="161" t="str">
        <f ca="1">IF(raw_exchange_data!$A266="","",OFFSET(raw_exchange_data!$A266,0,MATCH(P$2,raw_exchange_data!$1:$1,0)-1))</f>
        <v>HUBI-E</v>
      </c>
      <c r="Q267" s="161" t="str">
        <f ca="1">IF(raw_exchange_data!$A266="","",TEXT(OFFSET(raw_exchange_data!$A266,0,MATCH(Q$2,raw_exchange_data!$1:$1,0)-1),""))</f>
        <v/>
      </c>
      <c r="R267" s="162">
        <f ca="1">IF(raw_exchange_data!$A266="","",OFFSET(raw_exchange_data!$A266,0,MATCH(R$2,raw_exchange_data!$1:$1,0)-1))</f>
        <v>3460.93190667</v>
      </c>
      <c r="S267" s="190">
        <f ca="1">IF(raw_exchange_data!$A266="","",OFFSET(raw_exchange_data!$A266,0,MATCH(S$2,raw_exchange_data!$1:$1,0)-1))</f>
        <v>44937.666669409722</v>
      </c>
      <c r="T267" s="161">
        <v>1</v>
      </c>
      <c r="W267" t="str">
        <f t="shared" si="22"/>
        <v>HUBI</v>
      </c>
      <c r="X267" t="str">
        <f t="shared" si="23"/>
        <v>USDT</v>
      </c>
      <c r="Y267" s="42">
        <f t="shared" si="24"/>
        <v>2871094.4364123498</v>
      </c>
      <c r="Z267" s="42">
        <f t="shared" ca="1" si="25"/>
        <v>4143338.6014388101</v>
      </c>
    </row>
    <row r="268" spans="1:26" x14ac:dyDescent="0.25">
      <c r="A268" t="str">
        <f>IF(Summary_Exchange_Balances_00UTC!$B267="","",Summary_Exchange_Balances_00UTC!$N267)</f>
        <v>HUBI</v>
      </c>
      <c r="B268" t="str">
        <f>IF(Summary_Exchange_Balances_00UTC!$B267="","",Summary_Exchange_Balances_00UTC!$B267)</f>
        <v>HUBI-E</v>
      </c>
      <c r="C268" t="str">
        <f>IF(Summary_Exchange_Balances_00UTC!$B267="","",Summary_Exchange_Balances_00UTC!$E267)</f>
        <v>VET</v>
      </c>
      <c r="D268" t="str">
        <f>IF(OR(Summary_Exchange_Balances_00UTC!$B267="",Summary_Exchange_Balances_00UTC!$D267=""),"",Summary_Exchange_Balances_00UTC!$D267)</f>
        <v/>
      </c>
      <c r="E268" s="52">
        <f>IF(Summary_Exchange_Balances_00UTC!$B267="","",Summary_Exchange_Balances_00UTC!$C267)</f>
        <v>25.959481520000001</v>
      </c>
      <c r="G268" s="52">
        <f ca="1">IF(Summary_Exchange_Balances_00UTC!$B267="","",VLOOKUP(IF(ISERROR(SEARCH(" ", $B268)),UPPER($B268&amp;$C268&amp;IF(OR(NOT(ISERROR(SEARCH("trade",$D268))),NOT(ISERROR(SEARCH("balance",$D268)))),"",$D268)),UPPER(LEFT($B268, SEARCH(" ",$B268)-1)&amp;$C268&amp;IF(OR(NOT(ISERROR(SEARCH("trade",$D268))),NOT(ISERROR(SEARCH("balance",$D268)))),"",$D268))),$L:$T,MATCH("balance",$L$2:$S$2,0),FALSE))</f>
        <v>25.959481520000001</v>
      </c>
      <c r="H268" s="35">
        <f ca="1">IF(Summary_Exchange_Balances_00UTC!$B267="","",(G268-E268)/E268)</f>
        <v>0</v>
      </c>
      <c r="I268" s="165">
        <f ca="1">IF(Summary_Exchange_Balances_00UTC!$B267="","",IF(ISERROR($G268),$E268,$G268))</f>
        <v>25.959481520000001</v>
      </c>
      <c r="K268" t="str">
        <f t="shared" ca="1" si="20"/>
        <v>HUBIEUROC</v>
      </c>
      <c r="L268" t="str">
        <f t="shared" ca="1" si="21"/>
        <v>HUBI-EEUROC</v>
      </c>
      <c r="N268" s="161" t="str">
        <f ca="1">IF(raw_exchange_data!$A267="","",OFFSET(raw_exchange_data!$A267,0,MATCH(N$2,raw_exchange_data!$1:$1,0)-1))</f>
        <v>EUROC</v>
      </c>
      <c r="O268" s="161" t="str">
        <f ca="1">IF(raw_exchange_data!$A267="","",OFFSET(raw_exchange_data!$A267,0,MATCH(O$2,raw_exchange_data!$1:$1,0)-1))</f>
        <v>HUBI</v>
      </c>
      <c r="P268" s="161" t="str">
        <f ca="1">IF(raw_exchange_data!$A267="","",OFFSET(raw_exchange_data!$A267,0,MATCH(P$2,raw_exchange_data!$1:$1,0)-1))</f>
        <v>HUBI-E</v>
      </c>
      <c r="Q268" s="161" t="str">
        <f ca="1">IF(raw_exchange_data!$A267="","",TEXT(OFFSET(raw_exchange_data!$A267,0,MATCH(Q$2,raw_exchange_data!$1:$1,0)-1),""))</f>
        <v/>
      </c>
      <c r="R268" s="162">
        <f ca="1">IF(raw_exchange_data!$A267="","",OFFSET(raw_exchange_data!$A267,0,MATCH(R$2,raw_exchange_data!$1:$1,0)-1))</f>
        <v>98854.041595679999</v>
      </c>
      <c r="S268" s="190">
        <f ca="1">IF(raw_exchange_data!$A267="","",OFFSET(raw_exchange_data!$A267,0,MATCH(S$2,raw_exchange_data!$1:$1,0)-1))</f>
        <v>44937.666669409722</v>
      </c>
      <c r="T268" s="161">
        <v>1</v>
      </c>
      <c r="W268" t="str">
        <f t="shared" si="22"/>
        <v>HUBI</v>
      </c>
      <c r="X268" t="str">
        <f t="shared" si="23"/>
        <v>VET</v>
      </c>
      <c r="Y268" s="42">
        <f t="shared" si="24"/>
        <v>25.959481520000001</v>
      </c>
      <c r="Z268" s="42">
        <f t="shared" ca="1" si="25"/>
        <v>25.959481520000001</v>
      </c>
    </row>
    <row r="269" spans="1:26" x14ac:dyDescent="0.25">
      <c r="A269" t="str">
        <f>IF(Summary_Exchange_Balances_00UTC!$B268="","",Summary_Exchange_Balances_00UTC!$N268)</f>
        <v>HUBI</v>
      </c>
      <c r="B269" t="str">
        <f>IF(Summary_Exchange_Balances_00UTC!$B268="","",Summary_Exchange_Balances_00UTC!$B268)</f>
        <v>HUBI-E</v>
      </c>
      <c r="C269" t="str">
        <f>IF(Summary_Exchange_Balances_00UTC!$B268="","",Summary_Exchange_Balances_00UTC!$E268)</f>
        <v>VSYS</v>
      </c>
      <c r="D269" t="str">
        <f>IF(OR(Summary_Exchange_Balances_00UTC!$B268="",Summary_Exchange_Balances_00UTC!$D268=""),"",Summary_Exchange_Balances_00UTC!$D268)</f>
        <v/>
      </c>
      <c r="E269" s="52">
        <f>IF(Summary_Exchange_Balances_00UTC!$B268="","",Summary_Exchange_Balances_00UTC!$C268)</f>
        <v>0.20872535</v>
      </c>
      <c r="G269" s="52">
        <f ca="1">IF(Summary_Exchange_Balances_00UTC!$B268="","",VLOOKUP(IF(ISERROR(SEARCH(" ", $B269)),UPPER($B269&amp;$C269&amp;IF(OR(NOT(ISERROR(SEARCH("trade",$D269))),NOT(ISERROR(SEARCH("balance",$D269)))),"",$D269)),UPPER(LEFT($B269, SEARCH(" ",$B269)-1)&amp;$C269&amp;IF(OR(NOT(ISERROR(SEARCH("trade",$D269))),NOT(ISERROR(SEARCH("balance",$D269)))),"",$D269))),$L:$T,MATCH("balance",$L$2:$S$2,0),FALSE))</f>
        <v>0.20872535</v>
      </c>
      <c r="H269" s="35">
        <f ca="1">IF(Summary_Exchange_Balances_00UTC!$B268="","",(G269-E269)/E269)</f>
        <v>0</v>
      </c>
      <c r="I269" s="165">
        <f ca="1">IF(Summary_Exchange_Balances_00UTC!$B268="","",IF(ISERROR($G269),$E269,$G269))</f>
        <v>0.20872535</v>
      </c>
      <c r="K269" t="str">
        <f t="shared" ca="1" si="20"/>
        <v>HUBIFIL</v>
      </c>
      <c r="L269" t="str">
        <f t="shared" ca="1" si="21"/>
        <v>HUBI-EFIL</v>
      </c>
      <c r="N269" s="161" t="str">
        <f ca="1">IF(raw_exchange_data!$A268="","",OFFSET(raw_exchange_data!$A268,0,MATCH(N$2,raw_exchange_data!$1:$1,0)-1))</f>
        <v>FIL</v>
      </c>
      <c r="O269" s="161" t="str">
        <f ca="1">IF(raw_exchange_data!$A268="","",OFFSET(raw_exchange_data!$A268,0,MATCH(O$2,raw_exchange_data!$1:$1,0)-1))</f>
        <v>HUBI</v>
      </c>
      <c r="P269" s="161" t="str">
        <f ca="1">IF(raw_exchange_data!$A268="","",OFFSET(raw_exchange_data!$A268,0,MATCH(P$2,raw_exchange_data!$1:$1,0)-1))</f>
        <v>HUBI-E</v>
      </c>
      <c r="Q269" s="161" t="str">
        <f ca="1">IF(raw_exchange_data!$A268="","",TEXT(OFFSET(raw_exchange_data!$A268,0,MATCH(Q$2,raw_exchange_data!$1:$1,0)-1),""))</f>
        <v/>
      </c>
      <c r="R269" s="162">
        <f ca="1">IF(raw_exchange_data!$A268="","",OFFSET(raw_exchange_data!$A268,0,MATCH(R$2,raw_exchange_data!$1:$1,0)-1))</f>
        <v>1.0244641699999999</v>
      </c>
      <c r="S269" s="190">
        <f ca="1">IF(raw_exchange_data!$A268="","",OFFSET(raw_exchange_data!$A268,0,MATCH(S$2,raw_exchange_data!$1:$1,0)-1))</f>
        <v>44937.666669409722</v>
      </c>
      <c r="T269" s="161">
        <v>1</v>
      </c>
      <c r="W269" t="str">
        <f t="shared" si="22"/>
        <v>HUBI</v>
      </c>
      <c r="X269" t="str">
        <f t="shared" si="23"/>
        <v>VSYS</v>
      </c>
      <c r="Y269" s="42">
        <f t="shared" si="24"/>
        <v>0.20872535</v>
      </c>
      <c r="Z269" s="42">
        <f t="shared" ca="1" si="25"/>
        <v>0.20872535</v>
      </c>
    </row>
    <row r="270" spans="1:26" x14ac:dyDescent="0.25">
      <c r="A270" t="str">
        <f>IF(Summary_Exchange_Balances_00UTC!$B269="","",Summary_Exchange_Balances_00UTC!$N269)</f>
        <v>HUBI</v>
      </c>
      <c r="B270" t="str">
        <f>IF(Summary_Exchange_Balances_00UTC!$B269="","",Summary_Exchange_Balances_00UTC!$B269)</f>
        <v>HUBI-E</v>
      </c>
      <c r="C270" t="str">
        <f>IF(Summary_Exchange_Balances_00UTC!$B269="","",Summary_Exchange_Balances_00UTC!$E269)</f>
        <v>XEC</v>
      </c>
      <c r="D270" t="str">
        <f>IF(OR(Summary_Exchange_Balances_00UTC!$B269="",Summary_Exchange_Balances_00UTC!$D269=""),"",Summary_Exchange_Balances_00UTC!$D269)</f>
        <v/>
      </c>
      <c r="E270" s="52">
        <f>IF(Summary_Exchange_Balances_00UTC!$B269="","",Summary_Exchange_Balances_00UTC!$C269)</f>
        <v>97856389.900000006</v>
      </c>
      <c r="G270" s="52">
        <f ca="1">IF(Summary_Exchange_Balances_00UTC!$B269="","",VLOOKUP(IF(ISERROR(SEARCH(" ", $B270)),UPPER($B270&amp;$C270&amp;IF(OR(NOT(ISERROR(SEARCH("trade",$D270))),NOT(ISERROR(SEARCH("balance",$D270)))),"",$D270)),UPPER(LEFT($B270, SEARCH(" ",$B270)-1)&amp;$C270&amp;IF(OR(NOT(ISERROR(SEARCH("trade",$D270))),NOT(ISERROR(SEARCH("balance",$D270)))),"",$D270))),$L:$T,MATCH("balance",$L$2:$S$2,0),FALSE))</f>
        <v>97856389.900000006</v>
      </c>
      <c r="H270" s="35">
        <f ca="1">IF(Summary_Exchange_Balances_00UTC!$B269="","",(G270-E270)/E270)</f>
        <v>0</v>
      </c>
      <c r="I270" s="165">
        <f ca="1">IF(Summary_Exchange_Balances_00UTC!$B269="","",IF(ISERROR($G270),$E270,$G270))</f>
        <v>97856389.900000006</v>
      </c>
      <c r="K270" t="str">
        <f t="shared" ca="1" si="20"/>
        <v>HUBIFLR</v>
      </c>
      <c r="L270" t="str">
        <f t="shared" ca="1" si="21"/>
        <v>HUBI-EFLR</v>
      </c>
      <c r="N270" s="161" t="str">
        <f ca="1">IF(raw_exchange_data!$A269="","",OFFSET(raw_exchange_data!$A269,0,MATCH(N$2,raw_exchange_data!$1:$1,0)-1))</f>
        <v>FLR</v>
      </c>
      <c r="O270" s="161" t="str">
        <f ca="1">IF(raw_exchange_data!$A269="","",OFFSET(raw_exchange_data!$A269,0,MATCH(O$2,raw_exchange_data!$1:$1,0)-1))</f>
        <v>HUBI</v>
      </c>
      <c r="P270" s="161" t="str">
        <f ca="1">IF(raw_exchange_data!$A269="","",OFFSET(raw_exchange_data!$A269,0,MATCH(P$2,raw_exchange_data!$1:$1,0)-1))</f>
        <v>HUBI-E</v>
      </c>
      <c r="Q270" s="161" t="str">
        <f ca="1">IF(raw_exchange_data!$A269="","",TEXT(OFFSET(raw_exchange_data!$A269,0,MATCH(Q$2,raw_exchange_data!$1:$1,0)-1),""))</f>
        <v/>
      </c>
      <c r="R270" s="162">
        <f ca="1">IF(raw_exchange_data!$A269="","",OFFSET(raw_exchange_data!$A269,0,MATCH(R$2,raw_exchange_data!$1:$1,0)-1))</f>
        <v>1214222.2371169401</v>
      </c>
      <c r="S270" s="190">
        <f ca="1">IF(raw_exchange_data!$A269="","",OFFSET(raw_exchange_data!$A269,0,MATCH(S$2,raw_exchange_data!$1:$1,0)-1))</f>
        <v>44937.666669409722</v>
      </c>
      <c r="T270" s="161">
        <v>1</v>
      </c>
      <c r="W270" t="str">
        <f t="shared" si="22"/>
        <v>HUBI</v>
      </c>
      <c r="X270" t="str">
        <f t="shared" si="23"/>
        <v>XEC</v>
      </c>
      <c r="Y270" s="42">
        <f t="shared" si="24"/>
        <v>97856389.900000006</v>
      </c>
      <c r="Z270" s="42">
        <f t="shared" ca="1" si="25"/>
        <v>97856389.900000006</v>
      </c>
    </row>
    <row r="271" spans="1:26" x14ac:dyDescent="0.25">
      <c r="A271" t="str">
        <f>IF(Summary_Exchange_Balances_00UTC!$B270="","",Summary_Exchange_Balances_00UTC!$N270)</f>
        <v>HUBI</v>
      </c>
      <c r="B271" t="str">
        <f>IF(Summary_Exchange_Balances_00UTC!$B270="","",Summary_Exchange_Balances_00UTC!$B270)</f>
        <v>HUBI-E</v>
      </c>
      <c r="C271" t="str">
        <f>IF(Summary_Exchange_Balances_00UTC!$B270="","",Summary_Exchange_Balances_00UTC!$E270)</f>
        <v>XLM</v>
      </c>
      <c r="D271" t="str">
        <f>IF(OR(Summary_Exchange_Balances_00UTC!$B270="",Summary_Exchange_Balances_00UTC!$D270=""),"",Summary_Exchange_Balances_00UTC!$D270)</f>
        <v/>
      </c>
      <c r="E271" s="52">
        <f>IF(Summary_Exchange_Balances_00UTC!$B270="","",Summary_Exchange_Balances_00UTC!$C270)</f>
        <v>0.55556267999999998</v>
      </c>
      <c r="G271" s="52">
        <f ca="1">IF(Summary_Exchange_Balances_00UTC!$B270="","",VLOOKUP(IF(ISERROR(SEARCH(" ", $B271)),UPPER($B271&amp;$C271&amp;IF(OR(NOT(ISERROR(SEARCH("trade",$D271))),NOT(ISERROR(SEARCH("balance",$D271)))),"",$D271)),UPPER(LEFT($B271, SEARCH(" ",$B271)-1)&amp;$C271&amp;IF(OR(NOT(ISERROR(SEARCH("trade",$D271))),NOT(ISERROR(SEARCH("balance",$D271)))),"",$D271))),$L:$T,MATCH("balance",$L$2:$S$2,0),FALSE))</f>
        <v>0.55556267999999998</v>
      </c>
      <c r="H271" s="35">
        <f ca="1">IF(Summary_Exchange_Balances_00UTC!$B270="","",(G271-E271)/E271)</f>
        <v>0</v>
      </c>
      <c r="I271" s="165">
        <f ca="1">IF(Summary_Exchange_Balances_00UTC!$B270="","",IF(ISERROR($G271),$E271,$G271))</f>
        <v>0.55556267999999998</v>
      </c>
      <c r="K271" t="str">
        <f t="shared" ca="1" si="20"/>
        <v>HUBIFTT</v>
      </c>
      <c r="L271" t="str">
        <f t="shared" ca="1" si="21"/>
        <v>HUBI-EFTT</v>
      </c>
      <c r="N271" s="161" t="str">
        <f ca="1">IF(raw_exchange_data!$A270="","",OFFSET(raw_exchange_data!$A270,0,MATCH(N$2,raw_exchange_data!$1:$1,0)-1))</f>
        <v>FTT</v>
      </c>
      <c r="O271" s="161" t="str">
        <f ca="1">IF(raw_exchange_data!$A270="","",OFFSET(raw_exchange_data!$A270,0,MATCH(O$2,raw_exchange_data!$1:$1,0)-1))</f>
        <v>HUBI</v>
      </c>
      <c r="P271" s="161" t="str">
        <f ca="1">IF(raw_exchange_data!$A270="","",OFFSET(raw_exchange_data!$A270,0,MATCH(P$2,raw_exchange_data!$1:$1,0)-1))</f>
        <v>HUBI-E</v>
      </c>
      <c r="Q271" s="161" t="str">
        <f ca="1">IF(raw_exchange_data!$A270="","",TEXT(OFFSET(raw_exchange_data!$A270,0,MATCH(Q$2,raw_exchange_data!$1:$1,0)-1),""))</f>
        <v/>
      </c>
      <c r="R271" s="162">
        <f ca="1">IF(raw_exchange_data!$A270="","",OFFSET(raw_exchange_data!$A270,0,MATCH(R$2,raw_exchange_data!$1:$1,0)-1))</f>
        <v>0.68557060000000003</v>
      </c>
      <c r="S271" s="190">
        <f ca="1">IF(raw_exchange_data!$A270="","",OFFSET(raw_exchange_data!$A270,0,MATCH(S$2,raw_exchange_data!$1:$1,0)-1))</f>
        <v>44937.666669409722</v>
      </c>
      <c r="T271" s="161">
        <v>1</v>
      </c>
      <c r="W271" t="str">
        <f t="shared" si="22"/>
        <v>HUBI</v>
      </c>
      <c r="X271" t="str">
        <f t="shared" si="23"/>
        <v>XLM</v>
      </c>
      <c r="Y271" s="42">
        <f t="shared" si="24"/>
        <v>0.55556267999999998</v>
      </c>
      <c r="Z271" s="42">
        <f t="shared" ca="1" si="25"/>
        <v>0.55556267999999998</v>
      </c>
    </row>
    <row r="272" spans="1:26" x14ac:dyDescent="0.25">
      <c r="A272" t="str">
        <f>IF(Summary_Exchange_Balances_00UTC!$B271="","",Summary_Exchange_Balances_00UTC!$N271)</f>
        <v>HUBI</v>
      </c>
      <c r="B272" t="str">
        <f>IF(Summary_Exchange_Balances_00UTC!$B271="","",Summary_Exchange_Balances_00UTC!$B271)</f>
        <v>HUBI-E</v>
      </c>
      <c r="C272" t="str">
        <f>IF(Summary_Exchange_Balances_00UTC!$B271="","",Summary_Exchange_Balances_00UTC!$E271)</f>
        <v>XRP</v>
      </c>
      <c r="D272" t="str">
        <f>IF(OR(Summary_Exchange_Balances_00UTC!$B271="",Summary_Exchange_Balances_00UTC!$D271=""),"",Summary_Exchange_Balances_00UTC!$D271)</f>
        <v/>
      </c>
      <c r="E272" s="52">
        <f>IF(Summary_Exchange_Balances_00UTC!$B271="","",Summary_Exchange_Balances_00UTC!$C271)</f>
        <v>351.63120758000002</v>
      </c>
      <c r="G272" s="52">
        <f ca="1">IF(Summary_Exchange_Balances_00UTC!$B271="","",VLOOKUP(IF(ISERROR(SEARCH(" ", $B272)),UPPER($B272&amp;$C272&amp;IF(OR(NOT(ISERROR(SEARCH("trade",$D272))),NOT(ISERROR(SEARCH("balance",$D272)))),"",$D272)),UPPER(LEFT($B272, SEARCH(" ",$B272)-1)&amp;$C272&amp;IF(OR(NOT(ISERROR(SEARCH("trade",$D272))),NOT(ISERROR(SEARCH("balance",$D272)))),"",$D272))),$L:$T,MATCH("balance",$L$2:$S$2,0),FALSE))</f>
        <v>1045.2618095800001</v>
      </c>
      <c r="H272" s="35">
        <f ca="1">IF(Summary_Exchange_Balances_00UTC!$B271="","",(G272-E272)/E272)</f>
        <v>1.9726081958814516</v>
      </c>
      <c r="I272" s="165">
        <f ca="1">IF(Summary_Exchange_Balances_00UTC!$B271="","",IF(ISERROR($G272),$E272,$G272))</f>
        <v>1045.2618095800001</v>
      </c>
      <c r="K272" t="str">
        <f t="shared" ca="1" si="20"/>
        <v>HUBIGAS</v>
      </c>
      <c r="L272" t="str">
        <f t="shared" ca="1" si="21"/>
        <v>HUBI-EGAS</v>
      </c>
      <c r="N272" s="161" t="str">
        <f ca="1">IF(raw_exchange_data!$A271="","",OFFSET(raw_exchange_data!$A271,0,MATCH(N$2,raw_exchange_data!$1:$1,0)-1))</f>
        <v>GAS</v>
      </c>
      <c r="O272" s="161" t="str">
        <f ca="1">IF(raw_exchange_data!$A271="","",OFFSET(raw_exchange_data!$A271,0,MATCH(O$2,raw_exchange_data!$1:$1,0)-1))</f>
        <v>HUBI</v>
      </c>
      <c r="P272" s="161" t="str">
        <f ca="1">IF(raw_exchange_data!$A271="","",OFFSET(raw_exchange_data!$A271,0,MATCH(P$2,raw_exchange_data!$1:$1,0)-1))</f>
        <v>HUBI-E</v>
      </c>
      <c r="Q272" s="161" t="str">
        <f ca="1">IF(raw_exchange_data!$A271="","",TEXT(OFFSET(raw_exchange_data!$A271,0,MATCH(Q$2,raw_exchange_data!$1:$1,0)-1),""))</f>
        <v/>
      </c>
      <c r="R272" s="162">
        <f ca="1">IF(raw_exchange_data!$A271="","",OFFSET(raw_exchange_data!$A271,0,MATCH(R$2,raw_exchange_data!$1:$1,0)-1))</f>
        <v>54.776400000000002</v>
      </c>
      <c r="S272" s="190">
        <f ca="1">IF(raw_exchange_data!$A271="","",OFFSET(raw_exchange_data!$A271,0,MATCH(S$2,raw_exchange_data!$1:$1,0)-1))</f>
        <v>44937.666669409722</v>
      </c>
      <c r="T272" s="161">
        <v>1</v>
      </c>
      <c r="W272" t="str">
        <f t="shared" si="22"/>
        <v>HUBI</v>
      </c>
      <c r="X272" t="str">
        <f t="shared" si="23"/>
        <v>XRP</v>
      </c>
      <c r="Y272" s="42">
        <f t="shared" si="24"/>
        <v>351.63120758000002</v>
      </c>
      <c r="Z272" s="42">
        <f t="shared" ca="1" si="25"/>
        <v>1045.2618095800001</v>
      </c>
    </row>
    <row r="273" spans="1:26" x14ac:dyDescent="0.25">
      <c r="A273" t="str">
        <f>IF(Summary_Exchange_Balances_00UTC!$B272="","",Summary_Exchange_Balances_00UTC!$N272)</f>
        <v>HUBI</v>
      </c>
      <c r="B273" t="str">
        <f>IF(Summary_Exchange_Balances_00UTC!$B272="","",Summary_Exchange_Balances_00UTC!$B272)</f>
        <v>HUBI-E</v>
      </c>
      <c r="C273" t="str">
        <f>IF(Summary_Exchange_Balances_00UTC!$B272="","",Summary_Exchange_Balances_00UTC!$E272)</f>
        <v>XTZ</v>
      </c>
      <c r="D273" t="str">
        <f>IF(OR(Summary_Exchange_Balances_00UTC!$B272="",Summary_Exchange_Balances_00UTC!$D272=""),"",Summary_Exchange_Balances_00UTC!$D272)</f>
        <v/>
      </c>
      <c r="E273" s="52">
        <f>IF(Summary_Exchange_Balances_00UTC!$B272="","",Summary_Exchange_Balances_00UTC!$C272)</f>
        <v>3.9304560899999998</v>
      </c>
      <c r="G273" s="52">
        <f ca="1">IF(Summary_Exchange_Balances_00UTC!$B272="","",VLOOKUP(IF(ISERROR(SEARCH(" ", $B273)),UPPER($B273&amp;$C273&amp;IF(OR(NOT(ISERROR(SEARCH("trade",$D273))),NOT(ISERROR(SEARCH("balance",$D273)))),"",$D273)),UPPER(LEFT($B273, SEARCH(" ",$B273)-1)&amp;$C273&amp;IF(OR(NOT(ISERROR(SEARCH("trade",$D273))),NOT(ISERROR(SEARCH("balance",$D273)))),"",$D273))),$L:$T,MATCH("balance",$L$2:$S$2,0),FALSE))</f>
        <v>3.9304560899999998</v>
      </c>
      <c r="H273" s="35">
        <f ca="1">IF(Summary_Exchange_Balances_00UTC!$B272="","",(G273-E273)/E273)</f>
        <v>0</v>
      </c>
      <c r="I273" s="165">
        <f ca="1">IF(Summary_Exchange_Balances_00UTC!$B272="","",IF(ISERROR($G273),$E273,$G273))</f>
        <v>3.9304560899999998</v>
      </c>
      <c r="K273" t="str">
        <f t="shared" ca="1" si="20"/>
        <v>HUBIHBAR</v>
      </c>
      <c r="L273" t="str">
        <f t="shared" ca="1" si="21"/>
        <v>HUBI-EHBAR</v>
      </c>
      <c r="N273" s="161" t="str">
        <f ca="1">IF(raw_exchange_data!$A272="","",OFFSET(raw_exchange_data!$A272,0,MATCH(N$2,raw_exchange_data!$1:$1,0)-1))</f>
        <v>HBAR</v>
      </c>
      <c r="O273" s="161" t="str">
        <f ca="1">IF(raw_exchange_data!$A272="","",OFFSET(raw_exchange_data!$A272,0,MATCH(O$2,raw_exchange_data!$1:$1,0)-1))</f>
        <v>HUBI</v>
      </c>
      <c r="P273" s="161" t="str">
        <f ca="1">IF(raw_exchange_data!$A272="","",OFFSET(raw_exchange_data!$A272,0,MATCH(P$2,raw_exchange_data!$1:$1,0)-1))</f>
        <v>HUBI-E</v>
      </c>
      <c r="Q273" s="161" t="str">
        <f ca="1">IF(raw_exchange_data!$A272="","",TEXT(OFFSET(raw_exchange_data!$A272,0,MATCH(Q$2,raw_exchange_data!$1:$1,0)-1),""))</f>
        <v/>
      </c>
      <c r="R273" s="162">
        <f ca="1">IF(raw_exchange_data!$A272="","",OFFSET(raw_exchange_data!$A272,0,MATCH(R$2,raw_exchange_data!$1:$1,0)-1))</f>
        <v>3.4060489999999999E-2</v>
      </c>
      <c r="S273" s="190">
        <f ca="1">IF(raw_exchange_data!$A272="","",OFFSET(raw_exchange_data!$A272,0,MATCH(S$2,raw_exchange_data!$1:$1,0)-1))</f>
        <v>44937.666669409722</v>
      </c>
      <c r="T273" s="161">
        <v>1</v>
      </c>
      <c r="W273" t="str">
        <f t="shared" si="22"/>
        <v>HUBI</v>
      </c>
      <c r="X273" t="str">
        <f t="shared" si="23"/>
        <v>XTZ</v>
      </c>
      <c r="Y273" s="42">
        <f t="shared" si="24"/>
        <v>3.9304560899999998</v>
      </c>
      <c r="Z273" s="42">
        <f t="shared" ca="1" si="25"/>
        <v>3.9304560899999998</v>
      </c>
    </row>
    <row r="274" spans="1:26" x14ac:dyDescent="0.25">
      <c r="A274" t="str">
        <f>IF(Summary_Exchange_Balances_00UTC!$B273="","",Summary_Exchange_Balances_00UTC!$N273)</f>
        <v>HUBI</v>
      </c>
      <c r="B274" t="str">
        <f>IF(Summary_Exchange_Balances_00UTC!$B273="","",Summary_Exchange_Balances_00UTC!$B273)</f>
        <v>HUBI-E</v>
      </c>
      <c r="C274" t="str">
        <f>IF(Summary_Exchange_Balances_00UTC!$B273="","",Summary_Exchange_Balances_00UTC!$E273)</f>
        <v>YFII</v>
      </c>
      <c r="D274" t="str">
        <f>IF(OR(Summary_Exchange_Balances_00UTC!$B273="",Summary_Exchange_Balances_00UTC!$D273=""),"",Summary_Exchange_Balances_00UTC!$D273)</f>
        <v/>
      </c>
      <c r="E274" s="52">
        <f>IF(Summary_Exchange_Balances_00UTC!$B273="","",Summary_Exchange_Balances_00UTC!$C273)</f>
        <v>1.329583E-2</v>
      </c>
      <c r="G274" s="52">
        <f ca="1">IF(Summary_Exchange_Balances_00UTC!$B273="","",VLOOKUP(IF(ISERROR(SEARCH(" ", $B274)),UPPER($B274&amp;$C274&amp;IF(OR(NOT(ISERROR(SEARCH("trade",$D274))),NOT(ISERROR(SEARCH("balance",$D274)))),"",$D274)),UPPER(LEFT($B274, SEARCH(" ",$B274)-1)&amp;$C274&amp;IF(OR(NOT(ISERROR(SEARCH("trade",$D274))),NOT(ISERROR(SEARCH("balance",$D274)))),"",$D274))),$L:$T,MATCH("balance",$L$2:$S$2,0),FALSE))</f>
        <v>1.329583E-2</v>
      </c>
      <c r="H274" s="35">
        <f ca="1">IF(Summary_Exchange_Balances_00UTC!$B273="","",(G274-E274)/E274)</f>
        <v>0</v>
      </c>
      <c r="I274" s="165">
        <f ca="1">IF(Summary_Exchange_Balances_00UTC!$B273="","",IF(ISERROR($G274),$E274,$G274))</f>
        <v>1.329583E-2</v>
      </c>
      <c r="K274" t="str">
        <f t="shared" ca="1" si="20"/>
        <v>HUBIHPT</v>
      </c>
      <c r="L274" t="str">
        <f t="shared" ca="1" si="21"/>
        <v>HUBI-EHPT</v>
      </c>
      <c r="N274" s="161" t="str">
        <f ca="1">IF(raw_exchange_data!$A273="","",OFFSET(raw_exchange_data!$A273,0,MATCH(N$2,raw_exchange_data!$1:$1,0)-1))</f>
        <v>HPT</v>
      </c>
      <c r="O274" s="161" t="str">
        <f ca="1">IF(raw_exchange_data!$A273="","",OFFSET(raw_exchange_data!$A273,0,MATCH(O$2,raw_exchange_data!$1:$1,0)-1))</f>
        <v>HUBI</v>
      </c>
      <c r="P274" s="161" t="str">
        <f ca="1">IF(raw_exchange_data!$A273="","",OFFSET(raw_exchange_data!$A273,0,MATCH(P$2,raw_exchange_data!$1:$1,0)-1))</f>
        <v>HUBI-E</v>
      </c>
      <c r="Q274" s="161" t="str">
        <f ca="1">IF(raw_exchange_data!$A273="","",TEXT(OFFSET(raw_exchange_data!$A273,0,MATCH(Q$2,raw_exchange_data!$1:$1,0)-1),""))</f>
        <v/>
      </c>
      <c r="R274" s="162">
        <f ca="1">IF(raw_exchange_data!$A273="","",OFFSET(raw_exchange_data!$A273,0,MATCH(R$2,raw_exchange_data!$1:$1,0)-1))</f>
        <v>5337.6979873099999</v>
      </c>
      <c r="S274" s="190">
        <f ca="1">IF(raw_exchange_data!$A273="","",OFFSET(raw_exchange_data!$A273,0,MATCH(S$2,raw_exchange_data!$1:$1,0)-1))</f>
        <v>44937.666669409722</v>
      </c>
      <c r="T274" s="161">
        <v>1</v>
      </c>
      <c r="W274" t="str">
        <f t="shared" si="22"/>
        <v>HUBI</v>
      </c>
      <c r="X274" t="str">
        <f t="shared" si="23"/>
        <v>YFII</v>
      </c>
      <c r="Y274" s="42">
        <f t="shared" si="24"/>
        <v>1.329583E-2</v>
      </c>
      <c r="Z274" s="42">
        <f t="shared" ca="1" si="25"/>
        <v>1.329583E-2</v>
      </c>
    </row>
    <row r="275" spans="1:26" x14ac:dyDescent="0.25">
      <c r="A275" t="str">
        <f>IF(Summary_Exchange_Balances_00UTC!$B274="","",Summary_Exchange_Balances_00UTC!$N274)</f>
        <v>HUBI</v>
      </c>
      <c r="B275" t="str">
        <f>IF(Summary_Exchange_Balances_00UTC!$B274="","",Summary_Exchange_Balances_00UTC!$B274)</f>
        <v>HUBI-E</v>
      </c>
      <c r="C275" t="str">
        <f>IF(Summary_Exchange_Balances_00UTC!$B274="","",Summary_Exchange_Balances_00UTC!$E274)</f>
        <v>ZEC</v>
      </c>
      <c r="D275" t="str">
        <f>IF(OR(Summary_Exchange_Balances_00UTC!$B274="",Summary_Exchange_Balances_00UTC!$D274=""),"",Summary_Exchange_Balances_00UTC!$D274)</f>
        <v/>
      </c>
      <c r="E275" s="53">
        <f>IF(Summary_Exchange_Balances_00UTC!$B274="","",Summary_Exchange_Balances_00UTC!$C274)</f>
        <v>2.173E-4</v>
      </c>
      <c r="G275" s="52">
        <f ca="1">IF(Summary_Exchange_Balances_00UTC!$B274="","",VLOOKUP(IF(ISERROR(SEARCH(" ", $B275)),UPPER($B275&amp;$C275&amp;IF(OR(NOT(ISERROR(SEARCH("trade",$D275))),NOT(ISERROR(SEARCH("balance",$D275)))),"",$D275)),UPPER(LEFT($B275, SEARCH(" ",$B275)-1)&amp;$C275&amp;IF(OR(NOT(ISERROR(SEARCH("trade",$D275))),NOT(ISERROR(SEARCH("balance",$D275)))),"",$D275))),$L:$T,MATCH("balance",$L$2:$S$2,0),FALSE))</f>
        <v>2.173E-4</v>
      </c>
      <c r="H275" s="35">
        <f ca="1">IF(Summary_Exchange_Balances_00UTC!$B274="","",(G275-E275)/E275)</f>
        <v>0</v>
      </c>
      <c r="I275" s="165">
        <f ca="1">IF(Summary_Exchange_Balances_00UTC!$B274="","",IF(ISERROR($G275),$E275,$G275))</f>
        <v>2.173E-4</v>
      </c>
      <c r="K275" t="str">
        <f t="shared" ca="1" si="20"/>
        <v>HUBIHT</v>
      </c>
      <c r="L275" t="str">
        <f t="shared" ca="1" si="21"/>
        <v>HUBI-EHT</v>
      </c>
      <c r="N275" s="161" t="str">
        <f ca="1">IF(raw_exchange_data!$A274="","",OFFSET(raw_exchange_data!$A274,0,MATCH(N$2,raw_exchange_data!$1:$1,0)-1))</f>
        <v>HT</v>
      </c>
      <c r="O275" s="161" t="str">
        <f ca="1">IF(raw_exchange_data!$A274="","",OFFSET(raw_exchange_data!$A274,0,MATCH(O$2,raw_exchange_data!$1:$1,0)-1))</f>
        <v>HUBI</v>
      </c>
      <c r="P275" s="161" t="str">
        <f ca="1">IF(raw_exchange_data!$A274="","",OFFSET(raw_exchange_data!$A274,0,MATCH(P$2,raw_exchange_data!$1:$1,0)-1))</f>
        <v>HUBI-E</v>
      </c>
      <c r="Q275" s="161" t="str">
        <f ca="1">IF(raw_exchange_data!$A274="","",TEXT(OFFSET(raw_exchange_data!$A274,0,MATCH(Q$2,raw_exchange_data!$1:$1,0)-1),""))</f>
        <v/>
      </c>
      <c r="R275" s="162">
        <f ca="1">IF(raw_exchange_data!$A274="","",OFFSET(raw_exchange_data!$A274,0,MATCH(R$2,raw_exchange_data!$1:$1,0)-1))</f>
        <v>1649.1605055099999</v>
      </c>
      <c r="S275" s="190">
        <f ca="1">IF(raw_exchange_data!$A274="","",OFFSET(raw_exchange_data!$A274,0,MATCH(S$2,raw_exchange_data!$1:$1,0)-1))</f>
        <v>44937.666669409722</v>
      </c>
      <c r="T275" s="161">
        <v>1</v>
      </c>
      <c r="W275" t="str">
        <f t="shared" si="22"/>
        <v>HUBI</v>
      </c>
      <c r="X275" t="str">
        <f t="shared" si="23"/>
        <v>ZEC</v>
      </c>
      <c r="Y275" s="42">
        <f t="shared" si="24"/>
        <v>2.173E-4</v>
      </c>
      <c r="Z275" s="42">
        <f t="shared" ca="1" si="25"/>
        <v>2.173E-4</v>
      </c>
    </row>
    <row r="276" spans="1:26" x14ac:dyDescent="0.25">
      <c r="A276" t="str">
        <f>IF(Summary_Exchange_Balances_00UTC!$B275="","",Summary_Exchange_Balances_00UTC!$N275)</f>
        <v>HUBI</v>
      </c>
      <c r="B276" t="str">
        <f>IF(Summary_Exchange_Balances_00UTC!$B275="","",Summary_Exchange_Balances_00UTC!$B275)</f>
        <v>HUBI-E</v>
      </c>
      <c r="C276" t="str">
        <f>IF(Summary_Exchange_Balances_00UTC!$B275="","",Summary_Exchange_Balances_00UTC!$E275)</f>
        <v>ZIL</v>
      </c>
      <c r="D276" t="str">
        <f>IF(OR(Summary_Exchange_Balances_00UTC!$B275="",Summary_Exchange_Balances_00UTC!$D275=""),"",Summary_Exchange_Balances_00UTC!$D275)</f>
        <v/>
      </c>
      <c r="E276" s="53">
        <f>IF(Summary_Exchange_Balances_00UTC!$B275="","",Summary_Exchange_Balances_00UTC!$C275)</f>
        <v>1471148.6227112999</v>
      </c>
      <c r="G276" s="52">
        <f ca="1">IF(Summary_Exchange_Balances_00UTC!$B275="","",VLOOKUP(IF(ISERROR(SEARCH(" ", $B276)),UPPER($B276&amp;$C276&amp;IF(OR(NOT(ISERROR(SEARCH("trade",$D276))),NOT(ISERROR(SEARCH("balance",$D276)))),"",$D276)),UPPER(LEFT($B276, SEARCH(" ",$B276)-1)&amp;$C276&amp;IF(OR(NOT(ISERROR(SEARCH("trade",$D276))),NOT(ISERROR(SEARCH("balance",$D276)))),"",$D276))),$L:$T,MATCH("balance",$L$2:$S$2,0),FALSE))</f>
        <v>1426199.50302384</v>
      </c>
      <c r="H276" s="35">
        <f ca="1">IF(Summary_Exchange_Balances_00UTC!$B275="","",(G276-E276)/E276)</f>
        <v>-3.0553758467053788E-2</v>
      </c>
      <c r="I276" s="165">
        <f ca="1">IF(Summary_Exchange_Balances_00UTC!$B275="","",IF(ISERROR($G276),$E276,$G276))</f>
        <v>1426199.50302384</v>
      </c>
      <c r="K276" t="str">
        <f t="shared" ca="1" si="20"/>
        <v>HUBIIOST</v>
      </c>
      <c r="L276" t="str">
        <f t="shared" ca="1" si="21"/>
        <v>HUBI-EIOST</v>
      </c>
      <c r="N276" s="161" t="str">
        <f ca="1">IF(raw_exchange_data!$A275="","",OFFSET(raw_exchange_data!$A275,0,MATCH(N$2,raw_exchange_data!$1:$1,0)-1))</f>
        <v>IOST</v>
      </c>
      <c r="O276" s="161" t="str">
        <f ca="1">IF(raw_exchange_data!$A275="","",OFFSET(raw_exchange_data!$A275,0,MATCH(O$2,raw_exchange_data!$1:$1,0)-1))</f>
        <v>HUBI</v>
      </c>
      <c r="P276" s="161" t="str">
        <f ca="1">IF(raw_exchange_data!$A275="","",OFFSET(raw_exchange_data!$A275,0,MATCH(P$2,raw_exchange_data!$1:$1,0)-1))</f>
        <v>HUBI-E</v>
      </c>
      <c r="Q276" s="161" t="str">
        <f ca="1">IF(raw_exchange_data!$A275="","",TEXT(OFFSET(raw_exchange_data!$A275,0,MATCH(Q$2,raw_exchange_data!$1:$1,0)-1),""))</f>
        <v/>
      </c>
      <c r="R276" s="162">
        <f ca="1">IF(raw_exchange_data!$A275="","",OFFSET(raw_exchange_data!$A275,0,MATCH(R$2,raw_exchange_data!$1:$1,0)-1))</f>
        <v>14.785856219999999</v>
      </c>
      <c r="S276" s="190">
        <f ca="1">IF(raw_exchange_data!$A275="","",OFFSET(raw_exchange_data!$A275,0,MATCH(S$2,raw_exchange_data!$1:$1,0)-1))</f>
        <v>44937.666669409722</v>
      </c>
      <c r="T276" s="161">
        <v>1</v>
      </c>
      <c r="W276" t="str">
        <f t="shared" si="22"/>
        <v>HUBI</v>
      </c>
      <c r="X276" t="str">
        <f t="shared" si="23"/>
        <v>ZIL</v>
      </c>
      <c r="Y276" s="42">
        <f t="shared" si="24"/>
        <v>1471148.6227112999</v>
      </c>
      <c r="Z276" s="42">
        <f t="shared" ca="1" si="25"/>
        <v>1426199.50302384</v>
      </c>
    </row>
    <row r="277" spans="1:26" x14ac:dyDescent="0.25">
      <c r="A277" t="str">
        <f>IF(Summary_Exchange_Balances_00UTC!$B276="","",Summary_Exchange_Balances_00UTC!$N276)</f>
        <v>HUBI</v>
      </c>
      <c r="B277" t="str">
        <f>IF(Summary_Exchange_Balances_00UTC!$B276="","",Summary_Exchange_Balances_00UTC!$B276)</f>
        <v>HUBI-M</v>
      </c>
      <c r="C277" t="str">
        <f>IF(Summary_Exchange_Balances_00UTC!$B276="","",Summary_Exchange_Balances_00UTC!$E276)</f>
        <v>BCH</v>
      </c>
      <c r="D277" t="str">
        <f>IF(OR(Summary_Exchange_Balances_00UTC!$B276="",Summary_Exchange_Balances_00UTC!$D276=""),"",Summary_Exchange_Balances_00UTC!$D276)</f>
        <v/>
      </c>
      <c r="E277" s="53">
        <f>IF(Summary_Exchange_Balances_00UTC!$B276="","",Summary_Exchange_Balances_00UTC!$C276)</f>
        <v>1E-8</v>
      </c>
      <c r="G277" s="52">
        <f ca="1">IF(Summary_Exchange_Balances_00UTC!$B276="","",VLOOKUP(IF(ISERROR(SEARCH(" ", $B277)),UPPER($B277&amp;$C277&amp;IF(OR(NOT(ISERROR(SEARCH("trade",$D277))),NOT(ISERROR(SEARCH("balance",$D277)))),"",$D277)),UPPER(LEFT($B277, SEARCH(" ",$B277)-1)&amp;$C277&amp;IF(OR(NOT(ISERROR(SEARCH("trade",$D277))),NOT(ISERROR(SEARCH("balance",$D277)))),"",$D277))),$L:$T,MATCH("balance",$L$2:$S$2,0),FALSE))</f>
        <v>1E-8</v>
      </c>
      <c r="H277" s="35">
        <f ca="1">IF(Summary_Exchange_Balances_00UTC!$B276="","",(G277-E277)/E277)</f>
        <v>0</v>
      </c>
      <c r="I277" s="165">
        <f ca="1">IF(Summary_Exchange_Balances_00UTC!$B276="","",IF(ISERROR($G277),$E277,$G277))</f>
        <v>1E-8</v>
      </c>
      <c r="K277" t="str">
        <f t="shared" ca="1" si="20"/>
        <v>HUBIIRIS</v>
      </c>
      <c r="L277" t="str">
        <f t="shared" ca="1" si="21"/>
        <v>HUBI-EIRIS</v>
      </c>
      <c r="N277" s="161" t="str">
        <f ca="1">IF(raw_exchange_data!$A276="","",OFFSET(raw_exchange_data!$A276,0,MATCH(N$2,raw_exchange_data!$1:$1,0)-1))</f>
        <v>IRIS</v>
      </c>
      <c r="O277" s="161" t="str">
        <f ca="1">IF(raw_exchange_data!$A276="","",OFFSET(raw_exchange_data!$A276,0,MATCH(O$2,raw_exchange_data!$1:$1,0)-1))</f>
        <v>HUBI</v>
      </c>
      <c r="P277" s="161" t="str">
        <f ca="1">IF(raw_exchange_data!$A276="","",OFFSET(raw_exchange_data!$A276,0,MATCH(P$2,raw_exchange_data!$1:$1,0)-1))</f>
        <v>HUBI-E</v>
      </c>
      <c r="Q277" s="161" t="str">
        <f ca="1">IF(raw_exchange_data!$A276="","",TEXT(OFFSET(raw_exchange_data!$A276,0,MATCH(Q$2,raw_exchange_data!$1:$1,0)-1),""))</f>
        <v/>
      </c>
      <c r="R277" s="162">
        <f ca="1">IF(raw_exchange_data!$A276="","",OFFSET(raw_exchange_data!$A276,0,MATCH(R$2,raw_exchange_data!$1:$1,0)-1))</f>
        <v>0.81765067999999996</v>
      </c>
      <c r="S277" s="190">
        <f ca="1">IF(raw_exchange_data!$A276="","",OFFSET(raw_exchange_data!$A276,0,MATCH(S$2,raw_exchange_data!$1:$1,0)-1))</f>
        <v>44937.666669409722</v>
      </c>
      <c r="T277" s="161">
        <v>1</v>
      </c>
      <c r="W277" t="str">
        <f t="shared" si="22"/>
        <v>HUBI</v>
      </c>
      <c r="X277" t="str">
        <f t="shared" si="23"/>
        <v>BCH</v>
      </c>
      <c r="Y277" s="42">
        <f t="shared" si="24"/>
        <v>1E-8</v>
      </c>
      <c r="Z277" s="42">
        <f t="shared" ca="1" si="25"/>
        <v>1E-8</v>
      </c>
    </row>
    <row r="278" spans="1:26" x14ac:dyDescent="0.25">
      <c r="A278" t="str">
        <f>IF(Summary_Exchange_Balances_00UTC!$B277="","",Summary_Exchange_Balances_00UTC!$N277)</f>
        <v>HUBI</v>
      </c>
      <c r="B278" t="str">
        <f>IF(Summary_Exchange_Balances_00UTC!$B277="","",Summary_Exchange_Balances_00UTC!$B277)</f>
        <v>HUBI-M</v>
      </c>
      <c r="C278" t="str">
        <f>IF(Summary_Exchange_Balances_00UTC!$B277="","",Summary_Exchange_Balances_00UTC!$E277)</f>
        <v>ETC</v>
      </c>
      <c r="D278" t="str">
        <f>IF(OR(Summary_Exchange_Balances_00UTC!$B277="",Summary_Exchange_Balances_00UTC!$D277=""),"",Summary_Exchange_Balances_00UTC!$D277)</f>
        <v/>
      </c>
      <c r="E278" s="53">
        <f>IF(Summary_Exchange_Balances_00UTC!$B277="","",Summary_Exchange_Balances_00UTC!$C277)</f>
        <v>1E-8</v>
      </c>
      <c r="G278" s="52">
        <f ca="1">IF(Summary_Exchange_Balances_00UTC!$B277="","",VLOOKUP(IF(ISERROR(SEARCH(" ", $B278)),UPPER($B278&amp;$C278&amp;IF(OR(NOT(ISERROR(SEARCH("trade",$D278))),NOT(ISERROR(SEARCH("balance",$D278)))),"",$D278)),UPPER(LEFT($B278, SEARCH(" ",$B278)-1)&amp;$C278&amp;IF(OR(NOT(ISERROR(SEARCH("trade",$D278))),NOT(ISERROR(SEARCH("balance",$D278)))),"",$D278))),$L:$T,MATCH("balance",$L$2:$S$2,0),FALSE))</f>
        <v>1E-8</v>
      </c>
      <c r="H278" s="35">
        <f ca="1">IF(Summary_Exchange_Balances_00UTC!$B277="","",(G278-E278)/E278)</f>
        <v>0</v>
      </c>
      <c r="I278" s="165">
        <f ca="1">IF(Summary_Exchange_Balances_00UTC!$B277="","",IF(ISERROR($G278),$E278,$G278))</f>
        <v>1E-8</v>
      </c>
      <c r="K278" t="str">
        <f t="shared" ca="1" si="20"/>
        <v>HUBIJST</v>
      </c>
      <c r="L278" t="str">
        <f t="shared" ca="1" si="21"/>
        <v>HUBI-EJST</v>
      </c>
      <c r="N278" s="161" t="str">
        <f ca="1">IF(raw_exchange_data!$A277="","",OFFSET(raw_exchange_data!$A277,0,MATCH(N$2,raw_exchange_data!$1:$1,0)-1))</f>
        <v>JST</v>
      </c>
      <c r="O278" s="161" t="str">
        <f ca="1">IF(raw_exchange_data!$A277="","",OFFSET(raw_exchange_data!$A277,0,MATCH(O$2,raw_exchange_data!$1:$1,0)-1))</f>
        <v>HUBI</v>
      </c>
      <c r="P278" s="161" t="str">
        <f ca="1">IF(raw_exchange_data!$A277="","",OFFSET(raw_exchange_data!$A277,0,MATCH(P$2,raw_exchange_data!$1:$1,0)-1))</f>
        <v>HUBI-E</v>
      </c>
      <c r="Q278" s="161" t="str">
        <f ca="1">IF(raw_exchange_data!$A277="","",TEXT(OFFSET(raw_exchange_data!$A277,0,MATCH(Q$2,raw_exchange_data!$1:$1,0)-1),""))</f>
        <v/>
      </c>
      <c r="R278" s="162">
        <f ca="1">IF(raw_exchange_data!$A277="","",OFFSET(raw_exchange_data!$A277,0,MATCH(R$2,raw_exchange_data!$1:$1,0)-1))</f>
        <v>9.1121815000000002</v>
      </c>
      <c r="S278" s="190">
        <f ca="1">IF(raw_exchange_data!$A277="","",OFFSET(raw_exchange_data!$A277,0,MATCH(S$2,raw_exchange_data!$1:$1,0)-1))</f>
        <v>44937.666669409722</v>
      </c>
      <c r="T278" s="161">
        <v>1</v>
      </c>
      <c r="W278" t="str">
        <f t="shared" si="22"/>
        <v>HUBI</v>
      </c>
      <c r="X278" t="str">
        <f t="shared" si="23"/>
        <v>ETC</v>
      </c>
      <c r="Y278" s="42">
        <f t="shared" si="24"/>
        <v>1E-8</v>
      </c>
      <c r="Z278" s="42">
        <f t="shared" ca="1" si="25"/>
        <v>1E-8</v>
      </c>
    </row>
    <row r="279" spans="1:26" x14ac:dyDescent="0.25">
      <c r="A279" t="str">
        <f>IF(Summary_Exchange_Balances_00UTC!$B278="","",Summary_Exchange_Balances_00UTC!$N278)</f>
        <v>HUBI</v>
      </c>
      <c r="B279" t="str">
        <f>IF(Summary_Exchange_Balances_00UTC!$B278="","",Summary_Exchange_Balances_00UTC!$B278)</f>
        <v>HUBI-M</v>
      </c>
      <c r="C279" t="str">
        <f>IF(Summary_Exchange_Balances_00UTC!$B278="","",Summary_Exchange_Balances_00UTC!$E278)</f>
        <v>LTC</v>
      </c>
      <c r="D279" t="str">
        <f>IF(OR(Summary_Exchange_Balances_00UTC!$B278="",Summary_Exchange_Balances_00UTC!$D278=""),"",Summary_Exchange_Balances_00UTC!$D278)</f>
        <v/>
      </c>
      <c r="E279" s="53">
        <f>IF(Summary_Exchange_Balances_00UTC!$B278="","",Summary_Exchange_Balances_00UTC!$C278)</f>
        <v>1E-8</v>
      </c>
      <c r="G279" s="52">
        <f ca="1">IF(Summary_Exchange_Balances_00UTC!$B278="","",VLOOKUP(IF(ISERROR(SEARCH(" ", $B279)),UPPER($B279&amp;$C279&amp;IF(OR(NOT(ISERROR(SEARCH("trade",$D279))),NOT(ISERROR(SEARCH("balance",$D279)))),"",$D279)),UPPER(LEFT($B279, SEARCH(" ",$B279)-1)&amp;$C279&amp;IF(OR(NOT(ISERROR(SEARCH("trade",$D279))),NOT(ISERROR(SEARCH("balance",$D279)))),"",$D279))),$L:$T,MATCH("balance",$L$2:$S$2,0),FALSE))</f>
        <v>1E-8</v>
      </c>
      <c r="H279" s="35">
        <f ca="1">IF(Summary_Exchange_Balances_00UTC!$B278="","",(G279-E279)/E279)</f>
        <v>0</v>
      </c>
      <c r="I279" s="165">
        <f ca="1">IF(Summary_Exchange_Balances_00UTC!$B278="","",IF(ISERROR($G279),$E279,$G279))</f>
        <v>1E-8</v>
      </c>
      <c r="K279" t="str">
        <f t="shared" ca="1" si="20"/>
        <v>HUBIKSM</v>
      </c>
      <c r="L279" t="str">
        <f t="shared" ca="1" si="21"/>
        <v>HUBI-EKSM</v>
      </c>
      <c r="N279" s="161" t="str">
        <f ca="1">IF(raw_exchange_data!$A278="","",OFFSET(raw_exchange_data!$A278,0,MATCH(N$2,raw_exchange_data!$1:$1,0)-1))</f>
        <v>KSM</v>
      </c>
      <c r="O279" s="161" t="str">
        <f ca="1">IF(raw_exchange_data!$A278="","",OFFSET(raw_exchange_data!$A278,0,MATCH(O$2,raw_exchange_data!$1:$1,0)-1))</f>
        <v>HUBI</v>
      </c>
      <c r="P279" s="161" t="str">
        <f ca="1">IF(raw_exchange_data!$A278="","",OFFSET(raw_exchange_data!$A278,0,MATCH(P$2,raw_exchange_data!$1:$1,0)-1))</f>
        <v>HUBI-E</v>
      </c>
      <c r="Q279" s="161" t="str">
        <f ca="1">IF(raw_exchange_data!$A278="","",TEXT(OFFSET(raw_exchange_data!$A278,0,MATCH(Q$2,raw_exchange_data!$1:$1,0)-1),""))</f>
        <v/>
      </c>
      <c r="R279" s="162">
        <f ca="1">IF(raw_exchange_data!$A278="","",OFFSET(raw_exchange_data!$A278,0,MATCH(R$2,raw_exchange_data!$1:$1,0)-1))</f>
        <v>1.4966E-4</v>
      </c>
      <c r="S279" s="190">
        <f ca="1">IF(raw_exchange_data!$A278="","",OFFSET(raw_exchange_data!$A278,0,MATCH(S$2,raw_exchange_data!$1:$1,0)-1))</f>
        <v>44937.666669409722</v>
      </c>
      <c r="T279" s="161">
        <v>1</v>
      </c>
      <c r="W279" t="str">
        <f t="shared" si="22"/>
        <v>HUBI</v>
      </c>
      <c r="X279" t="str">
        <f t="shared" si="23"/>
        <v>LTC</v>
      </c>
      <c r="Y279" s="42">
        <f t="shared" si="24"/>
        <v>1E-8</v>
      </c>
      <c r="Z279" s="42">
        <f t="shared" ca="1" si="25"/>
        <v>1E-8</v>
      </c>
    </row>
    <row r="280" spans="1:26" x14ac:dyDescent="0.25">
      <c r="A280" t="str">
        <f>IF(Summary_Exchange_Balances_00UTC!$B279="","",Summary_Exchange_Balances_00UTC!$N279)</f>
        <v>HUBI</v>
      </c>
      <c r="B280" t="str">
        <f>IF(Summary_Exchange_Balances_00UTC!$B279="","",Summary_Exchange_Balances_00UTC!$B279)</f>
        <v>HUBI-M</v>
      </c>
      <c r="C280" t="str">
        <f>IF(Summary_Exchange_Balances_00UTC!$B279="","",Summary_Exchange_Balances_00UTC!$E279)</f>
        <v>TRX</v>
      </c>
      <c r="D280" t="str">
        <f>IF(OR(Summary_Exchange_Balances_00UTC!$B279="",Summary_Exchange_Balances_00UTC!$D279=""),"",Summary_Exchange_Balances_00UTC!$D279)</f>
        <v/>
      </c>
      <c r="E280" s="53">
        <f>IF(Summary_Exchange_Balances_00UTC!$B279="","",Summary_Exchange_Balances_00UTC!$C279)</f>
        <v>1E-8</v>
      </c>
      <c r="G280" s="52">
        <f ca="1">IF(Summary_Exchange_Balances_00UTC!$B279="","",VLOOKUP(IF(ISERROR(SEARCH(" ", $B280)),UPPER($B280&amp;$C280&amp;IF(OR(NOT(ISERROR(SEARCH("trade",$D280))),NOT(ISERROR(SEARCH("balance",$D280)))),"",$D280)),UPPER(LEFT($B280, SEARCH(" ",$B280)-1)&amp;$C280&amp;IF(OR(NOT(ISERROR(SEARCH("trade",$D280))),NOT(ISERROR(SEARCH("balance",$D280)))),"",$D280))),$L:$T,MATCH("balance",$L$2:$S$2,0),FALSE))</f>
        <v>1E-8</v>
      </c>
      <c r="H280" s="35">
        <f ca="1">IF(Summary_Exchange_Balances_00UTC!$B279="","",(G280-E280)/E280)</f>
        <v>0</v>
      </c>
      <c r="I280" s="165">
        <f ca="1">IF(Summary_Exchange_Balances_00UTC!$B279="","",IF(ISERROR($G280),$E280,$G280))</f>
        <v>1E-8</v>
      </c>
      <c r="K280" t="str">
        <f t="shared" ca="1" si="20"/>
        <v>HUBILAMB</v>
      </c>
      <c r="L280" t="str">
        <f t="shared" ca="1" si="21"/>
        <v>HUBI-ELAMB</v>
      </c>
      <c r="N280" s="161" t="str">
        <f ca="1">IF(raw_exchange_data!$A279="","",OFFSET(raw_exchange_data!$A279,0,MATCH(N$2,raw_exchange_data!$1:$1,0)-1))</f>
        <v>LAMB</v>
      </c>
      <c r="O280" s="161" t="str">
        <f ca="1">IF(raw_exchange_data!$A279="","",OFFSET(raw_exchange_data!$A279,0,MATCH(O$2,raw_exchange_data!$1:$1,0)-1))</f>
        <v>HUBI</v>
      </c>
      <c r="P280" s="161" t="str">
        <f ca="1">IF(raw_exchange_data!$A279="","",OFFSET(raw_exchange_data!$A279,0,MATCH(P$2,raw_exchange_data!$1:$1,0)-1))</f>
        <v>HUBI-E</v>
      </c>
      <c r="Q280" s="161" t="str">
        <f ca="1">IF(raw_exchange_data!$A279="","",TEXT(OFFSET(raw_exchange_data!$A279,0,MATCH(Q$2,raw_exchange_data!$1:$1,0)-1),""))</f>
        <v/>
      </c>
      <c r="R280" s="162">
        <f ca="1">IF(raw_exchange_data!$A279="","",OFFSET(raw_exchange_data!$A279,0,MATCH(R$2,raw_exchange_data!$1:$1,0)-1))</f>
        <v>0.24234807999999999</v>
      </c>
      <c r="S280" s="190">
        <f ca="1">IF(raw_exchange_data!$A279="","",OFFSET(raw_exchange_data!$A279,0,MATCH(S$2,raw_exchange_data!$1:$1,0)-1))</f>
        <v>44937.666669409722</v>
      </c>
      <c r="T280" s="161">
        <v>1</v>
      </c>
      <c r="W280" t="str">
        <f t="shared" si="22"/>
        <v>HUBI</v>
      </c>
      <c r="X280" t="str">
        <f t="shared" si="23"/>
        <v>TRX</v>
      </c>
      <c r="Y280" s="42">
        <f t="shared" si="24"/>
        <v>1E-8</v>
      </c>
      <c r="Z280" s="42">
        <f t="shared" ca="1" si="25"/>
        <v>1E-8</v>
      </c>
    </row>
    <row r="281" spans="1:26" x14ac:dyDescent="0.25">
      <c r="A281" t="str">
        <f>IF(Summary_Exchange_Balances_00UTC!$B280="","",Summary_Exchange_Balances_00UTC!$N280)</f>
        <v>HUBI</v>
      </c>
      <c r="B281" t="str">
        <f>IF(Summary_Exchange_Balances_00UTC!$B280="","",Summary_Exchange_Balances_00UTC!$B280)</f>
        <v>HUBI-M</v>
      </c>
      <c r="C281" t="str">
        <f>IF(Summary_Exchange_Balances_00UTC!$B280="","",Summary_Exchange_Balances_00UTC!$E280)</f>
        <v>USDT</v>
      </c>
      <c r="D281" t="str">
        <f>IF(OR(Summary_Exchange_Balances_00UTC!$B280="",Summary_Exchange_Balances_00UTC!$D280=""),"",Summary_Exchange_Balances_00UTC!$D280)</f>
        <v/>
      </c>
      <c r="E281" s="53">
        <f>IF(Summary_Exchange_Balances_00UTC!$B280="","",Summary_Exchange_Balances_00UTC!$C280)</f>
        <v>0.90999770000000002</v>
      </c>
      <c r="G281" s="52">
        <f ca="1">IF(Summary_Exchange_Balances_00UTC!$B280="","",VLOOKUP(IF(ISERROR(SEARCH(" ", $B281)),UPPER($B281&amp;$C281&amp;IF(OR(NOT(ISERROR(SEARCH("trade",$D281))),NOT(ISERROR(SEARCH("balance",$D281)))),"",$D281)),UPPER(LEFT($B281, SEARCH(" ",$B281)-1)&amp;$C281&amp;IF(OR(NOT(ISERROR(SEARCH("trade",$D281))),NOT(ISERROR(SEARCH("balance",$D281)))),"",$D281))),$L:$T,MATCH("balance",$L$2:$S$2,0),FALSE))</f>
        <v>0.90999770000000002</v>
      </c>
      <c r="H281" s="35">
        <f ca="1">IF(Summary_Exchange_Balances_00UTC!$B280="","",(G281-E281)/E281)</f>
        <v>0</v>
      </c>
      <c r="I281" s="165">
        <f ca="1">IF(Summary_Exchange_Balances_00UTC!$B280="","",IF(ISERROR($G281),$E281,$G281))</f>
        <v>0.90999770000000002</v>
      </c>
      <c r="K281" t="str">
        <f t="shared" ca="1" si="20"/>
        <v>HUBILEND</v>
      </c>
      <c r="L281" t="str">
        <f t="shared" ca="1" si="21"/>
        <v>HUBI-ELEND</v>
      </c>
      <c r="N281" s="161" t="str">
        <f ca="1">IF(raw_exchange_data!$A280="","",OFFSET(raw_exchange_data!$A280,0,MATCH(N$2,raw_exchange_data!$1:$1,0)-1))</f>
        <v>LEND</v>
      </c>
      <c r="O281" s="161" t="str">
        <f ca="1">IF(raw_exchange_data!$A280="","",OFFSET(raw_exchange_data!$A280,0,MATCH(O$2,raw_exchange_data!$1:$1,0)-1))</f>
        <v>HUBI</v>
      </c>
      <c r="P281" s="161" t="str">
        <f ca="1">IF(raw_exchange_data!$A280="","",OFFSET(raw_exchange_data!$A280,0,MATCH(P$2,raw_exchange_data!$1:$1,0)-1))</f>
        <v>HUBI-E</v>
      </c>
      <c r="Q281" s="161" t="str">
        <f ca="1">IF(raw_exchange_data!$A280="","",TEXT(OFFSET(raw_exchange_data!$A280,0,MATCH(Q$2,raw_exchange_data!$1:$1,0)-1),""))</f>
        <v/>
      </c>
      <c r="R281" s="162">
        <f ca="1">IF(raw_exchange_data!$A280="","",OFFSET(raw_exchange_data!$A280,0,MATCH(R$2,raw_exchange_data!$1:$1,0)-1))</f>
        <v>1E-8</v>
      </c>
      <c r="S281" s="190">
        <f ca="1">IF(raw_exchange_data!$A280="","",OFFSET(raw_exchange_data!$A280,0,MATCH(S$2,raw_exchange_data!$1:$1,0)-1))</f>
        <v>44937.666669409722</v>
      </c>
      <c r="T281" s="161">
        <v>1</v>
      </c>
      <c r="W281" t="str">
        <f t="shared" si="22"/>
        <v>HUBI</v>
      </c>
      <c r="X281" t="str">
        <f t="shared" si="23"/>
        <v>USDT</v>
      </c>
      <c r="Y281" s="42">
        <f t="shared" si="24"/>
        <v>0.90999770000000002</v>
      </c>
      <c r="Z281" s="42">
        <f t="shared" ca="1" si="25"/>
        <v>0.90999770000000002</v>
      </c>
    </row>
    <row r="282" spans="1:26" x14ac:dyDescent="0.25">
      <c r="A282" t="str">
        <f>IF(Summary_Exchange_Balances_00UTC!$B281="","",Summary_Exchange_Balances_00UTC!$N281)</f>
        <v>HUBI</v>
      </c>
      <c r="B282" t="str">
        <f>IF(Summary_Exchange_Balances_00UTC!$B281="","",Summary_Exchange_Balances_00UTC!$B281)</f>
        <v>HUBI-M</v>
      </c>
      <c r="C282" t="str">
        <f>IF(Summary_Exchange_Balances_00UTC!$B281="","",Summary_Exchange_Balances_00UTC!$E281)</f>
        <v>XRP</v>
      </c>
      <c r="D282" t="str">
        <f>IF(OR(Summary_Exchange_Balances_00UTC!$B281="",Summary_Exchange_Balances_00UTC!$D281=""),"",Summary_Exchange_Balances_00UTC!$D281)</f>
        <v/>
      </c>
      <c r="E282" s="52">
        <f>IF(Summary_Exchange_Balances_00UTC!$B281="","",Summary_Exchange_Balances_00UTC!$C281)</f>
        <v>7.6039999999999997E-5</v>
      </c>
      <c r="G282" s="52">
        <f ca="1">IF(Summary_Exchange_Balances_00UTC!$B281="","",VLOOKUP(IF(ISERROR(SEARCH(" ", $B282)),UPPER($B282&amp;$C282&amp;IF(OR(NOT(ISERROR(SEARCH("trade",$D282))),NOT(ISERROR(SEARCH("balance",$D282)))),"",$D282)),UPPER(LEFT($B282, SEARCH(" ",$B282)-1)&amp;$C282&amp;IF(OR(NOT(ISERROR(SEARCH("trade",$D282))),NOT(ISERROR(SEARCH("balance",$D282)))),"",$D282))),$L:$T,MATCH("balance",$L$2:$S$2,0),FALSE))</f>
        <v>7.6039999999999997E-5</v>
      </c>
      <c r="H282" s="35">
        <f ca="1">IF(Summary_Exchange_Balances_00UTC!$B281="","",(G282-E282)/E282)</f>
        <v>0</v>
      </c>
      <c r="I282" s="165">
        <f ca="1">IF(Summary_Exchange_Balances_00UTC!$B281="","",IF(ISERROR($G282),$E282,$G282))</f>
        <v>7.6039999999999997E-5</v>
      </c>
      <c r="K282" t="str">
        <f t="shared" ca="1" si="20"/>
        <v>HUBILINK</v>
      </c>
      <c r="L282" t="str">
        <f t="shared" ca="1" si="21"/>
        <v>HUBI-ELINK</v>
      </c>
      <c r="N282" s="161" t="str">
        <f ca="1">IF(raw_exchange_data!$A281="","",OFFSET(raw_exchange_data!$A281,0,MATCH(N$2,raw_exchange_data!$1:$1,0)-1))</f>
        <v>LINK</v>
      </c>
      <c r="O282" s="161" t="str">
        <f ca="1">IF(raw_exchange_data!$A281="","",OFFSET(raw_exchange_data!$A281,0,MATCH(O$2,raw_exchange_data!$1:$1,0)-1))</f>
        <v>HUBI</v>
      </c>
      <c r="P282" s="161" t="str">
        <f ca="1">IF(raw_exchange_data!$A281="","",OFFSET(raw_exchange_data!$A281,0,MATCH(P$2,raw_exchange_data!$1:$1,0)-1))</f>
        <v>HUBI-E</v>
      </c>
      <c r="Q282" s="161" t="str">
        <f ca="1">IF(raw_exchange_data!$A281="","",TEXT(OFFSET(raw_exchange_data!$A281,0,MATCH(Q$2,raw_exchange_data!$1:$1,0)-1),""))</f>
        <v/>
      </c>
      <c r="R282" s="162">
        <f ca="1">IF(raw_exchange_data!$A281="","",OFFSET(raw_exchange_data!$A281,0,MATCH(R$2,raw_exchange_data!$1:$1,0)-1))</f>
        <v>529.30097855999998</v>
      </c>
      <c r="S282" s="190">
        <f ca="1">IF(raw_exchange_data!$A281="","",OFFSET(raw_exchange_data!$A281,0,MATCH(S$2,raw_exchange_data!$1:$1,0)-1))</f>
        <v>44937.666669409722</v>
      </c>
      <c r="T282" s="161">
        <v>1</v>
      </c>
      <c r="W282" t="str">
        <f t="shared" si="22"/>
        <v>HUBI</v>
      </c>
      <c r="X282" t="str">
        <f t="shared" si="23"/>
        <v>XRP</v>
      </c>
      <c r="Y282" s="42">
        <f t="shared" si="24"/>
        <v>7.6039999999999997E-5</v>
      </c>
      <c r="Z282" s="42">
        <f t="shared" ca="1" si="25"/>
        <v>7.6039999999999997E-5</v>
      </c>
    </row>
    <row r="283" spans="1:26" x14ac:dyDescent="0.25">
      <c r="A283" t="str">
        <f>IF(Summary_Exchange_Balances_00UTC!$B282="","",Summary_Exchange_Balances_00UTC!$N282)</f>
        <v>KRKE</v>
      </c>
      <c r="B283" t="str">
        <f>IF(Summary_Exchange_Balances_00UTC!$B282="","",Summary_Exchange_Balances_00UTC!$B282)</f>
        <v>KRKE</v>
      </c>
      <c r="C283" t="str">
        <f>IF(Summary_Exchange_Balances_00UTC!$B282="","",Summary_Exchange_Balances_00UTC!$E282)</f>
        <v>ATOM</v>
      </c>
      <c r="D283" t="str">
        <f>IF(OR(Summary_Exchange_Balances_00UTC!$B282="",Summary_Exchange_Balances_00UTC!$D282=""),"",Summary_Exchange_Balances_00UTC!$D282)</f>
        <v/>
      </c>
      <c r="E283" s="53">
        <f>IF(Summary_Exchange_Balances_00UTC!$B282="","",Summary_Exchange_Balances_00UTC!$C282)</f>
        <v>0.331542</v>
      </c>
      <c r="G283" s="52" t="e">
        <f ca="1">IF(Summary_Exchange_Balances_00UTC!$B282="","",VLOOKUP(IF(ISERROR(SEARCH(" ", $B283)),UPPER($B283&amp;$C283&amp;IF(OR(NOT(ISERROR(SEARCH("trade",$D283))),NOT(ISERROR(SEARCH("balance",$D283)))),"",$D283)),UPPER(LEFT($B283, SEARCH(" ",$B283)-1)&amp;$C283&amp;IF(OR(NOT(ISERROR(SEARCH("trade",$D283))),NOT(ISERROR(SEARCH("balance",$D283)))),"",$D283))),$L:$T,MATCH("balance",$L$2:$S$2,0),FALSE))</f>
        <v>#N/A</v>
      </c>
      <c r="H283" s="35" t="e">
        <f ca="1">IF(Summary_Exchange_Balances_00UTC!$B282="","",(G283-E283)/E283)</f>
        <v>#N/A</v>
      </c>
      <c r="I283" s="165">
        <f ca="1">IF(Summary_Exchange_Balances_00UTC!$B282="","",IF(ISERROR($G283),$E283,$G283))</f>
        <v>0.331542</v>
      </c>
      <c r="K283" t="str">
        <f t="shared" ca="1" si="20"/>
        <v>HUBILOL</v>
      </c>
      <c r="L283" t="str">
        <f t="shared" ca="1" si="21"/>
        <v>HUBI-ELOL</v>
      </c>
      <c r="N283" s="161" t="str">
        <f ca="1">IF(raw_exchange_data!$A282="","",OFFSET(raw_exchange_data!$A282,0,MATCH(N$2,raw_exchange_data!$1:$1,0)-1))</f>
        <v>LOL</v>
      </c>
      <c r="O283" s="161" t="str">
        <f ca="1">IF(raw_exchange_data!$A282="","",OFFSET(raw_exchange_data!$A282,0,MATCH(O$2,raw_exchange_data!$1:$1,0)-1))</f>
        <v>HUBI</v>
      </c>
      <c r="P283" s="161" t="str">
        <f ca="1">IF(raw_exchange_data!$A282="","",OFFSET(raw_exchange_data!$A282,0,MATCH(P$2,raw_exchange_data!$1:$1,0)-1))</f>
        <v>HUBI-E</v>
      </c>
      <c r="Q283" s="161" t="str">
        <f ca="1">IF(raw_exchange_data!$A282="","",TEXT(OFFSET(raw_exchange_data!$A282,0,MATCH(Q$2,raw_exchange_data!$1:$1,0)-1),""))</f>
        <v/>
      </c>
      <c r="R283" s="162">
        <f ca="1">IF(raw_exchange_data!$A282="","",OFFSET(raw_exchange_data!$A282,0,MATCH(R$2,raw_exchange_data!$1:$1,0)-1))</f>
        <v>4.3289484800000002</v>
      </c>
      <c r="S283" s="190">
        <f ca="1">IF(raw_exchange_data!$A282="","",OFFSET(raw_exchange_data!$A282,0,MATCH(S$2,raw_exchange_data!$1:$1,0)-1))</f>
        <v>44937.666669409722</v>
      </c>
      <c r="T283" s="161">
        <v>1</v>
      </c>
      <c r="W283" t="str">
        <f t="shared" si="22"/>
        <v>KRKE</v>
      </c>
      <c r="X283" t="str">
        <f t="shared" si="23"/>
        <v>ATOM</v>
      </c>
      <c r="Y283" s="42">
        <f t="shared" si="24"/>
        <v>0.331542</v>
      </c>
      <c r="Z283" s="42">
        <f t="shared" ca="1" si="25"/>
        <v>0</v>
      </c>
    </row>
    <row r="284" spans="1:26" x14ac:dyDescent="0.25">
      <c r="A284" t="str">
        <f>IF(Summary_Exchange_Balances_00UTC!$B283="","",Summary_Exchange_Balances_00UTC!$N283)</f>
        <v>KRKE</v>
      </c>
      <c r="B284" t="str">
        <f>IF(Summary_Exchange_Balances_00UTC!$B283="","",Summary_Exchange_Balances_00UTC!$B283)</f>
        <v>KRKE</v>
      </c>
      <c r="C284" t="str">
        <f>IF(Summary_Exchange_Balances_00UTC!$B283="","",Summary_Exchange_Balances_00UTC!$E283)</f>
        <v>BCH</v>
      </c>
      <c r="D284" t="str">
        <f>IF(OR(Summary_Exchange_Balances_00UTC!$B283="",Summary_Exchange_Balances_00UTC!$D283=""),"",Summary_Exchange_Balances_00UTC!$D283)</f>
        <v/>
      </c>
      <c r="E284" s="53">
        <f>IF(Summary_Exchange_Balances_00UTC!$B283="","",Summary_Exchange_Balances_00UTC!$C283)</f>
        <v>1.7695412699999999</v>
      </c>
      <c r="G284" s="52">
        <f ca="1">IF(Summary_Exchange_Balances_00UTC!$B283="","",VLOOKUP(IF(ISERROR(SEARCH(" ", $B284)),UPPER($B284&amp;$C284&amp;IF(OR(NOT(ISERROR(SEARCH("trade",$D284))),NOT(ISERROR(SEARCH("balance",$D284)))),"",$D284)),UPPER(LEFT($B284, SEARCH(" ",$B284)-1)&amp;$C284&amp;IF(OR(NOT(ISERROR(SEARCH("trade",$D284))),NOT(ISERROR(SEARCH("balance",$D284)))),"",$D284))),$L:$T,MATCH("balance",$L$2:$S$2,0),FALSE))</f>
        <v>1.7695412699999999</v>
      </c>
      <c r="H284" s="35">
        <f ca="1">IF(Summary_Exchange_Balances_00UTC!$B283="","",(G284-E284)/E284)</f>
        <v>0</v>
      </c>
      <c r="I284" s="165">
        <f ca="1">IF(Summary_Exchange_Balances_00UTC!$B283="","",IF(ISERROR($G284),$E284,$G284))</f>
        <v>1.7695412699999999</v>
      </c>
      <c r="K284" t="str">
        <f t="shared" ca="1" si="20"/>
        <v>HUBILTC</v>
      </c>
      <c r="L284" t="str">
        <f t="shared" ca="1" si="21"/>
        <v>HUBI-ELTC</v>
      </c>
      <c r="N284" s="161" t="str">
        <f ca="1">IF(raw_exchange_data!$A283="","",OFFSET(raw_exchange_data!$A283,0,MATCH(N$2,raw_exchange_data!$1:$1,0)-1))</f>
        <v>LTC</v>
      </c>
      <c r="O284" s="161" t="str">
        <f ca="1">IF(raw_exchange_data!$A283="","",OFFSET(raw_exchange_data!$A283,0,MATCH(O$2,raw_exchange_data!$1:$1,0)-1))</f>
        <v>HUBI</v>
      </c>
      <c r="P284" s="161" t="str">
        <f ca="1">IF(raw_exchange_data!$A283="","",OFFSET(raw_exchange_data!$A283,0,MATCH(P$2,raw_exchange_data!$1:$1,0)-1))</f>
        <v>HUBI-E</v>
      </c>
      <c r="Q284" s="161" t="str">
        <f ca="1">IF(raw_exchange_data!$A283="","",TEXT(OFFSET(raw_exchange_data!$A283,0,MATCH(Q$2,raw_exchange_data!$1:$1,0)-1),""))</f>
        <v/>
      </c>
      <c r="R284" s="162">
        <f ca="1">IF(raw_exchange_data!$A283="","",OFFSET(raw_exchange_data!$A283,0,MATCH(R$2,raw_exchange_data!$1:$1,0)-1))</f>
        <v>7719.11831145</v>
      </c>
      <c r="S284" s="190">
        <f ca="1">IF(raw_exchange_data!$A283="","",OFFSET(raw_exchange_data!$A283,0,MATCH(S$2,raw_exchange_data!$1:$1,0)-1))</f>
        <v>44937.666669409722</v>
      </c>
      <c r="T284" s="161">
        <v>1</v>
      </c>
      <c r="W284" t="str">
        <f t="shared" si="22"/>
        <v>KRKE</v>
      </c>
      <c r="X284" t="str">
        <f t="shared" si="23"/>
        <v>BCH</v>
      </c>
      <c r="Y284" s="42">
        <f t="shared" si="24"/>
        <v>1.7695412699999999</v>
      </c>
      <c r="Z284" s="42">
        <f t="shared" ca="1" si="25"/>
        <v>1.7695412699999999</v>
      </c>
    </row>
    <row r="285" spans="1:26" x14ac:dyDescent="0.25">
      <c r="A285" t="str">
        <f>IF(Summary_Exchange_Balances_00UTC!$B284="","",Summary_Exchange_Balances_00UTC!$N284)</f>
        <v>KRKE</v>
      </c>
      <c r="B285" t="str">
        <f>IF(Summary_Exchange_Balances_00UTC!$B284="","",Summary_Exchange_Balances_00UTC!$B284)</f>
        <v>KRKE</v>
      </c>
      <c r="C285" t="str">
        <f>IF(Summary_Exchange_Balances_00UTC!$B284="","",Summary_Exchange_Balances_00UTC!$E284)</f>
        <v>BTC</v>
      </c>
      <c r="D285" t="str">
        <f>IF(OR(Summary_Exchange_Balances_00UTC!$B284="",Summary_Exchange_Balances_00UTC!$D284=""),"",Summary_Exchange_Balances_00UTC!$D284)</f>
        <v/>
      </c>
      <c r="E285" s="53">
        <f>IF(Summary_Exchange_Balances_00UTC!$B284="","",Summary_Exchange_Balances_00UTC!$C284)</f>
        <v>1.8847760000000002E-2</v>
      </c>
      <c r="G285" s="52">
        <f ca="1">IF(Summary_Exchange_Balances_00UTC!$B284="","",VLOOKUP(IF(ISERROR(SEARCH(" ", $B285)),UPPER($B285&amp;$C285&amp;IF(OR(NOT(ISERROR(SEARCH("trade",$D285))),NOT(ISERROR(SEARCH("balance",$D285)))),"",$D285)),UPPER(LEFT($B285, SEARCH(" ",$B285)-1)&amp;$C285&amp;IF(OR(NOT(ISERROR(SEARCH("trade",$D285))),NOT(ISERROR(SEARCH("balance",$D285)))),"",$D285))),$L:$T,MATCH("balance",$L$2:$S$2,0),FALSE))</f>
        <v>1.8847761800000001E-2</v>
      </c>
      <c r="H285" s="35">
        <f ca="1">IF(Summary_Exchange_Balances_00UTC!$B284="","",(G285-E285)/E285)</f>
        <v>9.5502064953418801E-8</v>
      </c>
      <c r="I285" s="165">
        <f ca="1">IF(Summary_Exchange_Balances_00UTC!$B284="","",IF(ISERROR($G285),$E285,$G285))</f>
        <v>1.8847761800000001E-2</v>
      </c>
      <c r="K285" t="str">
        <f t="shared" ca="1" si="20"/>
        <v>HUBILXT</v>
      </c>
      <c r="L285" t="str">
        <f t="shared" ca="1" si="21"/>
        <v>HUBI-ELXT</v>
      </c>
      <c r="N285" s="161" t="str">
        <f ca="1">IF(raw_exchange_data!$A284="","",OFFSET(raw_exchange_data!$A284,0,MATCH(N$2,raw_exchange_data!$1:$1,0)-1))</f>
        <v>LXT</v>
      </c>
      <c r="O285" s="161" t="str">
        <f ca="1">IF(raw_exchange_data!$A284="","",OFFSET(raw_exchange_data!$A284,0,MATCH(O$2,raw_exchange_data!$1:$1,0)-1))</f>
        <v>HUBI</v>
      </c>
      <c r="P285" s="161" t="str">
        <f ca="1">IF(raw_exchange_data!$A284="","",OFFSET(raw_exchange_data!$A284,0,MATCH(P$2,raw_exchange_data!$1:$1,0)-1))</f>
        <v>HUBI-E</v>
      </c>
      <c r="Q285" s="161" t="str">
        <f ca="1">IF(raw_exchange_data!$A284="","",TEXT(OFFSET(raw_exchange_data!$A284,0,MATCH(Q$2,raw_exchange_data!$1:$1,0)-1),""))</f>
        <v/>
      </c>
      <c r="R285" s="162">
        <f ca="1">IF(raw_exchange_data!$A284="","",OFFSET(raw_exchange_data!$A284,0,MATCH(R$2,raw_exchange_data!$1:$1,0)-1))</f>
        <v>0.66495972999999997</v>
      </c>
      <c r="S285" s="190">
        <f ca="1">IF(raw_exchange_data!$A284="","",OFFSET(raw_exchange_data!$A284,0,MATCH(S$2,raw_exchange_data!$1:$1,0)-1))</f>
        <v>44937.666669409722</v>
      </c>
      <c r="T285" s="161">
        <v>1</v>
      </c>
      <c r="W285" t="str">
        <f t="shared" si="22"/>
        <v>KRKE</v>
      </c>
      <c r="X285" t="str">
        <f t="shared" si="23"/>
        <v>BTC</v>
      </c>
      <c r="Y285" s="42">
        <f t="shared" si="24"/>
        <v>1.8847760000000002E-2</v>
      </c>
      <c r="Z285" s="42">
        <f t="shared" ca="1" si="25"/>
        <v>1.8847761800000001E-2</v>
      </c>
    </row>
    <row r="286" spans="1:26" x14ac:dyDescent="0.25">
      <c r="A286" t="str">
        <f>IF(Summary_Exchange_Balances_00UTC!$B285="","",Summary_Exchange_Balances_00UTC!$N285)</f>
        <v>KRKE</v>
      </c>
      <c r="B286" t="str">
        <f>IF(Summary_Exchange_Balances_00UTC!$B285="","",Summary_Exchange_Balances_00UTC!$B285)</f>
        <v>KRKE</v>
      </c>
      <c r="C286" t="str">
        <f>IF(Summary_Exchange_Balances_00UTC!$B285="","",Summary_Exchange_Balances_00UTC!$E285)</f>
        <v>EOS</v>
      </c>
      <c r="D286" t="str">
        <f>IF(OR(Summary_Exchange_Balances_00UTC!$B285="",Summary_Exchange_Balances_00UTC!$D285=""),"",Summary_Exchange_Balances_00UTC!$D285)</f>
        <v/>
      </c>
      <c r="E286" s="53">
        <f>IF(Summary_Exchange_Balances_00UTC!$B285="","",Summary_Exchange_Balances_00UTC!$C285)</f>
        <v>9.9499194400000004</v>
      </c>
      <c r="G286" s="52">
        <f ca="1">IF(Summary_Exchange_Balances_00UTC!$B285="","",VLOOKUP(IF(ISERROR(SEARCH(" ", $B286)),UPPER($B286&amp;$C286&amp;IF(OR(NOT(ISERROR(SEARCH("trade",$D286))),NOT(ISERROR(SEARCH("balance",$D286)))),"",$D286)),UPPER(LEFT($B286, SEARCH(" ",$B286)-1)&amp;$C286&amp;IF(OR(NOT(ISERROR(SEARCH("trade",$D286))),NOT(ISERROR(SEARCH("balance",$D286)))),"",$D286))),$L:$T,MATCH("balance",$L$2:$S$2,0),FALSE))</f>
        <v>9.9499194400000004</v>
      </c>
      <c r="H286" s="35">
        <f ca="1">IF(Summary_Exchange_Balances_00UTC!$B285="","",(G286-E286)/E286)</f>
        <v>0</v>
      </c>
      <c r="I286" s="165">
        <f ca="1">IF(Summary_Exchange_Balances_00UTC!$B285="","",IF(ISERROR($G286),$E286,$G286))</f>
        <v>9.9499194400000004</v>
      </c>
      <c r="K286" t="str">
        <f t="shared" ca="1" si="20"/>
        <v>HUBIMANA</v>
      </c>
      <c r="L286" t="str">
        <f t="shared" ca="1" si="21"/>
        <v>HUBI-EMANA</v>
      </c>
      <c r="N286" s="161" t="str">
        <f ca="1">IF(raw_exchange_data!$A285="","",OFFSET(raw_exchange_data!$A285,0,MATCH(N$2,raw_exchange_data!$1:$1,0)-1))</f>
        <v>MANA</v>
      </c>
      <c r="O286" s="161" t="str">
        <f ca="1">IF(raw_exchange_data!$A285="","",OFFSET(raw_exchange_data!$A285,0,MATCH(O$2,raw_exchange_data!$1:$1,0)-1))</f>
        <v>HUBI</v>
      </c>
      <c r="P286" s="161" t="str">
        <f ca="1">IF(raw_exchange_data!$A285="","",OFFSET(raw_exchange_data!$A285,0,MATCH(P$2,raw_exchange_data!$1:$1,0)-1))</f>
        <v>HUBI-E</v>
      </c>
      <c r="Q286" s="161" t="str">
        <f ca="1">IF(raw_exchange_data!$A285="","",TEXT(OFFSET(raw_exchange_data!$A285,0,MATCH(Q$2,raw_exchange_data!$1:$1,0)-1),""))</f>
        <v/>
      </c>
      <c r="R286" s="162">
        <f ca="1">IF(raw_exchange_data!$A285="","",OFFSET(raw_exchange_data!$A285,0,MATCH(R$2,raw_exchange_data!$1:$1,0)-1))</f>
        <v>0.34</v>
      </c>
      <c r="S286" s="190">
        <f ca="1">IF(raw_exchange_data!$A285="","",OFFSET(raw_exchange_data!$A285,0,MATCH(S$2,raw_exchange_data!$1:$1,0)-1))</f>
        <v>44937.666669409722</v>
      </c>
      <c r="T286" s="161">
        <v>1</v>
      </c>
      <c r="W286" t="str">
        <f t="shared" si="22"/>
        <v>KRKE</v>
      </c>
      <c r="X286" t="str">
        <f t="shared" si="23"/>
        <v>EOS</v>
      </c>
      <c r="Y286" s="42">
        <f t="shared" si="24"/>
        <v>9.9499194400000004</v>
      </c>
      <c r="Z286" s="42">
        <f t="shared" ca="1" si="25"/>
        <v>9.9499194400000004</v>
      </c>
    </row>
    <row r="287" spans="1:26" x14ac:dyDescent="0.25">
      <c r="A287" t="str">
        <f>IF(Summary_Exchange_Balances_00UTC!$B286="","",Summary_Exchange_Balances_00UTC!$N286)</f>
        <v>KRKE</v>
      </c>
      <c r="B287" t="str">
        <f>IF(Summary_Exchange_Balances_00UTC!$B286="","",Summary_Exchange_Balances_00UTC!$B286)</f>
        <v>KRKE</v>
      </c>
      <c r="C287" t="str">
        <f>IF(Summary_Exchange_Balances_00UTC!$B286="","",Summary_Exchange_Balances_00UTC!$E286)</f>
        <v>ETHW</v>
      </c>
      <c r="D287" t="str">
        <f>IF(OR(Summary_Exchange_Balances_00UTC!$B286="",Summary_Exchange_Balances_00UTC!$D286=""),"",Summary_Exchange_Balances_00UTC!$D286)</f>
        <v/>
      </c>
      <c r="E287" s="53">
        <f>IF(Summary_Exchange_Balances_00UTC!$B286="","",Summary_Exchange_Balances_00UTC!$C286)</f>
        <v>3.4037359</v>
      </c>
      <c r="G287" s="52" t="e">
        <f ca="1">IF(Summary_Exchange_Balances_00UTC!$B286="","",VLOOKUP(IF(ISERROR(SEARCH(" ", $B287)),UPPER($B287&amp;$C287&amp;IF(OR(NOT(ISERROR(SEARCH("trade",$D287))),NOT(ISERROR(SEARCH("balance",$D287)))),"",$D287)),UPPER(LEFT($B287, SEARCH(" ",$B287)-1)&amp;$C287&amp;IF(OR(NOT(ISERROR(SEARCH("trade",$D287))),NOT(ISERROR(SEARCH("balance",$D287)))),"",$D287))),$L:$T,MATCH("balance",$L$2:$S$2,0),FALSE))</f>
        <v>#N/A</v>
      </c>
      <c r="H287" s="35" t="e">
        <f ca="1">IF(Summary_Exchange_Balances_00UTC!$B286="","",(G287-E287)/E287)</f>
        <v>#N/A</v>
      </c>
      <c r="I287" s="165">
        <f ca="1">IF(Summary_Exchange_Balances_00UTC!$B286="","",IF(ISERROR($G287),$E287,$G287))</f>
        <v>3.4037359</v>
      </c>
      <c r="K287" t="str">
        <f t="shared" ca="1" si="20"/>
        <v>HUBINEO</v>
      </c>
      <c r="L287" t="str">
        <f t="shared" ca="1" si="21"/>
        <v>HUBI-ENEO</v>
      </c>
      <c r="N287" s="161" t="str">
        <f ca="1">IF(raw_exchange_data!$A286="","",OFFSET(raw_exchange_data!$A286,0,MATCH(N$2,raw_exchange_data!$1:$1,0)-1))</f>
        <v>NEO</v>
      </c>
      <c r="O287" s="161" t="str">
        <f ca="1">IF(raw_exchange_data!$A286="","",OFFSET(raw_exchange_data!$A286,0,MATCH(O$2,raw_exchange_data!$1:$1,0)-1))</f>
        <v>HUBI</v>
      </c>
      <c r="P287" s="161" t="str">
        <f ca="1">IF(raw_exchange_data!$A286="","",OFFSET(raw_exchange_data!$A286,0,MATCH(P$2,raw_exchange_data!$1:$1,0)-1))</f>
        <v>HUBI-E</v>
      </c>
      <c r="Q287" s="161" t="str">
        <f ca="1">IF(raw_exchange_data!$A286="","",TEXT(OFFSET(raw_exchange_data!$A286,0,MATCH(Q$2,raw_exchange_data!$1:$1,0)-1),""))</f>
        <v/>
      </c>
      <c r="R287" s="162">
        <f ca="1">IF(raw_exchange_data!$A286="","",OFFSET(raw_exchange_data!$A286,0,MATCH(R$2,raw_exchange_data!$1:$1,0)-1))</f>
        <v>0.89105878000000005</v>
      </c>
      <c r="S287" s="190">
        <f ca="1">IF(raw_exchange_data!$A286="","",OFFSET(raw_exchange_data!$A286,0,MATCH(S$2,raw_exchange_data!$1:$1,0)-1))</f>
        <v>44937.666669409722</v>
      </c>
      <c r="T287" s="161">
        <v>1</v>
      </c>
      <c r="W287" t="str">
        <f t="shared" si="22"/>
        <v>KRKE</v>
      </c>
      <c r="X287" t="str">
        <f t="shared" si="23"/>
        <v>ETHW</v>
      </c>
      <c r="Y287" s="42">
        <f t="shared" si="24"/>
        <v>3.4037359</v>
      </c>
      <c r="Z287" s="42">
        <f t="shared" ca="1" si="25"/>
        <v>0</v>
      </c>
    </row>
    <row r="288" spans="1:26" x14ac:dyDescent="0.25">
      <c r="A288" t="str">
        <f>IF(Summary_Exchange_Balances_00UTC!$B287="","",Summary_Exchange_Balances_00UTC!$N287)</f>
        <v>KRKE</v>
      </c>
      <c r="B288" t="str">
        <f>IF(Summary_Exchange_Balances_00UTC!$B287="","",Summary_Exchange_Balances_00UTC!$B287)</f>
        <v>KRKE</v>
      </c>
      <c r="C288" t="str">
        <f>IF(Summary_Exchange_Balances_00UTC!$B287="","",Summary_Exchange_Balances_00UTC!$E287)</f>
        <v>LTC</v>
      </c>
      <c r="D288" t="str">
        <f>IF(OR(Summary_Exchange_Balances_00UTC!$B287="",Summary_Exchange_Balances_00UTC!$D287=""),"",Summary_Exchange_Balances_00UTC!$D287)</f>
        <v/>
      </c>
      <c r="E288" s="52">
        <f>IF(Summary_Exchange_Balances_00UTC!$B287="","",Summary_Exchange_Balances_00UTC!$C287)</f>
        <v>9.1421368100000002</v>
      </c>
      <c r="G288" s="52" t="e">
        <f ca="1">IF(Summary_Exchange_Balances_00UTC!$B287="","",VLOOKUP(IF(ISERROR(SEARCH(" ", $B288)),UPPER($B288&amp;$C288&amp;IF(OR(NOT(ISERROR(SEARCH("trade",$D288))),NOT(ISERROR(SEARCH("balance",$D288)))),"",$D288)),UPPER(LEFT($B288, SEARCH(" ",$B288)-1)&amp;$C288&amp;IF(OR(NOT(ISERROR(SEARCH("trade",$D288))),NOT(ISERROR(SEARCH("balance",$D288)))),"",$D288))),$L:$T,MATCH("balance",$L$2:$S$2,0),FALSE))</f>
        <v>#N/A</v>
      </c>
      <c r="H288" s="35" t="e">
        <f ca="1">IF(Summary_Exchange_Balances_00UTC!$B287="","",(G288-E288)/E288)</f>
        <v>#N/A</v>
      </c>
      <c r="I288" s="165">
        <f ca="1">IF(Summary_Exchange_Balances_00UTC!$B287="","",IF(ISERROR($G288),$E288,$G288))</f>
        <v>9.1421368100000002</v>
      </c>
      <c r="K288" t="str">
        <f t="shared" ca="1" si="20"/>
        <v>HUBINEW</v>
      </c>
      <c r="L288" t="str">
        <f t="shared" ca="1" si="21"/>
        <v>HUBI-ENEW</v>
      </c>
      <c r="N288" s="161" t="str">
        <f ca="1">IF(raw_exchange_data!$A287="","",OFFSET(raw_exchange_data!$A287,0,MATCH(N$2,raw_exchange_data!$1:$1,0)-1))</f>
        <v>NEW</v>
      </c>
      <c r="O288" s="161" t="str">
        <f ca="1">IF(raw_exchange_data!$A287="","",OFFSET(raw_exchange_data!$A287,0,MATCH(O$2,raw_exchange_data!$1:$1,0)-1))</f>
        <v>HUBI</v>
      </c>
      <c r="P288" s="161" t="str">
        <f ca="1">IF(raw_exchange_data!$A287="","",OFFSET(raw_exchange_data!$A287,0,MATCH(P$2,raw_exchange_data!$1:$1,0)-1))</f>
        <v>HUBI-E</v>
      </c>
      <c r="Q288" s="161" t="str">
        <f ca="1">IF(raw_exchange_data!$A287="","",TEXT(OFFSET(raw_exchange_data!$A287,0,MATCH(Q$2,raw_exchange_data!$1:$1,0)-1),""))</f>
        <v/>
      </c>
      <c r="R288" s="162">
        <f ca="1">IF(raw_exchange_data!$A287="","",OFFSET(raw_exchange_data!$A287,0,MATCH(R$2,raw_exchange_data!$1:$1,0)-1))</f>
        <v>40.704174029999997</v>
      </c>
      <c r="S288" s="190">
        <f ca="1">IF(raw_exchange_data!$A287="","",OFFSET(raw_exchange_data!$A287,0,MATCH(S$2,raw_exchange_data!$1:$1,0)-1))</f>
        <v>44937.666669409722</v>
      </c>
      <c r="T288" s="161">
        <v>1</v>
      </c>
      <c r="W288" t="str">
        <f t="shared" si="22"/>
        <v>KRKE</v>
      </c>
      <c r="X288" t="str">
        <f t="shared" si="23"/>
        <v>LTC</v>
      </c>
      <c r="Y288" s="42">
        <f t="shared" si="24"/>
        <v>9.1421368100000002</v>
      </c>
      <c r="Z288" s="42">
        <f t="shared" ca="1" si="25"/>
        <v>0</v>
      </c>
    </row>
    <row r="289" spans="1:30" x14ac:dyDescent="0.25">
      <c r="A289" t="str">
        <f>IF(Summary_Exchange_Balances_00UTC!$B288="","",Summary_Exchange_Balances_00UTC!$N288)</f>
        <v>KRKE</v>
      </c>
      <c r="B289" t="str">
        <f>IF(Summary_Exchange_Balances_00UTC!$B288="","",Summary_Exchange_Balances_00UTC!$B288)</f>
        <v>KRKE</v>
      </c>
      <c r="C289" t="str">
        <f>IF(Summary_Exchange_Balances_00UTC!$B288="","",Summary_Exchange_Balances_00UTC!$E288)</f>
        <v>OXT</v>
      </c>
      <c r="D289" t="str">
        <f>IF(OR(Summary_Exchange_Balances_00UTC!$B288="",Summary_Exchange_Balances_00UTC!$D288=""),"",Summary_Exchange_Balances_00UTC!$D288)</f>
        <v/>
      </c>
      <c r="E289" s="53">
        <f>IF(Summary_Exchange_Balances_00UTC!$B288="","",Summary_Exchange_Balances_00UTC!$C288)</f>
        <v>700512.94058015</v>
      </c>
      <c r="G289" s="52">
        <f ca="1">IF(Summary_Exchange_Balances_00UTC!$B288="","",VLOOKUP(IF(ISERROR(SEARCH(" ", $B289)),UPPER($B289&amp;$C289&amp;IF(OR(NOT(ISERROR(SEARCH("trade",$D289))),NOT(ISERROR(SEARCH("balance",$D289)))),"",$D289)),UPPER(LEFT($B289, SEARCH(" ",$B289)-1)&amp;$C289&amp;IF(OR(NOT(ISERROR(SEARCH("trade",$D289))),NOT(ISERROR(SEARCH("balance",$D289)))),"",$D289))),$L:$T,MATCH("balance",$L$2:$S$2,0),FALSE))</f>
        <v>704924.41960014997</v>
      </c>
      <c r="H289" s="35">
        <f ca="1">IF(Summary_Exchange_Balances_00UTC!$B288="","",(G289-E289)/E289)</f>
        <v>6.2974982537031734E-3</v>
      </c>
      <c r="I289" s="165">
        <f ca="1">IF(Summary_Exchange_Balances_00UTC!$B288="","",IF(ISERROR($G289),$E289,$G289))</f>
        <v>704924.41960014997</v>
      </c>
      <c r="K289" t="str">
        <f t="shared" ca="1" si="20"/>
        <v>HUBINFT</v>
      </c>
      <c r="L289" t="str">
        <f t="shared" ca="1" si="21"/>
        <v>HUBI-ENFT</v>
      </c>
      <c r="N289" s="161" t="str">
        <f ca="1">IF(raw_exchange_data!$A288="","",OFFSET(raw_exchange_data!$A288,0,MATCH(N$2,raw_exchange_data!$1:$1,0)-1))</f>
        <v>NFT</v>
      </c>
      <c r="O289" s="161" t="str">
        <f ca="1">IF(raw_exchange_data!$A288="","",OFFSET(raw_exchange_data!$A288,0,MATCH(O$2,raw_exchange_data!$1:$1,0)-1))</f>
        <v>HUBI</v>
      </c>
      <c r="P289" s="161" t="str">
        <f ca="1">IF(raw_exchange_data!$A288="","",OFFSET(raw_exchange_data!$A288,0,MATCH(P$2,raw_exchange_data!$1:$1,0)-1))</f>
        <v>HUBI-E</v>
      </c>
      <c r="Q289" s="161" t="str">
        <f ca="1">IF(raw_exchange_data!$A288="","",TEXT(OFFSET(raw_exchange_data!$A288,0,MATCH(Q$2,raw_exchange_data!$1:$1,0)-1),""))</f>
        <v/>
      </c>
      <c r="R289" s="162">
        <f ca="1">IF(raw_exchange_data!$A288="","",OFFSET(raw_exchange_data!$A288,0,MATCH(R$2,raw_exchange_data!$1:$1,0)-1))</f>
        <v>3049025070.2014399</v>
      </c>
      <c r="S289" s="190">
        <f ca="1">IF(raw_exchange_data!$A288="","",OFFSET(raw_exchange_data!$A288,0,MATCH(S$2,raw_exchange_data!$1:$1,0)-1))</f>
        <v>44937.666669409722</v>
      </c>
      <c r="T289" s="161">
        <v>1</v>
      </c>
      <c r="W289" t="str">
        <f t="shared" si="22"/>
        <v>KRKE</v>
      </c>
      <c r="X289" t="str">
        <f t="shared" si="23"/>
        <v>OXT</v>
      </c>
      <c r="Y289" s="42">
        <f t="shared" si="24"/>
        <v>700512.94058015</v>
      </c>
      <c r="Z289" s="42">
        <f t="shared" ca="1" si="25"/>
        <v>704924.41960014997</v>
      </c>
    </row>
    <row r="290" spans="1:30" x14ac:dyDescent="0.25">
      <c r="A290" t="str">
        <f>IF(Summary_Exchange_Balances_00UTC!$B289="","",Summary_Exchange_Balances_00UTC!$N289)</f>
        <v>KRKE</v>
      </c>
      <c r="B290" t="str">
        <f>IF(Summary_Exchange_Balances_00UTC!$B289="","",Summary_Exchange_Balances_00UTC!$B289)</f>
        <v>KRKE</v>
      </c>
      <c r="C290" t="str">
        <f>IF(Summary_Exchange_Balances_00UTC!$B289="","",Summary_Exchange_Balances_00UTC!$E289)</f>
        <v>SGB</v>
      </c>
      <c r="D290" t="str">
        <f>IF(OR(Summary_Exchange_Balances_00UTC!$B289="",Summary_Exchange_Balances_00UTC!$D289=""),"",Summary_Exchange_Balances_00UTC!$D289)</f>
        <v/>
      </c>
      <c r="E290" s="52">
        <f>IF(Summary_Exchange_Balances_00UTC!$B289="","",Summary_Exchange_Balances_00UTC!$C289)</f>
        <v>0.10834547999999999</v>
      </c>
      <c r="G290" s="52">
        <f ca="1">IF(Summary_Exchange_Balances_00UTC!$B289="","",VLOOKUP(IF(ISERROR(SEARCH(" ", $B290)),UPPER($B290&amp;$C290&amp;IF(OR(NOT(ISERROR(SEARCH("trade",$D290))),NOT(ISERROR(SEARCH("balance",$D290)))),"",$D290)),UPPER(LEFT($B290, SEARCH(" ",$B290)-1)&amp;$C290&amp;IF(OR(NOT(ISERROR(SEARCH("trade",$D290))),NOT(ISERROR(SEARCH("balance",$D290)))),"",$D290))),$L:$T,MATCH("balance",$L$2:$S$2,0),FALSE))</f>
        <v>0.10834547999999999</v>
      </c>
      <c r="H290" s="35">
        <f ca="1">IF(Summary_Exchange_Balances_00UTC!$B289="","",(G290-E290)/E290)</f>
        <v>0</v>
      </c>
      <c r="I290" s="165">
        <f ca="1">IF(Summary_Exchange_Balances_00UTC!$B289="","",IF(ISERROR($G290),$E290,$G290))</f>
        <v>0.10834547999999999</v>
      </c>
      <c r="K290" t="str">
        <f t="shared" ca="1" si="20"/>
        <v>HUBINULS</v>
      </c>
      <c r="L290" t="str">
        <f t="shared" ca="1" si="21"/>
        <v>HUBI-ENULS</v>
      </c>
      <c r="N290" s="161" t="str">
        <f ca="1">IF(raw_exchange_data!$A289="","",OFFSET(raw_exchange_data!$A289,0,MATCH(N$2,raw_exchange_data!$1:$1,0)-1))</f>
        <v>NULS</v>
      </c>
      <c r="O290" s="161" t="str">
        <f ca="1">IF(raw_exchange_data!$A289="","",OFFSET(raw_exchange_data!$A289,0,MATCH(O$2,raw_exchange_data!$1:$1,0)-1))</f>
        <v>HUBI</v>
      </c>
      <c r="P290" s="161" t="str">
        <f ca="1">IF(raw_exchange_data!$A289="","",OFFSET(raw_exchange_data!$A289,0,MATCH(P$2,raw_exchange_data!$1:$1,0)-1))</f>
        <v>HUBI-E</v>
      </c>
      <c r="Q290" s="161" t="str">
        <f ca="1">IF(raw_exchange_data!$A289="","",TEXT(OFFSET(raw_exchange_data!$A289,0,MATCH(Q$2,raw_exchange_data!$1:$1,0)-1),""))</f>
        <v/>
      </c>
      <c r="R290" s="162">
        <f ca="1">IF(raw_exchange_data!$A289="","",OFFSET(raw_exchange_data!$A289,0,MATCH(R$2,raw_exchange_data!$1:$1,0)-1))</f>
        <v>4.3068300000000002E-3</v>
      </c>
      <c r="S290" s="190">
        <f ca="1">IF(raw_exchange_data!$A289="","",OFFSET(raw_exchange_data!$A289,0,MATCH(S$2,raw_exchange_data!$1:$1,0)-1))</f>
        <v>44937.666669409722</v>
      </c>
      <c r="T290" s="161">
        <v>1</v>
      </c>
      <c r="W290" t="str">
        <f t="shared" si="22"/>
        <v>KRKE</v>
      </c>
      <c r="X290" t="str">
        <f t="shared" si="23"/>
        <v>SGB</v>
      </c>
      <c r="Y290" s="42">
        <f t="shared" si="24"/>
        <v>0.10834547999999999</v>
      </c>
      <c r="Z290" s="42">
        <f t="shared" ca="1" si="25"/>
        <v>0.10834547999999999</v>
      </c>
      <c r="AC290"/>
      <c r="AD290"/>
    </row>
    <row r="291" spans="1:30" x14ac:dyDescent="0.25">
      <c r="A291" t="str">
        <f>IF(Summary_Exchange_Balances_00UTC!$B290="","",Summary_Exchange_Balances_00UTC!$N290)</f>
        <v>KRKE</v>
      </c>
      <c r="B291" t="str">
        <f>IF(Summary_Exchange_Balances_00UTC!$B290="","",Summary_Exchange_Balances_00UTC!$B290)</f>
        <v>KRKE</v>
      </c>
      <c r="C291" t="str">
        <f>IF(Summary_Exchange_Balances_00UTC!$B290="","",Summary_Exchange_Balances_00UTC!$E290)</f>
        <v>USD</v>
      </c>
      <c r="D291" t="str">
        <f>IF(OR(Summary_Exchange_Balances_00UTC!$B290="",Summary_Exchange_Balances_00UTC!$D290=""),"",Summary_Exchange_Balances_00UTC!$D290)</f>
        <v/>
      </c>
      <c r="E291" s="53">
        <f>IF(Summary_Exchange_Balances_00UTC!$B290="","",Summary_Exchange_Balances_00UTC!$C290)</f>
        <v>128214.5635</v>
      </c>
      <c r="G291" s="52">
        <f ca="1">IF(Summary_Exchange_Balances_00UTC!$B290="","",VLOOKUP(IF(ISERROR(SEARCH(" ", $B291)),UPPER($B291&amp;$C291&amp;IF(OR(NOT(ISERROR(SEARCH("trade",$D291))),NOT(ISERROR(SEARCH("balance",$D291)))),"",$D291)),UPPER(LEFT($B291, SEARCH(" ",$B291)-1)&amp;$C291&amp;IF(OR(NOT(ISERROR(SEARCH("trade",$D291))),NOT(ISERROR(SEARCH("balance",$D291)))),"",$D291))),$L:$T,MATCH("balance",$L$2:$S$2,0),FALSE))</f>
        <v>127892.8939</v>
      </c>
      <c r="H291" s="35">
        <f ca="1">IF(Summary_Exchange_Balances_00UTC!$B290="","",(G291-E291)/E291)</f>
        <v>-2.5088382412970455E-3</v>
      </c>
      <c r="I291" s="165">
        <f ca="1">IF(Summary_Exchange_Balances_00UTC!$B290="","",IF(ISERROR($G291),$E291,$G291))</f>
        <v>127892.8939</v>
      </c>
      <c r="K291" t="str">
        <f t="shared" ca="1" si="20"/>
        <v>HUBIONG</v>
      </c>
      <c r="L291" t="str">
        <f t="shared" ca="1" si="21"/>
        <v>HUBI-EONG</v>
      </c>
      <c r="N291" s="161" t="str">
        <f ca="1">IF(raw_exchange_data!$A290="","",OFFSET(raw_exchange_data!$A290,0,MATCH(N$2,raw_exchange_data!$1:$1,0)-1))</f>
        <v>ONG</v>
      </c>
      <c r="O291" s="161" t="str">
        <f ca="1">IF(raw_exchange_data!$A290="","",OFFSET(raw_exchange_data!$A290,0,MATCH(O$2,raw_exchange_data!$1:$1,0)-1))</f>
        <v>HUBI</v>
      </c>
      <c r="P291" s="161" t="str">
        <f ca="1">IF(raw_exchange_data!$A290="","",OFFSET(raw_exchange_data!$A290,0,MATCH(P$2,raw_exchange_data!$1:$1,0)-1))</f>
        <v>HUBI-E</v>
      </c>
      <c r="Q291" s="161" t="str">
        <f ca="1">IF(raw_exchange_data!$A290="","",TEXT(OFFSET(raw_exchange_data!$A290,0,MATCH(Q$2,raw_exchange_data!$1:$1,0)-1),""))</f>
        <v/>
      </c>
      <c r="R291" s="162">
        <f ca="1">IF(raw_exchange_data!$A290="","",OFFSET(raw_exchange_data!$A290,0,MATCH(R$2,raw_exchange_data!$1:$1,0)-1))</f>
        <v>0.34782034000000001</v>
      </c>
      <c r="S291" s="190">
        <f ca="1">IF(raw_exchange_data!$A290="","",OFFSET(raw_exchange_data!$A290,0,MATCH(S$2,raw_exchange_data!$1:$1,0)-1))</f>
        <v>44937.666669409722</v>
      </c>
      <c r="T291" s="161">
        <v>1</v>
      </c>
      <c r="W291" t="str">
        <f t="shared" si="22"/>
        <v>KRKE</v>
      </c>
      <c r="X291" t="str">
        <f t="shared" si="23"/>
        <v>USD</v>
      </c>
      <c r="Y291" s="42">
        <f t="shared" si="24"/>
        <v>128214.5635</v>
      </c>
      <c r="Z291" s="42">
        <f t="shared" ca="1" si="25"/>
        <v>127892.8939</v>
      </c>
      <c r="AC291"/>
      <c r="AD291"/>
    </row>
    <row r="292" spans="1:30" x14ac:dyDescent="0.25">
      <c r="A292" t="str">
        <f>IF(Summary_Exchange_Balances_00UTC!$B291="","",Summary_Exchange_Balances_00UTC!$N291)</f>
        <v>KRKE</v>
      </c>
      <c r="B292" t="str">
        <f>IF(Summary_Exchange_Balances_00UTC!$B291="","",Summary_Exchange_Balances_00UTC!$B291)</f>
        <v>KRKE</v>
      </c>
      <c r="C292" t="str">
        <f>IF(Summary_Exchange_Balances_00UTC!$B291="","",Summary_Exchange_Balances_00UTC!$E291)</f>
        <v>USDT</v>
      </c>
      <c r="D292" t="str">
        <f>IF(OR(Summary_Exchange_Balances_00UTC!$B291="",Summary_Exchange_Balances_00UTC!$D291=""),"",Summary_Exchange_Balances_00UTC!$D291)</f>
        <v/>
      </c>
      <c r="E292" s="52">
        <f>IF(Summary_Exchange_Balances_00UTC!$B291="","",Summary_Exchange_Balances_00UTC!$C291)</f>
        <v>1.182861E-2</v>
      </c>
      <c r="G292" s="52">
        <f ca="1">IF(Summary_Exchange_Balances_00UTC!$B291="","",VLOOKUP(IF(ISERROR(SEARCH(" ", $B292)),UPPER($B292&amp;$C292&amp;IF(OR(NOT(ISERROR(SEARCH("trade",$D292))),NOT(ISERROR(SEARCH("balance",$D292)))),"",$D292)),UPPER(LEFT($B292, SEARCH(" ",$B292)-1)&amp;$C292&amp;IF(OR(NOT(ISERROR(SEARCH("trade",$D292))),NOT(ISERROR(SEARCH("balance",$D292)))),"",$D292))),$L:$T,MATCH("balance",$L$2:$S$2,0),FALSE))</f>
        <v>1.182861E-2</v>
      </c>
      <c r="H292" s="35">
        <f ca="1">IF(Summary_Exchange_Balances_00UTC!$B291="","",(G292-E292)/E292)</f>
        <v>0</v>
      </c>
      <c r="I292" s="165">
        <f ca="1">IF(Summary_Exchange_Balances_00UTC!$B291="","",IF(ISERROR($G292),$E292,$G292))</f>
        <v>1.182861E-2</v>
      </c>
      <c r="K292" t="str">
        <f t="shared" ca="1" si="20"/>
        <v>HUBIOXT</v>
      </c>
      <c r="L292" t="str">
        <f t="shared" ca="1" si="21"/>
        <v>HUBI-EOXT</v>
      </c>
      <c r="N292" s="161" t="str">
        <f ca="1">IF(raw_exchange_data!$A291="","",OFFSET(raw_exchange_data!$A291,0,MATCH(N$2,raw_exchange_data!$1:$1,0)-1))</f>
        <v>OXT</v>
      </c>
      <c r="O292" s="161" t="str">
        <f ca="1">IF(raw_exchange_data!$A291="","",OFFSET(raw_exchange_data!$A291,0,MATCH(O$2,raw_exchange_data!$1:$1,0)-1))</f>
        <v>HUBI</v>
      </c>
      <c r="P292" s="161" t="str">
        <f ca="1">IF(raw_exchange_data!$A291="","",OFFSET(raw_exchange_data!$A291,0,MATCH(P$2,raw_exchange_data!$1:$1,0)-1))</f>
        <v>HUBI-E</v>
      </c>
      <c r="Q292" s="161" t="str">
        <f ca="1">IF(raw_exchange_data!$A291="","",TEXT(OFFSET(raw_exchange_data!$A291,0,MATCH(Q$2,raw_exchange_data!$1:$1,0)-1),""))</f>
        <v/>
      </c>
      <c r="R292" s="162">
        <f ca="1">IF(raw_exchange_data!$A291="","",OFFSET(raw_exchange_data!$A291,0,MATCH(R$2,raw_exchange_data!$1:$1,0)-1))</f>
        <v>58045.553474139997</v>
      </c>
      <c r="S292" s="190">
        <f ca="1">IF(raw_exchange_data!$A291="","",OFFSET(raw_exchange_data!$A291,0,MATCH(S$2,raw_exchange_data!$1:$1,0)-1))</f>
        <v>44937.666669409722</v>
      </c>
      <c r="T292" s="161">
        <v>1</v>
      </c>
      <c r="W292" t="str">
        <f t="shared" si="22"/>
        <v>KRKE</v>
      </c>
      <c r="X292" t="str">
        <f t="shared" si="23"/>
        <v>USDT</v>
      </c>
      <c r="Y292" s="42">
        <f t="shared" si="24"/>
        <v>1.182861E-2</v>
      </c>
      <c r="Z292" s="42">
        <f t="shared" ca="1" si="25"/>
        <v>1.182861E-2</v>
      </c>
      <c r="AC292"/>
      <c r="AD292"/>
    </row>
    <row r="293" spans="1:30" x14ac:dyDescent="0.25">
      <c r="A293" t="str">
        <f>IF(Summary_Exchange_Balances_00UTC!$B292="","",Summary_Exchange_Balances_00UTC!$N292)</f>
        <v>KRKE</v>
      </c>
      <c r="B293" t="str">
        <f>IF(Summary_Exchange_Balances_00UTC!$B292="","",Summary_Exchange_Balances_00UTC!$B292)</f>
        <v>KRKE</v>
      </c>
      <c r="C293" t="str">
        <f>IF(Summary_Exchange_Balances_00UTC!$B292="","",Summary_Exchange_Balances_00UTC!$E292)</f>
        <v>XLM</v>
      </c>
      <c r="D293" t="str">
        <f>IF(OR(Summary_Exchange_Balances_00UTC!$B292="",Summary_Exchange_Balances_00UTC!$D292=""),"",Summary_Exchange_Balances_00UTC!$D292)</f>
        <v/>
      </c>
      <c r="E293" s="53">
        <f>IF(Summary_Exchange_Balances_00UTC!$B292="","",Summary_Exchange_Balances_00UTC!$C292)</f>
        <v>8.93329E-3</v>
      </c>
      <c r="G293" s="52" t="e">
        <f ca="1">IF(Summary_Exchange_Balances_00UTC!$B292="","",VLOOKUP(IF(ISERROR(SEARCH(" ", $B293)),UPPER($B293&amp;$C293&amp;IF(OR(NOT(ISERROR(SEARCH("trade",$D293))),NOT(ISERROR(SEARCH("balance",$D293)))),"",$D293)),UPPER(LEFT($B293, SEARCH(" ",$B293)-1)&amp;$C293&amp;IF(OR(NOT(ISERROR(SEARCH("trade",$D293))),NOT(ISERROR(SEARCH("balance",$D293)))),"",$D293))),$L:$T,MATCH("balance",$L$2:$S$2,0),FALSE))</f>
        <v>#N/A</v>
      </c>
      <c r="H293" s="35" t="e">
        <f ca="1">IF(Summary_Exchange_Balances_00UTC!$B292="","",(G293-E293)/E293)</f>
        <v>#N/A</v>
      </c>
      <c r="I293" s="165">
        <f ca="1">IF(Summary_Exchange_Balances_00UTC!$B292="","",IF(ISERROR($G293),$E293,$G293))</f>
        <v>8.93329E-3</v>
      </c>
      <c r="K293" t="str">
        <f t="shared" ca="1" si="20"/>
        <v>HUBIQTUM</v>
      </c>
      <c r="L293" t="str">
        <f t="shared" ca="1" si="21"/>
        <v>HUBI-EQTUM</v>
      </c>
      <c r="N293" s="161" t="str">
        <f ca="1">IF(raw_exchange_data!$A292="","",OFFSET(raw_exchange_data!$A292,0,MATCH(N$2,raw_exchange_data!$1:$1,0)-1))</f>
        <v>QTUM</v>
      </c>
      <c r="O293" s="161" t="str">
        <f ca="1">IF(raw_exchange_data!$A292="","",OFFSET(raw_exchange_data!$A292,0,MATCH(O$2,raw_exchange_data!$1:$1,0)-1))</f>
        <v>HUBI</v>
      </c>
      <c r="P293" s="161" t="str">
        <f ca="1">IF(raw_exchange_data!$A292="","",OFFSET(raw_exchange_data!$A292,0,MATCH(P$2,raw_exchange_data!$1:$1,0)-1))</f>
        <v>HUBI-E</v>
      </c>
      <c r="Q293" s="161" t="str">
        <f ca="1">IF(raw_exchange_data!$A292="","",TEXT(OFFSET(raw_exchange_data!$A292,0,MATCH(Q$2,raw_exchange_data!$1:$1,0)-1),""))</f>
        <v/>
      </c>
      <c r="R293" s="162">
        <f ca="1">IF(raw_exchange_data!$A292="","",OFFSET(raw_exchange_data!$A292,0,MATCH(R$2,raw_exchange_data!$1:$1,0)-1))</f>
        <v>3.0962099999999998E-3</v>
      </c>
      <c r="S293" s="190">
        <f ca="1">IF(raw_exchange_data!$A292="","",OFFSET(raw_exchange_data!$A292,0,MATCH(S$2,raw_exchange_data!$1:$1,0)-1))</f>
        <v>44937.666669409722</v>
      </c>
      <c r="T293" s="161">
        <v>1</v>
      </c>
      <c r="W293" t="str">
        <f t="shared" si="22"/>
        <v>KRKE</v>
      </c>
      <c r="X293" t="str">
        <f t="shared" si="23"/>
        <v>XLM</v>
      </c>
      <c r="Y293" s="42">
        <f t="shared" si="24"/>
        <v>8.93329E-3</v>
      </c>
      <c r="Z293" s="42">
        <f t="shared" ca="1" si="25"/>
        <v>0</v>
      </c>
      <c r="AC293"/>
      <c r="AD293"/>
    </row>
    <row r="294" spans="1:30" x14ac:dyDescent="0.25">
      <c r="A294" t="str">
        <f>IF(Summary_Exchange_Balances_00UTC!$B293="","",Summary_Exchange_Balances_00UTC!$N293)</f>
        <v>KRKE</v>
      </c>
      <c r="B294" t="str">
        <f>IF(Summary_Exchange_Balances_00UTC!$B293="","",Summary_Exchange_Balances_00UTC!$B293)</f>
        <v>KRKE</v>
      </c>
      <c r="C294" t="str">
        <f>IF(Summary_Exchange_Balances_00UTC!$B293="","",Summary_Exchange_Balances_00UTC!$E293)</f>
        <v>XRP</v>
      </c>
      <c r="D294" t="str">
        <f>IF(OR(Summary_Exchange_Balances_00UTC!$B293="",Summary_Exchange_Balances_00UTC!$D293=""),"",Summary_Exchange_Balances_00UTC!$D293)</f>
        <v/>
      </c>
      <c r="E294" s="52">
        <f>IF(Summary_Exchange_Balances_00UTC!$B293="","",Summary_Exchange_Balances_00UTC!$C293)</f>
        <v>0.71704489000000005</v>
      </c>
      <c r="G294" s="52" t="e">
        <f ca="1">IF(Summary_Exchange_Balances_00UTC!$B293="","",VLOOKUP(IF(ISERROR(SEARCH(" ", $B294)),UPPER($B294&amp;$C294&amp;IF(OR(NOT(ISERROR(SEARCH("trade",$D294))),NOT(ISERROR(SEARCH("balance",$D294)))),"",$D294)),UPPER(LEFT($B294, SEARCH(" ",$B294)-1)&amp;$C294&amp;IF(OR(NOT(ISERROR(SEARCH("trade",$D294))),NOT(ISERROR(SEARCH("balance",$D294)))),"",$D294))),$L:$T,MATCH("balance",$L$2:$S$2,0),FALSE))</f>
        <v>#N/A</v>
      </c>
      <c r="H294" s="35" t="e">
        <f ca="1">IF(Summary_Exchange_Balances_00UTC!$B293="","",(G294-E294)/E294)</f>
        <v>#N/A</v>
      </c>
      <c r="I294" s="165">
        <f ca="1">IF(Summary_Exchange_Balances_00UTC!$B293="","",IF(ISERROR($G294),$E294,$G294))</f>
        <v>0.71704489000000005</v>
      </c>
      <c r="K294" t="str">
        <f t="shared" ca="1" si="20"/>
        <v>HUBIREI</v>
      </c>
      <c r="L294" t="str">
        <f t="shared" ca="1" si="21"/>
        <v>HUBI-EREI</v>
      </c>
      <c r="N294" s="161" t="str">
        <f ca="1">IF(raw_exchange_data!$A293="","",OFFSET(raw_exchange_data!$A293,0,MATCH(N$2,raw_exchange_data!$1:$1,0)-1))</f>
        <v>REI</v>
      </c>
      <c r="O294" s="161" t="str">
        <f ca="1">IF(raw_exchange_data!$A293="","",OFFSET(raw_exchange_data!$A293,0,MATCH(O$2,raw_exchange_data!$1:$1,0)-1))</f>
        <v>HUBI</v>
      </c>
      <c r="P294" s="161" t="str">
        <f ca="1">IF(raw_exchange_data!$A293="","",OFFSET(raw_exchange_data!$A293,0,MATCH(P$2,raw_exchange_data!$1:$1,0)-1))</f>
        <v>HUBI-E</v>
      </c>
      <c r="Q294" s="161" t="str">
        <f ca="1">IF(raw_exchange_data!$A293="","",TEXT(OFFSET(raw_exchange_data!$A293,0,MATCH(Q$2,raw_exchange_data!$1:$1,0)-1),""))</f>
        <v/>
      </c>
      <c r="R294" s="162">
        <f ca="1">IF(raw_exchange_data!$A293="","",OFFSET(raw_exchange_data!$A293,0,MATCH(R$2,raw_exchange_data!$1:$1,0)-1))</f>
        <v>2.6598900000000002E-2</v>
      </c>
      <c r="S294" s="190">
        <f ca="1">IF(raw_exchange_data!$A293="","",OFFSET(raw_exchange_data!$A293,0,MATCH(S$2,raw_exchange_data!$1:$1,0)-1))</f>
        <v>44937.666669409722</v>
      </c>
      <c r="T294" s="161">
        <v>1</v>
      </c>
      <c r="W294" t="str">
        <f t="shared" si="22"/>
        <v>KRKE</v>
      </c>
      <c r="X294" t="str">
        <f t="shared" si="23"/>
        <v>XRP</v>
      </c>
      <c r="Y294" s="42">
        <f t="shared" si="24"/>
        <v>0.71704489000000005</v>
      </c>
      <c r="Z294" s="42">
        <f t="shared" ca="1" si="25"/>
        <v>0</v>
      </c>
      <c r="AC294"/>
      <c r="AD294"/>
    </row>
    <row r="295" spans="1:30" x14ac:dyDescent="0.25">
      <c r="A295" t="str">
        <f>IF(Summary_Exchange_Balances_00UTC!$B294="","",Summary_Exchange_Balances_00UTC!$N294)</f>
        <v>GALAXY</v>
      </c>
      <c r="B295" t="str">
        <f>IF(Summary_Exchange_Balances_00UTC!$B294="","",Summary_Exchange_Balances_00UTC!$B294)</f>
        <v>LEND-GACM</v>
      </c>
      <c r="C295" t="str">
        <f>IF(Summary_Exchange_Balances_00UTC!$B294="","",Summary_Exchange_Balances_00UTC!$E294)</f>
        <v>AAVE</v>
      </c>
      <c r="D295" t="str">
        <f>IF(OR(Summary_Exchange_Balances_00UTC!$B294="",Summary_Exchange_Balances_00UTC!$D294=""),"",Summary_Exchange_Balances_00UTC!$D294)</f>
        <v/>
      </c>
      <c r="E295" s="53">
        <f>IF(Summary_Exchange_Balances_00UTC!$B294="","",Summary_Exchange_Balances_00UTC!$C294)</f>
        <v>300</v>
      </c>
      <c r="G295" s="52" t="e">
        <f ca="1">IF(Summary_Exchange_Balances_00UTC!$B294="","",VLOOKUP(IF(ISERROR(SEARCH(" ", $B295)),UPPER($B295&amp;$C295&amp;IF(OR(NOT(ISERROR(SEARCH("trade",$D295))),NOT(ISERROR(SEARCH("balance",$D295)))),"",$D295)),UPPER(LEFT($B295, SEARCH(" ",$B295)-1)&amp;$C295&amp;IF(OR(NOT(ISERROR(SEARCH("trade",$D295))),NOT(ISERROR(SEARCH("balance",$D295)))),"",$D295))),$L:$T,MATCH("balance",$L$2:$S$2,0),FALSE))</f>
        <v>#N/A</v>
      </c>
      <c r="H295" s="35" t="e">
        <f ca="1">IF(Summary_Exchange_Balances_00UTC!$B294="","",(G295-E295)/E295)</f>
        <v>#N/A</v>
      </c>
      <c r="I295" s="165">
        <f ca="1">IF(Summary_Exchange_Balances_00UTC!$B294="","",IF(ISERROR($G295),$E295,$G295))</f>
        <v>300</v>
      </c>
      <c r="K295" t="str">
        <f t="shared" ca="1" si="20"/>
        <v>HUBISGB</v>
      </c>
      <c r="L295" t="str">
        <f t="shared" ca="1" si="21"/>
        <v>HUBI-ESGB</v>
      </c>
      <c r="N295" s="161" t="str">
        <f ca="1">IF(raw_exchange_data!$A294="","",OFFSET(raw_exchange_data!$A294,0,MATCH(N$2,raw_exchange_data!$1:$1,0)-1))</f>
        <v>SGB</v>
      </c>
      <c r="O295" s="161" t="str">
        <f ca="1">IF(raw_exchange_data!$A294="","",OFFSET(raw_exchange_data!$A294,0,MATCH(O$2,raw_exchange_data!$1:$1,0)-1))</f>
        <v>HUBI</v>
      </c>
      <c r="P295" s="161" t="str">
        <f ca="1">IF(raw_exchange_data!$A294="","",OFFSET(raw_exchange_data!$A294,0,MATCH(P$2,raw_exchange_data!$1:$1,0)-1))</f>
        <v>HUBI-E</v>
      </c>
      <c r="Q295" s="161" t="str">
        <f ca="1">IF(raw_exchange_data!$A294="","",TEXT(OFFSET(raw_exchange_data!$A294,0,MATCH(Q$2,raw_exchange_data!$1:$1,0)-1),""))</f>
        <v/>
      </c>
      <c r="R295" s="162">
        <f ca="1">IF(raw_exchange_data!$A294="","",OFFSET(raw_exchange_data!$A294,0,MATCH(R$2,raw_exchange_data!$1:$1,0)-1))</f>
        <v>1214222.2371159999</v>
      </c>
      <c r="S295" s="190">
        <f ca="1">IF(raw_exchange_data!$A294="","",OFFSET(raw_exchange_data!$A294,0,MATCH(S$2,raw_exchange_data!$1:$1,0)-1))</f>
        <v>44937.666669409722</v>
      </c>
      <c r="T295" s="161">
        <v>1</v>
      </c>
      <c r="W295" t="str">
        <f t="shared" si="22"/>
        <v>GALAXY</v>
      </c>
      <c r="X295" t="str">
        <f t="shared" si="23"/>
        <v>AAVE</v>
      </c>
      <c r="Y295" s="42">
        <f t="shared" si="24"/>
        <v>300</v>
      </c>
      <c r="Z295" s="42">
        <f t="shared" ca="1" si="25"/>
        <v>0</v>
      </c>
      <c r="AC295"/>
      <c r="AD295"/>
    </row>
    <row r="296" spans="1:30" x14ac:dyDescent="0.25">
      <c r="A296" t="str">
        <f>IF(Summary_Exchange_Balances_00UTC!$B295="","",Summary_Exchange_Balances_00UTC!$N295)</f>
        <v>GALAXY</v>
      </c>
      <c r="B296" t="str">
        <f>IF(Summary_Exchange_Balances_00UTC!$B295="","",Summary_Exchange_Balances_00UTC!$B295)</f>
        <v>LEND-GACM</v>
      </c>
      <c r="C296" t="str">
        <f>IF(Summary_Exchange_Balances_00UTC!$B295="","",Summary_Exchange_Balances_00UTC!$E295)</f>
        <v>ADA</v>
      </c>
      <c r="D296" t="str">
        <f>IF(OR(Summary_Exchange_Balances_00UTC!$B295="",Summary_Exchange_Balances_00UTC!$D295=""),"",Summary_Exchange_Balances_00UTC!$D295)</f>
        <v/>
      </c>
      <c r="E296" s="53">
        <f>IF(Summary_Exchange_Balances_00UTC!$B295="","",Summary_Exchange_Balances_00UTC!$C295)</f>
        <v>150000</v>
      </c>
      <c r="G296" s="52" t="e">
        <f ca="1">IF(Summary_Exchange_Balances_00UTC!$B295="","",VLOOKUP(IF(ISERROR(SEARCH(" ", $B296)),UPPER($B296&amp;$C296&amp;IF(OR(NOT(ISERROR(SEARCH("trade",$D296))),NOT(ISERROR(SEARCH("balance",$D296)))),"",$D296)),UPPER(LEFT($B296, SEARCH(" ",$B296)-1)&amp;$C296&amp;IF(OR(NOT(ISERROR(SEARCH("trade",$D296))),NOT(ISERROR(SEARCH("balance",$D296)))),"",$D296))),$L:$T,MATCH("balance",$L$2:$S$2,0),FALSE))</f>
        <v>#N/A</v>
      </c>
      <c r="H296" s="35" t="e">
        <f ca="1">IF(Summary_Exchange_Balances_00UTC!$B295="","",(G296-E296)/E296)</f>
        <v>#N/A</v>
      </c>
      <c r="I296" s="165">
        <f ca="1">IF(Summary_Exchange_Balances_00UTC!$B295="","",IF(ISERROR($G296),$E296,$G296))</f>
        <v>150000</v>
      </c>
      <c r="K296" t="str">
        <f t="shared" ca="1" si="20"/>
        <v>HUBISHIB</v>
      </c>
      <c r="L296" t="str">
        <f t="shared" ca="1" si="21"/>
        <v>HUBI-ESHIB</v>
      </c>
      <c r="N296" s="161" t="str">
        <f ca="1">IF(raw_exchange_data!$A295="","",OFFSET(raw_exchange_data!$A295,0,MATCH(N$2,raw_exchange_data!$1:$1,0)-1))</f>
        <v>SHIB</v>
      </c>
      <c r="O296" s="161" t="str">
        <f ca="1">IF(raw_exchange_data!$A295="","",OFFSET(raw_exchange_data!$A295,0,MATCH(O$2,raw_exchange_data!$1:$1,0)-1))</f>
        <v>HUBI</v>
      </c>
      <c r="P296" s="161" t="str">
        <f ca="1">IF(raw_exchange_data!$A295="","",OFFSET(raw_exchange_data!$A295,0,MATCH(P$2,raw_exchange_data!$1:$1,0)-1))</f>
        <v>HUBI-E</v>
      </c>
      <c r="Q296" s="161" t="str">
        <f ca="1">IF(raw_exchange_data!$A295="","",TEXT(OFFSET(raw_exchange_data!$A295,0,MATCH(Q$2,raw_exchange_data!$1:$1,0)-1),""))</f>
        <v/>
      </c>
      <c r="R296" s="162">
        <f ca="1">IF(raw_exchange_data!$A295="","",OFFSET(raw_exchange_data!$A295,0,MATCH(R$2,raw_exchange_data!$1:$1,0)-1))</f>
        <v>1884988.30453923</v>
      </c>
      <c r="S296" s="190">
        <f ca="1">IF(raw_exchange_data!$A295="","",OFFSET(raw_exchange_data!$A295,0,MATCH(S$2,raw_exchange_data!$1:$1,0)-1))</f>
        <v>44937.666669409722</v>
      </c>
      <c r="T296" s="161">
        <v>1</v>
      </c>
      <c r="W296" t="str">
        <f t="shared" si="22"/>
        <v>GALAXY</v>
      </c>
      <c r="X296" t="str">
        <f t="shared" si="23"/>
        <v>ADA</v>
      </c>
      <c r="Y296" s="42">
        <f t="shared" si="24"/>
        <v>150000</v>
      </c>
      <c r="Z296" s="42">
        <f t="shared" ca="1" si="25"/>
        <v>0</v>
      </c>
      <c r="AC296"/>
      <c r="AD296"/>
    </row>
    <row r="297" spans="1:30" x14ac:dyDescent="0.25">
      <c r="A297" t="str">
        <f>IF(Summary_Exchange_Balances_00UTC!$B296="","",Summary_Exchange_Balances_00UTC!$N296)</f>
        <v>GALAXY</v>
      </c>
      <c r="B297" t="str">
        <f>IF(Summary_Exchange_Balances_00UTC!$B296="","",Summary_Exchange_Balances_00UTC!$B296)</f>
        <v>LEND-GACM</v>
      </c>
      <c r="C297" t="str">
        <f>IF(Summary_Exchange_Balances_00UTC!$B296="","",Summary_Exchange_Balances_00UTC!$E296)</f>
        <v>ALGO</v>
      </c>
      <c r="D297" t="str">
        <f>IF(OR(Summary_Exchange_Balances_00UTC!$B296="",Summary_Exchange_Balances_00UTC!$D296=""),"",Summary_Exchange_Balances_00UTC!$D296)</f>
        <v/>
      </c>
      <c r="E297" s="53">
        <f>IF(Summary_Exchange_Balances_00UTC!$B296="","",Summary_Exchange_Balances_00UTC!$C296)</f>
        <v>35000</v>
      </c>
      <c r="G297" s="52" t="e">
        <f ca="1">IF(Summary_Exchange_Balances_00UTC!$B296="","",VLOOKUP(IF(ISERROR(SEARCH(" ", $B297)),UPPER($B297&amp;$C297&amp;IF(OR(NOT(ISERROR(SEARCH("trade",$D297))),NOT(ISERROR(SEARCH("balance",$D297)))),"",$D297)),UPPER(LEFT($B297, SEARCH(" ",$B297)-1)&amp;$C297&amp;IF(OR(NOT(ISERROR(SEARCH("trade",$D297))),NOT(ISERROR(SEARCH("balance",$D297)))),"",$D297))),$L:$T,MATCH("balance",$L$2:$S$2,0),FALSE))</f>
        <v>#N/A</v>
      </c>
      <c r="H297" s="35" t="e">
        <f ca="1">IF(Summary_Exchange_Balances_00UTC!$B296="","",(G297-E297)/E297)</f>
        <v>#N/A</v>
      </c>
      <c r="I297" s="165">
        <f ca="1">IF(Summary_Exchange_Balances_00UTC!$B296="","",IF(ISERROR($G297),$E297,$G297))</f>
        <v>35000</v>
      </c>
      <c r="K297" t="str">
        <f t="shared" ca="1" si="20"/>
        <v>HUBISOL</v>
      </c>
      <c r="L297" t="str">
        <f t="shared" ca="1" si="21"/>
        <v>HUBI-ESOL</v>
      </c>
      <c r="N297" s="161" t="str">
        <f ca="1">IF(raw_exchange_data!$A296="","",OFFSET(raw_exchange_data!$A296,0,MATCH(N$2,raw_exchange_data!$1:$1,0)-1))</f>
        <v>SOL</v>
      </c>
      <c r="O297" s="161" t="str">
        <f ca="1">IF(raw_exchange_data!$A296="","",OFFSET(raw_exchange_data!$A296,0,MATCH(O$2,raw_exchange_data!$1:$1,0)-1))</f>
        <v>HUBI</v>
      </c>
      <c r="P297" s="161" t="str">
        <f ca="1">IF(raw_exchange_data!$A296="","",OFFSET(raw_exchange_data!$A296,0,MATCH(P$2,raw_exchange_data!$1:$1,0)-1))</f>
        <v>HUBI-E</v>
      </c>
      <c r="Q297" s="161" t="str">
        <f ca="1">IF(raw_exchange_data!$A296="","",TEXT(OFFSET(raw_exchange_data!$A296,0,MATCH(Q$2,raw_exchange_data!$1:$1,0)-1),""))</f>
        <v/>
      </c>
      <c r="R297" s="162">
        <f ca="1">IF(raw_exchange_data!$A296="","",OFFSET(raw_exchange_data!$A296,0,MATCH(R$2,raw_exchange_data!$1:$1,0)-1))</f>
        <v>0.14106867000000001</v>
      </c>
      <c r="S297" s="190">
        <f ca="1">IF(raw_exchange_data!$A296="","",OFFSET(raw_exchange_data!$A296,0,MATCH(S$2,raw_exchange_data!$1:$1,0)-1))</f>
        <v>44937.666669409722</v>
      </c>
      <c r="T297" s="161">
        <v>1</v>
      </c>
      <c r="W297" t="str">
        <f t="shared" si="22"/>
        <v>GALAXY</v>
      </c>
      <c r="X297" t="str">
        <f t="shared" si="23"/>
        <v>ALGO</v>
      </c>
      <c r="Y297" s="42">
        <f t="shared" si="24"/>
        <v>35000</v>
      </c>
      <c r="Z297" s="42">
        <f t="shared" ca="1" si="25"/>
        <v>0</v>
      </c>
      <c r="AC297"/>
      <c r="AD297"/>
    </row>
    <row r="298" spans="1:30" x14ac:dyDescent="0.25">
      <c r="A298" t="str">
        <f>IF(Summary_Exchange_Balances_00UTC!$B297="","",Summary_Exchange_Balances_00UTC!$N297)</f>
        <v>GALAXY</v>
      </c>
      <c r="B298" t="str">
        <f>IF(Summary_Exchange_Balances_00UTC!$B297="","",Summary_Exchange_Balances_00UTC!$B297)</f>
        <v>LEND-GACM</v>
      </c>
      <c r="C298" t="str">
        <f>IF(Summary_Exchange_Balances_00UTC!$B297="","",Summary_Exchange_Balances_00UTC!$E297)</f>
        <v>AVAX</v>
      </c>
      <c r="D298" t="str">
        <f>IF(OR(Summary_Exchange_Balances_00UTC!$B297="",Summary_Exchange_Balances_00UTC!$D297=""),"",Summary_Exchange_Balances_00UTC!$D297)</f>
        <v/>
      </c>
      <c r="E298" s="52">
        <f>IF(Summary_Exchange_Balances_00UTC!$B297="","",Summary_Exchange_Balances_00UTC!$C297)</f>
        <v>3000</v>
      </c>
      <c r="G298" s="52" t="e">
        <f ca="1">IF(Summary_Exchange_Balances_00UTC!$B297="","",VLOOKUP(IF(ISERROR(SEARCH(" ", $B298)),UPPER($B298&amp;$C298&amp;IF(OR(NOT(ISERROR(SEARCH("trade",$D298))),NOT(ISERROR(SEARCH("balance",$D298)))),"",$D298)),UPPER(LEFT($B298, SEARCH(" ",$B298)-1)&amp;$C298&amp;IF(OR(NOT(ISERROR(SEARCH("trade",$D298))),NOT(ISERROR(SEARCH("balance",$D298)))),"",$D298))),$L:$T,MATCH("balance",$L$2:$S$2,0),FALSE))</f>
        <v>#N/A</v>
      </c>
      <c r="H298" s="35" t="e">
        <f ca="1">IF(Summary_Exchange_Balances_00UTC!$B297="","",(G298-E298)/E298)</f>
        <v>#N/A</v>
      </c>
      <c r="I298" s="165">
        <f ca="1">IF(Summary_Exchange_Balances_00UTC!$B297="","",IF(ISERROR($G298),$E298,$G298))</f>
        <v>3000</v>
      </c>
      <c r="K298" t="str">
        <f t="shared" ca="1" si="20"/>
        <v>HUBISOLO</v>
      </c>
      <c r="L298" t="str">
        <f t="shared" ca="1" si="21"/>
        <v>HUBI-ESOLO</v>
      </c>
      <c r="N298" s="161" t="str">
        <f ca="1">IF(raw_exchange_data!$A297="","",OFFSET(raw_exchange_data!$A297,0,MATCH(N$2,raw_exchange_data!$1:$1,0)-1))</f>
        <v>SOLO</v>
      </c>
      <c r="O298" s="161" t="str">
        <f ca="1">IF(raw_exchange_data!$A297="","",OFFSET(raw_exchange_data!$A297,0,MATCH(O$2,raw_exchange_data!$1:$1,0)-1))</f>
        <v>HUBI</v>
      </c>
      <c r="P298" s="161" t="str">
        <f ca="1">IF(raw_exchange_data!$A297="","",OFFSET(raw_exchange_data!$A297,0,MATCH(P$2,raw_exchange_data!$1:$1,0)-1))</f>
        <v>HUBI-E</v>
      </c>
      <c r="Q298" s="161" t="str">
        <f ca="1">IF(raw_exchange_data!$A297="","",TEXT(OFFSET(raw_exchange_data!$A297,0,MATCH(Q$2,raw_exchange_data!$1:$1,0)-1),""))</f>
        <v/>
      </c>
      <c r="R298" s="162">
        <f ca="1">IF(raw_exchange_data!$A297="","",OFFSET(raw_exchange_data!$A297,0,MATCH(R$2,raw_exchange_data!$1:$1,0)-1))</f>
        <v>38753.774400000002</v>
      </c>
      <c r="S298" s="190">
        <f ca="1">IF(raw_exchange_data!$A297="","",OFFSET(raw_exchange_data!$A297,0,MATCH(S$2,raw_exchange_data!$1:$1,0)-1))</f>
        <v>44937.666669409722</v>
      </c>
      <c r="T298" s="161">
        <v>1</v>
      </c>
      <c r="W298" t="str">
        <f t="shared" si="22"/>
        <v>GALAXY</v>
      </c>
      <c r="X298" t="str">
        <f t="shared" si="23"/>
        <v>AVAX</v>
      </c>
      <c r="Y298" s="42">
        <f t="shared" si="24"/>
        <v>3000</v>
      </c>
      <c r="Z298" s="42">
        <f t="shared" ca="1" si="25"/>
        <v>0</v>
      </c>
      <c r="AC298"/>
      <c r="AD298"/>
    </row>
    <row r="299" spans="1:30" x14ac:dyDescent="0.25">
      <c r="A299" t="str">
        <f>IF(Summary_Exchange_Balances_00UTC!$B298="","",Summary_Exchange_Balances_00UTC!$N298)</f>
        <v>GALAXY</v>
      </c>
      <c r="B299" t="str">
        <f>IF(Summary_Exchange_Balances_00UTC!$B298="","",Summary_Exchange_Balances_00UTC!$B298)</f>
        <v>LEND-GACM</v>
      </c>
      <c r="C299" t="str">
        <f>IF(Summary_Exchange_Balances_00UTC!$B298="","",Summary_Exchange_Balances_00UTC!$E298)</f>
        <v>BAT</v>
      </c>
      <c r="D299" t="str">
        <f>IF(OR(Summary_Exchange_Balances_00UTC!$B298="",Summary_Exchange_Balances_00UTC!$D298=""),"",Summary_Exchange_Balances_00UTC!$D298)</f>
        <v/>
      </c>
      <c r="E299" s="52">
        <f>IF(Summary_Exchange_Balances_00UTC!$B298="","",Summary_Exchange_Balances_00UTC!$C298)</f>
        <v>100000</v>
      </c>
      <c r="G299" s="52" t="e">
        <f ca="1">IF(Summary_Exchange_Balances_00UTC!$B298="","",VLOOKUP(IF(ISERROR(SEARCH(" ", $B299)),UPPER($B299&amp;$C299&amp;IF(OR(NOT(ISERROR(SEARCH("trade",$D299))),NOT(ISERROR(SEARCH("balance",$D299)))),"",$D299)),UPPER(LEFT($B299, SEARCH(" ",$B299)-1)&amp;$C299&amp;IF(OR(NOT(ISERROR(SEARCH("trade",$D299))),NOT(ISERROR(SEARCH("balance",$D299)))),"",$D299))),$L:$T,MATCH("balance",$L$2:$S$2,0),FALSE))</f>
        <v>#N/A</v>
      </c>
      <c r="H299" s="35" t="e">
        <f ca="1">IF(Summary_Exchange_Balances_00UTC!$B298="","",(G299-E299)/E299)</f>
        <v>#N/A</v>
      </c>
      <c r="I299" s="165">
        <f ca="1">IF(Summary_Exchange_Balances_00UTC!$B298="","",IF(ISERROR($G299),$E299,$G299))</f>
        <v>100000</v>
      </c>
      <c r="K299" t="str">
        <f t="shared" ca="1" si="20"/>
        <v>HUBISTORJ</v>
      </c>
      <c r="L299" t="str">
        <f t="shared" ca="1" si="21"/>
        <v>HUBI-ESTORJ</v>
      </c>
      <c r="N299" s="161" t="str">
        <f ca="1">IF(raw_exchange_data!$A298="","",OFFSET(raw_exchange_data!$A298,0,MATCH(N$2,raw_exchange_data!$1:$1,0)-1))</f>
        <v>STORJ</v>
      </c>
      <c r="O299" s="161" t="str">
        <f ca="1">IF(raw_exchange_data!$A298="","",OFFSET(raw_exchange_data!$A298,0,MATCH(O$2,raw_exchange_data!$1:$1,0)-1))</f>
        <v>HUBI</v>
      </c>
      <c r="P299" s="161" t="str">
        <f ca="1">IF(raw_exchange_data!$A298="","",OFFSET(raw_exchange_data!$A298,0,MATCH(P$2,raw_exchange_data!$1:$1,0)-1))</f>
        <v>HUBI-E</v>
      </c>
      <c r="Q299" s="161" t="str">
        <f ca="1">IF(raw_exchange_data!$A298="","",TEXT(OFFSET(raw_exchange_data!$A298,0,MATCH(Q$2,raw_exchange_data!$1:$1,0)-1),""))</f>
        <v/>
      </c>
      <c r="R299" s="162">
        <f ca="1">IF(raw_exchange_data!$A298="","",OFFSET(raw_exchange_data!$A298,0,MATCH(R$2,raw_exchange_data!$1:$1,0)-1))</f>
        <v>29.76350429</v>
      </c>
      <c r="S299" s="190">
        <f ca="1">IF(raw_exchange_data!$A298="","",OFFSET(raw_exchange_data!$A298,0,MATCH(S$2,raw_exchange_data!$1:$1,0)-1))</f>
        <v>44937.666669409722</v>
      </c>
      <c r="T299" s="161">
        <v>1</v>
      </c>
      <c r="W299" t="str">
        <f t="shared" si="22"/>
        <v>GALAXY</v>
      </c>
      <c r="X299" t="str">
        <f t="shared" si="23"/>
        <v>BAT</v>
      </c>
      <c r="Y299" s="42">
        <f t="shared" si="24"/>
        <v>100000</v>
      </c>
      <c r="Z299" s="42">
        <f t="shared" ca="1" si="25"/>
        <v>0</v>
      </c>
      <c r="AC299"/>
      <c r="AD299"/>
    </row>
    <row r="300" spans="1:30" x14ac:dyDescent="0.25">
      <c r="A300" t="str">
        <f>IF(Summary_Exchange_Balances_00UTC!$B299="","",Summary_Exchange_Balances_00UTC!$N299)</f>
        <v>GALAXY</v>
      </c>
      <c r="B300" t="str">
        <f>IF(Summary_Exchange_Balances_00UTC!$B299="","",Summary_Exchange_Balances_00UTC!$B299)</f>
        <v>LEND-GACM</v>
      </c>
      <c r="C300" t="str">
        <f>IF(Summary_Exchange_Balances_00UTC!$B299="","",Summary_Exchange_Balances_00UTC!$E299)</f>
        <v>BCH</v>
      </c>
      <c r="D300" t="str">
        <f>IF(OR(Summary_Exchange_Balances_00UTC!$B299="",Summary_Exchange_Balances_00UTC!$D299=""),"",Summary_Exchange_Balances_00UTC!$D299)</f>
        <v/>
      </c>
      <c r="E300" s="52">
        <f>IF(Summary_Exchange_Balances_00UTC!$B299="","",Summary_Exchange_Balances_00UTC!$C299)</f>
        <v>5627</v>
      </c>
      <c r="G300" s="52" t="e">
        <f ca="1">IF(Summary_Exchange_Balances_00UTC!$B299="","",VLOOKUP(IF(ISERROR(SEARCH(" ", $B300)),UPPER($B300&amp;$C300&amp;IF(OR(NOT(ISERROR(SEARCH("trade",$D300))),NOT(ISERROR(SEARCH("balance",$D300)))),"",$D300)),UPPER(LEFT($B300, SEARCH(" ",$B300)-1)&amp;$C300&amp;IF(OR(NOT(ISERROR(SEARCH("trade",$D300))),NOT(ISERROR(SEARCH("balance",$D300)))),"",$D300))),$L:$T,MATCH("balance",$L$2:$S$2,0),FALSE))</f>
        <v>#N/A</v>
      </c>
      <c r="H300" s="35" t="e">
        <f ca="1">IF(Summary_Exchange_Balances_00UTC!$B299="","",(G300-E300)/E300)</f>
        <v>#N/A</v>
      </c>
      <c r="I300" s="165">
        <f ca="1">IF(Summary_Exchange_Balances_00UTC!$B299="","",IF(ISERROR($G300),$E300,$G300))</f>
        <v>5627</v>
      </c>
      <c r="K300" t="str">
        <f t="shared" ca="1" si="20"/>
        <v>HUBITRX</v>
      </c>
      <c r="L300" t="str">
        <f t="shared" ca="1" si="21"/>
        <v>HUBI-ETRX</v>
      </c>
      <c r="N300" s="161" t="str">
        <f ca="1">IF(raw_exchange_data!$A299="","",OFFSET(raw_exchange_data!$A299,0,MATCH(N$2,raw_exchange_data!$1:$1,0)-1))</f>
        <v>TRX</v>
      </c>
      <c r="O300" s="161" t="str">
        <f ca="1">IF(raw_exchange_data!$A299="","",OFFSET(raw_exchange_data!$A299,0,MATCH(O$2,raw_exchange_data!$1:$1,0)-1))</f>
        <v>HUBI</v>
      </c>
      <c r="P300" s="161" t="str">
        <f ca="1">IF(raw_exchange_data!$A299="","",OFFSET(raw_exchange_data!$A299,0,MATCH(P$2,raw_exchange_data!$1:$1,0)-1))</f>
        <v>HUBI-E</v>
      </c>
      <c r="Q300" s="161" t="str">
        <f ca="1">IF(raw_exchange_data!$A299="","",TEXT(OFFSET(raw_exchange_data!$A299,0,MATCH(Q$2,raw_exchange_data!$1:$1,0)-1),""))</f>
        <v/>
      </c>
      <c r="R300" s="162">
        <f ca="1">IF(raw_exchange_data!$A299="","",OFFSET(raw_exchange_data!$A299,0,MATCH(R$2,raw_exchange_data!$1:$1,0)-1))</f>
        <v>44.266270740000003</v>
      </c>
      <c r="S300" s="190">
        <f ca="1">IF(raw_exchange_data!$A299="","",OFFSET(raw_exchange_data!$A299,0,MATCH(S$2,raw_exchange_data!$1:$1,0)-1))</f>
        <v>44937.666669409722</v>
      </c>
      <c r="T300" s="161">
        <v>1</v>
      </c>
      <c r="W300" t="str">
        <f t="shared" si="22"/>
        <v>GALAXY</v>
      </c>
      <c r="X300" t="str">
        <f t="shared" si="23"/>
        <v>BCH</v>
      </c>
      <c r="Y300" s="42">
        <f t="shared" si="24"/>
        <v>5627</v>
      </c>
      <c r="Z300" s="42">
        <f t="shared" ca="1" si="25"/>
        <v>0</v>
      </c>
      <c r="AC300"/>
      <c r="AD300"/>
    </row>
    <row r="301" spans="1:30" x14ac:dyDescent="0.25">
      <c r="A301" t="str">
        <f>IF(Summary_Exchange_Balances_00UTC!$B300="","",Summary_Exchange_Balances_00UTC!$N300)</f>
        <v>GALAXY</v>
      </c>
      <c r="B301" t="str">
        <f>IF(Summary_Exchange_Balances_00UTC!$B300="","",Summary_Exchange_Balances_00UTC!$B300)</f>
        <v>LEND-GACM</v>
      </c>
      <c r="C301" t="str">
        <f>IF(Summary_Exchange_Balances_00UTC!$B300="","",Summary_Exchange_Balances_00UTC!$E300)</f>
        <v>DASH</v>
      </c>
      <c r="D301" t="str">
        <f>IF(OR(Summary_Exchange_Balances_00UTC!$B300="",Summary_Exchange_Balances_00UTC!$D300=""),"",Summary_Exchange_Balances_00UTC!$D300)</f>
        <v/>
      </c>
      <c r="E301" s="52">
        <f>IF(Summary_Exchange_Balances_00UTC!$B300="","",Summary_Exchange_Balances_00UTC!$C300)</f>
        <v>100</v>
      </c>
      <c r="G301" s="52" t="e">
        <f ca="1">IF(Summary_Exchange_Balances_00UTC!$B300="","",VLOOKUP(IF(ISERROR(SEARCH(" ", $B301)),UPPER($B301&amp;$C301&amp;IF(OR(NOT(ISERROR(SEARCH("trade",$D301))),NOT(ISERROR(SEARCH("balance",$D301)))),"",$D301)),UPPER(LEFT($B301, SEARCH(" ",$B301)-1)&amp;$C301&amp;IF(OR(NOT(ISERROR(SEARCH("trade",$D301))),NOT(ISERROR(SEARCH("balance",$D301)))),"",$D301))),$L:$T,MATCH("balance",$L$2:$S$2,0),FALSE))</f>
        <v>#N/A</v>
      </c>
      <c r="H301" s="35" t="e">
        <f ca="1">IF(Summary_Exchange_Balances_00UTC!$B300="","",(G301-E301)/E301)</f>
        <v>#N/A</v>
      </c>
      <c r="I301" s="165">
        <f ca="1">IF(Summary_Exchange_Balances_00UTC!$B300="","",IF(ISERROR($G301),$E301,$G301))</f>
        <v>100</v>
      </c>
      <c r="K301" t="str">
        <f t="shared" ca="1" si="20"/>
        <v>HUBITT</v>
      </c>
      <c r="L301" t="str">
        <f t="shared" ca="1" si="21"/>
        <v>HUBI-ETT</v>
      </c>
      <c r="N301" s="161" t="str">
        <f ca="1">IF(raw_exchange_data!$A300="","",OFFSET(raw_exchange_data!$A300,0,MATCH(N$2,raw_exchange_data!$1:$1,0)-1))</f>
        <v>TT</v>
      </c>
      <c r="O301" s="161" t="str">
        <f ca="1">IF(raw_exchange_data!$A300="","",OFFSET(raw_exchange_data!$A300,0,MATCH(O$2,raw_exchange_data!$1:$1,0)-1))</f>
        <v>HUBI</v>
      </c>
      <c r="P301" s="161" t="str">
        <f ca="1">IF(raw_exchange_data!$A300="","",OFFSET(raw_exchange_data!$A300,0,MATCH(P$2,raw_exchange_data!$1:$1,0)-1))</f>
        <v>HUBI-E</v>
      </c>
      <c r="Q301" s="161" t="str">
        <f ca="1">IF(raw_exchange_data!$A300="","",TEXT(OFFSET(raw_exchange_data!$A300,0,MATCH(Q$2,raw_exchange_data!$1:$1,0)-1),""))</f>
        <v/>
      </c>
      <c r="R301" s="162">
        <f ca="1">IF(raw_exchange_data!$A300="","",OFFSET(raw_exchange_data!$A300,0,MATCH(R$2,raw_exchange_data!$1:$1,0)-1))</f>
        <v>6.3152970000000003E-2</v>
      </c>
      <c r="S301" s="190">
        <f ca="1">IF(raw_exchange_data!$A300="","",OFFSET(raw_exchange_data!$A300,0,MATCH(S$2,raw_exchange_data!$1:$1,0)-1))</f>
        <v>44937.666669409722</v>
      </c>
      <c r="T301" s="161">
        <v>1</v>
      </c>
      <c r="W301" t="str">
        <f t="shared" si="22"/>
        <v>GALAXY</v>
      </c>
      <c r="X301" t="str">
        <f t="shared" si="23"/>
        <v>DASH</v>
      </c>
      <c r="Y301" s="42">
        <f t="shared" si="24"/>
        <v>100</v>
      </c>
      <c r="Z301" s="42">
        <f t="shared" ca="1" si="25"/>
        <v>0</v>
      </c>
      <c r="AC301"/>
      <c r="AD301"/>
    </row>
    <row r="302" spans="1:30" x14ac:dyDescent="0.25">
      <c r="A302" t="str">
        <f>IF(Summary_Exchange_Balances_00UTC!$B301="","",Summary_Exchange_Balances_00UTC!$N301)</f>
        <v>GALAXY</v>
      </c>
      <c r="B302" t="str">
        <f>IF(Summary_Exchange_Balances_00UTC!$B301="","",Summary_Exchange_Balances_00UTC!$B301)</f>
        <v>LEND-GACM</v>
      </c>
      <c r="C302" t="str">
        <f>IF(Summary_Exchange_Balances_00UTC!$B301="","",Summary_Exchange_Balances_00UTC!$E301)</f>
        <v>DOGE</v>
      </c>
      <c r="D302" t="str">
        <f>IF(OR(Summary_Exchange_Balances_00UTC!$B301="",Summary_Exchange_Balances_00UTC!$D301=""),"",Summary_Exchange_Balances_00UTC!$D301)</f>
        <v/>
      </c>
      <c r="E302" s="52">
        <f>IF(Summary_Exchange_Balances_00UTC!$B301="","",Summary_Exchange_Balances_00UTC!$C301)</f>
        <v>600000</v>
      </c>
      <c r="G302" s="52" t="e">
        <f ca="1">IF(Summary_Exchange_Balances_00UTC!$B301="","",VLOOKUP(IF(ISERROR(SEARCH(" ", $B302)),UPPER($B302&amp;$C302&amp;IF(OR(NOT(ISERROR(SEARCH("trade",$D302))),NOT(ISERROR(SEARCH("balance",$D302)))),"",$D302)),UPPER(LEFT($B302, SEARCH(" ",$B302)-1)&amp;$C302&amp;IF(OR(NOT(ISERROR(SEARCH("trade",$D302))),NOT(ISERROR(SEARCH("balance",$D302)))),"",$D302))),$L:$T,MATCH("balance",$L$2:$S$2,0),FALSE))</f>
        <v>#N/A</v>
      </c>
      <c r="H302" s="35" t="e">
        <f ca="1">IF(Summary_Exchange_Balances_00UTC!$B301="","",(G302-E302)/E302)</f>
        <v>#N/A</v>
      </c>
      <c r="I302" s="165">
        <f ca="1">IF(Summary_Exchange_Balances_00UTC!$B301="","",IF(ISERROR($G302),$E302,$G302))</f>
        <v>600000</v>
      </c>
      <c r="K302" t="str">
        <f t="shared" ca="1" si="20"/>
        <v>HUBITUSD</v>
      </c>
      <c r="L302" t="str">
        <f t="shared" ca="1" si="21"/>
        <v>HUBI-ETUSD</v>
      </c>
      <c r="N302" s="161" t="str">
        <f ca="1">IF(raw_exchange_data!$A301="","",OFFSET(raw_exchange_data!$A301,0,MATCH(N$2,raw_exchange_data!$1:$1,0)-1))</f>
        <v>TUSD</v>
      </c>
      <c r="O302" s="161" t="str">
        <f ca="1">IF(raw_exchange_data!$A301="","",OFFSET(raw_exchange_data!$A301,0,MATCH(O$2,raw_exchange_data!$1:$1,0)-1))</f>
        <v>HUBI</v>
      </c>
      <c r="P302" s="161" t="str">
        <f ca="1">IF(raw_exchange_data!$A301="","",OFFSET(raw_exchange_data!$A301,0,MATCH(P$2,raw_exchange_data!$1:$1,0)-1))</f>
        <v>HUBI-E</v>
      </c>
      <c r="Q302" s="161" t="str">
        <f ca="1">IF(raw_exchange_data!$A301="","",TEXT(OFFSET(raw_exchange_data!$A301,0,MATCH(Q$2,raw_exchange_data!$1:$1,0)-1),""))</f>
        <v/>
      </c>
      <c r="R302" s="162">
        <f ca="1">IF(raw_exchange_data!$A301="","",OFFSET(raw_exchange_data!$A301,0,MATCH(R$2,raw_exchange_data!$1:$1,0)-1))</f>
        <v>20</v>
      </c>
      <c r="S302" s="190">
        <f ca="1">IF(raw_exchange_data!$A301="","",OFFSET(raw_exchange_data!$A301,0,MATCH(S$2,raw_exchange_data!$1:$1,0)-1))</f>
        <v>44937.666669409722</v>
      </c>
      <c r="T302" s="161">
        <v>1</v>
      </c>
      <c r="W302" t="str">
        <f t="shared" si="22"/>
        <v>GALAXY</v>
      </c>
      <c r="X302" t="str">
        <f t="shared" si="23"/>
        <v>DOGE</v>
      </c>
      <c r="Y302" s="42">
        <f t="shared" si="24"/>
        <v>600000</v>
      </c>
      <c r="Z302" s="42">
        <f t="shared" ca="1" si="25"/>
        <v>0</v>
      </c>
      <c r="AC302"/>
      <c r="AD302"/>
    </row>
    <row r="303" spans="1:30" x14ac:dyDescent="0.25">
      <c r="A303" t="str">
        <f>IF(Summary_Exchange_Balances_00UTC!$B302="","",Summary_Exchange_Balances_00UTC!$N302)</f>
        <v>GALAXY</v>
      </c>
      <c r="B303" t="str">
        <f>IF(Summary_Exchange_Balances_00UTC!$B302="","",Summary_Exchange_Balances_00UTC!$B302)</f>
        <v>LEND-GACM</v>
      </c>
      <c r="C303" t="str">
        <f>IF(Summary_Exchange_Balances_00UTC!$B302="","",Summary_Exchange_Balances_00UTC!$E302)</f>
        <v>DOT</v>
      </c>
      <c r="D303" t="str">
        <f>IF(OR(Summary_Exchange_Balances_00UTC!$B302="",Summary_Exchange_Balances_00UTC!$D302=""),"",Summary_Exchange_Balances_00UTC!$D302)</f>
        <v/>
      </c>
      <c r="E303" s="52">
        <f>IF(Summary_Exchange_Balances_00UTC!$B302="","",Summary_Exchange_Balances_00UTC!$C302)</f>
        <v>5000</v>
      </c>
      <c r="G303" s="52" t="e">
        <f ca="1">IF(Summary_Exchange_Balances_00UTC!$B302="","",VLOOKUP(IF(ISERROR(SEARCH(" ", $B303)),UPPER($B303&amp;$C303&amp;IF(OR(NOT(ISERROR(SEARCH("trade",$D303))),NOT(ISERROR(SEARCH("balance",$D303)))),"",$D303)),UPPER(LEFT($B303, SEARCH(" ",$B303)-1)&amp;$C303&amp;IF(OR(NOT(ISERROR(SEARCH("trade",$D303))),NOT(ISERROR(SEARCH("balance",$D303)))),"",$D303))),$L:$T,MATCH("balance",$L$2:$S$2,0),FALSE))</f>
        <v>#N/A</v>
      </c>
      <c r="H303" s="35" t="e">
        <f ca="1">IF(Summary_Exchange_Balances_00UTC!$B302="","",(G303-E303)/E303)</f>
        <v>#N/A</v>
      </c>
      <c r="I303" s="165">
        <f ca="1">IF(Summary_Exchange_Balances_00UTC!$B302="","",IF(ISERROR($G303),$E303,$G303))</f>
        <v>5000</v>
      </c>
      <c r="K303" t="str">
        <f t="shared" ca="1" si="20"/>
        <v>HUBIUNI</v>
      </c>
      <c r="L303" t="str">
        <f t="shared" ca="1" si="21"/>
        <v>HUBI-EUNI</v>
      </c>
      <c r="N303" s="161" t="str">
        <f ca="1">IF(raw_exchange_data!$A302="","",OFFSET(raw_exchange_data!$A302,0,MATCH(N$2,raw_exchange_data!$1:$1,0)-1))</f>
        <v>UNI</v>
      </c>
      <c r="O303" s="161" t="str">
        <f ca="1">IF(raw_exchange_data!$A302="","",OFFSET(raw_exchange_data!$A302,0,MATCH(O$2,raw_exchange_data!$1:$1,0)-1))</f>
        <v>HUBI</v>
      </c>
      <c r="P303" s="161" t="str">
        <f ca="1">IF(raw_exchange_data!$A302="","",OFFSET(raw_exchange_data!$A302,0,MATCH(P$2,raw_exchange_data!$1:$1,0)-1))</f>
        <v>HUBI-E</v>
      </c>
      <c r="Q303" s="161" t="str">
        <f ca="1">IF(raw_exchange_data!$A302="","",TEXT(OFFSET(raw_exchange_data!$A302,0,MATCH(Q$2,raw_exchange_data!$1:$1,0)-1),""))</f>
        <v/>
      </c>
      <c r="R303" s="162">
        <f ca="1">IF(raw_exchange_data!$A302="","",OFFSET(raw_exchange_data!$A302,0,MATCH(R$2,raw_exchange_data!$1:$1,0)-1))</f>
        <v>1E-8</v>
      </c>
      <c r="S303" s="190">
        <f ca="1">IF(raw_exchange_data!$A302="","",OFFSET(raw_exchange_data!$A302,0,MATCH(S$2,raw_exchange_data!$1:$1,0)-1))</f>
        <v>44937.666669409722</v>
      </c>
      <c r="T303" s="161">
        <v>1</v>
      </c>
      <c r="W303" t="str">
        <f t="shared" si="22"/>
        <v>GALAXY</v>
      </c>
      <c r="X303" t="str">
        <f t="shared" si="23"/>
        <v>DOT</v>
      </c>
      <c r="Y303" s="42">
        <f t="shared" si="24"/>
        <v>5000</v>
      </c>
      <c r="Z303" s="42">
        <f t="shared" ca="1" si="25"/>
        <v>0</v>
      </c>
      <c r="AC303"/>
      <c r="AD303"/>
    </row>
    <row r="304" spans="1:30" x14ac:dyDescent="0.25">
      <c r="A304" t="str">
        <f>IF(Summary_Exchange_Balances_00UTC!$B303="","",Summary_Exchange_Balances_00UTC!$N303)</f>
        <v>GALAXY</v>
      </c>
      <c r="B304" t="str">
        <f>IF(Summary_Exchange_Balances_00UTC!$B303="","",Summary_Exchange_Balances_00UTC!$B303)</f>
        <v>LEND-GACM</v>
      </c>
      <c r="C304" t="str">
        <f>IF(Summary_Exchange_Balances_00UTC!$B303="","",Summary_Exchange_Balances_00UTC!$E303)</f>
        <v>ENJ</v>
      </c>
      <c r="D304" t="str">
        <f>IF(OR(Summary_Exchange_Balances_00UTC!$B303="",Summary_Exchange_Balances_00UTC!$D303=""),"",Summary_Exchange_Balances_00UTC!$D303)</f>
        <v/>
      </c>
      <c r="E304" s="52">
        <f>IF(Summary_Exchange_Balances_00UTC!$B303="","",Summary_Exchange_Balances_00UTC!$C303)</f>
        <v>15000</v>
      </c>
      <c r="G304" s="52" t="e">
        <f ca="1">IF(Summary_Exchange_Balances_00UTC!$B303="","",VLOOKUP(IF(ISERROR(SEARCH(" ", $B304)),UPPER($B304&amp;$C304&amp;IF(OR(NOT(ISERROR(SEARCH("trade",$D304))),NOT(ISERROR(SEARCH("balance",$D304)))),"",$D304)),UPPER(LEFT($B304, SEARCH(" ",$B304)-1)&amp;$C304&amp;IF(OR(NOT(ISERROR(SEARCH("trade",$D304))),NOT(ISERROR(SEARCH("balance",$D304)))),"",$D304))),$L:$T,MATCH("balance",$L$2:$S$2,0),FALSE))</f>
        <v>#N/A</v>
      </c>
      <c r="H304" s="35" t="e">
        <f ca="1">IF(Summary_Exchange_Balances_00UTC!$B303="","",(G304-E304)/E304)</f>
        <v>#N/A</v>
      </c>
      <c r="I304" s="165">
        <f ca="1">IF(Summary_Exchange_Balances_00UTC!$B303="","",IF(ISERROR($G304),$E304,$G304))</f>
        <v>15000</v>
      </c>
      <c r="K304" t="str">
        <f t="shared" ca="1" si="20"/>
        <v>HUBIUSDC</v>
      </c>
      <c r="L304" t="str">
        <f t="shared" ca="1" si="21"/>
        <v>HUBI-EUSDC</v>
      </c>
      <c r="N304" s="161" t="str">
        <f ca="1">IF(raw_exchange_data!$A303="","",OFFSET(raw_exchange_data!$A303,0,MATCH(N$2,raw_exchange_data!$1:$1,0)-1))</f>
        <v>USDC</v>
      </c>
      <c r="O304" s="161" t="str">
        <f ca="1">IF(raw_exchange_data!$A303="","",OFFSET(raw_exchange_data!$A303,0,MATCH(O$2,raw_exchange_data!$1:$1,0)-1))</f>
        <v>HUBI</v>
      </c>
      <c r="P304" s="161" t="str">
        <f ca="1">IF(raw_exchange_data!$A303="","",OFFSET(raw_exchange_data!$A303,0,MATCH(P$2,raw_exchange_data!$1:$1,0)-1))</f>
        <v>HUBI-E</v>
      </c>
      <c r="Q304" s="161" t="str">
        <f ca="1">IF(raw_exchange_data!$A303="","",TEXT(OFFSET(raw_exchange_data!$A303,0,MATCH(Q$2,raw_exchange_data!$1:$1,0)-1),""))</f>
        <v/>
      </c>
      <c r="R304" s="162">
        <f ca="1">IF(raw_exchange_data!$A303="","",OFFSET(raw_exchange_data!$A303,0,MATCH(R$2,raw_exchange_data!$1:$1,0)-1))</f>
        <v>5.6000000000000004E-7</v>
      </c>
      <c r="S304" s="190">
        <f ca="1">IF(raw_exchange_data!$A303="","",OFFSET(raw_exchange_data!$A303,0,MATCH(S$2,raw_exchange_data!$1:$1,0)-1))</f>
        <v>44937.666669409722</v>
      </c>
      <c r="T304" s="161">
        <v>1</v>
      </c>
      <c r="W304" t="str">
        <f t="shared" si="22"/>
        <v>GALAXY</v>
      </c>
      <c r="X304" t="str">
        <f t="shared" si="23"/>
        <v>ENJ</v>
      </c>
      <c r="Y304" s="42">
        <f t="shared" si="24"/>
        <v>15000</v>
      </c>
      <c r="Z304" s="42">
        <f t="shared" ca="1" si="25"/>
        <v>0</v>
      </c>
      <c r="AC304"/>
      <c r="AD304"/>
    </row>
    <row r="305" spans="1:30" x14ac:dyDescent="0.25">
      <c r="A305" t="str">
        <f>IF(Summary_Exchange_Balances_00UTC!$B304="","",Summary_Exchange_Balances_00UTC!$N304)</f>
        <v>GALAXY</v>
      </c>
      <c r="B305" t="str">
        <f>IF(Summary_Exchange_Balances_00UTC!$B304="","",Summary_Exchange_Balances_00UTC!$B304)</f>
        <v>LEND-GACM</v>
      </c>
      <c r="C305" t="str">
        <f>IF(Summary_Exchange_Balances_00UTC!$B304="","",Summary_Exchange_Balances_00UTC!$E304)</f>
        <v>EOS</v>
      </c>
      <c r="D305" t="str">
        <f>IF(OR(Summary_Exchange_Balances_00UTC!$B304="",Summary_Exchange_Balances_00UTC!$D304=""),"",Summary_Exchange_Balances_00UTC!$D304)</f>
        <v/>
      </c>
      <c r="E305" s="53">
        <f>IF(Summary_Exchange_Balances_00UTC!$B304="","",Summary_Exchange_Balances_00UTC!$C304)</f>
        <v>30000</v>
      </c>
      <c r="G305" s="52" t="e">
        <f ca="1">IF(Summary_Exchange_Balances_00UTC!$B304="","",VLOOKUP(IF(ISERROR(SEARCH(" ", $B305)),UPPER($B305&amp;$C305&amp;IF(OR(NOT(ISERROR(SEARCH("trade",$D305))),NOT(ISERROR(SEARCH("balance",$D305)))),"",$D305)),UPPER(LEFT($B305, SEARCH(" ",$B305)-1)&amp;$C305&amp;IF(OR(NOT(ISERROR(SEARCH("trade",$D305))),NOT(ISERROR(SEARCH("balance",$D305)))),"",$D305))),$L:$T,MATCH("balance",$L$2:$S$2,0),FALSE))</f>
        <v>#N/A</v>
      </c>
      <c r="H305" s="35" t="e">
        <f ca="1">IF(Summary_Exchange_Balances_00UTC!$B304="","",(G305-E305)/E305)</f>
        <v>#N/A</v>
      </c>
      <c r="I305" s="165">
        <f ca="1">IF(Summary_Exchange_Balances_00UTC!$B304="","",IF(ISERROR($G305),$E305,$G305))</f>
        <v>30000</v>
      </c>
      <c r="K305" t="str">
        <f t="shared" ca="1" si="20"/>
        <v>HUBIUSDP</v>
      </c>
      <c r="L305" t="str">
        <f t="shared" ca="1" si="21"/>
        <v>HUBI-EUSDP</v>
      </c>
      <c r="N305" s="161" t="str">
        <f ca="1">IF(raw_exchange_data!$A304="","",OFFSET(raw_exchange_data!$A304,0,MATCH(N$2,raw_exchange_data!$1:$1,0)-1))</f>
        <v>USDP</v>
      </c>
      <c r="O305" s="161" t="str">
        <f ca="1">IF(raw_exchange_data!$A304="","",OFFSET(raw_exchange_data!$A304,0,MATCH(O$2,raw_exchange_data!$1:$1,0)-1))</f>
        <v>HUBI</v>
      </c>
      <c r="P305" s="161" t="str">
        <f ca="1">IF(raw_exchange_data!$A304="","",OFFSET(raw_exchange_data!$A304,0,MATCH(P$2,raw_exchange_data!$1:$1,0)-1))</f>
        <v>HUBI-E</v>
      </c>
      <c r="Q305" s="161" t="str">
        <f ca="1">IF(raw_exchange_data!$A304="","",TEXT(OFFSET(raw_exchange_data!$A304,0,MATCH(Q$2,raw_exchange_data!$1:$1,0)-1),""))</f>
        <v/>
      </c>
      <c r="R305" s="162">
        <f ca="1">IF(raw_exchange_data!$A304="","",OFFSET(raw_exchange_data!$A304,0,MATCH(R$2,raw_exchange_data!$1:$1,0)-1))</f>
        <v>0.34680431</v>
      </c>
      <c r="S305" s="190">
        <f ca="1">IF(raw_exchange_data!$A304="","",OFFSET(raw_exchange_data!$A304,0,MATCH(S$2,raw_exchange_data!$1:$1,0)-1))</f>
        <v>44937.666669409722</v>
      </c>
      <c r="T305" s="161">
        <v>1</v>
      </c>
      <c r="W305" t="str">
        <f t="shared" si="22"/>
        <v>GALAXY</v>
      </c>
      <c r="X305" t="str">
        <f t="shared" si="23"/>
        <v>EOS</v>
      </c>
      <c r="Y305" s="42">
        <f t="shared" si="24"/>
        <v>30000</v>
      </c>
      <c r="Z305" s="42">
        <f t="shared" ca="1" si="25"/>
        <v>0</v>
      </c>
      <c r="AC305"/>
      <c r="AD305"/>
    </row>
    <row r="306" spans="1:30" x14ac:dyDescent="0.25">
      <c r="A306" t="str">
        <f>IF(Summary_Exchange_Balances_00UTC!$B305="","",Summary_Exchange_Balances_00UTC!$N305)</f>
        <v>GALAXY</v>
      </c>
      <c r="B306" t="str">
        <f>IF(Summary_Exchange_Balances_00UTC!$B305="","",Summary_Exchange_Balances_00UTC!$B305)</f>
        <v>LEND-GACM</v>
      </c>
      <c r="C306" t="str">
        <f>IF(Summary_Exchange_Balances_00UTC!$B305="","",Summary_Exchange_Balances_00UTC!$E305)</f>
        <v>ETC</v>
      </c>
      <c r="D306" t="str">
        <f>IF(OR(Summary_Exchange_Balances_00UTC!$B305="",Summary_Exchange_Balances_00UTC!$D305=""),"",Summary_Exchange_Balances_00UTC!$D305)</f>
        <v/>
      </c>
      <c r="E306" s="53">
        <f>IF(Summary_Exchange_Balances_00UTC!$B305="","",Summary_Exchange_Balances_00UTC!$C305)</f>
        <v>98000</v>
      </c>
      <c r="G306" s="52" t="e">
        <f ca="1">IF(Summary_Exchange_Balances_00UTC!$B305="","",VLOOKUP(IF(ISERROR(SEARCH(" ", $B306)),UPPER($B306&amp;$C306&amp;IF(OR(NOT(ISERROR(SEARCH("trade",$D306))),NOT(ISERROR(SEARCH("balance",$D306)))),"",$D306)),UPPER(LEFT($B306, SEARCH(" ",$B306)-1)&amp;$C306&amp;IF(OR(NOT(ISERROR(SEARCH("trade",$D306))),NOT(ISERROR(SEARCH("balance",$D306)))),"",$D306))),$L:$T,MATCH("balance",$L$2:$S$2,0),FALSE))</f>
        <v>#N/A</v>
      </c>
      <c r="H306" s="35" t="e">
        <f ca="1">IF(Summary_Exchange_Balances_00UTC!$B305="","",(G306-E306)/E306)</f>
        <v>#N/A</v>
      </c>
      <c r="I306" s="165">
        <f ca="1">IF(Summary_Exchange_Balances_00UTC!$B305="","",IF(ISERROR($G306),$E306,$G306))</f>
        <v>98000</v>
      </c>
      <c r="K306" t="str">
        <f t="shared" ca="1" si="20"/>
        <v>HUBIUSDT</v>
      </c>
      <c r="L306" t="str">
        <f t="shared" ca="1" si="21"/>
        <v>HUBI-EUSDT</v>
      </c>
      <c r="N306" s="161" t="str">
        <f ca="1">IF(raw_exchange_data!$A305="","",OFFSET(raw_exchange_data!$A305,0,MATCH(N$2,raw_exchange_data!$1:$1,0)-1))</f>
        <v>USDT</v>
      </c>
      <c r="O306" s="161" t="str">
        <f ca="1">IF(raw_exchange_data!$A305="","",OFFSET(raw_exchange_data!$A305,0,MATCH(O$2,raw_exchange_data!$1:$1,0)-1))</f>
        <v>HUBI</v>
      </c>
      <c r="P306" s="161" t="str">
        <f ca="1">IF(raw_exchange_data!$A305="","",OFFSET(raw_exchange_data!$A305,0,MATCH(P$2,raw_exchange_data!$1:$1,0)-1))</f>
        <v>HUBI-E</v>
      </c>
      <c r="Q306" s="161" t="str">
        <f ca="1">IF(raw_exchange_data!$A305="","",TEXT(OFFSET(raw_exchange_data!$A305,0,MATCH(Q$2,raw_exchange_data!$1:$1,0)-1),""))</f>
        <v/>
      </c>
      <c r="R306" s="162">
        <f ca="1">IF(raw_exchange_data!$A305="","",OFFSET(raw_exchange_data!$A305,0,MATCH(R$2,raw_exchange_data!$1:$1,0)-1))</f>
        <v>4143338.6014388101</v>
      </c>
      <c r="S306" s="190">
        <f ca="1">IF(raw_exchange_data!$A305="","",OFFSET(raw_exchange_data!$A305,0,MATCH(S$2,raw_exchange_data!$1:$1,0)-1))</f>
        <v>44937.666669409722</v>
      </c>
      <c r="T306" s="161">
        <v>1</v>
      </c>
      <c r="W306" t="str">
        <f t="shared" si="22"/>
        <v>GALAXY</v>
      </c>
      <c r="X306" t="str">
        <f t="shared" si="23"/>
        <v>ETC</v>
      </c>
      <c r="Y306" s="42">
        <f t="shared" si="24"/>
        <v>98000</v>
      </c>
      <c r="Z306" s="42">
        <f t="shared" ca="1" si="25"/>
        <v>0</v>
      </c>
      <c r="AC306"/>
      <c r="AD306"/>
    </row>
    <row r="307" spans="1:30" x14ac:dyDescent="0.25">
      <c r="A307" t="str">
        <f>IF(Summary_Exchange_Balances_00UTC!$B306="","",Summary_Exchange_Balances_00UTC!$N306)</f>
        <v>GALAXY</v>
      </c>
      <c r="B307" t="str">
        <f>IF(Summary_Exchange_Balances_00UTC!$B306="","",Summary_Exchange_Balances_00UTC!$B306)</f>
        <v>LEND-GACM</v>
      </c>
      <c r="C307" t="str">
        <f>IF(Summary_Exchange_Balances_00UTC!$B306="","",Summary_Exchange_Balances_00UTC!$E306)</f>
        <v>FTM</v>
      </c>
      <c r="D307" t="str">
        <f>IF(OR(Summary_Exchange_Balances_00UTC!$B306="",Summary_Exchange_Balances_00UTC!$D306=""),"",Summary_Exchange_Balances_00UTC!$D306)</f>
        <v/>
      </c>
      <c r="E307" s="52">
        <f>IF(Summary_Exchange_Balances_00UTC!$B306="","",Summary_Exchange_Balances_00UTC!$C306)</f>
        <v>30000</v>
      </c>
      <c r="G307" s="52" t="e">
        <f ca="1">IF(Summary_Exchange_Balances_00UTC!$B306="","",VLOOKUP(IF(ISERROR(SEARCH(" ", $B307)),UPPER($B307&amp;$C307&amp;IF(OR(NOT(ISERROR(SEARCH("trade",$D307))),NOT(ISERROR(SEARCH("balance",$D307)))),"",$D307)),UPPER(LEFT($B307, SEARCH(" ",$B307)-1)&amp;$C307&amp;IF(OR(NOT(ISERROR(SEARCH("trade",$D307))),NOT(ISERROR(SEARCH("balance",$D307)))),"",$D307))),$L:$T,MATCH("balance",$L$2:$S$2,0),FALSE))</f>
        <v>#N/A</v>
      </c>
      <c r="H307" s="35" t="e">
        <f ca="1">IF(Summary_Exchange_Balances_00UTC!$B306="","",(G307-E307)/E307)</f>
        <v>#N/A</v>
      </c>
      <c r="I307" s="165">
        <f ca="1">IF(Summary_Exchange_Balances_00UTC!$B306="","",IF(ISERROR($G307),$E307,$G307))</f>
        <v>30000</v>
      </c>
      <c r="K307" t="str">
        <f t="shared" ca="1" si="20"/>
        <v>HUBIVET</v>
      </c>
      <c r="L307" t="str">
        <f t="shared" ca="1" si="21"/>
        <v>HUBI-EVET</v>
      </c>
      <c r="N307" s="161" t="str">
        <f ca="1">IF(raw_exchange_data!$A306="","",OFFSET(raw_exchange_data!$A306,0,MATCH(N$2,raw_exchange_data!$1:$1,0)-1))</f>
        <v>VET</v>
      </c>
      <c r="O307" s="161" t="str">
        <f ca="1">IF(raw_exchange_data!$A306="","",OFFSET(raw_exchange_data!$A306,0,MATCH(O$2,raw_exchange_data!$1:$1,0)-1))</f>
        <v>HUBI</v>
      </c>
      <c r="P307" s="161" t="str">
        <f ca="1">IF(raw_exchange_data!$A306="","",OFFSET(raw_exchange_data!$A306,0,MATCH(P$2,raw_exchange_data!$1:$1,0)-1))</f>
        <v>HUBI-E</v>
      </c>
      <c r="Q307" s="161" t="str">
        <f ca="1">IF(raw_exchange_data!$A306="","",TEXT(OFFSET(raw_exchange_data!$A306,0,MATCH(Q$2,raw_exchange_data!$1:$1,0)-1),""))</f>
        <v/>
      </c>
      <c r="R307" s="162">
        <f ca="1">IF(raw_exchange_data!$A306="","",OFFSET(raw_exchange_data!$A306,0,MATCH(R$2,raw_exchange_data!$1:$1,0)-1))</f>
        <v>25.959481520000001</v>
      </c>
      <c r="S307" s="190">
        <f ca="1">IF(raw_exchange_data!$A306="","",OFFSET(raw_exchange_data!$A306,0,MATCH(S$2,raw_exchange_data!$1:$1,0)-1))</f>
        <v>44937.666669409722</v>
      </c>
      <c r="T307" s="161">
        <v>1</v>
      </c>
      <c r="W307" t="str">
        <f t="shared" si="22"/>
        <v>GALAXY</v>
      </c>
      <c r="X307" t="str">
        <f t="shared" si="23"/>
        <v>FTM</v>
      </c>
      <c r="Y307" s="42">
        <f t="shared" si="24"/>
        <v>30000</v>
      </c>
      <c r="Z307" s="42">
        <f t="shared" ca="1" si="25"/>
        <v>0</v>
      </c>
      <c r="AC307"/>
      <c r="AD307"/>
    </row>
    <row r="308" spans="1:30" x14ac:dyDescent="0.25">
      <c r="A308" t="str">
        <f>IF(Summary_Exchange_Balances_00UTC!$B307="","",Summary_Exchange_Balances_00UTC!$N307)</f>
        <v>GALAXY</v>
      </c>
      <c r="B308" t="str">
        <f>IF(Summary_Exchange_Balances_00UTC!$B307="","",Summary_Exchange_Balances_00UTC!$B307)</f>
        <v>LEND-GACM</v>
      </c>
      <c r="C308" t="str">
        <f>IF(Summary_Exchange_Balances_00UTC!$B307="","",Summary_Exchange_Balances_00UTC!$E307)</f>
        <v>GRT</v>
      </c>
      <c r="D308" t="str">
        <f>IF(OR(Summary_Exchange_Balances_00UTC!$B307="",Summary_Exchange_Balances_00UTC!$D307=""),"",Summary_Exchange_Balances_00UTC!$D307)</f>
        <v/>
      </c>
      <c r="E308" s="53">
        <f>IF(Summary_Exchange_Balances_00UTC!$B307="","",Summary_Exchange_Balances_00UTC!$C307)</f>
        <v>50000</v>
      </c>
      <c r="G308" s="52" t="e">
        <f ca="1">IF(Summary_Exchange_Balances_00UTC!$B307="","",VLOOKUP(IF(ISERROR(SEARCH(" ", $B308)),UPPER($B308&amp;$C308&amp;IF(OR(NOT(ISERROR(SEARCH("trade",$D308))),NOT(ISERROR(SEARCH("balance",$D308)))),"",$D308)),UPPER(LEFT($B308, SEARCH(" ",$B308)-1)&amp;$C308&amp;IF(OR(NOT(ISERROR(SEARCH("trade",$D308))),NOT(ISERROR(SEARCH("balance",$D308)))),"",$D308))),$L:$T,MATCH("balance",$L$2:$S$2,0),FALSE))</f>
        <v>#N/A</v>
      </c>
      <c r="H308" s="35" t="e">
        <f ca="1">IF(Summary_Exchange_Balances_00UTC!$B307="","",(G308-E308)/E308)</f>
        <v>#N/A</v>
      </c>
      <c r="I308" s="165">
        <f ca="1">IF(Summary_Exchange_Balances_00UTC!$B307="","",IF(ISERROR($G308),$E308,$G308))</f>
        <v>50000</v>
      </c>
      <c r="K308" t="str">
        <f t="shared" ca="1" si="20"/>
        <v>HUBIVSYS</v>
      </c>
      <c r="L308" t="str">
        <f t="shared" ca="1" si="21"/>
        <v>HUBI-EVSYS</v>
      </c>
      <c r="N308" s="161" t="str">
        <f ca="1">IF(raw_exchange_data!$A307="","",OFFSET(raw_exchange_data!$A307,0,MATCH(N$2,raw_exchange_data!$1:$1,0)-1))</f>
        <v>VSYS</v>
      </c>
      <c r="O308" s="161" t="str">
        <f ca="1">IF(raw_exchange_data!$A307="","",OFFSET(raw_exchange_data!$A307,0,MATCH(O$2,raw_exchange_data!$1:$1,0)-1))</f>
        <v>HUBI</v>
      </c>
      <c r="P308" s="161" t="str">
        <f ca="1">IF(raw_exchange_data!$A307="","",OFFSET(raw_exchange_data!$A307,0,MATCH(P$2,raw_exchange_data!$1:$1,0)-1))</f>
        <v>HUBI-E</v>
      </c>
      <c r="Q308" s="161" t="str">
        <f ca="1">IF(raw_exchange_data!$A307="","",TEXT(OFFSET(raw_exchange_data!$A307,0,MATCH(Q$2,raw_exchange_data!$1:$1,0)-1),""))</f>
        <v/>
      </c>
      <c r="R308" s="162">
        <f ca="1">IF(raw_exchange_data!$A307="","",OFFSET(raw_exchange_data!$A307,0,MATCH(R$2,raw_exchange_data!$1:$1,0)-1))</f>
        <v>0.20872535</v>
      </c>
      <c r="S308" s="190">
        <f ca="1">IF(raw_exchange_data!$A307="","",OFFSET(raw_exchange_data!$A307,0,MATCH(S$2,raw_exchange_data!$1:$1,0)-1))</f>
        <v>44937.666669409722</v>
      </c>
      <c r="T308" s="161">
        <v>1</v>
      </c>
      <c r="W308" t="str">
        <f t="shared" si="22"/>
        <v>GALAXY</v>
      </c>
      <c r="X308" t="str">
        <f t="shared" si="23"/>
        <v>GRT</v>
      </c>
      <c r="Y308" s="42">
        <f t="shared" si="24"/>
        <v>50000</v>
      </c>
      <c r="Z308" s="42">
        <f t="shared" ca="1" si="25"/>
        <v>0</v>
      </c>
      <c r="AC308"/>
      <c r="AD308"/>
    </row>
    <row r="309" spans="1:30" x14ac:dyDescent="0.25">
      <c r="A309" t="str">
        <f>IF(Summary_Exchange_Balances_00UTC!$B308="","",Summary_Exchange_Balances_00UTC!$N308)</f>
        <v>GALAXY</v>
      </c>
      <c r="B309" t="str">
        <f>IF(Summary_Exchange_Balances_00UTC!$B308="","",Summary_Exchange_Balances_00UTC!$B308)</f>
        <v>LEND-GACM</v>
      </c>
      <c r="C309" t="str">
        <f>IF(Summary_Exchange_Balances_00UTC!$B308="","",Summary_Exchange_Balances_00UTC!$E308)</f>
        <v>HBAR</v>
      </c>
      <c r="D309" t="str">
        <f>IF(OR(Summary_Exchange_Balances_00UTC!$B308="",Summary_Exchange_Balances_00UTC!$D308=""),"",Summary_Exchange_Balances_00UTC!$D308)</f>
        <v/>
      </c>
      <c r="E309" s="52">
        <f>IF(Summary_Exchange_Balances_00UTC!$B308="","",Summary_Exchange_Balances_00UTC!$C308)</f>
        <v>125000</v>
      </c>
      <c r="G309" s="52" t="e">
        <f ca="1">IF(Summary_Exchange_Balances_00UTC!$B308="","",VLOOKUP(IF(ISERROR(SEARCH(" ", $B309)),UPPER($B309&amp;$C309&amp;IF(OR(NOT(ISERROR(SEARCH("trade",$D309))),NOT(ISERROR(SEARCH("balance",$D309)))),"",$D309)),UPPER(LEFT($B309, SEARCH(" ",$B309)-1)&amp;$C309&amp;IF(OR(NOT(ISERROR(SEARCH("trade",$D309))),NOT(ISERROR(SEARCH("balance",$D309)))),"",$D309))),$L:$T,MATCH("balance",$L$2:$S$2,0),FALSE))</f>
        <v>#N/A</v>
      </c>
      <c r="H309" s="35" t="e">
        <f ca="1">IF(Summary_Exchange_Balances_00UTC!$B308="","",(G309-E309)/E309)</f>
        <v>#N/A</v>
      </c>
      <c r="I309" s="165">
        <f ca="1">IF(Summary_Exchange_Balances_00UTC!$B308="","",IF(ISERROR($G309),$E309,$G309))</f>
        <v>125000</v>
      </c>
      <c r="K309" t="str">
        <f t="shared" ca="1" si="20"/>
        <v>HUBIXEC</v>
      </c>
      <c r="L309" t="str">
        <f t="shared" ca="1" si="21"/>
        <v>HUBI-EXEC</v>
      </c>
      <c r="N309" s="161" t="str">
        <f ca="1">IF(raw_exchange_data!$A308="","",OFFSET(raw_exchange_data!$A308,0,MATCH(N$2,raw_exchange_data!$1:$1,0)-1))</f>
        <v>XEC</v>
      </c>
      <c r="O309" s="161" t="str">
        <f ca="1">IF(raw_exchange_data!$A308="","",OFFSET(raw_exchange_data!$A308,0,MATCH(O$2,raw_exchange_data!$1:$1,0)-1))</f>
        <v>HUBI</v>
      </c>
      <c r="P309" s="161" t="str">
        <f ca="1">IF(raw_exchange_data!$A308="","",OFFSET(raw_exchange_data!$A308,0,MATCH(P$2,raw_exchange_data!$1:$1,0)-1))</f>
        <v>HUBI-E</v>
      </c>
      <c r="Q309" s="161" t="str">
        <f ca="1">IF(raw_exchange_data!$A308="","",TEXT(OFFSET(raw_exchange_data!$A308,0,MATCH(Q$2,raw_exchange_data!$1:$1,0)-1),""))</f>
        <v/>
      </c>
      <c r="R309" s="162">
        <f ca="1">IF(raw_exchange_data!$A308="","",OFFSET(raw_exchange_data!$A308,0,MATCH(R$2,raw_exchange_data!$1:$1,0)-1))</f>
        <v>97856389.900000006</v>
      </c>
      <c r="S309" s="190">
        <f ca="1">IF(raw_exchange_data!$A308="","",OFFSET(raw_exchange_data!$A308,0,MATCH(S$2,raw_exchange_data!$1:$1,0)-1))</f>
        <v>44937.666669409722</v>
      </c>
      <c r="T309" s="161">
        <v>1</v>
      </c>
      <c r="W309" t="str">
        <f t="shared" si="22"/>
        <v>GALAXY</v>
      </c>
      <c r="X309" t="str">
        <f t="shared" si="23"/>
        <v>HBAR</v>
      </c>
      <c r="Y309" s="42">
        <f t="shared" si="24"/>
        <v>125000</v>
      </c>
      <c r="Z309" s="42">
        <f t="shared" ca="1" si="25"/>
        <v>0</v>
      </c>
      <c r="AC309"/>
      <c r="AD309"/>
    </row>
    <row r="310" spans="1:30" x14ac:dyDescent="0.25">
      <c r="A310" t="str">
        <f>IF(Summary_Exchange_Balances_00UTC!$B309="","",Summary_Exchange_Balances_00UTC!$N309)</f>
        <v>GALAXY</v>
      </c>
      <c r="B310" t="str">
        <f>IF(Summary_Exchange_Balances_00UTC!$B309="","",Summary_Exchange_Balances_00UTC!$B309)</f>
        <v>LEND-GACM</v>
      </c>
      <c r="C310" t="str">
        <f>IF(Summary_Exchange_Balances_00UTC!$B309="","",Summary_Exchange_Balances_00UTC!$E309)</f>
        <v>LINK</v>
      </c>
      <c r="D310" t="str">
        <f>IF(OR(Summary_Exchange_Balances_00UTC!$B309="",Summary_Exchange_Balances_00UTC!$D309=""),"",Summary_Exchange_Balances_00UTC!$D309)</f>
        <v/>
      </c>
      <c r="E310" s="52">
        <f>IF(Summary_Exchange_Balances_00UTC!$B309="","",Summary_Exchange_Balances_00UTC!$C309)</f>
        <v>7000</v>
      </c>
      <c r="G310" s="52" t="e">
        <f ca="1">IF(Summary_Exchange_Balances_00UTC!$B309="","",VLOOKUP(IF(ISERROR(SEARCH(" ", $B310)),UPPER($B310&amp;$C310&amp;IF(OR(NOT(ISERROR(SEARCH("trade",$D310))),NOT(ISERROR(SEARCH("balance",$D310)))),"",$D310)),UPPER(LEFT($B310, SEARCH(" ",$B310)-1)&amp;$C310&amp;IF(OR(NOT(ISERROR(SEARCH("trade",$D310))),NOT(ISERROR(SEARCH("balance",$D310)))),"",$D310))),$L:$T,MATCH("balance",$L$2:$S$2,0),FALSE))</f>
        <v>#N/A</v>
      </c>
      <c r="H310" s="35" t="e">
        <f ca="1">IF(Summary_Exchange_Balances_00UTC!$B309="","",(G310-E310)/E310)</f>
        <v>#N/A</v>
      </c>
      <c r="I310" s="165">
        <f ca="1">IF(Summary_Exchange_Balances_00UTC!$B309="","",IF(ISERROR($G310),$E310,$G310))</f>
        <v>7000</v>
      </c>
      <c r="K310" t="str">
        <f t="shared" ca="1" si="20"/>
        <v>HUBIXLM</v>
      </c>
      <c r="L310" t="str">
        <f t="shared" ca="1" si="21"/>
        <v>HUBI-EXLM</v>
      </c>
      <c r="N310" s="161" t="str">
        <f ca="1">IF(raw_exchange_data!$A309="","",OFFSET(raw_exchange_data!$A309,0,MATCH(N$2,raw_exchange_data!$1:$1,0)-1))</f>
        <v>XLM</v>
      </c>
      <c r="O310" s="161" t="str">
        <f ca="1">IF(raw_exchange_data!$A309="","",OFFSET(raw_exchange_data!$A309,0,MATCH(O$2,raw_exchange_data!$1:$1,0)-1))</f>
        <v>HUBI</v>
      </c>
      <c r="P310" s="161" t="str">
        <f ca="1">IF(raw_exchange_data!$A309="","",OFFSET(raw_exchange_data!$A309,0,MATCH(P$2,raw_exchange_data!$1:$1,0)-1))</f>
        <v>HUBI-E</v>
      </c>
      <c r="Q310" s="161" t="str">
        <f ca="1">IF(raw_exchange_data!$A309="","",TEXT(OFFSET(raw_exchange_data!$A309,0,MATCH(Q$2,raw_exchange_data!$1:$1,0)-1),""))</f>
        <v/>
      </c>
      <c r="R310" s="162">
        <f ca="1">IF(raw_exchange_data!$A309="","",OFFSET(raw_exchange_data!$A309,0,MATCH(R$2,raw_exchange_data!$1:$1,0)-1))</f>
        <v>0.55556267999999998</v>
      </c>
      <c r="S310" s="190">
        <f ca="1">IF(raw_exchange_data!$A309="","",OFFSET(raw_exchange_data!$A309,0,MATCH(S$2,raw_exchange_data!$1:$1,0)-1))</f>
        <v>44937.666669409722</v>
      </c>
      <c r="T310" s="161">
        <v>1</v>
      </c>
      <c r="W310" t="str">
        <f t="shared" si="22"/>
        <v>GALAXY</v>
      </c>
      <c r="X310" t="str">
        <f t="shared" si="23"/>
        <v>LINK</v>
      </c>
      <c r="Y310" s="42">
        <f t="shared" si="24"/>
        <v>7000</v>
      </c>
      <c r="Z310" s="42">
        <f t="shared" ca="1" si="25"/>
        <v>0</v>
      </c>
      <c r="AC310"/>
      <c r="AD310"/>
    </row>
    <row r="311" spans="1:30" x14ac:dyDescent="0.25">
      <c r="A311" t="str">
        <f>IF(Summary_Exchange_Balances_00UTC!$B310="","",Summary_Exchange_Balances_00UTC!$N310)</f>
        <v>GALAXY</v>
      </c>
      <c r="B311" t="str">
        <f>IF(Summary_Exchange_Balances_00UTC!$B310="","",Summary_Exchange_Balances_00UTC!$B310)</f>
        <v>LEND-GACM</v>
      </c>
      <c r="C311" t="str">
        <f>IF(Summary_Exchange_Balances_00UTC!$B310="","",Summary_Exchange_Balances_00UTC!$E310)</f>
        <v>LTC</v>
      </c>
      <c r="D311" t="str">
        <f>IF(OR(Summary_Exchange_Balances_00UTC!$B310="",Summary_Exchange_Balances_00UTC!$D310=""),"",Summary_Exchange_Balances_00UTC!$D310)</f>
        <v/>
      </c>
      <c r="E311" s="52">
        <f>IF(Summary_Exchange_Balances_00UTC!$B310="","",Summary_Exchange_Balances_00UTC!$C310)</f>
        <v>500</v>
      </c>
      <c r="G311" s="52" t="e">
        <f ca="1">IF(Summary_Exchange_Balances_00UTC!$B310="","",VLOOKUP(IF(ISERROR(SEARCH(" ", $B311)),UPPER($B311&amp;$C311&amp;IF(OR(NOT(ISERROR(SEARCH("trade",$D311))),NOT(ISERROR(SEARCH("balance",$D311)))),"",$D311)),UPPER(LEFT($B311, SEARCH(" ",$B311)-1)&amp;$C311&amp;IF(OR(NOT(ISERROR(SEARCH("trade",$D311))),NOT(ISERROR(SEARCH("balance",$D311)))),"",$D311))),$L:$T,MATCH("balance",$L$2:$S$2,0),FALSE))</f>
        <v>#N/A</v>
      </c>
      <c r="H311" s="35" t="e">
        <f ca="1">IF(Summary_Exchange_Balances_00UTC!$B310="","",(G311-E311)/E311)</f>
        <v>#N/A</v>
      </c>
      <c r="I311" s="165">
        <f ca="1">IF(Summary_Exchange_Balances_00UTC!$B310="","",IF(ISERROR($G311),$E311,$G311))</f>
        <v>500</v>
      </c>
      <c r="K311" t="str">
        <f t="shared" ca="1" si="20"/>
        <v>HUBIXRP</v>
      </c>
      <c r="L311" t="str">
        <f t="shared" ca="1" si="21"/>
        <v>HUBI-EXRP</v>
      </c>
      <c r="N311" s="161" t="str">
        <f ca="1">IF(raw_exchange_data!$A310="","",OFFSET(raw_exchange_data!$A310,0,MATCH(N$2,raw_exchange_data!$1:$1,0)-1))</f>
        <v>XRP</v>
      </c>
      <c r="O311" s="161" t="str">
        <f ca="1">IF(raw_exchange_data!$A310="","",OFFSET(raw_exchange_data!$A310,0,MATCH(O$2,raw_exchange_data!$1:$1,0)-1))</f>
        <v>HUBI</v>
      </c>
      <c r="P311" s="161" t="str">
        <f ca="1">IF(raw_exchange_data!$A310="","",OFFSET(raw_exchange_data!$A310,0,MATCH(P$2,raw_exchange_data!$1:$1,0)-1))</f>
        <v>HUBI-E</v>
      </c>
      <c r="Q311" s="161" t="str">
        <f ca="1">IF(raw_exchange_data!$A310="","",TEXT(OFFSET(raw_exchange_data!$A310,0,MATCH(Q$2,raw_exchange_data!$1:$1,0)-1),""))</f>
        <v/>
      </c>
      <c r="R311" s="162">
        <f ca="1">IF(raw_exchange_data!$A310="","",OFFSET(raw_exchange_data!$A310,0,MATCH(R$2,raw_exchange_data!$1:$1,0)-1))</f>
        <v>1045.2618095800001</v>
      </c>
      <c r="S311" s="190">
        <f ca="1">IF(raw_exchange_data!$A310="","",OFFSET(raw_exchange_data!$A310,0,MATCH(S$2,raw_exchange_data!$1:$1,0)-1))</f>
        <v>44937.666669409722</v>
      </c>
      <c r="T311" s="161">
        <v>1</v>
      </c>
      <c r="W311" t="str">
        <f t="shared" si="22"/>
        <v>GALAXY</v>
      </c>
      <c r="X311" t="str">
        <f t="shared" si="23"/>
        <v>LTC</v>
      </c>
      <c r="Y311" s="42">
        <f t="shared" si="24"/>
        <v>500</v>
      </c>
      <c r="Z311" s="42">
        <f t="shared" ca="1" si="25"/>
        <v>0</v>
      </c>
      <c r="AC311"/>
      <c r="AD311"/>
    </row>
    <row r="312" spans="1:30" x14ac:dyDescent="0.25">
      <c r="A312" t="str">
        <f>IF(Summary_Exchange_Balances_00UTC!$B311="","",Summary_Exchange_Balances_00UTC!$N311)</f>
        <v>GALAXY</v>
      </c>
      <c r="B312" t="str">
        <f>IF(Summary_Exchange_Balances_00UTC!$B311="","",Summary_Exchange_Balances_00UTC!$B311)</f>
        <v>LEND-GACM</v>
      </c>
      <c r="C312" t="str">
        <f>IF(Summary_Exchange_Balances_00UTC!$B311="","",Summary_Exchange_Balances_00UTC!$E311)</f>
        <v>MANA</v>
      </c>
      <c r="D312" t="str">
        <f>IF(OR(Summary_Exchange_Balances_00UTC!$B311="",Summary_Exchange_Balances_00UTC!$D311=""),"",Summary_Exchange_Balances_00UTC!$D311)</f>
        <v/>
      </c>
      <c r="E312" s="52">
        <f>IF(Summary_Exchange_Balances_00UTC!$B311="","",Summary_Exchange_Balances_00UTC!$C311)</f>
        <v>45000</v>
      </c>
      <c r="G312" s="52" t="e">
        <f ca="1">IF(Summary_Exchange_Balances_00UTC!$B311="","",VLOOKUP(IF(ISERROR(SEARCH(" ", $B312)),UPPER($B312&amp;$C312&amp;IF(OR(NOT(ISERROR(SEARCH("trade",$D312))),NOT(ISERROR(SEARCH("balance",$D312)))),"",$D312)),UPPER(LEFT($B312, SEARCH(" ",$B312)-1)&amp;$C312&amp;IF(OR(NOT(ISERROR(SEARCH("trade",$D312))),NOT(ISERROR(SEARCH("balance",$D312)))),"",$D312))),$L:$T,MATCH("balance",$L$2:$S$2,0),FALSE))</f>
        <v>#N/A</v>
      </c>
      <c r="H312" s="35" t="e">
        <f ca="1">IF(Summary_Exchange_Balances_00UTC!$B311="","",(G312-E312)/E312)</f>
        <v>#N/A</v>
      </c>
      <c r="I312" s="165">
        <f ca="1">IF(Summary_Exchange_Balances_00UTC!$B311="","",IF(ISERROR($G312),$E312,$G312))</f>
        <v>45000</v>
      </c>
      <c r="K312" t="str">
        <f t="shared" ca="1" si="20"/>
        <v>HUBIXTZ</v>
      </c>
      <c r="L312" t="str">
        <f t="shared" ca="1" si="21"/>
        <v>HUBI-EXTZ</v>
      </c>
      <c r="N312" s="161" t="str">
        <f ca="1">IF(raw_exchange_data!$A311="","",OFFSET(raw_exchange_data!$A311,0,MATCH(N$2,raw_exchange_data!$1:$1,0)-1))</f>
        <v>XTZ</v>
      </c>
      <c r="O312" s="161" t="str">
        <f ca="1">IF(raw_exchange_data!$A311="","",OFFSET(raw_exchange_data!$A311,0,MATCH(O$2,raw_exchange_data!$1:$1,0)-1))</f>
        <v>HUBI</v>
      </c>
      <c r="P312" s="161" t="str">
        <f ca="1">IF(raw_exchange_data!$A311="","",OFFSET(raw_exchange_data!$A311,0,MATCH(P$2,raw_exchange_data!$1:$1,0)-1))</f>
        <v>HUBI-E</v>
      </c>
      <c r="Q312" s="161" t="str">
        <f ca="1">IF(raw_exchange_data!$A311="","",TEXT(OFFSET(raw_exchange_data!$A311,0,MATCH(Q$2,raw_exchange_data!$1:$1,0)-1),""))</f>
        <v/>
      </c>
      <c r="R312" s="162">
        <f ca="1">IF(raw_exchange_data!$A311="","",OFFSET(raw_exchange_data!$A311,0,MATCH(R$2,raw_exchange_data!$1:$1,0)-1))</f>
        <v>3.9304560899999998</v>
      </c>
      <c r="S312" s="190">
        <f ca="1">IF(raw_exchange_data!$A311="","",OFFSET(raw_exchange_data!$A311,0,MATCH(S$2,raw_exchange_data!$1:$1,0)-1))</f>
        <v>44937.666669409722</v>
      </c>
      <c r="T312" s="161">
        <v>1</v>
      </c>
      <c r="W312" t="str">
        <f t="shared" si="22"/>
        <v>GALAXY</v>
      </c>
      <c r="X312" t="str">
        <f t="shared" si="23"/>
        <v>MANA</v>
      </c>
      <c r="Y312" s="42">
        <f t="shared" si="24"/>
        <v>45000</v>
      </c>
      <c r="Z312" s="42">
        <f t="shared" ca="1" si="25"/>
        <v>0</v>
      </c>
      <c r="AC312"/>
      <c r="AD312"/>
    </row>
    <row r="313" spans="1:30" x14ac:dyDescent="0.25">
      <c r="A313" t="str">
        <f>IF(Summary_Exchange_Balances_00UTC!$B312="","",Summary_Exchange_Balances_00UTC!$N312)</f>
        <v>GALAXY</v>
      </c>
      <c r="B313" t="str">
        <f>IF(Summary_Exchange_Balances_00UTC!$B312="","",Summary_Exchange_Balances_00UTC!$B312)</f>
        <v>LEND-GACM</v>
      </c>
      <c r="C313" t="str">
        <f>IF(Summary_Exchange_Balances_00UTC!$B312="","",Summary_Exchange_Balances_00UTC!$E312)</f>
        <v>MATIC</v>
      </c>
      <c r="D313" t="str">
        <f>IF(OR(Summary_Exchange_Balances_00UTC!$B312="",Summary_Exchange_Balances_00UTC!$D312=""),"",Summary_Exchange_Balances_00UTC!$D312)</f>
        <v/>
      </c>
      <c r="E313" s="52">
        <f>IF(Summary_Exchange_Balances_00UTC!$B312="","",Summary_Exchange_Balances_00UTC!$C312)</f>
        <v>50000</v>
      </c>
      <c r="G313" s="52" t="e">
        <f ca="1">IF(Summary_Exchange_Balances_00UTC!$B312="","",VLOOKUP(IF(ISERROR(SEARCH(" ", $B313)),UPPER($B313&amp;$C313&amp;IF(OR(NOT(ISERROR(SEARCH("trade",$D313))),NOT(ISERROR(SEARCH("balance",$D313)))),"",$D313)),UPPER(LEFT($B313, SEARCH(" ",$B313)-1)&amp;$C313&amp;IF(OR(NOT(ISERROR(SEARCH("trade",$D313))),NOT(ISERROR(SEARCH("balance",$D313)))),"",$D313))),$L:$T,MATCH("balance",$L$2:$S$2,0),FALSE))</f>
        <v>#N/A</v>
      </c>
      <c r="H313" s="35" t="e">
        <f ca="1">IF(Summary_Exchange_Balances_00UTC!$B312="","",(G313-E313)/E313)</f>
        <v>#N/A</v>
      </c>
      <c r="I313" s="165">
        <f ca="1">IF(Summary_Exchange_Balances_00UTC!$B312="","",IF(ISERROR($G313),$E313,$G313))</f>
        <v>50000</v>
      </c>
      <c r="K313" t="str">
        <f t="shared" ca="1" si="20"/>
        <v>HUBIYFII</v>
      </c>
      <c r="L313" t="str">
        <f t="shared" ca="1" si="21"/>
        <v>HUBI-EYFII</v>
      </c>
      <c r="N313" s="161" t="str">
        <f ca="1">IF(raw_exchange_data!$A312="","",OFFSET(raw_exchange_data!$A312,0,MATCH(N$2,raw_exchange_data!$1:$1,0)-1))</f>
        <v>YFII</v>
      </c>
      <c r="O313" s="161" t="str">
        <f ca="1">IF(raw_exchange_data!$A312="","",OFFSET(raw_exchange_data!$A312,0,MATCH(O$2,raw_exchange_data!$1:$1,0)-1))</f>
        <v>HUBI</v>
      </c>
      <c r="P313" s="161" t="str">
        <f ca="1">IF(raw_exchange_data!$A312="","",OFFSET(raw_exchange_data!$A312,0,MATCH(P$2,raw_exchange_data!$1:$1,0)-1))</f>
        <v>HUBI-E</v>
      </c>
      <c r="Q313" s="161" t="str">
        <f ca="1">IF(raw_exchange_data!$A312="","",TEXT(OFFSET(raw_exchange_data!$A312,0,MATCH(Q$2,raw_exchange_data!$1:$1,0)-1),""))</f>
        <v/>
      </c>
      <c r="R313" s="162">
        <f ca="1">IF(raw_exchange_data!$A312="","",OFFSET(raw_exchange_data!$A312,0,MATCH(R$2,raw_exchange_data!$1:$1,0)-1))</f>
        <v>1.329583E-2</v>
      </c>
      <c r="S313" s="190">
        <f ca="1">IF(raw_exchange_data!$A312="","",OFFSET(raw_exchange_data!$A312,0,MATCH(S$2,raw_exchange_data!$1:$1,0)-1))</f>
        <v>44937.666669409722</v>
      </c>
      <c r="T313" s="161">
        <v>1</v>
      </c>
      <c r="W313" t="str">
        <f t="shared" si="22"/>
        <v>GALAXY</v>
      </c>
      <c r="X313" t="str">
        <f t="shared" si="23"/>
        <v>MATIC</v>
      </c>
      <c r="Y313" s="42">
        <f t="shared" si="24"/>
        <v>50000</v>
      </c>
      <c r="Z313" s="42">
        <f t="shared" ca="1" si="25"/>
        <v>0</v>
      </c>
      <c r="AC313"/>
      <c r="AD313"/>
    </row>
    <row r="314" spans="1:30" x14ac:dyDescent="0.25">
      <c r="A314" t="str">
        <f>IF(Summary_Exchange_Balances_00UTC!$B313="","",Summary_Exchange_Balances_00UTC!$N313)</f>
        <v>GALAXY</v>
      </c>
      <c r="B314" t="str">
        <f>IF(Summary_Exchange_Balances_00UTC!$B313="","",Summary_Exchange_Balances_00UTC!$B313)</f>
        <v>LEND-GACM</v>
      </c>
      <c r="C314" t="str">
        <f>IF(Summary_Exchange_Balances_00UTC!$B313="","",Summary_Exchange_Balances_00UTC!$E313)</f>
        <v>OXT</v>
      </c>
      <c r="D314" t="str">
        <f>IF(OR(Summary_Exchange_Balances_00UTC!$B313="",Summary_Exchange_Balances_00UTC!$D313=""),"",Summary_Exchange_Balances_00UTC!$D313)</f>
        <v/>
      </c>
      <c r="E314" s="52">
        <f>IF(Summary_Exchange_Balances_00UTC!$B313="","",Summary_Exchange_Balances_00UTC!$C313)</f>
        <v>80000</v>
      </c>
      <c r="G314" s="52" t="e">
        <f ca="1">IF(Summary_Exchange_Balances_00UTC!$B313="","",VLOOKUP(IF(ISERROR(SEARCH(" ", $B314)),UPPER($B314&amp;$C314&amp;IF(OR(NOT(ISERROR(SEARCH("trade",$D314))),NOT(ISERROR(SEARCH("balance",$D314)))),"",$D314)),UPPER(LEFT($B314, SEARCH(" ",$B314)-1)&amp;$C314&amp;IF(OR(NOT(ISERROR(SEARCH("trade",$D314))),NOT(ISERROR(SEARCH("balance",$D314)))),"",$D314))),$L:$T,MATCH("balance",$L$2:$S$2,0),FALSE))</f>
        <v>#N/A</v>
      </c>
      <c r="H314" s="35" t="e">
        <f ca="1">IF(Summary_Exchange_Balances_00UTC!$B313="","",(G314-E314)/E314)</f>
        <v>#N/A</v>
      </c>
      <c r="I314" s="165">
        <f ca="1">IF(Summary_Exchange_Balances_00UTC!$B313="","",IF(ISERROR($G314),$E314,$G314))</f>
        <v>80000</v>
      </c>
      <c r="K314" t="str">
        <f t="shared" ca="1" si="20"/>
        <v>HUBIZEC</v>
      </c>
      <c r="L314" t="str">
        <f t="shared" ca="1" si="21"/>
        <v>HUBI-EZEC</v>
      </c>
      <c r="N314" s="161" t="str">
        <f ca="1">IF(raw_exchange_data!$A313="","",OFFSET(raw_exchange_data!$A313,0,MATCH(N$2,raw_exchange_data!$1:$1,0)-1))</f>
        <v>ZEC</v>
      </c>
      <c r="O314" s="161" t="str">
        <f ca="1">IF(raw_exchange_data!$A313="","",OFFSET(raw_exchange_data!$A313,0,MATCH(O$2,raw_exchange_data!$1:$1,0)-1))</f>
        <v>HUBI</v>
      </c>
      <c r="P314" s="161" t="str">
        <f ca="1">IF(raw_exchange_data!$A313="","",OFFSET(raw_exchange_data!$A313,0,MATCH(P$2,raw_exchange_data!$1:$1,0)-1))</f>
        <v>HUBI-E</v>
      </c>
      <c r="Q314" s="161" t="str">
        <f ca="1">IF(raw_exchange_data!$A313="","",TEXT(OFFSET(raw_exchange_data!$A313,0,MATCH(Q$2,raw_exchange_data!$1:$1,0)-1),""))</f>
        <v/>
      </c>
      <c r="R314" s="162">
        <f ca="1">IF(raw_exchange_data!$A313="","",OFFSET(raw_exchange_data!$A313,0,MATCH(R$2,raw_exchange_data!$1:$1,0)-1))</f>
        <v>2.173E-4</v>
      </c>
      <c r="S314" s="190">
        <f ca="1">IF(raw_exchange_data!$A313="","",OFFSET(raw_exchange_data!$A313,0,MATCH(S$2,raw_exchange_data!$1:$1,0)-1))</f>
        <v>44937.666669409722</v>
      </c>
      <c r="T314" s="161">
        <v>1</v>
      </c>
      <c r="W314" t="str">
        <f t="shared" si="22"/>
        <v>GALAXY</v>
      </c>
      <c r="X314" t="str">
        <f t="shared" si="23"/>
        <v>OXT</v>
      </c>
      <c r="Y314" s="42">
        <f t="shared" si="24"/>
        <v>80000</v>
      </c>
      <c r="Z314" s="42">
        <f t="shared" ca="1" si="25"/>
        <v>0</v>
      </c>
      <c r="AC314"/>
      <c r="AD314"/>
    </row>
    <row r="315" spans="1:30" x14ac:dyDescent="0.25">
      <c r="A315" t="str">
        <f>IF(Summary_Exchange_Balances_00UTC!$B314="","",Summary_Exchange_Balances_00UTC!$N314)</f>
        <v>GALAXY</v>
      </c>
      <c r="B315" t="str">
        <f>IF(Summary_Exchange_Balances_00UTC!$B314="","",Summary_Exchange_Balances_00UTC!$B314)</f>
        <v>LEND-GACM</v>
      </c>
      <c r="C315" t="str">
        <f>IF(Summary_Exchange_Balances_00UTC!$B314="","",Summary_Exchange_Balances_00UTC!$E314)</f>
        <v>SOL</v>
      </c>
      <c r="D315" t="str">
        <f>IF(OR(Summary_Exchange_Balances_00UTC!$B314="",Summary_Exchange_Balances_00UTC!$D314=""),"",Summary_Exchange_Balances_00UTC!$D314)</f>
        <v/>
      </c>
      <c r="E315" s="52">
        <f>IF(Summary_Exchange_Balances_00UTC!$B314="","",Summary_Exchange_Balances_00UTC!$C314)</f>
        <v>3500</v>
      </c>
      <c r="G315" s="52" t="e">
        <f ca="1">IF(Summary_Exchange_Balances_00UTC!$B314="","",VLOOKUP(IF(ISERROR(SEARCH(" ", $B315)),UPPER($B315&amp;$C315&amp;IF(OR(NOT(ISERROR(SEARCH("trade",$D315))),NOT(ISERROR(SEARCH("balance",$D315)))),"",$D315)),UPPER(LEFT($B315, SEARCH(" ",$B315)-1)&amp;$C315&amp;IF(OR(NOT(ISERROR(SEARCH("trade",$D315))),NOT(ISERROR(SEARCH("balance",$D315)))),"",$D315))),$L:$T,MATCH("balance",$L$2:$S$2,0),FALSE))</f>
        <v>#N/A</v>
      </c>
      <c r="H315" s="35" t="e">
        <f ca="1">IF(Summary_Exchange_Balances_00UTC!$B314="","",(G315-E315)/E315)</f>
        <v>#N/A</v>
      </c>
      <c r="I315" s="165">
        <f ca="1">IF(Summary_Exchange_Balances_00UTC!$B314="","",IF(ISERROR($G315),$E315,$G315))</f>
        <v>3500</v>
      </c>
      <c r="K315" t="str">
        <f t="shared" ca="1" si="20"/>
        <v>HUBIZIL</v>
      </c>
      <c r="L315" t="str">
        <f t="shared" ca="1" si="21"/>
        <v>HUBI-EZIL</v>
      </c>
      <c r="N315" s="161" t="str">
        <f ca="1">IF(raw_exchange_data!$A314="","",OFFSET(raw_exchange_data!$A314,0,MATCH(N$2,raw_exchange_data!$1:$1,0)-1))</f>
        <v>ZIL</v>
      </c>
      <c r="O315" s="161" t="str">
        <f ca="1">IF(raw_exchange_data!$A314="","",OFFSET(raw_exchange_data!$A314,0,MATCH(O$2,raw_exchange_data!$1:$1,0)-1))</f>
        <v>HUBI</v>
      </c>
      <c r="P315" s="161" t="str">
        <f ca="1">IF(raw_exchange_data!$A314="","",OFFSET(raw_exchange_data!$A314,0,MATCH(P$2,raw_exchange_data!$1:$1,0)-1))</f>
        <v>HUBI-E</v>
      </c>
      <c r="Q315" s="161" t="str">
        <f ca="1">IF(raw_exchange_data!$A314="","",TEXT(OFFSET(raw_exchange_data!$A314,0,MATCH(Q$2,raw_exchange_data!$1:$1,0)-1),""))</f>
        <v/>
      </c>
      <c r="R315" s="162">
        <f ca="1">IF(raw_exchange_data!$A314="","",OFFSET(raw_exchange_data!$A314,0,MATCH(R$2,raw_exchange_data!$1:$1,0)-1))</f>
        <v>1426199.50302384</v>
      </c>
      <c r="S315" s="190">
        <f ca="1">IF(raw_exchange_data!$A314="","",OFFSET(raw_exchange_data!$A314,0,MATCH(S$2,raw_exchange_data!$1:$1,0)-1))</f>
        <v>44937.666669409722</v>
      </c>
      <c r="T315" s="161">
        <v>1</v>
      </c>
      <c r="W315" t="str">
        <f t="shared" si="22"/>
        <v>GALAXY</v>
      </c>
      <c r="X315" t="str">
        <f t="shared" si="23"/>
        <v>SOL</v>
      </c>
      <c r="Y315" s="42">
        <f t="shared" si="24"/>
        <v>3500</v>
      </c>
      <c r="Z315" s="42">
        <f t="shared" ca="1" si="25"/>
        <v>0</v>
      </c>
      <c r="AC315"/>
      <c r="AD315"/>
    </row>
    <row r="316" spans="1:30" x14ac:dyDescent="0.25">
      <c r="A316" t="str">
        <f>IF(Summary_Exchange_Balances_00UTC!$B315="","",Summary_Exchange_Balances_00UTC!$N315)</f>
        <v>GALAXY</v>
      </c>
      <c r="B316" t="str">
        <f>IF(Summary_Exchange_Balances_00UTC!$B315="","",Summary_Exchange_Balances_00UTC!$B315)</f>
        <v>LEND-GACM</v>
      </c>
      <c r="C316" t="str">
        <f>IF(Summary_Exchange_Balances_00UTC!$B315="","",Summary_Exchange_Balances_00UTC!$E315)</f>
        <v>SUSHI</v>
      </c>
      <c r="D316" t="str">
        <f>IF(OR(Summary_Exchange_Balances_00UTC!$B315="",Summary_Exchange_Balances_00UTC!$D315=""),"",Summary_Exchange_Balances_00UTC!$D315)</f>
        <v/>
      </c>
      <c r="E316" s="53">
        <f>IF(Summary_Exchange_Balances_00UTC!$B315="","",Summary_Exchange_Balances_00UTC!$C315)</f>
        <v>21600</v>
      </c>
      <c r="G316" s="52" t="e">
        <f ca="1">IF(Summary_Exchange_Balances_00UTC!$B315="","",VLOOKUP(IF(ISERROR(SEARCH(" ", $B316)),UPPER($B316&amp;$C316&amp;IF(OR(NOT(ISERROR(SEARCH("trade",$D316))),NOT(ISERROR(SEARCH("balance",$D316)))),"",$D316)),UPPER(LEFT($B316, SEARCH(" ",$B316)-1)&amp;$C316&amp;IF(OR(NOT(ISERROR(SEARCH("trade",$D316))),NOT(ISERROR(SEARCH("balance",$D316)))),"",$D316))),$L:$T,MATCH("balance",$L$2:$S$2,0),FALSE))</f>
        <v>#N/A</v>
      </c>
      <c r="H316" s="35" t="e">
        <f ca="1">IF(Summary_Exchange_Balances_00UTC!$B315="","",(G316-E316)/E316)</f>
        <v>#N/A</v>
      </c>
      <c r="I316" s="165">
        <f ca="1">IF(Summary_Exchange_Balances_00UTC!$B315="","",IF(ISERROR($G316),$E316,$G316))</f>
        <v>21600</v>
      </c>
      <c r="K316" t="str">
        <f t="shared" ca="1" si="20"/>
        <v>HUBIBCH</v>
      </c>
      <c r="L316" t="str">
        <f t="shared" ca="1" si="21"/>
        <v>HUBI-MBCH</v>
      </c>
      <c r="N316" s="161" t="str">
        <f ca="1">IF(raw_exchange_data!$A315="","",OFFSET(raw_exchange_data!$A315,0,MATCH(N$2,raw_exchange_data!$1:$1,0)-1))</f>
        <v>BCH</v>
      </c>
      <c r="O316" s="161" t="str">
        <f ca="1">IF(raw_exchange_data!$A315="","",OFFSET(raw_exchange_data!$A315,0,MATCH(O$2,raw_exchange_data!$1:$1,0)-1))</f>
        <v>HUBI</v>
      </c>
      <c r="P316" s="161" t="str">
        <f ca="1">IF(raw_exchange_data!$A315="","",OFFSET(raw_exchange_data!$A315,0,MATCH(P$2,raw_exchange_data!$1:$1,0)-1))</f>
        <v>HUBI-M</v>
      </c>
      <c r="Q316" s="161" t="str">
        <f ca="1">IF(raw_exchange_data!$A315="","",TEXT(OFFSET(raw_exchange_data!$A315,0,MATCH(Q$2,raw_exchange_data!$1:$1,0)-1),""))</f>
        <v/>
      </c>
      <c r="R316" s="162">
        <f ca="1">IF(raw_exchange_data!$A315="","",OFFSET(raw_exchange_data!$A315,0,MATCH(R$2,raw_exchange_data!$1:$1,0)-1))</f>
        <v>1E-8</v>
      </c>
      <c r="S316" s="190">
        <f ca="1">IF(raw_exchange_data!$A315="","",OFFSET(raw_exchange_data!$A315,0,MATCH(S$2,raw_exchange_data!$1:$1,0)-1))</f>
        <v>44937.666669409722</v>
      </c>
      <c r="T316" s="161">
        <v>1</v>
      </c>
      <c r="W316" t="str">
        <f t="shared" si="22"/>
        <v>GALAXY</v>
      </c>
      <c r="X316" t="str">
        <f t="shared" si="23"/>
        <v>SUSHI</v>
      </c>
      <c r="Y316" s="42">
        <f t="shared" si="24"/>
        <v>21600</v>
      </c>
      <c r="Z316" s="42">
        <f t="shared" ca="1" si="25"/>
        <v>0</v>
      </c>
      <c r="AC316"/>
      <c r="AD316"/>
    </row>
    <row r="317" spans="1:30" x14ac:dyDescent="0.25">
      <c r="A317" t="str">
        <f>IF(Summary_Exchange_Balances_00UTC!$B316="","",Summary_Exchange_Balances_00UTC!$N316)</f>
        <v>GALAXY</v>
      </c>
      <c r="B317" t="str">
        <f>IF(Summary_Exchange_Balances_00UTC!$B316="","",Summary_Exchange_Balances_00UTC!$B316)</f>
        <v>LEND-GACM</v>
      </c>
      <c r="C317" t="str">
        <f>IF(Summary_Exchange_Balances_00UTC!$B316="","",Summary_Exchange_Balances_00UTC!$E316)</f>
        <v>UNI</v>
      </c>
      <c r="D317" t="str">
        <f>IF(OR(Summary_Exchange_Balances_00UTC!$B316="",Summary_Exchange_Balances_00UTC!$D316=""),"",Summary_Exchange_Balances_00UTC!$D316)</f>
        <v/>
      </c>
      <c r="E317" s="52">
        <f>IF(Summary_Exchange_Balances_00UTC!$B316="","",Summary_Exchange_Balances_00UTC!$C316)</f>
        <v>6000</v>
      </c>
      <c r="G317" s="52" t="e">
        <f ca="1">IF(Summary_Exchange_Balances_00UTC!$B316="","",VLOOKUP(IF(ISERROR(SEARCH(" ", $B317)),UPPER($B317&amp;$C317&amp;IF(OR(NOT(ISERROR(SEARCH("trade",$D317))),NOT(ISERROR(SEARCH("balance",$D317)))),"",$D317)),UPPER(LEFT($B317, SEARCH(" ",$B317)-1)&amp;$C317&amp;IF(OR(NOT(ISERROR(SEARCH("trade",$D317))),NOT(ISERROR(SEARCH("balance",$D317)))),"",$D317))),$L:$T,MATCH("balance",$L$2:$S$2,0),FALSE))</f>
        <v>#N/A</v>
      </c>
      <c r="H317" s="35" t="e">
        <f ca="1">IF(Summary_Exchange_Balances_00UTC!$B316="","",(G317-E317)/E317)</f>
        <v>#N/A</v>
      </c>
      <c r="I317" s="165">
        <f ca="1">IF(Summary_Exchange_Balances_00UTC!$B316="","",IF(ISERROR($G317),$E317,$G317))</f>
        <v>6000</v>
      </c>
      <c r="K317" t="str">
        <f t="shared" ca="1" si="20"/>
        <v>HUBIETC</v>
      </c>
      <c r="L317" t="str">
        <f t="shared" ca="1" si="21"/>
        <v>HUBI-METC</v>
      </c>
      <c r="N317" s="161" t="str">
        <f ca="1">IF(raw_exchange_data!$A316="","",OFFSET(raw_exchange_data!$A316,0,MATCH(N$2,raw_exchange_data!$1:$1,0)-1))</f>
        <v>ETC</v>
      </c>
      <c r="O317" s="161" t="str">
        <f ca="1">IF(raw_exchange_data!$A316="","",OFFSET(raw_exchange_data!$A316,0,MATCH(O$2,raw_exchange_data!$1:$1,0)-1))</f>
        <v>HUBI</v>
      </c>
      <c r="P317" s="161" t="str">
        <f ca="1">IF(raw_exchange_data!$A316="","",OFFSET(raw_exchange_data!$A316,0,MATCH(P$2,raw_exchange_data!$1:$1,0)-1))</f>
        <v>HUBI-M</v>
      </c>
      <c r="Q317" s="161" t="str">
        <f ca="1">IF(raw_exchange_data!$A316="","",TEXT(OFFSET(raw_exchange_data!$A316,0,MATCH(Q$2,raw_exchange_data!$1:$1,0)-1),""))</f>
        <v/>
      </c>
      <c r="R317" s="162">
        <f ca="1">IF(raw_exchange_data!$A316="","",OFFSET(raw_exchange_data!$A316,0,MATCH(R$2,raw_exchange_data!$1:$1,0)-1))</f>
        <v>1E-8</v>
      </c>
      <c r="S317" s="190">
        <f ca="1">IF(raw_exchange_data!$A316="","",OFFSET(raw_exchange_data!$A316,0,MATCH(S$2,raw_exchange_data!$1:$1,0)-1))</f>
        <v>44937.666669409722</v>
      </c>
      <c r="T317" s="161">
        <v>1</v>
      </c>
      <c r="W317" t="str">
        <f t="shared" si="22"/>
        <v>GALAXY</v>
      </c>
      <c r="X317" t="str">
        <f t="shared" si="23"/>
        <v>UNI</v>
      </c>
      <c r="Y317" s="42">
        <f t="shared" si="24"/>
        <v>6000</v>
      </c>
      <c r="Z317" s="42">
        <f t="shared" ca="1" si="25"/>
        <v>0</v>
      </c>
      <c r="AC317"/>
      <c r="AD317"/>
    </row>
    <row r="318" spans="1:30" x14ac:dyDescent="0.25">
      <c r="A318" t="str">
        <f>IF(Summary_Exchange_Balances_00UTC!$B317="","",Summary_Exchange_Balances_00UTC!$N317)</f>
        <v>GALAXY</v>
      </c>
      <c r="B318" t="str">
        <f>IF(Summary_Exchange_Balances_00UTC!$B317="","",Summary_Exchange_Balances_00UTC!$B317)</f>
        <v>LEND-GACM</v>
      </c>
      <c r="C318" t="str">
        <f>IF(Summary_Exchange_Balances_00UTC!$B317="","",Summary_Exchange_Balances_00UTC!$E317)</f>
        <v>USDT</v>
      </c>
      <c r="D318" t="str">
        <f>IF(OR(Summary_Exchange_Balances_00UTC!$B317="",Summary_Exchange_Balances_00UTC!$D317=""),"",Summary_Exchange_Balances_00UTC!$D317)</f>
        <v/>
      </c>
      <c r="E318" s="52">
        <f>IF(Summary_Exchange_Balances_00UTC!$B317="","",Summary_Exchange_Balances_00UTC!$C317)</f>
        <v>10000000</v>
      </c>
      <c r="G318" s="52" t="e">
        <f ca="1">IF(Summary_Exchange_Balances_00UTC!$B317="","",VLOOKUP(IF(ISERROR(SEARCH(" ", $B318)),UPPER($B318&amp;$C318&amp;IF(OR(NOT(ISERROR(SEARCH("trade",$D318))),NOT(ISERROR(SEARCH("balance",$D318)))),"",$D318)),UPPER(LEFT($B318, SEARCH(" ",$B318)-1)&amp;$C318&amp;IF(OR(NOT(ISERROR(SEARCH("trade",$D318))),NOT(ISERROR(SEARCH("balance",$D318)))),"",$D318))),$L:$T,MATCH("balance",$L$2:$S$2,0),FALSE))</f>
        <v>#N/A</v>
      </c>
      <c r="H318" s="35" t="e">
        <f ca="1">IF(Summary_Exchange_Balances_00UTC!$B317="","",(G318-E318)/E318)</f>
        <v>#N/A</v>
      </c>
      <c r="I318" s="165">
        <f ca="1">IF(Summary_Exchange_Balances_00UTC!$B317="","",IF(ISERROR($G318),$E318,$G318))</f>
        <v>10000000</v>
      </c>
      <c r="K318" t="str">
        <f t="shared" ca="1" si="20"/>
        <v>HUBILTC</v>
      </c>
      <c r="L318" t="str">
        <f t="shared" ca="1" si="21"/>
        <v>HUBI-MLTC</v>
      </c>
      <c r="N318" s="161" t="str">
        <f ca="1">IF(raw_exchange_data!$A317="","",OFFSET(raw_exchange_data!$A317,0,MATCH(N$2,raw_exchange_data!$1:$1,0)-1))</f>
        <v>LTC</v>
      </c>
      <c r="O318" s="161" t="str">
        <f ca="1">IF(raw_exchange_data!$A317="","",OFFSET(raw_exchange_data!$A317,0,MATCH(O$2,raw_exchange_data!$1:$1,0)-1))</f>
        <v>HUBI</v>
      </c>
      <c r="P318" s="161" t="str">
        <f ca="1">IF(raw_exchange_data!$A317="","",OFFSET(raw_exchange_data!$A317,0,MATCH(P$2,raw_exchange_data!$1:$1,0)-1))</f>
        <v>HUBI-M</v>
      </c>
      <c r="Q318" s="161" t="str">
        <f ca="1">IF(raw_exchange_data!$A317="","",TEXT(OFFSET(raw_exchange_data!$A317,0,MATCH(Q$2,raw_exchange_data!$1:$1,0)-1),""))</f>
        <v/>
      </c>
      <c r="R318" s="162">
        <f ca="1">IF(raw_exchange_data!$A317="","",OFFSET(raw_exchange_data!$A317,0,MATCH(R$2,raw_exchange_data!$1:$1,0)-1))</f>
        <v>1E-8</v>
      </c>
      <c r="S318" s="190">
        <f ca="1">IF(raw_exchange_data!$A317="","",OFFSET(raw_exchange_data!$A317,0,MATCH(S$2,raw_exchange_data!$1:$1,0)-1))</f>
        <v>44937.666669409722</v>
      </c>
      <c r="T318" s="161">
        <v>1</v>
      </c>
      <c r="W318" t="str">
        <f t="shared" si="22"/>
        <v>GALAXY</v>
      </c>
      <c r="X318" t="str">
        <f t="shared" si="23"/>
        <v>USDT</v>
      </c>
      <c r="Y318" s="42">
        <f t="shared" si="24"/>
        <v>10000000</v>
      </c>
      <c r="Z318" s="42">
        <f t="shared" ca="1" si="25"/>
        <v>0</v>
      </c>
      <c r="AC318"/>
      <c r="AD318"/>
    </row>
    <row r="319" spans="1:30" x14ac:dyDescent="0.25">
      <c r="A319" t="str">
        <f>IF(Summary_Exchange_Balances_00UTC!$B318="","",Summary_Exchange_Balances_00UTC!$N318)</f>
        <v>GALAXY</v>
      </c>
      <c r="B319" t="str">
        <f>IF(Summary_Exchange_Balances_00UTC!$B318="","",Summary_Exchange_Balances_00UTC!$B318)</f>
        <v>LEND-GACM</v>
      </c>
      <c r="C319" t="str">
        <f>IF(Summary_Exchange_Balances_00UTC!$B318="","",Summary_Exchange_Balances_00UTC!$E318)</f>
        <v>XLM</v>
      </c>
      <c r="D319" t="str">
        <f>IF(OR(Summary_Exchange_Balances_00UTC!$B318="",Summary_Exchange_Balances_00UTC!$D318=""),"",Summary_Exchange_Balances_00UTC!$D318)</f>
        <v/>
      </c>
      <c r="E319" s="52">
        <f>IF(Summary_Exchange_Balances_00UTC!$B318="","",Summary_Exchange_Balances_00UTC!$C318)</f>
        <v>100000</v>
      </c>
      <c r="G319" s="52" t="e">
        <f ca="1">IF(Summary_Exchange_Balances_00UTC!$B318="","",VLOOKUP(IF(ISERROR(SEARCH(" ", $B319)),UPPER($B319&amp;$C319&amp;IF(OR(NOT(ISERROR(SEARCH("trade",$D319))),NOT(ISERROR(SEARCH("balance",$D319)))),"",$D319)),UPPER(LEFT($B319, SEARCH(" ",$B319)-1)&amp;$C319&amp;IF(OR(NOT(ISERROR(SEARCH("trade",$D319))),NOT(ISERROR(SEARCH("balance",$D319)))),"",$D319))),$L:$T,MATCH("balance",$L$2:$S$2,0),FALSE))</f>
        <v>#N/A</v>
      </c>
      <c r="H319" s="35" t="e">
        <f ca="1">IF(Summary_Exchange_Balances_00UTC!$B318="","",(G319-E319)/E319)</f>
        <v>#N/A</v>
      </c>
      <c r="I319" s="165">
        <f ca="1">IF(Summary_Exchange_Balances_00UTC!$B318="","",IF(ISERROR($G319),$E319,$G319))</f>
        <v>100000</v>
      </c>
      <c r="K319" t="str">
        <f t="shared" ca="1" si="20"/>
        <v>HUBITRX</v>
      </c>
      <c r="L319" t="str">
        <f t="shared" ca="1" si="21"/>
        <v>HUBI-MTRX</v>
      </c>
      <c r="N319" s="161" t="str">
        <f ca="1">IF(raw_exchange_data!$A318="","",OFFSET(raw_exchange_data!$A318,0,MATCH(N$2,raw_exchange_data!$1:$1,0)-1))</f>
        <v>TRX</v>
      </c>
      <c r="O319" s="161" t="str">
        <f ca="1">IF(raw_exchange_data!$A318="","",OFFSET(raw_exchange_data!$A318,0,MATCH(O$2,raw_exchange_data!$1:$1,0)-1))</f>
        <v>HUBI</v>
      </c>
      <c r="P319" s="161" t="str">
        <f ca="1">IF(raw_exchange_data!$A318="","",OFFSET(raw_exchange_data!$A318,0,MATCH(P$2,raw_exchange_data!$1:$1,0)-1))</f>
        <v>HUBI-M</v>
      </c>
      <c r="Q319" s="161" t="str">
        <f ca="1">IF(raw_exchange_data!$A318="","",TEXT(OFFSET(raw_exchange_data!$A318,0,MATCH(Q$2,raw_exchange_data!$1:$1,0)-1),""))</f>
        <v/>
      </c>
      <c r="R319" s="162">
        <f ca="1">IF(raw_exchange_data!$A318="","",OFFSET(raw_exchange_data!$A318,0,MATCH(R$2,raw_exchange_data!$1:$1,0)-1))</f>
        <v>1E-8</v>
      </c>
      <c r="S319" s="190">
        <f ca="1">IF(raw_exchange_data!$A318="","",OFFSET(raw_exchange_data!$A318,0,MATCH(S$2,raw_exchange_data!$1:$1,0)-1))</f>
        <v>44937.666669409722</v>
      </c>
      <c r="T319" s="161">
        <v>1</v>
      </c>
      <c r="W319" t="str">
        <f t="shared" si="22"/>
        <v>GALAXY</v>
      </c>
      <c r="X319" t="str">
        <f t="shared" si="23"/>
        <v>XLM</v>
      </c>
      <c r="Y319" s="42">
        <f t="shared" si="24"/>
        <v>100000</v>
      </c>
      <c r="Z319" s="42">
        <f t="shared" ca="1" si="25"/>
        <v>0</v>
      </c>
      <c r="AC319"/>
      <c r="AD319"/>
    </row>
    <row r="320" spans="1:30" x14ac:dyDescent="0.25">
      <c r="A320" t="str">
        <f>IF(Summary_Exchange_Balances_00UTC!$B319="","",Summary_Exchange_Balances_00UTC!$N319)</f>
        <v>GALAXY</v>
      </c>
      <c r="B320" t="str">
        <f>IF(Summary_Exchange_Balances_00UTC!$B319="","",Summary_Exchange_Balances_00UTC!$B319)</f>
        <v>LEND-GACM</v>
      </c>
      <c r="C320" t="str">
        <f>IF(Summary_Exchange_Balances_00UTC!$B319="","",Summary_Exchange_Balances_00UTC!$E319)</f>
        <v>XTZ</v>
      </c>
      <c r="D320" t="str">
        <f>IF(OR(Summary_Exchange_Balances_00UTC!$B319="",Summary_Exchange_Balances_00UTC!$D319=""),"",Summary_Exchange_Balances_00UTC!$D319)</f>
        <v/>
      </c>
      <c r="E320" s="52">
        <f>IF(Summary_Exchange_Balances_00UTC!$B319="","",Summary_Exchange_Balances_00UTC!$C319)</f>
        <v>5000</v>
      </c>
      <c r="G320" s="52" t="e">
        <f ca="1">IF(Summary_Exchange_Balances_00UTC!$B319="","",VLOOKUP(IF(ISERROR(SEARCH(" ", $B320)),UPPER($B320&amp;$C320&amp;IF(OR(NOT(ISERROR(SEARCH("trade",$D320))),NOT(ISERROR(SEARCH("balance",$D320)))),"",$D320)),UPPER(LEFT($B320, SEARCH(" ",$B320)-1)&amp;$C320&amp;IF(OR(NOT(ISERROR(SEARCH("trade",$D320))),NOT(ISERROR(SEARCH("balance",$D320)))),"",$D320))),$L:$T,MATCH("balance",$L$2:$S$2,0),FALSE))</f>
        <v>#N/A</v>
      </c>
      <c r="H320" s="35" t="e">
        <f ca="1">IF(Summary_Exchange_Balances_00UTC!$B319="","",(G320-E320)/E320)</f>
        <v>#N/A</v>
      </c>
      <c r="I320" s="165">
        <f ca="1">IF(Summary_Exchange_Balances_00UTC!$B319="","",IF(ISERROR($G320),$E320,$G320))</f>
        <v>5000</v>
      </c>
      <c r="K320" t="str">
        <f t="shared" ca="1" si="20"/>
        <v>HUBIUSDT</v>
      </c>
      <c r="L320" t="str">
        <f t="shared" ca="1" si="21"/>
        <v>HUBI-MUSDT</v>
      </c>
      <c r="N320" s="161" t="str">
        <f ca="1">IF(raw_exchange_data!$A319="","",OFFSET(raw_exchange_data!$A319,0,MATCH(N$2,raw_exchange_data!$1:$1,0)-1))</f>
        <v>USDT</v>
      </c>
      <c r="O320" s="161" t="str">
        <f ca="1">IF(raw_exchange_data!$A319="","",OFFSET(raw_exchange_data!$A319,0,MATCH(O$2,raw_exchange_data!$1:$1,0)-1))</f>
        <v>HUBI</v>
      </c>
      <c r="P320" s="161" t="str">
        <f ca="1">IF(raw_exchange_data!$A319="","",OFFSET(raw_exchange_data!$A319,0,MATCH(P$2,raw_exchange_data!$1:$1,0)-1))</f>
        <v>HUBI-M</v>
      </c>
      <c r="Q320" s="161" t="str">
        <f ca="1">IF(raw_exchange_data!$A319="","",TEXT(OFFSET(raw_exchange_data!$A319,0,MATCH(Q$2,raw_exchange_data!$1:$1,0)-1),""))</f>
        <v/>
      </c>
      <c r="R320" s="162">
        <f ca="1">IF(raw_exchange_data!$A319="","",OFFSET(raw_exchange_data!$A319,0,MATCH(R$2,raw_exchange_data!$1:$1,0)-1))</f>
        <v>0.90999770000000002</v>
      </c>
      <c r="S320" s="190">
        <f ca="1">IF(raw_exchange_data!$A319="","",OFFSET(raw_exchange_data!$A319,0,MATCH(S$2,raw_exchange_data!$1:$1,0)-1))</f>
        <v>44937.666669409722</v>
      </c>
      <c r="T320" s="161">
        <v>1</v>
      </c>
      <c r="W320" t="str">
        <f t="shared" si="22"/>
        <v>GALAXY</v>
      </c>
      <c r="X320" t="str">
        <f t="shared" si="23"/>
        <v>XTZ</v>
      </c>
      <c r="Y320" s="42">
        <f t="shared" si="24"/>
        <v>5000</v>
      </c>
      <c r="Z320" s="42">
        <f t="shared" ca="1" si="25"/>
        <v>0</v>
      </c>
      <c r="AC320"/>
      <c r="AD320"/>
    </row>
    <row r="321" spans="1:30" x14ac:dyDescent="0.25">
      <c r="A321" t="str">
        <f>IF(Summary_Exchange_Balances_00UTC!$B320="","",Summary_Exchange_Balances_00UTC!$N320)</f>
        <v>LMAC</v>
      </c>
      <c r="B321" t="str">
        <f>IF(Summary_Exchange_Balances_00UTC!$B320="","",Summary_Exchange_Balances_00UTC!$B320)</f>
        <v>LMAC</v>
      </c>
      <c r="C321" t="str">
        <f>IF(Summary_Exchange_Balances_00UTC!$B320="","",Summary_Exchange_Balances_00UTC!$E320)</f>
        <v>ETH</v>
      </c>
      <c r="D321" t="str">
        <f>IF(OR(Summary_Exchange_Balances_00UTC!$B320="",Summary_Exchange_Balances_00UTC!$D320=""),"",Summary_Exchange_Balances_00UTC!$D320)</f>
        <v/>
      </c>
      <c r="E321" s="52">
        <f>IF(Summary_Exchange_Balances_00UTC!$B320="","",Summary_Exchange_Balances_00UTC!$C320)</f>
        <v>5.0000000000000001E-4</v>
      </c>
      <c r="G321" s="52">
        <f ca="1">IF(Summary_Exchange_Balances_00UTC!$B320="","",VLOOKUP(IF(ISERROR(SEARCH(" ", $B321)),UPPER($B321&amp;$C321&amp;IF(OR(NOT(ISERROR(SEARCH("trade",$D321))),NOT(ISERROR(SEARCH("balance",$D321)))),"",$D321)),UPPER(LEFT($B321, SEARCH(" ",$B321)-1)&amp;$C321&amp;IF(OR(NOT(ISERROR(SEARCH("trade",$D321))),NOT(ISERROR(SEARCH("balance",$D321)))),"",$D321))),$L:$T,MATCH("balance",$L$2:$S$2,0),FALSE))</f>
        <v>5.0000000000000001E-4</v>
      </c>
      <c r="H321" s="35">
        <f ca="1">IF(Summary_Exchange_Balances_00UTC!$B320="","",(G321-E321)/E321)</f>
        <v>0</v>
      </c>
      <c r="I321" s="165">
        <f ca="1">IF(Summary_Exchange_Balances_00UTC!$B320="","",IF(ISERROR($G321),$E321,$G321))</f>
        <v>5.0000000000000001E-4</v>
      </c>
      <c r="K321" t="str">
        <f t="shared" ca="1" si="20"/>
        <v>HUBIXRP</v>
      </c>
      <c r="L321" t="str">
        <f t="shared" ca="1" si="21"/>
        <v>HUBI-MXRP</v>
      </c>
      <c r="N321" s="161" t="str">
        <f ca="1">IF(raw_exchange_data!$A320="","",OFFSET(raw_exchange_data!$A320,0,MATCH(N$2,raw_exchange_data!$1:$1,0)-1))</f>
        <v>XRP</v>
      </c>
      <c r="O321" s="161" t="str">
        <f ca="1">IF(raw_exchange_data!$A320="","",OFFSET(raw_exchange_data!$A320,0,MATCH(O$2,raw_exchange_data!$1:$1,0)-1))</f>
        <v>HUBI</v>
      </c>
      <c r="P321" s="161" t="str">
        <f ca="1">IF(raw_exchange_data!$A320="","",OFFSET(raw_exchange_data!$A320,0,MATCH(P$2,raw_exchange_data!$1:$1,0)-1))</f>
        <v>HUBI-M</v>
      </c>
      <c r="Q321" s="161" t="str">
        <f ca="1">IF(raw_exchange_data!$A320="","",TEXT(OFFSET(raw_exchange_data!$A320,0,MATCH(Q$2,raw_exchange_data!$1:$1,0)-1),""))</f>
        <v/>
      </c>
      <c r="R321" s="162">
        <f ca="1">IF(raw_exchange_data!$A320="","",OFFSET(raw_exchange_data!$A320,0,MATCH(R$2,raw_exchange_data!$1:$1,0)-1))</f>
        <v>7.6039999999999997E-5</v>
      </c>
      <c r="S321" s="190">
        <f ca="1">IF(raw_exchange_data!$A320="","",OFFSET(raw_exchange_data!$A320,0,MATCH(S$2,raw_exchange_data!$1:$1,0)-1))</f>
        <v>44937.666669409722</v>
      </c>
      <c r="T321" s="161">
        <v>1</v>
      </c>
      <c r="W321" t="str">
        <f t="shared" si="22"/>
        <v>LMAC</v>
      </c>
      <c r="X321" t="str">
        <f t="shared" si="23"/>
        <v>ETH</v>
      </c>
      <c r="Y321" s="42">
        <f t="shared" si="24"/>
        <v>5.0000000000000001E-4</v>
      </c>
      <c r="Z321" s="42">
        <f t="shared" ca="1" si="25"/>
        <v>5.0000000000000001E-4</v>
      </c>
      <c r="AC321"/>
      <c r="AD321"/>
    </row>
    <row r="322" spans="1:30" x14ac:dyDescent="0.25">
      <c r="A322" t="str">
        <f>IF(Summary_Exchange_Balances_00UTC!$B321="","",Summary_Exchange_Balances_00UTC!$N321)</f>
        <v>LMAC</v>
      </c>
      <c r="B322" t="str">
        <f>IF(Summary_Exchange_Balances_00UTC!$B321="","",Summary_Exchange_Balances_00UTC!$B321)</f>
        <v>LMAC</v>
      </c>
      <c r="C322" t="str">
        <f>IF(Summary_Exchange_Balances_00UTC!$B321="","",Summary_Exchange_Balances_00UTC!$E321)</f>
        <v>USD</v>
      </c>
      <c r="D322" t="str">
        <f>IF(OR(Summary_Exchange_Balances_00UTC!$B321="",Summary_Exchange_Balances_00UTC!$D321=""),"",Summary_Exchange_Balances_00UTC!$D321)</f>
        <v/>
      </c>
      <c r="E322" s="52">
        <f>IF(Summary_Exchange_Balances_00UTC!$B321="","",Summary_Exchange_Balances_00UTC!$C321)</f>
        <v>2.63E-3</v>
      </c>
      <c r="G322" s="52">
        <f ca="1">IF(Summary_Exchange_Balances_00UTC!$B321="","",VLOOKUP(IF(ISERROR(SEARCH(" ", $B322)),UPPER($B322&amp;$C322&amp;IF(OR(NOT(ISERROR(SEARCH("trade",$D322))),NOT(ISERROR(SEARCH("balance",$D322)))),"",$D322)),UPPER(LEFT($B322, SEARCH(" ",$B322)-1)&amp;$C322&amp;IF(OR(NOT(ISERROR(SEARCH("trade",$D322))),NOT(ISERROR(SEARCH("balance",$D322)))),"",$D322))),$L:$T,MATCH("balance",$L$2:$S$2,0),FALSE))</f>
        <v>2.63E-3</v>
      </c>
      <c r="H322" s="35">
        <f ca="1">IF(Summary_Exchange_Balances_00UTC!$B321="","",(G322-E322)/E322)</f>
        <v>0</v>
      </c>
      <c r="I322" s="165">
        <f ca="1">IF(Summary_Exchange_Balances_00UTC!$B321="","",IF(ISERROR($G322),$E322,$G322))</f>
        <v>2.63E-3</v>
      </c>
      <c r="K322" t="str">
        <f t="shared" ca="1" si="20"/>
        <v>KRKEBCH</v>
      </c>
      <c r="L322" t="str">
        <f t="shared" ca="1" si="21"/>
        <v>KRKEBCH</v>
      </c>
      <c r="N322" s="161" t="str">
        <f ca="1">IF(raw_exchange_data!$A321="","",OFFSET(raw_exchange_data!$A321,0,MATCH(N$2,raw_exchange_data!$1:$1,0)-1))</f>
        <v>BCH</v>
      </c>
      <c r="O322" s="161" t="str">
        <f ca="1">IF(raw_exchange_data!$A321="","",OFFSET(raw_exchange_data!$A321,0,MATCH(O$2,raw_exchange_data!$1:$1,0)-1))</f>
        <v>KRKE</v>
      </c>
      <c r="P322" s="161" t="str">
        <f ca="1">IF(raw_exchange_data!$A321="","",OFFSET(raw_exchange_data!$A321,0,MATCH(P$2,raw_exchange_data!$1:$1,0)-1))</f>
        <v>KRKE</v>
      </c>
      <c r="Q322" s="161" t="str">
        <f ca="1">IF(raw_exchange_data!$A321="","",TEXT(OFFSET(raw_exchange_data!$A321,0,MATCH(Q$2,raw_exchange_data!$1:$1,0)-1),""))</f>
        <v/>
      </c>
      <c r="R322" s="162">
        <f ca="1">IF(raw_exchange_data!$A321="","",OFFSET(raw_exchange_data!$A321,0,MATCH(R$2,raw_exchange_data!$1:$1,0)-1))</f>
        <v>1.7695412699999999</v>
      </c>
      <c r="S322" s="190">
        <f ca="1">IF(raw_exchange_data!$A321="","",OFFSET(raw_exchange_data!$A321,0,MATCH(S$2,raw_exchange_data!$1:$1,0)-1))</f>
        <v>44937.666742245368</v>
      </c>
      <c r="T322" s="161">
        <v>1</v>
      </c>
      <c r="W322" t="str">
        <f t="shared" si="22"/>
        <v>LMAC</v>
      </c>
      <c r="X322" t="str">
        <f t="shared" si="23"/>
        <v>USD</v>
      </c>
      <c r="Y322" s="42">
        <f t="shared" si="24"/>
        <v>2.63E-3</v>
      </c>
      <c r="Z322" s="42">
        <f t="shared" ca="1" si="25"/>
        <v>2.63E-3</v>
      </c>
      <c r="AC322"/>
      <c r="AD322"/>
    </row>
    <row r="323" spans="1:30" x14ac:dyDescent="0.25">
      <c r="A323" t="str">
        <f>IF(Summary_Exchange_Balances_00UTC!$B322="","",Summary_Exchange_Balances_00UTC!$N322)</f>
        <v>LMAX</v>
      </c>
      <c r="B323" t="str">
        <f>IF(Summary_Exchange_Balances_00UTC!$B322="","",Summary_Exchange_Balances_00UTC!$B322)</f>
        <v>LMAX</v>
      </c>
      <c r="C323" t="str">
        <f>IF(Summary_Exchange_Balances_00UTC!$B322="","",Summary_Exchange_Balances_00UTC!$E322)</f>
        <v>USD</v>
      </c>
      <c r="D323" t="str">
        <f>IF(OR(Summary_Exchange_Balances_00UTC!$B322="",Summary_Exchange_Balances_00UTC!$D322=""),"",Summary_Exchange_Balances_00UTC!$D322)</f>
        <v/>
      </c>
      <c r="E323" s="52">
        <f>IF(Summary_Exchange_Balances_00UTC!$B322="","",Summary_Exchange_Balances_00UTC!$C322)</f>
        <v>10138.725630000001</v>
      </c>
      <c r="G323" s="52">
        <f ca="1">IF(Summary_Exchange_Balances_00UTC!$B322="","",VLOOKUP(IF(ISERROR(SEARCH(" ", $B323)),UPPER($B323&amp;$C323&amp;IF(OR(NOT(ISERROR(SEARCH("trade",$D323))),NOT(ISERROR(SEARCH("balance",$D323)))),"",$D323)),UPPER(LEFT($B323, SEARCH(" ",$B323)-1)&amp;$C323&amp;IF(OR(NOT(ISERROR(SEARCH("trade",$D323))),NOT(ISERROR(SEARCH("balance",$D323)))),"",$D323))),$L:$T,MATCH("balance",$L$2:$S$2,0),FALSE))</f>
        <v>10138.725630000001</v>
      </c>
      <c r="H323" s="35">
        <f ca="1">IF(Summary_Exchange_Balances_00UTC!$B322="","",(G323-E323)/E323)</f>
        <v>0</v>
      </c>
      <c r="I323" s="165">
        <f ca="1">IF(Summary_Exchange_Balances_00UTC!$B322="","",IF(ISERROR($G323),$E323,$G323))</f>
        <v>10138.725630000001</v>
      </c>
      <c r="K323" t="str">
        <f t="shared" ref="K323:K383" ca="1" si="26">UPPER($O323&amp;$N323)</f>
        <v>KRKEBTC</v>
      </c>
      <c r="L323" t="str">
        <f t="shared" ca="1" si="21"/>
        <v>KRKEBTC</v>
      </c>
      <c r="N323" s="161" t="str">
        <f ca="1">IF(raw_exchange_data!$A322="","",OFFSET(raw_exchange_data!$A322,0,MATCH(N$2,raw_exchange_data!$1:$1,0)-1))</f>
        <v>BTC</v>
      </c>
      <c r="O323" s="161" t="str">
        <f ca="1">IF(raw_exchange_data!$A322="","",OFFSET(raw_exchange_data!$A322,0,MATCH(O$2,raw_exchange_data!$1:$1,0)-1))</f>
        <v>KRKE</v>
      </c>
      <c r="P323" s="161" t="str">
        <f ca="1">IF(raw_exchange_data!$A322="","",OFFSET(raw_exchange_data!$A322,0,MATCH(P$2,raw_exchange_data!$1:$1,0)-1))</f>
        <v>KRKE</v>
      </c>
      <c r="Q323" s="161" t="str">
        <f ca="1">IF(raw_exchange_data!$A322="","",TEXT(OFFSET(raw_exchange_data!$A322,0,MATCH(Q$2,raw_exchange_data!$1:$1,0)-1),""))</f>
        <v/>
      </c>
      <c r="R323" s="162">
        <f ca="1">IF(raw_exchange_data!$A322="","",OFFSET(raw_exchange_data!$A322,0,MATCH(R$2,raw_exchange_data!$1:$1,0)-1))</f>
        <v>1.8847761800000001E-2</v>
      </c>
      <c r="S323" s="190">
        <f ca="1">IF(raw_exchange_data!$A322="","",OFFSET(raw_exchange_data!$A322,0,MATCH(S$2,raw_exchange_data!$1:$1,0)-1))</f>
        <v>44937.666742245368</v>
      </c>
      <c r="T323" s="161">
        <v>1</v>
      </c>
      <c r="W323" t="str">
        <f t="shared" si="22"/>
        <v>LMAX</v>
      </c>
      <c r="X323" t="str">
        <f t="shared" si="23"/>
        <v>USD</v>
      </c>
      <c r="Y323" s="42">
        <f t="shared" si="24"/>
        <v>10138.725630000001</v>
      </c>
      <c r="Z323" s="42">
        <f t="shared" ca="1" si="25"/>
        <v>10138.725630000001</v>
      </c>
      <c r="AC323"/>
      <c r="AD323"/>
    </row>
    <row r="324" spans="1:30" x14ac:dyDescent="0.25">
      <c r="A324" t="str">
        <f>IF(Summary_Exchange_Balances_00UTC!$B323="","",Summary_Exchange_Balances_00UTC!$N323)</f>
        <v>OKEX</v>
      </c>
      <c r="B324" t="str">
        <f>IF(Summary_Exchange_Balances_00UTC!$B323="","",Summary_Exchange_Balances_00UTC!$B323)</f>
        <v>OKEX-2-S1</v>
      </c>
      <c r="C324" t="str">
        <f>IF(Summary_Exchange_Balances_00UTC!$B323="","",Summary_Exchange_Balances_00UTC!$E323)</f>
        <v>BTC</v>
      </c>
      <c r="D324" t="str">
        <f>IF(OR(Summary_Exchange_Balances_00UTC!$B323="",Summary_Exchange_Balances_00UTC!$D323=""),"",Summary_Exchange_Balances_00UTC!$D323)</f>
        <v>Balance</v>
      </c>
      <c r="E324" s="53">
        <f>IF(Summary_Exchange_Balances_00UTC!$B323="","",Summary_Exchange_Balances_00UTC!$C323)</f>
        <v>2.6E-7</v>
      </c>
      <c r="G324" s="52">
        <f ca="1">IF(Summary_Exchange_Balances_00UTC!$B323="","",VLOOKUP(IF(ISERROR(SEARCH(" ", $B324)),UPPER($B324&amp;$C324&amp;IF(OR(NOT(ISERROR(SEARCH("trade",$D324))),NOT(ISERROR(SEARCH("balance",$D324)))),"",$D324)),UPPER(LEFT($B324, SEARCH(" ",$B324)-1)&amp;$C324&amp;IF(OR(NOT(ISERROR(SEARCH("trade",$D324))),NOT(ISERROR(SEARCH("balance",$D324)))),"",$D324))),$L:$T,MATCH("balance",$L$2:$S$2,0),FALSE))</f>
        <v>2.647276654E-7</v>
      </c>
      <c r="H324" s="35">
        <f ca="1">IF(Summary_Exchange_Balances_00UTC!$B323="","",(G324-E324)/E324)</f>
        <v>1.8183328461538448E-2</v>
      </c>
      <c r="I324" s="165">
        <f ca="1">IF(Summary_Exchange_Balances_00UTC!$B323="","",IF(ISERROR($G324),$E324,$G324))</f>
        <v>2.647276654E-7</v>
      </c>
      <c r="K324" t="str">
        <f t="shared" ca="1" si="26"/>
        <v>KRKEEOS</v>
      </c>
      <c r="L324" t="str">
        <f t="shared" ref="L324:L387" ca="1" si="27">UPPER($P324&amp;$N324&amp;IF(OR(NOT(ISERROR(SEARCH("trade",Q324))),NOT(ISERROR(SEARCH("balance",Q324)))),"",Q324))</f>
        <v>KRKEEOS</v>
      </c>
      <c r="N324" s="161" t="str">
        <f ca="1">IF(raw_exchange_data!$A323="","",OFFSET(raw_exchange_data!$A323,0,MATCH(N$2,raw_exchange_data!$1:$1,0)-1))</f>
        <v>EOS</v>
      </c>
      <c r="O324" s="161" t="str">
        <f ca="1">IF(raw_exchange_data!$A323="","",OFFSET(raw_exchange_data!$A323,0,MATCH(O$2,raw_exchange_data!$1:$1,0)-1))</f>
        <v>KRKE</v>
      </c>
      <c r="P324" s="161" t="str">
        <f ca="1">IF(raw_exchange_data!$A323="","",OFFSET(raw_exchange_data!$A323,0,MATCH(P$2,raw_exchange_data!$1:$1,0)-1))</f>
        <v>KRKE</v>
      </c>
      <c r="Q324" s="161" t="str">
        <f ca="1">IF(raw_exchange_data!$A323="","",TEXT(OFFSET(raw_exchange_data!$A323,0,MATCH(Q$2,raw_exchange_data!$1:$1,0)-1),""))</f>
        <v/>
      </c>
      <c r="R324" s="162">
        <f ca="1">IF(raw_exchange_data!$A323="","",OFFSET(raw_exchange_data!$A323,0,MATCH(R$2,raw_exchange_data!$1:$1,0)-1))</f>
        <v>9.9499194400000004</v>
      </c>
      <c r="S324" s="190">
        <f ca="1">IF(raw_exchange_data!$A323="","",OFFSET(raw_exchange_data!$A323,0,MATCH(S$2,raw_exchange_data!$1:$1,0)-1))</f>
        <v>44937.666742245368</v>
      </c>
      <c r="T324" s="161">
        <v>1</v>
      </c>
      <c r="W324" t="str">
        <f t="shared" ref="W324:W387" si="28">IF($A324="","",$A324)</f>
        <v>OKEX</v>
      </c>
      <c r="X324" t="str">
        <f t="shared" ref="X324:X387" si="29">IF($A324="","",$C324)</f>
        <v>BTC</v>
      </c>
      <c r="Y324" s="42">
        <f t="shared" ref="Y324:Y387" si="30">IF($A324="","",$E324)</f>
        <v>2.6E-7</v>
      </c>
      <c r="Z324" s="42">
        <f t="shared" ref="Z324:Z387" ca="1" si="31">IF($A324="","",IF(ISERROR($G324),0,$G324))</f>
        <v>2.647276654E-7</v>
      </c>
      <c r="AC324"/>
      <c r="AD324"/>
    </row>
    <row r="325" spans="1:30" x14ac:dyDescent="0.25">
      <c r="A325" t="str">
        <f>IF(Summary_Exchange_Balances_00UTC!$B324="","",Summary_Exchange_Balances_00UTC!$N324)</f>
        <v>OKEX</v>
      </c>
      <c r="B325" t="str">
        <f>IF(Summary_Exchange_Balances_00UTC!$B324="","",Summary_Exchange_Balances_00UTC!$B324)</f>
        <v>OKEX-2-S1</v>
      </c>
      <c r="C325" t="str">
        <f>IF(Summary_Exchange_Balances_00UTC!$B324="","",Summary_Exchange_Balances_00UTC!$E324)</f>
        <v>ETH</v>
      </c>
      <c r="D325" t="str">
        <f>IF(OR(Summary_Exchange_Balances_00UTC!$B324="",Summary_Exchange_Balances_00UTC!$D324=""),"",Summary_Exchange_Balances_00UTC!$D324)</f>
        <v>Balance</v>
      </c>
      <c r="E325" s="53">
        <f>IF(Summary_Exchange_Balances_00UTC!$B324="","",Summary_Exchange_Balances_00UTC!$C324)</f>
        <v>6.7499999999999997E-6</v>
      </c>
      <c r="G325" s="52">
        <f ca="1">IF(Summary_Exchange_Balances_00UTC!$B324="","",VLOOKUP(IF(ISERROR(SEARCH(" ", $B325)),UPPER($B325&amp;$C325&amp;IF(OR(NOT(ISERROR(SEARCH("trade",$D325))),NOT(ISERROR(SEARCH("balance",$D325)))),"",$D325)),UPPER(LEFT($B325, SEARCH(" ",$B325)-1)&amp;$C325&amp;IF(OR(NOT(ISERROR(SEARCH("trade",$D325))),NOT(ISERROR(SEARCH("balance",$D325)))),"",$D325))),$L:$T,MATCH("balance",$L$2:$S$2,0),FALSE))</f>
        <v>6.7475689886000002E-6</v>
      </c>
      <c r="H325" s="35">
        <f ca="1">IF(Summary_Exchange_Balances_00UTC!$B324="","",(G325-E325)/E325)</f>
        <v>-3.6014983703697395E-4</v>
      </c>
      <c r="I325" s="165">
        <f ca="1">IF(Summary_Exchange_Balances_00UTC!$B324="","",IF(ISERROR($G325),$E325,$G325))</f>
        <v>6.7475689886000002E-6</v>
      </c>
      <c r="K325" t="str">
        <f t="shared" ca="1" si="26"/>
        <v>KRKEOXT</v>
      </c>
      <c r="L325" t="str">
        <f t="shared" ca="1" si="27"/>
        <v>KRKEOXT</v>
      </c>
      <c r="N325" s="161" t="str">
        <f ca="1">IF(raw_exchange_data!$A324="","",OFFSET(raw_exchange_data!$A324,0,MATCH(N$2,raw_exchange_data!$1:$1,0)-1))</f>
        <v>OXT</v>
      </c>
      <c r="O325" s="161" t="str">
        <f ca="1">IF(raw_exchange_data!$A324="","",OFFSET(raw_exchange_data!$A324,0,MATCH(O$2,raw_exchange_data!$1:$1,0)-1))</f>
        <v>KRKE</v>
      </c>
      <c r="P325" s="161" t="str">
        <f ca="1">IF(raw_exchange_data!$A324="","",OFFSET(raw_exchange_data!$A324,0,MATCH(P$2,raw_exchange_data!$1:$1,0)-1))</f>
        <v>KRKE</v>
      </c>
      <c r="Q325" s="161" t="str">
        <f ca="1">IF(raw_exchange_data!$A324="","",TEXT(OFFSET(raw_exchange_data!$A324,0,MATCH(Q$2,raw_exchange_data!$1:$1,0)-1),""))</f>
        <v/>
      </c>
      <c r="R325" s="162">
        <f ca="1">IF(raw_exchange_data!$A324="","",OFFSET(raw_exchange_data!$A324,0,MATCH(R$2,raw_exchange_data!$1:$1,0)-1))</f>
        <v>704924.41960014997</v>
      </c>
      <c r="S325" s="190">
        <f ca="1">IF(raw_exchange_data!$A324="","",OFFSET(raw_exchange_data!$A324,0,MATCH(S$2,raw_exchange_data!$1:$1,0)-1))</f>
        <v>44937.638918321762</v>
      </c>
      <c r="T325" s="161">
        <v>1</v>
      </c>
      <c r="W325" t="str">
        <f t="shared" si="28"/>
        <v>OKEX</v>
      </c>
      <c r="X325" t="str">
        <f t="shared" si="29"/>
        <v>ETH</v>
      </c>
      <c r="Y325" s="42">
        <f t="shared" si="30"/>
        <v>6.7499999999999997E-6</v>
      </c>
      <c r="Z325" s="42">
        <f t="shared" ca="1" si="31"/>
        <v>6.7475689886000002E-6</v>
      </c>
      <c r="AC325"/>
      <c r="AD325"/>
    </row>
    <row r="326" spans="1:30" x14ac:dyDescent="0.25">
      <c r="A326" t="str">
        <f>IF(Summary_Exchange_Balances_00UTC!$B325="","",Summary_Exchange_Balances_00UTC!$N325)</f>
        <v>OKEX</v>
      </c>
      <c r="B326" t="str">
        <f>IF(Summary_Exchange_Balances_00UTC!$B325="","",Summary_Exchange_Balances_00UTC!$B325)</f>
        <v>OKEX-2-S1</v>
      </c>
      <c r="C326" t="str">
        <f>IF(Summary_Exchange_Balances_00UTC!$B325="","",Summary_Exchange_Balances_00UTC!$E325)</f>
        <v>XRP</v>
      </c>
      <c r="D326" t="str">
        <f>IF(OR(Summary_Exchange_Balances_00UTC!$B325="",Summary_Exchange_Balances_00UTC!$D325=""),"",Summary_Exchange_Balances_00UTC!$D325)</f>
        <v>Balance</v>
      </c>
      <c r="E326" s="53">
        <f>IF(Summary_Exchange_Balances_00UTC!$B325="","",Summary_Exchange_Balances_00UTC!$C325)</f>
        <v>0.44933625999999999</v>
      </c>
      <c r="G326" s="52">
        <f ca="1">IF(Summary_Exchange_Balances_00UTC!$B325="","",VLOOKUP(IF(ISERROR(SEARCH(" ", $B326)),UPPER($B326&amp;$C326&amp;IF(OR(NOT(ISERROR(SEARCH("trade",$D326))),NOT(ISERROR(SEARCH("balance",$D326)))),"",$D326)),UPPER(LEFT($B326, SEARCH(" ",$B326)-1)&amp;$C326&amp;IF(OR(NOT(ISERROR(SEARCH("trade",$D326))),NOT(ISERROR(SEARCH("balance",$D326)))),"",$D326))),$L:$T,MATCH("balance",$L$2:$S$2,0),FALSE))</f>
        <v>0.44933626032875501</v>
      </c>
      <c r="H326" s="35">
        <f ca="1">IF(Summary_Exchange_Balances_00UTC!$B325="","",(G326-E326)/E326)</f>
        <v>7.3164587964591996E-10</v>
      </c>
      <c r="I326" s="165">
        <f ca="1">IF(Summary_Exchange_Balances_00UTC!$B325="","",IF(ISERROR($G326),$E326,$G326))</f>
        <v>0.44933626032875501</v>
      </c>
      <c r="K326" t="str">
        <f t="shared" ca="1" si="26"/>
        <v>KRKESGB</v>
      </c>
      <c r="L326" t="str">
        <f t="shared" ca="1" si="27"/>
        <v>KRKESGB</v>
      </c>
      <c r="N326" s="161" t="str">
        <f ca="1">IF(raw_exchange_data!$A325="","",OFFSET(raw_exchange_data!$A325,0,MATCH(N$2,raw_exchange_data!$1:$1,0)-1))</f>
        <v>SGB</v>
      </c>
      <c r="O326" s="161" t="str">
        <f ca="1">IF(raw_exchange_data!$A325="","",OFFSET(raw_exchange_data!$A325,0,MATCH(O$2,raw_exchange_data!$1:$1,0)-1))</f>
        <v>KRKE</v>
      </c>
      <c r="P326" s="161" t="str">
        <f ca="1">IF(raw_exchange_data!$A325="","",OFFSET(raw_exchange_data!$A325,0,MATCH(P$2,raw_exchange_data!$1:$1,0)-1))</f>
        <v>KRKE</v>
      </c>
      <c r="Q326" s="161" t="str">
        <f ca="1">IF(raw_exchange_data!$A325="","",TEXT(OFFSET(raw_exchange_data!$A325,0,MATCH(Q$2,raw_exchange_data!$1:$1,0)-1),""))</f>
        <v/>
      </c>
      <c r="R326" s="162">
        <f ca="1">IF(raw_exchange_data!$A325="","",OFFSET(raw_exchange_data!$A325,0,MATCH(R$2,raw_exchange_data!$1:$1,0)-1))</f>
        <v>0.10834547999999999</v>
      </c>
      <c r="S326" s="190">
        <f ca="1">IF(raw_exchange_data!$A325="","",OFFSET(raw_exchange_data!$A325,0,MATCH(S$2,raw_exchange_data!$1:$1,0)-1))</f>
        <v>44937.666742245368</v>
      </c>
      <c r="T326" s="161">
        <v>1</v>
      </c>
      <c r="W326" t="str">
        <f t="shared" si="28"/>
        <v>OKEX</v>
      </c>
      <c r="X326" t="str">
        <f t="shared" si="29"/>
        <v>XRP</v>
      </c>
      <c r="Y326" s="42">
        <f t="shared" si="30"/>
        <v>0.44933625999999999</v>
      </c>
      <c r="Z326" s="42">
        <f t="shared" ca="1" si="31"/>
        <v>0.44933626032875501</v>
      </c>
      <c r="AC326"/>
      <c r="AD326"/>
    </row>
    <row r="327" spans="1:30" x14ac:dyDescent="0.25">
      <c r="A327" t="str">
        <f>IF(Summary_Exchange_Balances_00UTC!$B326="","",Summary_Exchange_Balances_00UTC!$N326)</f>
        <v>OKEX</v>
      </c>
      <c r="B327" t="str">
        <f>IF(Summary_Exchange_Balances_00UTC!$B326="","",Summary_Exchange_Balances_00UTC!$B326)</f>
        <v>OKEX-2-S2</v>
      </c>
      <c r="C327" t="str">
        <f>IF(Summary_Exchange_Balances_00UTC!$B326="","",Summary_Exchange_Balances_00UTC!$E326)</f>
        <v>USDT</v>
      </c>
      <c r="D327" t="str">
        <f>IF(OR(Summary_Exchange_Balances_00UTC!$B326="",Summary_Exchange_Balances_00UTC!$D326=""),"",Summary_Exchange_Balances_00UTC!$D326)</f>
        <v>Balance</v>
      </c>
      <c r="E327" s="53">
        <f>IF(Summary_Exchange_Balances_00UTC!$B326="","",Summary_Exchange_Balances_00UTC!$C326)</f>
        <v>9.0007799999999999E-3</v>
      </c>
      <c r="G327" s="52">
        <f ca="1">IF(Summary_Exchange_Balances_00UTC!$B326="","",VLOOKUP(IF(ISERROR(SEARCH(" ", $B327)),UPPER($B327&amp;$C327&amp;IF(OR(NOT(ISERROR(SEARCH("trade",$D327))),NOT(ISERROR(SEARCH("balance",$D327)))),"",$D327)),UPPER(LEFT($B327, SEARCH(" ",$B327)-1)&amp;$C327&amp;IF(OR(NOT(ISERROR(SEARCH("trade",$D327))),NOT(ISERROR(SEARCH("balance",$D327)))),"",$D327))),$L:$T,MATCH("balance",$L$2:$S$2,0),FALSE))</f>
        <v>9.0007773026227998E-3</v>
      </c>
      <c r="H327" s="35">
        <f ca="1">IF(Summary_Exchange_Balances_00UTC!$B326="","",(G327-E327)/E327)</f>
        <v>-2.9968260529339471E-7</v>
      </c>
      <c r="I327" s="165">
        <f ca="1">IF(Summary_Exchange_Balances_00UTC!$B326="","",IF(ISERROR($G327),$E327,$G327))</f>
        <v>9.0007773026227998E-3</v>
      </c>
      <c r="K327" t="str">
        <f t="shared" ca="1" si="26"/>
        <v>KRKEUSD</v>
      </c>
      <c r="L327" t="str">
        <f t="shared" ca="1" si="27"/>
        <v>KRKEUSD</v>
      </c>
      <c r="N327" s="161" t="str">
        <f ca="1">IF(raw_exchange_data!$A326="","",OFFSET(raw_exchange_data!$A326,0,MATCH(N$2,raw_exchange_data!$1:$1,0)-1))</f>
        <v>USD</v>
      </c>
      <c r="O327" s="161" t="str">
        <f ca="1">IF(raw_exchange_data!$A326="","",OFFSET(raw_exchange_data!$A326,0,MATCH(O$2,raw_exchange_data!$1:$1,0)-1))</f>
        <v>KRKE</v>
      </c>
      <c r="P327" s="161" t="str">
        <f ca="1">IF(raw_exchange_data!$A326="","",OFFSET(raw_exchange_data!$A326,0,MATCH(P$2,raw_exchange_data!$1:$1,0)-1))</f>
        <v>KRKE</v>
      </c>
      <c r="Q327" s="161" t="str">
        <f ca="1">IF(raw_exchange_data!$A326="","",TEXT(OFFSET(raw_exchange_data!$A326,0,MATCH(Q$2,raw_exchange_data!$1:$1,0)-1),""))</f>
        <v/>
      </c>
      <c r="R327" s="162">
        <f ca="1">IF(raw_exchange_data!$A326="","",OFFSET(raw_exchange_data!$A326,0,MATCH(R$2,raw_exchange_data!$1:$1,0)-1))</f>
        <v>127892.8939</v>
      </c>
      <c r="S327" s="190">
        <f ca="1">IF(raw_exchange_data!$A326="","",OFFSET(raw_exchange_data!$A326,0,MATCH(S$2,raw_exchange_data!$1:$1,0)-1))</f>
        <v>44937.666742442132</v>
      </c>
      <c r="T327" s="161">
        <v>1</v>
      </c>
      <c r="W327" t="str">
        <f t="shared" si="28"/>
        <v>OKEX</v>
      </c>
      <c r="X327" t="str">
        <f t="shared" si="29"/>
        <v>USDT</v>
      </c>
      <c r="Y327" s="42">
        <f t="shared" si="30"/>
        <v>9.0007799999999999E-3</v>
      </c>
      <c r="Z327" s="42">
        <f t="shared" ca="1" si="31"/>
        <v>9.0007773026227998E-3</v>
      </c>
      <c r="AC327"/>
      <c r="AD327"/>
    </row>
    <row r="328" spans="1:30" x14ac:dyDescent="0.25">
      <c r="A328" t="str">
        <f>IF(Summary_Exchange_Balances_00UTC!$B327="","",Summary_Exchange_Balances_00UTC!$N327)</f>
        <v>OKEX</v>
      </c>
      <c r="B328" t="str">
        <f>IF(Summary_Exchange_Balances_00UTC!$B327="","",Summary_Exchange_Balances_00UTC!$B327)</f>
        <v>OKEX-2-S3</v>
      </c>
      <c r="C328" t="str">
        <f>IF(Summary_Exchange_Balances_00UTC!$B327="","",Summary_Exchange_Balances_00UTC!$E327)</f>
        <v>BTC</v>
      </c>
      <c r="D328" t="str">
        <f>IF(OR(Summary_Exchange_Balances_00UTC!$B327="",Summary_Exchange_Balances_00UTC!$D327=""),"",Summary_Exchange_Balances_00UTC!$D327)</f>
        <v>Balance</v>
      </c>
      <c r="E328" s="53">
        <f>IF(Summary_Exchange_Balances_00UTC!$B327="","",Summary_Exchange_Balances_00UTC!$C327)</f>
        <v>1.3863722599999999</v>
      </c>
      <c r="G328" s="52" t="e">
        <f ca="1">IF(Summary_Exchange_Balances_00UTC!$B327="","",VLOOKUP(IF(ISERROR(SEARCH(" ", $B328)),UPPER($B328&amp;$C328&amp;IF(OR(NOT(ISERROR(SEARCH("trade",$D328))),NOT(ISERROR(SEARCH("balance",$D328)))),"",$D328)),UPPER(LEFT($B328, SEARCH(" ",$B328)-1)&amp;$C328&amp;IF(OR(NOT(ISERROR(SEARCH("trade",$D328))),NOT(ISERROR(SEARCH("balance",$D328)))),"",$D328))),$L:$T,MATCH("balance",$L$2:$S$2,0),FALSE))</f>
        <v>#N/A</v>
      </c>
      <c r="H328" s="35" t="e">
        <f ca="1">IF(Summary_Exchange_Balances_00UTC!$B327="","",(G328-E328)/E328)</f>
        <v>#N/A</v>
      </c>
      <c r="I328" s="165">
        <f ca="1">IF(Summary_Exchange_Balances_00UTC!$B327="","",IF(ISERROR($G328),$E328,$G328))</f>
        <v>1.3863722599999999</v>
      </c>
      <c r="K328" t="str">
        <f t="shared" ca="1" si="26"/>
        <v>KRKEUSDT</v>
      </c>
      <c r="L328" t="str">
        <f t="shared" ca="1" si="27"/>
        <v>KRKEUSDT</v>
      </c>
      <c r="N328" s="161" t="str">
        <f ca="1">IF(raw_exchange_data!$A327="","",OFFSET(raw_exchange_data!$A327,0,MATCH(N$2,raw_exchange_data!$1:$1,0)-1))</f>
        <v>USDT</v>
      </c>
      <c r="O328" s="161" t="str">
        <f ca="1">IF(raw_exchange_data!$A327="","",OFFSET(raw_exchange_data!$A327,0,MATCH(O$2,raw_exchange_data!$1:$1,0)-1))</f>
        <v>KRKE</v>
      </c>
      <c r="P328" s="161" t="str">
        <f ca="1">IF(raw_exchange_data!$A327="","",OFFSET(raw_exchange_data!$A327,0,MATCH(P$2,raw_exchange_data!$1:$1,0)-1))</f>
        <v>KRKE</v>
      </c>
      <c r="Q328" s="161" t="str">
        <f ca="1">IF(raw_exchange_data!$A327="","",TEXT(OFFSET(raw_exchange_data!$A327,0,MATCH(Q$2,raw_exchange_data!$1:$1,0)-1),""))</f>
        <v/>
      </c>
      <c r="R328" s="162">
        <f ca="1">IF(raw_exchange_data!$A327="","",OFFSET(raw_exchange_data!$A327,0,MATCH(R$2,raw_exchange_data!$1:$1,0)-1))</f>
        <v>1.182861E-2</v>
      </c>
      <c r="S328" s="190">
        <f ca="1">IF(raw_exchange_data!$A327="","",OFFSET(raw_exchange_data!$A327,0,MATCH(S$2,raw_exchange_data!$1:$1,0)-1))</f>
        <v>44937.625051388888</v>
      </c>
      <c r="T328" s="161">
        <v>1</v>
      </c>
      <c r="W328" t="str">
        <f t="shared" si="28"/>
        <v>OKEX</v>
      </c>
      <c r="X328" t="str">
        <f t="shared" si="29"/>
        <v>BTC</v>
      </c>
      <c r="Y328" s="42">
        <f t="shared" si="30"/>
        <v>1.3863722599999999</v>
      </c>
      <c r="Z328" s="42">
        <f t="shared" ca="1" si="31"/>
        <v>0</v>
      </c>
      <c r="AC328"/>
      <c r="AD328"/>
    </row>
    <row r="329" spans="1:30" x14ac:dyDescent="0.25">
      <c r="A329" t="str">
        <f>IF(Summary_Exchange_Balances_00UTC!$B328="","",Summary_Exchange_Balances_00UTC!$N328)</f>
        <v>OKEX</v>
      </c>
      <c r="B329" t="str">
        <f>IF(Summary_Exchange_Balances_00UTC!$B328="","",Summary_Exchange_Balances_00UTC!$B328)</f>
        <v>OKEX-2-S3</v>
      </c>
      <c r="C329" t="str">
        <f>IF(Summary_Exchange_Balances_00UTC!$B328="","",Summary_Exchange_Balances_00UTC!$E328)</f>
        <v>USDT</v>
      </c>
      <c r="D329" t="str">
        <f>IF(OR(Summary_Exchange_Balances_00UTC!$B328="",Summary_Exchange_Balances_00UTC!$D328=""),"",Summary_Exchange_Balances_00UTC!$D328)</f>
        <v>Balance</v>
      </c>
      <c r="E329" s="53">
        <f>IF(Summary_Exchange_Balances_00UTC!$B328="","",Summary_Exchange_Balances_00UTC!$C328)</f>
        <v>14155.78589843</v>
      </c>
      <c r="G329" s="52" t="e">
        <f ca="1">IF(Summary_Exchange_Balances_00UTC!$B328="","",VLOOKUP(IF(ISERROR(SEARCH(" ", $B329)),UPPER($B329&amp;$C329&amp;IF(OR(NOT(ISERROR(SEARCH("trade",$D329))),NOT(ISERROR(SEARCH("balance",$D329)))),"",$D329)),UPPER(LEFT($B329, SEARCH(" ",$B329)-1)&amp;$C329&amp;IF(OR(NOT(ISERROR(SEARCH("trade",$D329))),NOT(ISERROR(SEARCH("balance",$D329)))),"",$D329))),$L:$T,MATCH("balance",$L$2:$S$2,0),FALSE))</f>
        <v>#N/A</v>
      </c>
      <c r="H329" s="35" t="e">
        <f ca="1">IF(Summary_Exchange_Balances_00UTC!$B328="","",(G329-E329)/E329)</f>
        <v>#N/A</v>
      </c>
      <c r="I329" s="165">
        <f ca="1">IF(Summary_Exchange_Balances_00UTC!$B328="","",IF(ISERROR($G329),$E329,$G329))</f>
        <v>14155.78589843</v>
      </c>
      <c r="K329" t="str">
        <f t="shared" ca="1" si="26"/>
        <v>LMACBTC</v>
      </c>
      <c r="L329" t="str">
        <f t="shared" ca="1" si="27"/>
        <v>LMACBTC</v>
      </c>
      <c r="N329" s="161" t="str">
        <f ca="1">IF(raw_exchange_data!$A328="","",OFFSET(raw_exchange_data!$A328,0,MATCH(N$2,raw_exchange_data!$1:$1,0)-1))</f>
        <v>BTC</v>
      </c>
      <c r="O329" s="161" t="str">
        <f ca="1">IF(raw_exchange_data!$A328="","",OFFSET(raw_exchange_data!$A328,0,MATCH(O$2,raw_exchange_data!$1:$1,0)-1))</f>
        <v>LMAC</v>
      </c>
      <c r="P329" s="161" t="str">
        <f ca="1">IF(raw_exchange_data!$A328="","",OFFSET(raw_exchange_data!$A328,0,MATCH(P$2,raw_exchange_data!$1:$1,0)-1))</f>
        <v>LMAC</v>
      </c>
      <c r="Q329" s="161" t="str">
        <f ca="1">IF(raw_exchange_data!$A328="","",TEXT(OFFSET(raw_exchange_data!$A328,0,MATCH(Q$2,raw_exchange_data!$1:$1,0)-1),""))</f>
        <v/>
      </c>
      <c r="R329" s="162">
        <f ca="1">IF(raw_exchange_data!$A328="","",OFFSET(raw_exchange_data!$A328,0,MATCH(R$2,raw_exchange_data!$1:$1,0)-1))</f>
        <v>7.4249999999999998</v>
      </c>
      <c r="S329" s="190">
        <f ca="1">IF(raw_exchange_data!$A328="","",OFFSET(raw_exchange_data!$A328,0,MATCH(S$2,raw_exchange_data!$1:$1,0)-1))</f>
        <v>44937.668757638887</v>
      </c>
      <c r="T329" s="161">
        <v>1</v>
      </c>
      <c r="W329" t="str">
        <f t="shared" si="28"/>
        <v>OKEX</v>
      </c>
      <c r="X329" t="str">
        <f t="shared" si="29"/>
        <v>USDT</v>
      </c>
      <c r="Y329" s="42">
        <f t="shared" si="30"/>
        <v>14155.78589843</v>
      </c>
      <c r="Z329" s="42">
        <f t="shared" ca="1" si="31"/>
        <v>0</v>
      </c>
      <c r="AC329"/>
      <c r="AD329"/>
    </row>
    <row r="330" spans="1:30" x14ac:dyDescent="0.25">
      <c r="A330" t="str">
        <f>IF(Summary_Exchange_Balances_00UTC!$B329="","",Summary_Exchange_Balances_00UTC!$N329)</f>
        <v>OKEX</v>
      </c>
      <c r="B330" t="str">
        <f>IF(Summary_Exchange_Balances_00UTC!$B329="","",Summary_Exchange_Balances_00UTC!$B329)</f>
        <v>OKEX-2-S3</v>
      </c>
      <c r="C330" t="str">
        <f>IF(Summary_Exchange_Balances_00UTC!$B329="","",Summary_Exchange_Balances_00UTC!$E329)</f>
        <v>USDT</v>
      </c>
      <c r="D330" t="str">
        <f>IF(OR(Summary_Exchange_Balances_00UTC!$B329="",Summary_Exchange_Balances_00UTC!$D329=""),"",Summary_Exchange_Balances_00UTC!$D329)</f>
        <v>Unrealized</v>
      </c>
      <c r="E330" s="53">
        <f>IF(Summary_Exchange_Balances_00UTC!$B329="","",Summary_Exchange_Balances_00UTC!$C329)</f>
        <v>-17651.770061800002</v>
      </c>
      <c r="G330" s="52" t="e">
        <f ca="1">IF(Summary_Exchange_Balances_00UTC!$B329="","",VLOOKUP(IF(ISERROR(SEARCH(" ", $B330)),UPPER($B330&amp;$C330&amp;IF(OR(NOT(ISERROR(SEARCH("trade",$D330))),NOT(ISERROR(SEARCH("balance",$D330)))),"",$D330)),UPPER(LEFT($B330, SEARCH(" ",$B330)-1)&amp;$C330&amp;IF(OR(NOT(ISERROR(SEARCH("trade",$D330))),NOT(ISERROR(SEARCH("balance",$D330)))),"",$D330))),$L:$T,MATCH("balance",$L$2:$S$2,0),FALSE))</f>
        <v>#N/A</v>
      </c>
      <c r="H330" s="35" t="e">
        <f ca="1">IF(Summary_Exchange_Balances_00UTC!$B329="","",(G330-E330)/E330)</f>
        <v>#N/A</v>
      </c>
      <c r="I330" s="165">
        <f ca="1">IF(Summary_Exchange_Balances_00UTC!$B329="","",IF(ISERROR($G330),$E330,$G330))</f>
        <v>-17651.770061800002</v>
      </c>
      <c r="K330" t="str">
        <f t="shared" ca="1" si="26"/>
        <v>LMACETH</v>
      </c>
      <c r="L330" t="str">
        <f t="shared" ca="1" si="27"/>
        <v>LMACETH</v>
      </c>
      <c r="N330" s="161" t="str">
        <f ca="1">IF(raw_exchange_data!$A329="","",OFFSET(raw_exchange_data!$A329,0,MATCH(N$2,raw_exchange_data!$1:$1,0)-1))</f>
        <v>ETH</v>
      </c>
      <c r="O330" s="161" t="str">
        <f ca="1">IF(raw_exchange_data!$A329="","",OFFSET(raw_exchange_data!$A329,0,MATCH(O$2,raw_exchange_data!$1:$1,0)-1))</f>
        <v>LMAC</v>
      </c>
      <c r="P330" s="161" t="str">
        <f ca="1">IF(raw_exchange_data!$A329="","",OFFSET(raw_exchange_data!$A329,0,MATCH(P$2,raw_exchange_data!$1:$1,0)-1))</f>
        <v>LMAC</v>
      </c>
      <c r="Q330" s="161" t="str">
        <f ca="1">IF(raw_exchange_data!$A329="","",TEXT(OFFSET(raw_exchange_data!$A329,0,MATCH(Q$2,raw_exchange_data!$1:$1,0)-1),""))</f>
        <v/>
      </c>
      <c r="R330" s="162">
        <f ca="1">IF(raw_exchange_data!$A329="","",OFFSET(raw_exchange_data!$A329,0,MATCH(R$2,raw_exchange_data!$1:$1,0)-1))</f>
        <v>5.0000000000000001E-4</v>
      </c>
      <c r="S330" s="190">
        <f ca="1">IF(raw_exchange_data!$A329="","",OFFSET(raw_exchange_data!$A329,0,MATCH(S$2,raw_exchange_data!$1:$1,0)-1))</f>
        <v>44937.668757638887</v>
      </c>
      <c r="T330" s="161">
        <v>1</v>
      </c>
      <c r="W330" t="str">
        <f t="shared" si="28"/>
        <v>OKEX</v>
      </c>
      <c r="X330" t="str">
        <f t="shared" si="29"/>
        <v>USDT</v>
      </c>
      <c r="Y330" s="42">
        <f t="shared" si="30"/>
        <v>-17651.770061800002</v>
      </c>
      <c r="Z330" s="42">
        <f t="shared" ca="1" si="31"/>
        <v>0</v>
      </c>
      <c r="AC330"/>
      <c r="AD330"/>
    </row>
    <row r="331" spans="1:30" x14ac:dyDescent="0.25">
      <c r="A331" t="str">
        <f>IF(Summary_Exchange_Balances_00UTC!$B330="","",Summary_Exchange_Balances_00UTC!$N330)</f>
        <v>OKEX</v>
      </c>
      <c r="B331" t="str">
        <f>IF(Summary_Exchange_Balances_00UTC!$B330="","",Summary_Exchange_Balances_00UTC!$B330)</f>
        <v>OKEX-2-M</v>
      </c>
      <c r="C331" t="str">
        <f>IF(Summary_Exchange_Balances_00UTC!$B330="","",Summary_Exchange_Balances_00UTC!$E330)</f>
        <v>BTC</v>
      </c>
      <c r="D331" t="str">
        <f>IF(OR(Summary_Exchange_Balances_00UTC!$B330="",Summary_Exchange_Balances_00UTC!$D330=""),"",Summary_Exchange_Balances_00UTC!$D330)</f>
        <v>Balance</v>
      </c>
      <c r="E331" s="52">
        <f>IF(Summary_Exchange_Balances_00UTC!$B330="","",Summary_Exchange_Balances_00UTC!$C330)</f>
        <v>719.02328516</v>
      </c>
      <c r="G331" s="52">
        <f ca="1">IF(Summary_Exchange_Balances_00UTC!$B330="","",VLOOKUP(IF(ISERROR(SEARCH(" ", $B331)),UPPER($B331&amp;$C331&amp;IF(OR(NOT(ISERROR(SEARCH("trade",$D331))),NOT(ISERROR(SEARCH("balance",$D331)))),"",$D331)),UPPER(LEFT($B331, SEARCH(" ",$B331)-1)&amp;$C331&amp;IF(OR(NOT(ISERROR(SEARCH("trade",$D331))),NOT(ISERROR(SEARCH("balance",$D331)))),"",$D331))),$L:$T,MATCH("balance",$L$2:$S$2,0),FALSE))</f>
        <v>583.22377862795702</v>
      </c>
      <c r="H331" s="35">
        <f ca="1">IF(Summary_Exchange_Balances_00UTC!$B330="","",(G331-E331)/E331)</f>
        <v>-0.18886663246493376</v>
      </c>
      <c r="I331" s="165">
        <f ca="1">IF(Summary_Exchange_Balances_00UTC!$B330="","",IF(ISERROR($G331),$E331,$G331))</f>
        <v>583.22377862795702</v>
      </c>
      <c r="K331" t="str">
        <f t="shared" ca="1" si="26"/>
        <v>LMACLTC</v>
      </c>
      <c r="L331" t="str">
        <f t="shared" ca="1" si="27"/>
        <v>LMACLTC</v>
      </c>
      <c r="N331" s="161" t="str">
        <f ca="1">IF(raw_exchange_data!$A330="","",OFFSET(raw_exchange_data!$A330,0,MATCH(N$2,raw_exchange_data!$1:$1,0)-1))</f>
        <v>LTC</v>
      </c>
      <c r="O331" s="161" t="str">
        <f ca="1">IF(raw_exchange_data!$A330="","",OFFSET(raw_exchange_data!$A330,0,MATCH(O$2,raw_exchange_data!$1:$1,0)-1))</f>
        <v>LMAC</v>
      </c>
      <c r="P331" s="161" t="str">
        <f ca="1">IF(raw_exchange_data!$A330="","",OFFSET(raw_exchange_data!$A330,0,MATCH(P$2,raw_exchange_data!$1:$1,0)-1))</f>
        <v>LMAC</v>
      </c>
      <c r="Q331" s="161" t="str">
        <f ca="1">IF(raw_exchange_data!$A330="","",TEXT(OFFSET(raw_exchange_data!$A330,0,MATCH(Q$2,raw_exchange_data!$1:$1,0)-1),""))</f>
        <v/>
      </c>
      <c r="R331" s="162">
        <f ca="1">IF(raw_exchange_data!$A330="","",OFFSET(raw_exchange_data!$A330,0,MATCH(R$2,raw_exchange_data!$1:$1,0)-1))</f>
        <v>914.82898999999998</v>
      </c>
      <c r="S331" s="190">
        <f ca="1">IF(raw_exchange_data!$A330="","",OFFSET(raw_exchange_data!$A330,0,MATCH(S$2,raw_exchange_data!$1:$1,0)-1))</f>
        <v>44937.668757638887</v>
      </c>
      <c r="T331" s="161">
        <v>1</v>
      </c>
      <c r="W331" t="str">
        <f t="shared" si="28"/>
        <v>OKEX</v>
      </c>
      <c r="X331" t="str">
        <f t="shared" si="29"/>
        <v>BTC</v>
      </c>
      <c r="Y331" s="42">
        <f t="shared" si="30"/>
        <v>719.02328516</v>
      </c>
      <c r="Z331" s="42">
        <f t="shared" ca="1" si="31"/>
        <v>583.22377862795702</v>
      </c>
      <c r="AC331"/>
      <c r="AD331"/>
    </row>
    <row r="332" spans="1:30" x14ac:dyDescent="0.25">
      <c r="A332" t="str">
        <f>IF(Summary_Exchange_Balances_00UTC!$B331="","",Summary_Exchange_Balances_00UTC!$N331)</f>
        <v>OKEX</v>
      </c>
      <c r="B332" t="str">
        <f>IF(Summary_Exchange_Balances_00UTC!$B331="","",Summary_Exchange_Balances_00UTC!$B331)</f>
        <v>OKEX-2-M</v>
      </c>
      <c r="C332" t="str">
        <f>IF(Summary_Exchange_Balances_00UTC!$B331="","",Summary_Exchange_Balances_00UTC!$E331)</f>
        <v>BTC</v>
      </c>
      <c r="D332" t="str">
        <f>IF(OR(Summary_Exchange_Balances_00UTC!$B331="",Summary_Exchange_Balances_00UTC!$D331=""),"",Summary_Exchange_Balances_00UTC!$D331)</f>
        <v>Unrealized</v>
      </c>
      <c r="E332" s="52">
        <f>IF(Summary_Exchange_Balances_00UTC!$B331="","",Summary_Exchange_Balances_00UTC!$C331)</f>
        <v>-32.644600570000001</v>
      </c>
      <c r="G332" s="52">
        <f ca="1">IF(Summary_Exchange_Balances_00UTC!$B331="","",VLOOKUP(IF(ISERROR(SEARCH(" ", $B332)),UPPER($B332&amp;$C332&amp;IF(OR(NOT(ISERROR(SEARCH("trade",$D332))),NOT(ISERROR(SEARCH("balance",$D332)))),"",$D332)),UPPER(LEFT($B332, SEARCH(" ",$B332)-1)&amp;$C332&amp;IF(OR(NOT(ISERROR(SEARCH("trade",$D332))),NOT(ISERROR(SEARCH("balance",$D332)))),"",$D332))),$L:$T,MATCH("balance",$L$2:$S$2,0),FALSE))</f>
        <v>-11.9986983082007</v>
      </c>
      <c r="H332" s="35">
        <f ca="1">IF(Summary_Exchange_Balances_00UTC!$B331="","",(G332-E332)/E332)</f>
        <v>-0.63244462794170742</v>
      </c>
      <c r="I332" s="165">
        <f ca="1">IF(Summary_Exchange_Balances_00UTC!$B331="","",IF(ISERROR($G332),$E332,$G332))</f>
        <v>-11.9986983082007</v>
      </c>
      <c r="K332" t="str">
        <f t="shared" ca="1" si="26"/>
        <v>LMACUSD</v>
      </c>
      <c r="L332" t="str">
        <f t="shared" ca="1" si="27"/>
        <v>LMACUSD</v>
      </c>
      <c r="N332" s="161" t="str">
        <f ca="1">IF(raw_exchange_data!$A331="","",OFFSET(raw_exchange_data!$A331,0,MATCH(N$2,raw_exchange_data!$1:$1,0)-1))</f>
        <v>USD</v>
      </c>
      <c r="O332" s="161" t="str">
        <f ca="1">IF(raw_exchange_data!$A331="","",OFFSET(raw_exchange_data!$A331,0,MATCH(O$2,raw_exchange_data!$1:$1,0)-1))</f>
        <v>LMAC</v>
      </c>
      <c r="P332" s="161" t="str">
        <f ca="1">IF(raw_exchange_data!$A331="","",OFFSET(raw_exchange_data!$A331,0,MATCH(P$2,raw_exchange_data!$1:$1,0)-1))</f>
        <v>LMAC</v>
      </c>
      <c r="Q332" s="161" t="str">
        <f ca="1">IF(raw_exchange_data!$A331="","",TEXT(OFFSET(raw_exchange_data!$A331,0,MATCH(Q$2,raw_exchange_data!$1:$1,0)-1),""))</f>
        <v/>
      </c>
      <c r="R332" s="162">
        <f ca="1">IF(raw_exchange_data!$A331="","",OFFSET(raw_exchange_data!$A331,0,MATCH(R$2,raw_exchange_data!$1:$1,0)-1))</f>
        <v>2.63E-3</v>
      </c>
      <c r="S332" s="190">
        <f ca="1">IF(raw_exchange_data!$A331="","",OFFSET(raw_exchange_data!$A331,0,MATCH(S$2,raw_exchange_data!$1:$1,0)-1))</f>
        <v>44937.668757638887</v>
      </c>
      <c r="T332" s="161">
        <v>1</v>
      </c>
      <c r="W332" t="str">
        <f t="shared" si="28"/>
        <v>OKEX</v>
      </c>
      <c r="X332" t="str">
        <f t="shared" si="29"/>
        <v>BTC</v>
      </c>
      <c r="Y332" s="42">
        <f t="shared" si="30"/>
        <v>-32.644600570000001</v>
      </c>
      <c r="Z332" s="42">
        <f t="shared" ca="1" si="31"/>
        <v>-11.9986983082007</v>
      </c>
      <c r="AC332"/>
      <c r="AD332"/>
    </row>
    <row r="333" spans="1:30" x14ac:dyDescent="0.25">
      <c r="A333" t="str">
        <f>IF(Summary_Exchange_Balances_00UTC!$B332="","",Summary_Exchange_Balances_00UTC!$N332)</f>
        <v>OKEX</v>
      </c>
      <c r="B333" t="str">
        <f>IF(Summary_Exchange_Balances_00UTC!$B332="","",Summary_Exchange_Balances_00UTC!$B332)</f>
        <v>OKEX-2-M</v>
      </c>
      <c r="C333" t="str">
        <f>IF(Summary_Exchange_Balances_00UTC!$B332="","",Summary_Exchange_Balances_00UTC!$E332)</f>
        <v>ETH</v>
      </c>
      <c r="D333" t="str">
        <f>IF(OR(Summary_Exchange_Balances_00UTC!$B332="",Summary_Exchange_Balances_00UTC!$D332=""),"",Summary_Exchange_Balances_00UTC!$D332)</f>
        <v>Balance</v>
      </c>
      <c r="E333" s="52">
        <f>IF(Summary_Exchange_Balances_00UTC!$B332="","",Summary_Exchange_Balances_00UTC!$C332)</f>
        <v>8955.2959333500003</v>
      </c>
      <c r="G333" s="52">
        <f ca="1">IF(Summary_Exchange_Balances_00UTC!$B332="","",VLOOKUP(IF(ISERROR(SEARCH(" ", $B333)),UPPER($B333&amp;$C333&amp;IF(OR(NOT(ISERROR(SEARCH("trade",$D333))),NOT(ISERROR(SEARCH("balance",$D333)))),"",$D333)),UPPER(LEFT($B333, SEARCH(" ",$B333)-1)&amp;$C333&amp;IF(OR(NOT(ISERROR(SEARCH("trade",$D333))),NOT(ISERROR(SEARCH("balance",$D333)))),"",$D333))),$L:$T,MATCH("balance",$L$2:$S$2,0),FALSE))</f>
        <v>8916.4490418188798</v>
      </c>
      <c r="H333" s="35">
        <f ca="1">IF(Summary_Exchange_Balances_00UTC!$B332="","",(G333-E333)/E333)</f>
        <v>-4.3378679856298881E-3</v>
      </c>
      <c r="I333" s="165">
        <f ca="1">IF(Summary_Exchange_Balances_00UTC!$B332="","",IF(ISERROR($G333),$E333,$G333))</f>
        <v>8916.4490418188798</v>
      </c>
      <c r="K333" t="str">
        <f t="shared" ca="1" si="26"/>
        <v>LMACXRP</v>
      </c>
      <c r="L333" t="str">
        <f t="shared" ca="1" si="27"/>
        <v>LMACXRP</v>
      </c>
      <c r="N333" s="161" t="str">
        <f ca="1">IF(raw_exchange_data!$A332="","",OFFSET(raw_exchange_data!$A332,0,MATCH(N$2,raw_exchange_data!$1:$1,0)-1))</f>
        <v>XRP</v>
      </c>
      <c r="O333" s="161" t="str">
        <f ca="1">IF(raw_exchange_data!$A332="","",OFFSET(raw_exchange_data!$A332,0,MATCH(O$2,raw_exchange_data!$1:$1,0)-1))</f>
        <v>LMAC</v>
      </c>
      <c r="P333" s="161" t="str">
        <f ca="1">IF(raw_exchange_data!$A332="","",OFFSET(raw_exchange_data!$A332,0,MATCH(P$2,raw_exchange_data!$1:$1,0)-1))</f>
        <v>LMAC</v>
      </c>
      <c r="Q333" s="161" t="str">
        <f ca="1">IF(raw_exchange_data!$A332="","",TEXT(OFFSET(raw_exchange_data!$A332,0,MATCH(Q$2,raw_exchange_data!$1:$1,0)-1),""))</f>
        <v/>
      </c>
      <c r="R333" s="162">
        <f ca="1">IF(raw_exchange_data!$A332="","",OFFSET(raw_exchange_data!$A332,0,MATCH(R$2,raw_exchange_data!$1:$1,0)-1))</f>
        <v>493543</v>
      </c>
      <c r="S333" s="190">
        <f ca="1">IF(raw_exchange_data!$A332="","",OFFSET(raw_exchange_data!$A332,0,MATCH(S$2,raw_exchange_data!$1:$1,0)-1))</f>
        <v>44937.668757638887</v>
      </c>
      <c r="T333" s="161">
        <v>1</v>
      </c>
      <c r="W333" t="str">
        <f t="shared" si="28"/>
        <v>OKEX</v>
      </c>
      <c r="X333" t="str">
        <f t="shared" si="29"/>
        <v>ETH</v>
      </c>
      <c r="Y333" s="42">
        <f t="shared" si="30"/>
        <v>8955.2959333500003</v>
      </c>
      <c r="Z333" s="42">
        <f t="shared" ca="1" si="31"/>
        <v>8916.4490418188798</v>
      </c>
      <c r="AC333"/>
      <c r="AD333"/>
    </row>
    <row r="334" spans="1:30" x14ac:dyDescent="0.25">
      <c r="A334" t="str">
        <f>IF(Summary_Exchange_Balances_00UTC!$B333="","",Summary_Exchange_Balances_00UTC!$N333)</f>
        <v>OKEX</v>
      </c>
      <c r="B334" t="str">
        <f>IF(Summary_Exchange_Balances_00UTC!$B333="","",Summary_Exchange_Balances_00UTC!$B333)</f>
        <v>OKEX-2-M</v>
      </c>
      <c r="C334" t="str">
        <f>IF(Summary_Exchange_Balances_00UTC!$B333="","",Summary_Exchange_Balances_00UTC!$E333)</f>
        <v>ETH</v>
      </c>
      <c r="D334" t="str">
        <f>IF(OR(Summary_Exchange_Balances_00UTC!$B333="",Summary_Exchange_Balances_00UTC!$D333=""),"",Summary_Exchange_Balances_00UTC!$D333)</f>
        <v>Unrealized</v>
      </c>
      <c r="E334" s="52">
        <f>IF(Summary_Exchange_Balances_00UTC!$B333="","",Summary_Exchange_Balances_00UTC!$C333)</f>
        <v>-270.77938137000001</v>
      </c>
      <c r="G334" s="52">
        <f ca="1">IF(Summary_Exchange_Balances_00UTC!$B333="","",VLOOKUP(IF(ISERROR(SEARCH(" ", $B334)),UPPER($B334&amp;$C334&amp;IF(OR(NOT(ISERROR(SEARCH("trade",$D334))),NOT(ISERROR(SEARCH("balance",$D334)))),"",$D334)),UPPER(LEFT($B334, SEARCH(" ",$B334)-1)&amp;$C334&amp;IF(OR(NOT(ISERROR(SEARCH("trade",$D334))),NOT(ISERROR(SEARCH("balance",$D334)))),"",$D334))),$L:$T,MATCH("balance",$L$2:$S$2,0),FALSE))</f>
        <v>-243.191567647114</v>
      </c>
      <c r="H334" s="35">
        <f ca="1">IF(Summary_Exchange_Balances_00UTC!$B333="","",(G334-E334)/E334)</f>
        <v>-0.10188299265367366</v>
      </c>
      <c r="I334" s="165">
        <f ca="1">IF(Summary_Exchange_Balances_00UTC!$B333="","",IF(ISERROR($G334),$E334,$G334))</f>
        <v>-243.191567647114</v>
      </c>
      <c r="K334" t="str">
        <f t="shared" ca="1" si="26"/>
        <v>LMAXUSD</v>
      </c>
      <c r="L334" t="str">
        <f t="shared" ca="1" si="27"/>
        <v>LMAXUSD</v>
      </c>
      <c r="N334" s="161" t="str">
        <f ca="1">IF(raw_exchange_data!$A333="","",OFFSET(raw_exchange_data!$A333,0,MATCH(N$2,raw_exchange_data!$1:$1,0)-1))</f>
        <v>USD</v>
      </c>
      <c r="O334" s="161" t="str">
        <f ca="1">IF(raw_exchange_data!$A333="","",OFFSET(raw_exchange_data!$A333,0,MATCH(O$2,raw_exchange_data!$1:$1,0)-1))</f>
        <v>LMAX</v>
      </c>
      <c r="P334" s="161" t="str">
        <f ca="1">IF(raw_exchange_data!$A333="","",OFFSET(raw_exchange_data!$A333,0,MATCH(P$2,raw_exchange_data!$1:$1,0)-1))</f>
        <v>LMAX</v>
      </c>
      <c r="Q334" s="161" t="str">
        <f ca="1">IF(raw_exchange_data!$A333="","",TEXT(OFFSET(raw_exchange_data!$A333,0,MATCH(Q$2,raw_exchange_data!$1:$1,0)-1),""))</f>
        <v/>
      </c>
      <c r="R334" s="162">
        <f ca="1">IF(raw_exchange_data!$A333="","",OFFSET(raw_exchange_data!$A333,0,MATCH(R$2,raw_exchange_data!$1:$1,0)-1))</f>
        <v>10138.725630000001</v>
      </c>
      <c r="S334" s="190">
        <f ca="1">IF(raw_exchange_data!$A333="","",OFFSET(raw_exchange_data!$A333,0,MATCH(S$2,raw_exchange_data!$1:$1,0)-1))</f>
        <v>44937.668757638887</v>
      </c>
      <c r="T334" s="161">
        <v>1</v>
      </c>
      <c r="W334" t="str">
        <f t="shared" si="28"/>
        <v>OKEX</v>
      </c>
      <c r="X334" t="str">
        <f t="shared" si="29"/>
        <v>ETH</v>
      </c>
      <c r="Y334" s="42">
        <f t="shared" si="30"/>
        <v>-270.77938137000001</v>
      </c>
      <c r="Z334" s="42">
        <f t="shared" ca="1" si="31"/>
        <v>-243.191567647114</v>
      </c>
      <c r="AC334"/>
      <c r="AD334"/>
    </row>
    <row r="335" spans="1:30" x14ac:dyDescent="0.25">
      <c r="A335" t="str">
        <f>IF(Summary_Exchange_Balances_00UTC!$B334="","",Summary_Exchange_Balances_00UTC!$N334)</f>
        <v>OKEX</v>
      </c>
      <c r="B335" t="str">
        <f>IF(Summary_Exchange_Balances_00UTC!$B334="","",Summary_Exchange_Balances_00UTC!$B334)</f>
        <v>OKEX-2-M</v>
      </c>
      <c r="C335" t="str">
        <f>IF(Summary_Exchange_Balances_00UTC!$B334="","",Summary_Exchange_Balances_00UTC!$E334)</f>
        <v>OXT</v>
      </c>
      <c r="D335" t="str">
        <f>IF(OR(Summary_Exchange_Balances_00UTC!$B334="",Summary_Exchange_Balances_00UTC!$D334=""),"",Summary_Exchange_Balances_00UTC!$D334)</f>
        <v>Balance</v>
      </c>
      <c r="E335" s="52">
        <f>IF(Summary_Exchange_Balances_00UTC!$B334="","",Summary_Exchange_Balances_00UTC!$C334)</f>
        <v>604136.71778894996</v>
      </c>
      <c r="G335" s="52">
        <f ca="1">IF(Summary_Exchange_Balances_00UTC!$B334="","",VLOOKUP(IF(ISERROR(SEARCH(" ", $B335)),UPPER($B335&amp;$C335&amp;IF(OR(NOT(ISERROR(SEARCH("trade",$D335))),NOT(ISERROR(SEARCH("balance",$D335)))),"",$D335)),UPPER(LEFT($B335, SEARCH(" ",$B335)-1)&amp;$C335&amp;IF(OR(NOT(ISERROR(SEARCH("trade",$D335))),NOT(ISERROR(SEARCH("balance",$D335)))),"",$D335))),$L:$T,MATCH("balance",$L$2:$S$2,0),FALSE))</f>
        <v>607691.198039921</v>
      </c>
      <c r="H335" s="35">
        <f ca="1">IF(Summary_Exchange_Balances_00UTC!$B334="","",(G335-E335)/E335)</f>
        <v>5.8835693085828467E-3</v>
      </c>
      <c r="I335" s="165">
        <f ca="1">IF(Summary_Exchange_Balances_00UTC!$B334="","",IF(ISERROR($G335),$E335,$G335))</f>
        <v>607691.198039921</v>
      </c>
      <c r="K335" t="str">
        <f t="shared" ca="1" si="26"/>
        <v>OKEXBCH</v>
      </c>
      <c r="L335" t="str">
        <f t="shared" ca="1" si="27"/>
        <v>OKEX-2-MBCH</v>
      </c>
      <c r="N335" s="161" t="str">
        <f ca="1">IF(raw_exchange_data!$A334="","",OFFSET(raw_exchange_data!$A334,0,MATCH(N$2,raw_exchange_data!$1:$1,0)-1))</f>
        <v>BCH</v>
      </c>
      <c r="O335" s="161" t="str">
        <f ca="1">IF(raw_exchange_data!$A334="","",OFFSET(raw_exchange_data!$A334,0,MATCH(O$2,raw_exchange_data!$1:$1,0)-1))</f>
        <v>OKEX</v>
      </c>
      <c r="P335" s="161" t="str">
        <f ca="1">IF(raw_exchange_data!$A334="","",OFFSET(raw_exchange_data!$A334,0,MATCH(P$2,raw_exchange_data!$1:$1,0)-1))</f>
        <v>OKEX-2-M</v>
      </c>
      <c r="Q335" s="161" t="str">
        <f ca="1">IF(raw_exchange_data!$A334="","",TEXT(OFFSET(raw_exchange_data!$A334,0,MATCH(Q$2,raw_exchange_data!$1:$1,0)-1),""))</f>
        <v/>
      </c>
      <c r="R335" s="162">
        <f ca="1">IF(raw_exchange_data!$A334="","",OFFSET(raw_exchange_data!$A334,0,MATCH(R$2,raw_exchange_data!$1:$1,0)-1))</f>
        <v>-3.1000869804345399</v>
      </c>
      <c r="S335" s="190">
        <f ca="1">IF(raw_exchange_data!$A334="","",OFFSET(raw_exchange_data!$A334,0,MATCH(S$2,raw_exchange_data!$1:$1,0)-1))</f>
        <v>44937.668607233798</v>
      </c>
      <c r="T335" s="161">
        <v>1</v>
      </c>
      <c r="W335" t="str">
        <f t="shared" si="28"/>
        <v>OKEX</v>
      </c>
      <c r="X335" t="str">
        <f t="shared" si="29"/>
        <v>OXT</v>
      </c>
      <c r="Y335" s="42">
        <f t="shared" si="30"/>
        <v>604136.71778894996</v>
      </c>
      <c r="Z335" s="42">
        <f t="shared" ca="1" si="31"/>
        <v>607691.198039921</v>
      </c>
      <c r="AC335"/>
      <c r="AD335"/>
    </row>
    <row r="336" spans="1:30" x14ac:dyDescent="0.25">
      <c r="A336" t="str">
        <f>IF(Summary_Exchange_Balances_00UTC!$B335="","",Summary_Exchange_Balances_00UTC!$N335)</f>
        <v>OKEX</v>
      </c>
      <c r="B336" t="str">
        <f>IF(Summary_Exchange_Balances_00UTC!$B335="","",Summary_Exchange_Balances_00UTC!$B335)</f>
        <v>OKEX-2-M</v>
      </c>
      <c r="C336" t="str">
        <f>IF(Summary_Exchange_Balances_00UTC!$B335="","",Summary_Exchange_Balances_00UTC!$E335)</f>
        <v>SHIB</v>
      </c>
      <c r="D336" t="str">
        <f>IF(OR(Summary_Exchange_Balances_00UTC!$B335="",Summary_Exchange_Balances_00UTC!$D335=""),"",Summary_Exchange_Balances_00UTC!$D335)</f>
        <v>Balance</v>
      </c>
      <c r="E336" s="52">
        <f>IF(Summary_Exchange_Balances_00UTC!$B335="","",Summary_Exchange_Balances_00UTC!$C335)</f>
        <v>78952990042.466797</v>
      </c>
      <c r="G336" s="52">
        <f ca="1">IF(Summary_Exchange_Balances_00UTC!$B335="","",VLOOKUP(IF(ISERROR(SEARCH(" ", $B336)),UPPER($B336&amp;$C336&amp;IF(OR(NOT(ISERROR(SEARCH("trade",$D336))),NOT(ISERROR(SEARCH("balance",$D336)))),"",$D336)),UPPER(LEFT($B336, SEARCH(" ",$B336)-1)&amp;$C336&amp;IF(OR(NOT(ISERROR(SEARCH("trade",$D336))),NOT(ISERROR(SEARCH("balance",$D336)))),"",$D336))),$L:$T,MATCH("balance",$L$2:$S$2,0),FALSE))</f>
        <v>-10046732664.0452</v>
      </c>
      <c r="H336" s="35">
        <f ca="1">IF(Summary_Exchange_Balances_00UTC!$B335="","",(G336-E336)/E336)</f>
        <v>-1.1272495526596436</v>
      </c>
      <c r="I336" s="165">
        <f ca="1">IF(Summary_Exchange_Balances_00UTC!$B335="","",IF(ISERROR($G336),$E336,$G336))</f>
        <v>-10046732664.0452</v>
      </c>
      <c r="K336" t="str">
        <f t="shared" ca="1" si="26"/>
        <v>OKEXBTC</v>
      </c>
      <c r="L336" t="str">
        <f t="shared" ca="1" si="27"/>
        <v>OKEX-2-MBTC</v>
      </c>
      <c r="N336" s="161" t="str">
        <f ca="1">IF(raw_exchange_data!$A335="","",OFFSET(raw_exchange_data!$A335,0,MATCH(N$2,raw_exchange_data!$1:$1,0)-1))</f>
        <v>BTC</v>
      </c>
      <c r="O336" s="161" t="str">
        <f ca="1">IF(raw_exchange_data!$A335="","",OFFSET(raw_exchange_data!$A335,0,MATCH(O$2,raw_exchange_data!$1:$1,0)-1))</f>
        <v>OKEX</v>
      </c>
      <c r="P336" s="161" t="str">
        <f ca="1">IF(raw_exchange_data!$A335="","",OFFSET(raw_exchange_data!$A335,0,MATCH(P$2,raw_exchange_data!$1:$1,0)-1))</f>
        <v>OKEX-2-M</v>
      </c>
      <c r="Q336" s="161" t="str">
        <f ca="1">IF(raw_exchange_data!$A335="","",TEXT(OFFSET(raw_exchange_data!$A335,0,MATCH(Q$2,raw_exchange_data!$1:$1,0)-1),""))</f>
        <v/>
      </c>
      <c r="R336" s="162">
        <f ca="1">IF(raw_exchange_data!$A335="","",OFFSET(raw_exchange_data!$A335,0,MATCH(R$2,raw_exchange_data!$1:$1,0)-1))</f>
        <v>583.22377862795702</v>
      </c>
      <c r="S336" s="190">
        <f ca="1">IF(raw_exchange_data!$A335="","",OFFSET(raw_exchange_data!$A335,0,MATCH(S$2,raw_exchange_data!$1:$1,0)-1))</f>
        <v>44937.668607233798</v>
      </c>
      <c r="T336" s="161">
        <v>1</v>
      </c>
      <c r="W336" t="str">
        <f t="shared" si="28"/>
        <v>OKEX</v>
      </c>
      <c r="X336" t="str">
        <f t="shared" si="29"/>
        <v>SHIB</v>
      </c>
      <c r="Y336" s="42">
        <f t="shared" si="30"/>
        <v>78952990042.466797</v>
      </c>
      <c r="Z336" s="42">
        <f t="shared" ca="1" si="31"/>
        <v>-10046732664.0452</v>
      </c>
      <c r="AC336"/>
      <c r="AD336"/>
    </row>
    <row r="337" spans="1:30" x14ac:dyDescent="0.25">
      <c r="A337" t="str">
        <f>IF(Summary_Exchange_Balances_00UTC!$B336="","",Summary_Exchange_Balances_00UTC!$N336)</f>
        <v>OKEX</v>
      </c>
      <c r="B337" t="str">
        <f>IF(Summary_Exchange_Balances_00UTC!$B336="","",Summary_Exchange_Balances_00UTC!$B336)</f>
        <v>OKEX-2-M</v>
      </c>
      <c r="C337" t="str">
        <f>IF(Summary_Exchange_Balances_00UTC!$B336="","",Summary_Exchange_Balances_00UTC!$E336)</f>
        <v>USDT</v>
      </c>
      <c r="D337" t="str">
        <f>IF(OR(Summary_Exchange_Balances_00UTC!$B336="",Summary_Exchange_Balances_00UTC!$D336=""),"",Summary_Exchange_Balances_00UTC!$D336)</f>
        <v>Balance</v>
      </c>
      <c r="E337" s="52">
        <f>IF(Summary_Exchange_Balances_00UTC!$B336="","",Summary_Exchange_Balances_00UTC!$C336)</f>
        <v>2962793.3999678502</v>
      </c>
      <c r="G337" s="52">
        <f ca="1">IF(Summary_Exchange_Balances_00UTC!$B336="","",VLOOKUP(IF(ISERROR(SEARCH(" ", $B337)),UPPER($B337&amp;$C337&amp;IF(OR(NOT(ISERROR(SEARCH("trade",$D337))),NOT(ISERROR(SEARCH("balance",$D337)))),"",$D337)),UPPER(LEFT($B337, SEARCH(" ",$B337)-1)&amp;$C337&amp;IF(OR(NOT(ISERROR(SEARCH("trade",$D337))),NOT(ISERROR(SEARCH("balance",$D337)))),"",$D337))),$L:$T,MATCH("balance",$L$2:$S$2,0),FALSE))</f>
        <v>3626830.2206274001</v>
      </c>
      <c r="H337" s="35">
        <f ca="1">IF(Summary_Exchange_Balances_00UTC!$B336="","",(G337-E337)/E337)</f>
        <v>0.22412525310295192</v>
      </c>
      <c r="I337" s="165">
        <f ca="1">IF(Summary_Exchange_Balances_00UTC!$B336="","",IF(ISERROR($G337),$E337,$G337))</f>
        <v>3626830.2206274001</v>
      </c>
      <c r="K337" t="str">
        <f t="shared" ca="1" si="26"/>
        <v>OKEXBTC</v>
      </c>
      <c r="L337" t="str">
        <f t="shared" ca="1" si="27"/>
        <v>OKEX-2-MBTCUNREALIZED</v>
      </c>
      <c r="N337" s="161" t="str">
        <f ca="1">IF(raw_exchange_data!$A336="","",OFFSET(raw_exchange_data!$A336,0,MATCH(N$2,raw_exchange_data!$1:$1,0)-1))</f>
        <v>BTC</v>
      </c>
      <c r="O337" s="161" t="str">
        <f ca="1">IF(raw_exchange_data!$A336="","",OFFSET(raw_exchange_data!$A336,0,MATCH(O$2,raw_exchange_data!$1:$1,0)-1))</f>
        <v>OKEX</v>
      </c>
      <c r="P337" s="161" t="str">
        <f ca="1">IF(raw_exchange_data!$A336="","",OFFSET(raw_exchange_data!$A336,0,MATCH(P$2,raw_exchange_data!$1:$1,0)-1))</f>
        <v>OKEX-2-M</v>
      </c>
      <c r="Q337" s="161" t="str">
        <f ca="1">IF(raw_exchange_data!$A336="","",TEXT(OFFSET(raw_exchange_data!$A336,0,MATCH(Q$2,raw_exchange_data!$1:$1,0)-1),""))</f>
        <v>Unrealized</v>
      </c>
      <c r="R337" s="162">
        <f ca="1">IF(raw_exchange_data!$A336="","",OFFSET(raw_exchange_data!$A336,0,MATCH(R$2,raw_exchange_data!$1:$1,0)-1))</f>
        <v>-11.9986983082007</v>
      </c>
      <c r="S337" s="190">
        <f ca="1">IF(raw_exchange_data!$A336="","",OFFSET(raw_exchange_data!$A336,0,MATCH(S$2,raw_exchange_data!$1:$1,0)-1))</f>
        <v>44937.668607233798</v>
      </c>
      <c r="T337" s="161">
        <v>1</v>
      </c>
      <c r="W337" t="str">
        <f t="shared" si="28"/>
        <v>OKEX</v>
      </c>
      <c r="X337" t="str">
        <f t="shared" si="29"/>
        <v>USDT</v>
      </c>
      <c r="Y337" s="42">
        <f t="shared" si="30"/>
        <v>2962793.3999678502</v>
      </c>
      <c r="Z337" s="42">
        <f t="shared" ca="1" si="31"/>
        <v>3626830.2206274001</v>
      </c>
      <c r="AC337"/>
      <c r="AD337"/>
    </row>
    <row r="338" spans="1:30" x14ac:dyDescent="0.25">
      <c r="A338" t="str">
        <f>IF(Summary_Exchange_Balances_00UTC!$B337="","",Summary_Exchange_Balances_00UTC!$N337)</f>
        <v>OKEX</v>
      </c>
      <c r="B338" t="str">
        <f>IF(Summary_Exchange_Balances_00UTC!$B337="","",Summary_Exchange_Balances_00UTC!$B337)</f>
        <v>OKEX-2-M</v>
      </c>
      <c r="C338" t="str">
        <f>IF(Summary_Exchange_Balances_00UTC!$B337="","",Summary_Exchange_Balances_00UTC!$E337)</f>
        <v>USDT</v>
      </c>
      <c r="D338" t="str">
        <f>IF(OR(Summary_Exchange_Balances_00UTC!$B337="",Summary_Exchange_Balances_00UTC!$D337=""),"",Summary_Exchange_Balances_00UTC!$D337)</f>
        <v>Unrealized</v>
      </c>
      <c r="E338" s="52">
        <f>IF(Summary_Exchange_Balances_00UTC!$B337="","",Summary_Exchange_Balances_00UTC!$C337)</f>
        <v>582247.84443457995</v>
      </c>
      <c r="G338" s="52">
        <f ca="1">IF(Summary_Exchange_Balances_00UTC!$B337="","",VLOOKUP(IF(ISERROR(SEARCH(" ", $B338)),UPPER($B338&amp;$C338&amp;IF(OR(NOT(ISERROR(SEARCH("trade",$D338))),NOT(ISERROR(SEARCH("balance",$D338)))),"",$D338)),UPPER(LEFT($B338, SEARCH(" ",$B338)-1)&amp;$C338&amp;IF(OR(NOT(ISERROR(SEARCH("trade",$D338))),NOT(ISERROR(SEARCH("balance",$D338)))),"",$D338))),$L:$T,MATCH("balance",$L$2:$S$2,0),FALSE))</f>
        <v>365318.65383019298</v>
      </c>
      <c r="H338" s="35">
        <f ca="1">IF(Summary_Exchange_Balances_00UTC!$B337="","",(G338-E338)/E338)</f>
        <v>-0.37257190847146304</v>
      </c>
      <c r="I338" s="165">
        <f ca="1">IF(Summary_Exchange_Balances_00UTC!$B337="","",IF(ISERROR($G338),$E338,$G338))</f>
        <v>365318.65383019298</v>
      </c>
      <c r="K338" t="str">
        <f t="shared" ca="1" si="26"/>
        <v>OKEXEOS</v>
      </c>
      <c r="L338" t="str">
        <f t="shared" ca="1" si="27"/>
        <v>OKEX-2-MEOS</v>
      </c>
      <c r="N338" s="161" t="str">
        <f ca="1">IF(raw_exchange_data!$A337="","",OFFSET(raw_exchange_data!$A337,0,MATCH(N$2,raw_exchange_data!$1:$1,0)-1))</f>
        <v>EOS</v>
      </c>
      <c r="O338" s="161" t="str">
        <f ca="1">IF(raw_exchange_data!$A337="","",OFFSET(raw_exchange_data!$A337,0,MATCH(O$2,raw_exchange_data!$1:$1,0)-1))</f>
        <v>OKEX</v>
      </c>
      <c r="P338" s="161" t="str">
        <f ca="1">IF(raw_exchange_data!$A337="","",OFFSET(raw_exchange_data!$A337,0,MATCH(P$2,raw_exchange_data!$1:$1,0)-1))</f>
        <v>OKEX-2-M</v>
      </c>
      <c r="Q338" s="161" t="str">
        <f ca="1">IF(raw_exchange_data!$A337="","",TEXT(OFFSET(raw_exchange_data!$A337,0,MATCH(Q$2,raw_exchange_data!$1:$1,0)-1),""))</f>
        <v/>
      </c>
      <c r="R338" s="162">
        <f ca="1">IF(raw_exchange_data!$A337="","",OFFSET(raw_exchange_data!$A337,0,MATCH(R$2,raw_exchange_data!$1:$1,0)-1))</f>
        <v>-36379.531990191201</v>
      </c>
      <c r="S338" s="190">
        <f ca="1">IF(raw_exchange_data!$A337="","",OFFSET(raw_exchange_data!$A337,0,MATCH(S$2,raw_exchange_data!$1:$1,0)-1))</f>
        <v>44937.668607233798</v>
      </c>
      <c r="T338" s="161">
        <v>1</v>
      </c>
      <c r="W338" t="str">
        <f t="shared" si="28"/>
        <v>OKEX</v>
      </c>
      <c r="X338" t="str">
        <f t="shared" si="29"/>
        <v>USDT</v>
      </c>
      <c r="Y338" s="42">
        <f t="shared" si="30"/>
        <v>582247.84443457995</v>
      </c>
      <c r="Z338" s="42">
        <f t="shared" ca="1" si="31"/>
        <v>365318.65383019298</v>
      </c>
      <c r="AC338"/>
      <c r="AD338"/>
    </row>
    <row r="339" spans="1:30" x14ac:dyDescent="0.25">
      <c r="A339" t="str">
        <f>IF(Summary_Exchange_Balances_00UTC!$B338="","",Summary_Exchange_Balances_00UTC!$N338)</f>
        <v>OKEX</v>
      </c>
      <c r="B339" t="str">
        <f>IF(Summary_Exchange_Balances_00UTC!$B338="","",Summary_Exchange_Balances_00UTC!$B338)</f>
        <v>OKEX-2-M</v>
      </c>
      <c r="C339" t="str">
        <f>IF(Summary_Exchange_Balances_00UTC!$B338="","",Summary_Exchange_Balances_00UTC!$E338)</f>
        <v>ZIL</v>
      </c>
      <c r="D339" t="str">
        <f>IF(OR(Summary_Exchange_Balances_00UTC!$B338="",Summary_Exchange_Balances_00UTC!$D338=""),"",Summary_Exchange_Balances_00UTC!$D338)</f>
        <v>Balance</v>
      </c>
      <c r="E339" s="52">
        <f>IF(Summary_Exchange_Balances_00UTC!$B338="","",Summary_Exchange_Balances_00UTC!$C338)</f>
        <v>3469624.0473292298</v>
      </c>
      <c r="G339" s="52">
        <f ca="1">IF(Summary_Exchange_Balances_00UTC!$B338="","",VLOOKUP(IF(ISERROR(SEARCH(" ", $B339)),UPPER($B339&amp;$C339&amp;IF(OR(NOT(ISERROR(SEARCH("trade",$D339))),NOT(ISERROR(SEARCH("balance",$D339)))),"",$D339)),UPPER(LEFT($B339, SEARCH(" ",$B339)-1)&amp;$C339&amp;IF(OR(NOT(ISERROR(SEARCH("trade",$D339))),NOT(ISERROR(SEARCH("balance",$D339)))),"",$D339))),$L:$T,MATCH("balance",$L$2:$S$2,0),FALSE))</f>
        <v>3424548.2799914898</v>
      </c>
      <c r="H339" s="35">
        <f ca="1">IF(Summary_Exchange_Balances_00UTC!$B338="","",(G339-E339)/E339)</f>
        <v>-1.2991542231336953E-2</v>
      </c>
      <c r="I339" s="165">
        <f ca="1">IF(Summary_Exchange_Balances_00UTC!$B338="","",IF(ISERROR($G339),$E339,$G339))</f>
        <v>3424548.2799914898</v>
      </c>
      <c r="K339" t="str">
        <f t="shared" ca="1" si="26"/>
        <v>OKEXETH</v>
      </c>
      <c r="L339" t="str">
        <f t="shared" ca="1" si="27"/>
        <v>OKEX-2-METHUNREALIZED</v>
      </c>
      <c r="N339" s="161" t="str">
        <f ca="1">IF(raw_exchange_data!$A338="","",OFFSET(raw_exchange_data!$A338,0,MATCH(N$2,raw_exchange_data!$1:$1,0)-1))</f>
        <v>ETH</v>
      </c>
      <c r="O339" s="161" t="str">
        <f ca="1">IF(raw_exchange_data!$A338="","",OFFSET(raw_exchange_data!$A338,0,MATCH(O$2,raw_exchange_data!$1:$1,0)-1))</f>
        <v>OKEX</v>
      </c>
      <c r="P339" s="161" t="str">
        <f ca="1">IF(raw_exchange_data!$A338="","",OFFSET(raw_exchange_data!$A338,0,MATCH(P$2,raw_exchange_data!$1:$1,0)-1))</f>
        <v>OKEX-2-M</v>
      </c>
      <c r="Q339" s="161" t="str">
        <f ca="1">IF(raw_exchange_data!$A338="","",TEXT(OFFSET(raw_exchange_data!$A338,0,MATCH(Q$2,raw_exchange_data!$1:$1,0)-1),""))</f>
        <v>Unrealized</v>
      </c>
      <c r="R339" s="162">
        <f ca="1">IF(raw_exchange_data!$A338="","",OFFSET(raw_exchange_data!$A338,0,MATCH(R$2,raw_exchange_data!$1:$1,0)-1))</f>
        <v>-243.191567647114</v>
      </c>
      <c r="S339" s="190">
        <f ca="1">IF(raw_exchange_data!$A338="","",OFFSET(raw_exchange_data!$A338,0,MATCH(S$2,raw_exchange_data!$1:$1,0)-1))</f>
        <v>44937.668607233798</v>
      </c>
      <c r="T339" s="161">
        <v>1</v>
      </c>
      <c r="W339" t="str">
        <f t="shared" si="28"/>
        <v>OKEX</v>
      </c>
      <c r="X339" t="str">
        <f t="shared" si="29"/>
        <v>ZIL</v>
      </c>
      <c r="Y339" s="42">
        <f t="shared" si="30"/>
        <v>3469624.0473292298</v>
      </c>
      <c r="Z339" s="42">
        <f t="shared" ca="1" si="31"/>
        <v>3424548.2799914898</v>
      </c>
      <c r="AC339"/>
      <c r="AD339"/>
    </row>
    <row r="340" spans="1:30" x14ac:dyDescent="0.25">
      <c r="A340" t="str">
        <f>IF(Summary_Exchange_Balances_00UTC!$B339="","",Summary_Exchange_Balances_00UTC!$N339)</f>
        <v>OKEX</v>
      </c>
      <c r="B340" t="str">
        <f>IF(Summary_Exchange_Balances_00UTC!$B339="","",Summary_Exchange_Balances_00UTC!$B339)</f>
        <v>OKEX-2-M-W</v>
      </c>
      <c r="C340" t="str">
        <f>IF(Summary_Exchange_Balances_00UTC!$B339="","",Summary_Exchange_Balances_00UTC!$E339)</f>
        <v>BSV</v>
      </c>
      <c r="D340" t="str">
        <f>IF(OR(Summary_Exchange_Balances_00UTC!$B339="",Summary_Exchange_Balances_00UTC!$D339=""),"",Summary_Exchange_Balances_00UTC!$D339)</f>
        <v>Balance</v>
      </c>
      <c r="E340" s="52">
        <f>IF(Summary_Exchange_Balances_00UTC!$B339="","",Summary_Exchange_Balances_00UTC!$C339)</f>
        <v>9.4549999999999994E-5</v>
      </c>
      <c r="G340" s="52">
        <f ca="1">IF(Summary_Exchange_Balances_00UTC!$B339="","",VLOOKUP(IF(ISERROR(SEARCH(" ", $B340)),UPPER($B340&amp;$C340&amp;IF(OR(NOT(ISERROR(SEARCH("trade",$D340))),NOT(ISERROR(SEARCH("balance",$D340)))),"",$D340)),UPPER(LEFT($B340, SEARCH(" ",$B340)-1)&amp;$C340&amp;IF(OR(NOT(ISERROR(SEARCH("trade",$D340))),NOT(ISERROR(SEARCH("balance",$D340)))),"",$D340))),$L:$T,MATCH("balance",$L$2:$S$2,0),FALSE))</f>
        <v>9.4549999999999994E-5</v>
      </c>
      <c r="H340" s="35">
        <f ca="1">IF(Summary_Exchange_Balances_00UTC!$B339="","",(G340-E340)/E340)</f>
        <v>0</v>
      </c>
      <c r="I340" s="165">
        <f ca="1">IF(Summary_Exchange_Balances_00UTC!$B339="","",IF(ISERROR($G340),$E340,$G340))</f>
        <v>9.4549999999999994E-5</v>
      </c>
      <c r="K340" t="str">
        <f t="shared" ca="1" si="26"/>
        <v>OKEXETH</v>
      </c>
      <c r="L340" t="str">
        <f t="shared" ca="1" si="27"/>
        <v>OKEX-2-METH</v>
      </c>
      <c r="N340" s="161" t="str">
        <f ca="1">IF(raw_exchange_data!$A339="","",OFFSET(raw_exchange_data!$A339,0,MATCH(N$2,raw_exchange_data!$1:$1,0)-1))</f>
        <v>ETH</v>
      </c>
      <c r="O340" s="161" t="str">
        <f ca="1">IF(raw_exchange_data!$A339="","",OFFSET(raw_exchange_data!$A339,0,MATCH(O$2,raw_exchange_data!$1:$1,0)-1))</f>
        <v>OKEX</v>
      </c>
      <c r="P340" s="161" t="str">
        <f ca="1">IF(raw_exchange_data!$A339="","",OFFSET(raw_exchange_data!$A339,0,MATCH(P$2,raw_exchange_data!$1:$1,0)-1))</f>
        <v>OKEX-2-M</v>
      </c>
      <c r="Q340" s="161" t="str">
        <f ca="1">IF(raw_exchange_data!$A339="","",TEXT(OFFSET(raw_exchange_data!$A339,0,MATCH(Q$2,raw_exchange_data!$1:$1,0)-1),""))</f>
        <v/>
      </c>
      <c r="R340" s="162">
        <f ca="1">IF(raw_exchange_data!$A339="","",OFFSET(raw_exchange_data!$A339,0,MATCH(R$2,raw_exchange_data!$1:$1,0)-1))</f>
        <v>8916.4490418188798</v>
      </c>
      <c r="S340" s="190">
        <f ca="1">IF(raw_exchange_data!$A339="","",OFFSET(raw_exchange_data!$A339,0,MATCH(S$2,raw_exchange_data!$1:$1,0)-1))</f>
        <v>44937.668607233798</v>
      </c>
      <c r="T340" s="161">
        <v>1</v>
      </c>
      <c r="W340" t="str">
        <f t="shared" si="28"/>
        <v>OKEX</v>
      </c>
      <c r="X340" t="str">
        <f t="shared" si="29"/>
        <v>BSV</v>
      </c>
      <c r="Y340" s="42">
        <f t="shared" si="30"/>
        <v>9.4549999999999994E-5</v>
      </c>
      <c r="Z340" s="42">
        <f t="shared" ca="1" si="31"/>
        <v>9.4549999999999994E-5</v>
      </c>
      <c r="AC340"/>
      <c r="AD340"/>
    </row>
    <row r="341" spans="1:30" x14ac:dyDescent="0.25">
      <c r="A341" t="str">
        <f>IF(Summary_Exchange_Balances_00UTC!$B340="","",Summary_Exchange_Balances_00UTC!$N340)</f>
        <v>OKEX</v>
      </c>
      <c r="B341" t="str">
        <f>IF(Summary_Exchange_Balances_00UTC!$B340="","",Summary_Exchange_Balances_00UTC!$B340)</f>
        <v>OKEX-2-M-W</v>
      </c>
      <c r="C341" t="str">
        <f>IF(Summary_Exchange_Balances_00UTC!$B340="","",Summary_Exchange_Balances_00UTC!$E340)</f>
        <v>DOT</v>
      </c>
      <c r="D341" t="str">
        <f>IF(OR(Summary_Exchange_Balances_00UTC!$B340="",Summary_Exchange_Balances_00UTC!$D340=""),"",Summary_Exchange_Balances_00UTC!$D340)</f>
        <v>Balance</v>
      </c>
      <c r="E341" s="52">
        <f>IF(Summary_Exchange_Balances_00UTC!$B340="","",Summary_Exchange_Balances_00UTC!$C340)</f>
        <v>1E-8</v>
      </c>
      <c r="G341" s="52">
        <f ca="1">IF(Summary_Exchange_Balances_00UTC!$B340="","",VLOOKUP(IF(ISERROR(SEARCH(" ", $B341)),UPPER($B341&amp;$C341&amp;IF(OR(NOT(ISERROR(SEARCH("trade",$D341))),NOT(ISERROR(SEARCH("balance",$D341)))),"",$D341)),UPPER(LEFT($B341, SEARCH(" ",$B341)-1)&amp;$C341&amp;IF(OR(NOT(ISERROR(SEARCH("trade",$D341))),NOT(ISERROR(SEARCH("balance",$D341)))),"",$D341))),$L:$T,MATCH("balance",$L$2:$S$2,0),FALSE))</f>
        <v>8.6419723E-9</v>
      </c>
      <c r="H341" s="35">
        <f ca="1">IF(Summary_Exchange_Balances_00UTC!$B340="","",(G341-E341)/E341)</f>
        <v>-0.13580277000000002</v>
      </c>
      <c r="I341" s="165">
        <f ca="1">IF(Summary_Exchange_Balances_00UTC!$B340="","",IF(ISERROR($G341),$E341,$G341))</f>
        <v>8.6419723E-9</v>
      </c>
      <c r="K341" t="str">
        <f t="shared" ca="1" si="26"/>
        <v>OKEXFIL</v>
      </c>
      <c r="L341" t="str">
        <f t="shared" ca="1" si="27"/>
        <v>OKEX-2-MFIL</v>
      </c>
      <c r="N341" s="161" t="str">
        <f ca="1">IF(raw_exchange_data!$A340="","",OFFSET(raw_exchange_data!$A340,0,MATCH(N$2,raw_exchange_data!$1:$1,0)-1))</f>
        <v>FIL</v>
      </c>
      <c r="O341" s="161" t="str">
        <f ca="1">IF(raw_exchange_data!$A340="","",OFFSET(raw_exchange_data!$A340,0,MATCH(O$2,raw_exchange_data!$1:$1,0)-1))</f>
        <v>OKEX</v>
      </c>
      <c r="P341" s="161" t="str">
        <f ca="1">IF(raw_exchange_data!$A340="","",OFFSET(raw_exchange_data!$A340,0,MATCH(P$2,raw_exchange_data!$1:$1,0)-1))</f>
        <v>OKEX-2-M</v>
      </c>
      <c r="Q341" s="161" t="str">
        <f ca="1">IF(raw_exchange_data!$A340="","",TEXT(OFFSET(raw_exchange_data!$A340,0,MATCH(Q$2,raw_exchange_data!$1:$1,0)-1),""))</f>
        <v/>
      </c>
      <c r="R341" s="162">
        <f ca="1">IF(raw_exchange_data!$A340="","",OFFSET(raw_exchange_data!$A340,0,MATCH(R$2,raw_exchange_data!$1:$1,0)-1))</f>
        <v>-3.6960239470788601E-2</v>
      </c>
      <c r="S341" s="190">
        <f ca="1">IF(raw_exchange_data!$A340="","",OFFSET(raw_exchange_data!$A340,0,MATCH(S$2,raw_exchange_data!$1:$1,0)-1))</f>
        <v>44937.668607233798</v>
      </c>
      <c r="T341" s="161">
        <v>1</v>
      </c>
      <c r="W341" t="str">
        <f t="shared" si="28"/>
        <v>OKEX</v>
      </c>
      <c r="X341" t="str">
        <f t="shared" si="29"/>
        <v>DOT</v>
      </c>
      <c r="Y341" s="42">
        <f t="shared" si="30"/>
        <v>1E-8</v>
      </c>
      <c r="Z341" s="42">
        <f t="shared" ca="1" si="31"/>
        <v>8.6419723E-9</v>
      </c>
      <c r="AC341"/>
      <c r="AD341"/>
    </row>
    <row r="342" spans="1:30" x14ac:dyDescent="0.25">
      <c r="A342" t="str">
        <f>IF(Summary_Exchange_Balances_00UTC!$B341="","",Summary_Exchange_Balances_00UTC!$N341)</f>
        <v>OKEX</v>
      </c>
      <c r="B342" t="str">
        <f>IF(Summary_Exchange_Balances_00UTC!$B341="","",Summary_Exchange_Balances_00UTC!$B341)</f>
        <v>OKEX-2-M-W</v>
      </c>
      <c r="C342" t="str">
        <f>IF(Summary_Exchange_Balances_00UTC!$B341="","",Summary_Exchange_Balances_00UTC!$E341)</f>
        <v>ETHW</v>
      </c>
      <c r="D342" t="str">
        <f>IF(OR(Summary_Exchange_Balances_00UTC!$B341="",Summary_Exchange_Balances_00UTC!$D341=""),"",Summary_Exchange_Balances_00UTC!$D341)</f>
        <v>Balance</v>
      </c>
      <c r="E342" s="53">
        <f>IF(Summary_Exchange_Balances_00UTC!$B341="","",Summary_Exchange_Balances_00UTC!$C341)</f>
        <v>8.7929999999999993E-5</v>
      </c>
      <c r="G342" s="52">
        <f ca="1">IF(Summary_Exchange_Balances_00UTC!$B341="","",VLOOKUP(IF(ISERROR(SEARCH(" ", $B342)),UPPER($B342&amp;$C342&amp;IF(OR(NOT(ISERROR(SEARCH("trade",$D342))),NOT(ISERROR(SEARCH("balance",$D342)))),"",$D342)),UPPER(LEFT($B342, SEARCH(" ",$B342)-1)&amp;$C342&amp;IF(OR(NOT(ISERROR(SEARCH("trade",$D342))),NOT(ISERROR(SEARCH("balance",$D342)))),"",$D342))),$L:$T,MATCH("balance",$L$2:$S$2,0),FALSE))</f>
        <v>8.7934414489999996E-5</v>
      </c>
      <c r="H342" s="35">
        <f ca="1">IF(Summary_Exchange_Balances_00UTC!$B341="","",(G342-E342)/E342)</f>
        <v>5.0204594563888394E-5</v>
      </c>
      <c r="I342" s="165">
        <f ca="1">IF(Summary_Exchange_Balances_00UTC!$B341="","",IF(ISERROR($G342),$E342,$G342))</f>
        <v>8.7934414489999996E-5</v>
      </c>
      <c r="K342" t="str">
        <f t="shared" ca="1" si="26"/>
        <v>OKEXLTC</v>
      </c>
      <c r="L342" t="str">
        <f t="shared" ca="1" si="27"/>
        <v>OKEX-2-MLTC</v>
      </c>
      <c r="N342" s="161" t="str">
        <f ca="1">IF(raw_exchange_data!$A341="","",OFFSET(raw_exchange_data!$A341,0,MATCH(N$2,raw_exchange_data!$1:$1,0)-1))</f>
        <v>LTC</v>
      </c>
      <c r="O342" s="161" t="str">
        <f ca="1">IF(raw_exchange_data!$A341="","",OFFSET(raw_exchange_data!$A341,0,MATCH(O$2,raw_exchange_data!$1:$1,0)-1))</f>
        <v>OKEX</v>
      </c>
      <c r="P342" s="161" t="str">
        <f ca="1">IF(raw_exchange_data!$A341="","",OFFSET(raw_exchange_data!$A341,0,MATCH(P$2,raw_exchange_data!$1:$1,0)-1))</f>
        <v>OKEX-2-M</v>
      </c>
      <c r="Q342" s="161" t="str">
        <f ca="1">IF(raw_exchange_data!$A341="","",TEXT(OFFSET(raw_exchange_data!$A341,0,MATCH(Q$2,raw_exchange_data!$1:$1,0)-1),""))</f>
        <v/>
      </c>
      <c r="R342" s="162">
        <f ca="1">IF(raw_exchange_data!$A341="","",OFFSET(raw_exchange_data!$A341,0,MATCH(R$2,raw_exchange_data!$1:$1,0)-1))</f>
        <v>-330.29248286191199</v>
      </c>
      <c r="S342" s="190">
        <f ca="1">IF(raw_exchange_data!$A341="","",OFFSET(raw_exchange_data!$A341,0,MATCH(S$2,raw_exchange_data!$1:$1,0)-1))</f>
        <v>44937.668607233798</v>
      </c>
      <c r="T342" s="161">
        <v>1</v>
      </c>
      <c r="W342" t="str">
        <f t="shared" si="28"/>
        <v>OKEX</v>
      </c>
      <c r="X342" t="str">
        <f t="shared" si="29"/>
        <v>ETHW</v>
      </c>
      <c r="Y342" s="42">
        <f t="shared" si="30"/>
        <v>8.7929999999999993E-5</v>
      </c>
      <c r="Z342" s="42">
        <f t="shared" ca="1" si="31"/>
        <v>8.7934414489999996E-5</v>
      </c>
      <c r="AC342"/>
      <c r="AD342"/>
    </row>
    <row r="343" spans="1:30" x14ac:dyDescent="0.25">
      <c r="A343" t="str">
        <f>IF(Summary_Exchange_Balances_00UTC!$B342="","",Summary_Exchange_Balances_00UTC!$N342)</f>
        <v>OKEX</v>
      </c>
      <c r="B343" t="str">
        <f>IF(Summary_Exchange_Balances_00UTC!$B342="","",Summary_Exchange_Balances_00UTC!$B342)</f>
        <v>OKEX-2-M-W</v>
      </c>
      <c r="C343" t="str">
        <f>IF(Summary_Exchange_Balances_00UTC!$B342="","",Summary_Exchange_Balances_00UTC!$E342)</f>
        <v>LTC</v>
      </c>
      <c r="D343" t="str">
        <f>IF(OR(Summary_Exchange_Balances_00UTC!$B342="",Summary_Exchange_Balances_00UTC!$D342=""),"",Summary_Exchange_Balances_00UTC!$D342)</f>
        <v>Balance</v>
      </c>
      <c r="E343" s="53">
        <f>IF(Summary_Exchange_Balances_00UTC!$B342="","",Summary_Exchange_Balances_00UTC!$C342)</f>
        <v>1E-8</v>
      </c>
      <c r="G343" s="52">
        <f ca="1">IF(Summary_Exchange_Balances_00UTC!$B342="","",VLOOKUP(IF(ISERROR(SEARCH(" ", $B343)),UPPER($B343&amp;$C343&amp;IF(OR(NOT(ISERROR(SEARCH("trade",$D343))),NOT(ISERROR(SEARCH("balance",$D343)))),"",$D343)),UPPER(LEFT($B343, SEARCH(" ",$B343)-1)&amp;$C343&amp;IF(OR(NOT(ISERROR(SEARCH("trade",$D343))),NOT(ISERROR(SEARCH("balance",$D343)))),"",$D343))),$L:$T,MATCH("balance",$L$2:$S$2,0),FALSE))</f>
        <v>6.8821467999999997E-9</v>
      </c>
      <c r="H343" s="35">
        <f ca="1">IF(Summary_Exchange_Balances_00UTC!$B342="","",(G343-E343)/E343)</f>
        <v>-0.31178532000000003</v>
      </c>
      <c r="I343" s="165">
        <f ca="1">IF(Summary_Exchange_Balances_00UTC!$B342="","",IF(ISERROR($G343),$E343,$G343))</f>
        <v>6.8821467999999997E-9</v>
      </c>
      <c r="K343" t="str">
        <f t="shared" ca="1" si="26"/>
        <v>OKEXOXT</v>
      </c>
      <c r="L343" t="str">
        <f t="shared" ca="1" si="27"/>
        <v>OKEX-2-MOXT</v>
      </c>
      <c r="N343" s="161" t="str">
        <f ca="1">IF(raw_exchange_data!$A342="","",OFFSET(raw_exchange_data!$A342,0,MATCH(N$2,raw_exchange_data!$1:$1,0)-1))</f>
        <v>OXT</v>
      </c>
      <c r="O343" s="161" t="str">
        <f ca="1">IF(raw_exchange_data!$A342="","",OFFSET(raw_exchange_data!$A342,0,MATCH(O$2,raw_exchange_data!$1:$1,0)-1))</f>
        <v>OKEX</v>
      </c>
      <c r="P343" s="161" t="str">
        <f ca="1">IF(raw_exchange_data!$A342="","",OFFSET(raw_exchange_data!$A342,0,MATCH(P$2,raw_exchange_data!$1:$1,0)-1))</f>
        <v>OKEX-2-M</v>
      </c>
      <c r="Q343" s="161" t="str">
        <f ca="1">IF(raw_exchange_data!$A342="","",TEXT(OFFSET(raw_exchange_data!$A342,0,MATCH(Q$2,raw_exchange_data!$1:$1,0)-1),""))</f>
        <v/>
      </c>
      <c r="R343" s="162">
        <f ca="1">IF(raw_exchange_data!$A342="","",OFFSET(raw_exchange_data!$A342,0,MATCH(R$2,raw_exchange_data!$1:$1,0)-1))</f>
        <v>607691.198039921</v>
      </c>
      <c r="S343" s="190">
        <f ca="1">IF(raw_exchange_data!$A342="","",OFFSET(raw_exchange_data!$A342,0,MATCH(S$2,raw_exchange_data!$1:$1,0)-1))</f>
        <v>44937.668607233798</v>
      </c>
      <c r="T343" s="161">
        <v>1</v>
      </c>
      <c r="W343" t="str">
        <f t="shared" si="28"/>
        <v>OKEX</v>
      </c>
      <c r="X343" t="str">
        <f t="shared" si="29"/>
        <v>LTC</v>
      </c>
      <c r="Y343" s="42">
        <f t="shared" si="30"/>
        <v>1E-8</v>
      </c>
      <c r="Z343" s="42">
        <f t="shared" ca="1" si="31"/>
        <v>6.8821467999999997E-9</v>
      </c>
      <c r="AC343"/>
      <c r="AD343"/>
    </row>
    <row r="344" spans="1:30" x14ac:dyDescent="0.25">
      <c r="A344" t="str">
        <f>IF(Summary_Exchange_Balances_00UTC!$B343="","",Summary_Exchange_Balances_00UTC!$N343)</f>
        <v>OKEX</v>
      </c>
      <c r="B344" t="str">
        <f>IF(Summary_Exchange_Balances_00UTC!$B343="","",Summary_Exchange_Balances_00UTC!$B343)</f>
        <v>OKEX-2-M-W</v>
      </c>
      <c r="C344" t="str">
        <f>IF(Summary_Exchange_Balances_00UTC!$B343="","",Summary_Exchange_Balances_00UTC!$E343)</f>
        <v>SHIB</v>
      </c>
      <c r="D344" t="str">
        <f>IF(OR(Summary_Exchange_Balances_00UTC!$B343="",Summary_Exchange_Balances_00UTC!$D343=""),"",Summary_Exchange_Balances_00UTC!$D343)</f>
        <v>Balance</v>
      </c>
      <c r="E344" s="53">
        <f>IF(Summary_Exchange_Balances_00UTC!$B343="","",Summary_Exchange_Balances_00UTC!$C343)</f>
        <v>10000000000</v>
      </c>
      <c r="G344" s="52">
        <f ca="1">IF(Summary_Exchange_Balances_00UTC!$B343="","",VLOOKUP(IF(ISERROR(SEARCH(" ", $B344)),UPPER($B344&amp;$C344&amp;IF(OR(NOT(ISERROR(SEARCH("trade",$D344))),NOT(ISERROR(SEARCH("balance",$D344)))),"",$D344)),UPPER(LEFT($B344, SEARCH(" ",$B344)-1)&amp;$C344&amp;IF(OR(NOT(ISERROR(SEARCH("trade",$D344))),NOT(ISERROR(SEARCH("balance",$D344)))),"",$D344))),$L:$T,MATCH("balance",$L$2:$S$2,0),FALSE))</f>
        <v>8.1456625171150003E-4</v>
      </c>
      <c r="H344" s="35">
        <f ca="1">IF(Summary_Exchange_Balances_00UTC!$B343="","",(G344-E344)/E344)</f>
        <v>-0.99999999999991851</v>
      </c>
      <c r="I344" s="165">
        <f ca="1">IF(Summary_Exchange_Balances_00UTC!$B343="","",IF(ISERROR($G344),$E344,$G344))</f>
        <v>8.1456625171150003E-4</v>
      </c>
      <c r="K344" t="str">
        <f t="shared" ca="1" si="26"/>
        <v>OKEXSHIB</v>
      </c>
      <c r="L344" t="str">
        <f t="shared" ca="1" si="27"/>
        <v>OKEX-2-MSHIB</v>
      </c>
      <c r="N344" s="161" t="str">
        <f ca="1">IF(raw_exchange_data!$A343="","",OFFSET(raw_exchange_data!$A343,0,MATCH(N$2,raw_exchange_data!$1:$1,0)-1))</f>
        <v>SHIB</v>
      </c>
      <c r="O344" s="161" t="str">
        <f ca="1">IF(raw_exchange_data!$A343="","",OFFSET(raw_exchange_data!$A343,0,MATCH(O$2,raw_exchange_data!$1:$1,0)-1))</f>
        <v>OKEX</v>
      </c>
      <c r="P344" s="161" t="str">
        <f ca="1">IF(raw_exchange_data!$A343="","",OFFSET(raw_exchange_data!$A343,0,MATCH(P$2,raw_exchange_data!$1:$1,0)-1))</f>
        <v>OKEX-2-M</v>
      </c>
      <c r="Q344" s="161" t="str">
        <f ca="1">IF(raw_exchange_data!$A343="","",TEXT(OFFSET(raw_exchange_data!$A343,0,MATCH(Q$2,raw_exchange_data!$1:$1,0)-1),""))</f>
        <v/>
      </c>
      <c r="R344" s="162">
        <f ca="1">IF(raw_exchange_data!$A343="","",OFFSET(raw_exchange_data!$A343,0,MATCH(R$2,raw_exchange_data!$1:$1,0)-1))</f>
        <v>-10046732664.0452</v>
      </c>
      <c r="S344" s="190">
        <f ca="1">IF(raw_exchange_data!$A343="","",OFFSET(raw_exchange_data!$A343,0,MATCH(S$2,raw_exchange_data!$1:$1,0)-1))</f>
        <v>44937.668607233798</v>
      </c>
      <c r="T344" s="161">
        <v>1</v>
      </c>
      <c r="W344" t="str">
        <f t="shared" si="28"/>
        <v>OKEX</v>
      </c>
      <c r="X344" t="str">
        <f t="shared" si="29"/>
        <v>SHIB</v>
      </c>
      <c r="Y344" s="42">
        <f t="shared" si="30"/>
        <v>10000000000</v>
      </c>
      <c r="Z344" s="42">
        <f t="shared" ca="1" si="31"/>
        <v>8.1456625171150003E-4</v>
      </c>
      <c r="AC344"/>
      <c r="AD344"/>
    </row>
    <row r="345" spans="1:30" x14ac:dyDescent="0.25">
      <c r="A345" t="str">
        <f>IF(Summary_Exchange_Balances_00UTC!$B344="","",Summary_Exchange_Balances_00UTC!$N344)</f>
        <v>OKEX</v>
      </c>
      <c r="B345" t="str">
        <f>IF(Summary_Exchange_Balances_00UTC!$B344="","",Summary_Exchange_Balances_00UTC!$B344)</f>
        <v>OKEX-2-M-W</v>
      </c>
      <c r="C345" t="str">
        <f>IF(Summary_Exchange_Balances_00UTC!$B344="","",Summary_Exchange_Balances_00UTC!$E344)</f>
        <v>USDC</v>
      </c>
      <c r="D345" t="str">
        <f>IF(OR(Summary_Exchange_Balances_00UTC!$B344="",Summary_Exchange_Balances_00UTC!$D344=""),"",Summary_Exchange_Balances_00UTC!$D344)</f>
        <v>Balance</v>
      </c>
      <c r="E345" s="52">
        <f>IF(Summary_Exchange_Balances_00UTC!$B344="","",Summary_Exchange_Balances_00UTC!$C344)</f>
        <v>5.2E-7</v>
      </c>
      <c r="G345" s="52">
        <f ca="1">IF(Summary_Exchange_Balances_00UTC!$B344="","",VLOOKUP(IF(ISERROR(SEARCH(" ", $B345)),UPPER($B345&amp;$C345&amp;IF(OR(NOT(ISERROR(SEARCH("trade",$D345))),NOT(ISERROR(SEARCH("balance",$D345)))),"",$D345)),UPPER(LEFT($B345, SEARCH(" ",$B345)-1)&amp;$C345&amp;IF(OR(NOT(ISERROR(SEARCH("trade",$D345))),NOT(ISERROR(SEARCH("balance",$D345)))),"",$D345))),$L:$T,MATCH("balance",$L$2:$S$2,0),FALSE))</f>
        <v>5.1611396659999999E-7</v>
      </c>
      <c r="H345" s="35">
        <f ca="1">IF(Summary_Exchange_Balances_00UTC!$B344="","",(G345-E345)/E345)</f>
        <v>-7.4731411538461667E-3</v>
      </c>
      <c r="I345" s="165">
        <f ca="1">IF(Summary_Exchange_Balances_00UTC!$B344="","",IF(ISERROR($G345),$E345,$G345))</f>
        <v>5.1611396659999999E-7</v>
      </c>
      <c r="K345" t="str">
        <f t="shared" ca="1" si="26"/>
        <v>OKEXUSDT</v>
      </c>
      <c r="L345" t="str">
        <f t="shared" ca="1" si="27"/>
        <v>OKEX-2-MUSDTUNREALIZED</v>
      </c>
      <c r="N345" s="161" t="str">
        <f ca="1">IF(raw_exchange_data!$A344="","",OFFSET(raw_exchange_data!$A344,0,MATCH(N$2,raw_exchange_data!$1:$1,0)-1))</f>
        <v>USDT</v>
      </c>
      <c r="O345" s="161" t="str">
        <f ca="1">IF(raw_exchange_data!$A344="","",OFFSET(raw_exchange_data!$A344,0,MATCH(O$2,raw_exchange_data!$1:$1,0)-1))</f>
        <v>OKEX</v>
      </c>
      <c r="P345" s="161" t="str">
        <f ca="1">IF(raw_exchange_data!$A344="","",OFFSET(raw_exchange_data!$A344,0,MATCH(P$2,raw_exchange_data!$1:$1,0)-1))</f>
        <v>OKEX-2-M</v>
      </c>
      <c r="Q345" s="161" t="str">
        <f ca="1">IF(raw_exchange_data!$A344="","",TEXT(OFFSET(raw_exchange_data!$A344,0,MATCH(Q$2,raw_exchange_data!$1:$1,0)-1),""))</f>
        <v>Unrealized</v>
      </c>
      <c r="R345" s="162">
        <f ca="1">IF(raw_exchange_data!$A344="","",OFFSET(raw_exchange_data!$A344,0,MATCH(R$2,raw_exchange_data!$1:$1,0)-1))</f>
        <v>365318.65383019298</v>
      </c>
      <c r="S345" s="190">
        <f ca="1">IF(raw_exchange_data!$A344="","",OFFSET(raw_exchange_data!$A344,0,MATCH(S$2,raw_exchange_data!$1:$1,0)-1))</f>
        <v>44937.668607233798</v>
      </c>
      <c r="T345" s="161">
        <v>1</v>
      </c>
      <c r="W345" t="str">
        <f t="shared" si="28"/>
        <v>OKEX</v>
      </c>
      <c r="X345" t="str">
        <f t="shared" si="29"/>
        <v>USDC</v>
      </c>
      <c r="Y345" s="42">
        <f t="shared" si="30"/>
        <v>5.2E-7</v>
      </c>
      <c r="Z345" s="42">
        <f t="shared" ca="1" si="31"/>
        <v>5.1611396659999999E-7</v>
      </c>
      <c r="AC345"/>
      <c r="AD345"/>
    </row>
    <row r="346" spans="1:30" x14ac:dyDescent="0.25">
      <c r="A346" t="str">
        <f>IF(Summary_Exchange_Balances_00UTC!$B345="","",Summary_Exchange_Balances_00UTC!$N345)</f>
        <v>OKEX</v>
      </c>
      <c r="B346" t="str">
        <f>IF(Summary_Exchange_Balances_00UTC!$B345="","",Summary_Exchange_Balances_00UTC!$B345)</f>
        <v>OKEX-2-M-W</v>
      </c>
      <c r="C346" t="str">
        <f>IF(Summary_Exchange_Balances_00UTC!$B345="","",Summary_Exchange_Balances_00UTC!$E345)</f>
        <v>XEC</v>
      </c>
      <c r="D346" t="str">
        <f>IF(OR(Summary_Exchange_Balances_00UTC!$B345="",Summary_Exchange_Balances_00UTC!$D345=""),"",Summary_Exchange_Balances_00UTC!$D345)</f>
        <v>Balance</v>
      </c>
      <c r="E346" s="52">
        <f>IF(Summary_Exchange_Balances_00UTC!$B345="","",Summary_Exchange_Balances_00UTC!$C345)</f>
        <v>5.47</v>
      </c>
      <c r="G346" s="52">
        <f ca="1">IF(Summary_Exchange_Balances_00UTC!$B345="","",VLOOKUP(IF(ISERROR(SEARCH(" ", $B346)),UPPER($B346&amp;$C346&amp;IF(OR(NOT(ISERROR(SEARCH("trade",$D346))),NOT(ISERROR(SEARCH("balance",$D346)))),"",$D346)),UPPER(LEFT($B346, SEARCH(" ",$B346)-1)&amp;$C346&amp;IF(OR(NOT(ISERROR(SEARCH("trade",$D346))),NOT(ISERROR(SEARCH("balance",$D346)))),"",$D346))),$L:$T,MATCH("balance",$L$2:$S$2,0),FALSE))</f>
        <v>5.47</v>
      </c>
      <c r="H346" s="35">
        <f ca="1">IF(Summary_Exchange_Balances_00UTC!$B345="","",(G346-E346)/E346)</f>
        <v>0</v>
      </c>
      <c r="I346" s="165">
        <f ca="1">IF(Summary_Exchange_Balances_00UTC!$B345="","",IF(ISERROR($G346),$E346,$G346))</f>
        <v>5.47</v>
      </c>
      <c r="K346" t="str">
        <f t="shared" ca="1" si="26"/>
        <v>OKEXUSDT</v>
      </c>
      <c r="L346" t="str">
        <f t="shared" ca="1" si="27"/>
        <v>OKEX-2-MUSDT</v>
      </c>
      <c r="N346" s="161" t="str">
        <f ca="1">IF(raw_exchange_data!$A345="","",OFFSET(raw_exchange_data!$A345,0,MATCH(N$2,raw_exchange_data!$1:$1,0)-1))</f>
        <v>USDT</v>
      </c>
      <c r="O346" s="161" t="str">
        <f ca="1">IF(raw_exchange_data!$A345="","",OFFSET(raw_exchange_data!$A345,0,MATCH(O$2,raw_exchange_data!$1:$1,0)-1))</f>
        <v>OKEX</v>
      </c>
      <c r="P346" s="161" t="str">
        <f ca="1">IF(raw_exchange_data!$A345="","",OFFSET(raw_exchange_data!$A345,0,MATCH(P$2,raw_exchange_data!$1:$1,0)-1))</f>
        <v>OKEX-2-M</v>
      </c>
      <c r="Q346" s="161" t="str">
        <f ca="1">IF(raw_exchange_data!$A345="","",TEXT(OFFSET(raw_exchange_data!$A345,0,MATCH(Q$2,raw_exchange_data!$1:$1,0)-1),""))</f>
        <v/>
      </c>
      <c r="R346" s="162">
        <f ca="1">IF(raw_exchange_data!$A345="","",OFFSET(raw_exchange_data!$A345,0,MATCH(R$2,raw_exchange_data!$1:$1,0)-1))</f>
        <v>3626830.2206274001</v>
      </c>
      <c r="S346" s="190">
        <f ca="1">IF(raw_exchange_data!$A345="","",OFFSET(raw_exchange_data!$A345,0,MATCH(S$2,raw_exchange_data!$1:$1,0)-1))</f>
        <v>44937.668607233798</v>
      </c>
      <c r="T346" s="161">
        <v>1</v>
      </c>
      <c r="W346" t="str">
        <f t="shared" si="28"/>
        <v>OKEX</v>
      </c>
      <c r="X346" t="str">
        <f t="shared" si="29"/>
        <v>XEC</v>
      </c>
      <c r="Y346" s="42">
        <f t="shared" si="30"/>
        <v>5.47</v>
      </c>
      <c r="Z346" s="42">
        <f t="shared" ca="1" si="31"/>
        <v>5.47</v>
      </c>
      <c r="AC346"/>
      <c r="AD346"/>
    </row>
    <row r="347" spans="1:30" x14ac:dyDescent="0.25">
      <c r="A347" t="str">
        <f>IF(Summary_Exchange_Balances_00UTC!$B346="","",Summary_Exchange_Balances_00UTC!$N346)</f>
        <v>OKEX</v>
      </c>
      <c r="B347" t="str">
        <f>IF(Summary_Exchange_Balances_00UTC!$B346="","",Summary_Exchange_Balances_00UTC!$B346)</f>
        <v>OKEX-2-M-W</v>
      </c>
      <c r="C347" t="str">
        <f>IF(Summary_Exchange_Balances_00UTC!$B346="","",Summary_Exchange_Balances_00UTC!$E346)</f>
        <v>XRP</v>
      </c>
      <c r="D347" t="str">
        <f>IF(OR(Summary_Exchange_Balances_00UTC!$B346="",Summary_Exchange_Balances_00UTC!$D346=""),"",Summary_Exchange_Balances_00UTC!$D346)</f>
        <v>Balance</v>
      </c>
      <c r="E347" s="53">
        <f>IF(Summary_Exchange_Balances_00UTC!$B346="","",Summary_Exchange_Balances_00UTC!$C346)</f>
        <v>4.4000000000000002E-7</v>
      </c>
      <c r="G347" s="52">
        <f ca="1">IF(Summary_Exchange_Balances_00UTC!$B346="","",VLOOKUP(IF(ISERROR(SEARCH(" ", $B347)),UPPER($B347&amp;$C347&amp;IF(OR(NOT(ISERROR(SEARCH("trade",$D347))),NOT(ISERROR(SEARCH("balance",$D347)))),"",$D347)),UPPER(LEFT($B347, SEARCH(" ",$B347)-1)&amp;$C347&amp;IF(OR(NOT(ISERROR(SEARCH("trade",$D347))),NOT(ISERROR(SEARCH("balance",$D347)))),"",$D347))),$L:$T,MATCH("balance",$L$2:$S$2,0),FALSE))</f>
        <v>4.4140430209999998E-7</v>
      </c>
      <c r="H347" s="35">
        <f ca="1">IF(Summary_Exchange_Balances_00UTC!$B346="","",(G347-E347)/E347)</f>
        <v>3.1915956818180822E-3</v>
      </c>
      <c r="I347" s="165">
        <f ca="1">IF(Summary_Exchange_Balances_00UTC!$B346="","",IF(ISERROR($G347),$E347,$G347))</f>
        <v>4.4140430209999998E-7</v>
      </c>
      <c r="K347" t="str">
        <f t="shared" ca="1" si="26"/>
        <v>OKEXXRP</v>
      </c>
      <c r="L347" t="str">
        <f t="shared" ca="1" si="27"/>
        <v>OKEX-2-MXRP</v>
      </c>
      <c r="N347" s="161" t="str">
        <f ca="1">IF(raw_exchange_data!$A346="","",OFFSET(raw_exchange_data!$A346,0,MATCH(N$2,raw_exchange_data!$1:$1,0)-1))</f>
        <v>XRP</v>
      </c>
      <c r="O347" s="161" t="str">
        <f ca="1">IF(raw_exchange_data!$A346="","",OFFSET(raw_exchange_data!$A346,0,MATCH(O$2,raw_exchange_data!$1:$1,0)-1))</f>
        <v>OKEX</v>
      </c>
      <c r="P347" s="161" t="str">
        <f ca="1">IF(raw_exchange_data!$A346="","",OFFSET(raw_exchange_data!$A346,0,MATCH(P$2,raw_exchange_data!$1:$1,0)-1))</f>
        <v>OKEX-2-M</v>
      </c>
      <c r="Q347" s="161" t="str">
        <f ca="1">IF(raw_exchange_data!$A346="","",TEXT(OFFSET(raw_exchange_data!$A346,0,MATCH(Q$2,raw_exchange_data!$1:$1,0)-1),""))</f>
        <v/>
      </c>
      <c r="R347" s="162">
        <f ca="1">IF(raw_exchange_data!$A346="","",OFFSET(raw_exchange_data!$A346,0,MATCH(R$2,raw_exchange_data!$1:$1,0)-1))</f>
        <v>-2045.72899234806</v>
      </c>
      <c r="S347" s="190">
        <f ca="1">IF(raw_exchange_data!$A346="","",OFFSET(raw_exchange_data!$A346,0,MATCH(S$2,raw_exchange_data!$1:$1,0)-1))</f>
        <v>44937.668607233798</v>
      </c>
      <c r="T347" s="161">
        <v>1</v>
      </c>
      <c r="W347" t="str">
        <f t="shared" si="28"/>
        <v>OKEX</v>
      </c>
      <c r="X347" t="str">
        <f t="shared" si="29"/>
        <v>XRP</v>
      </c>
      <c r="Y347" s="42">
        <f t="shared" si="30"/>
        <v>4.4000000000000002E-7</v>
      </c>
      <c r="Z347" s="42">
        <f t="shared" ca="1" si="31"/>
        <v>4.4140430209999998E-7</v>
      </c>
      <c r="AC347"/>
      <c r="AD347"/>
    </row>
    <row r="348" spans="1:30" x14ac:dyDescent="0.25">
      <c r="A348" t="str">
        <f>IF(Summary_Exchange_Balances_00UTC!$B347="","",Summary_Exchange_Balances_00UTC!$N347)</f>
        <v>PITX</v>
      </c>
      <c r="B348" t="str">
        <f>IF(Summary_Exchange_Balances_00UTC!$B347="","",Summary_Exchange_Balances_00UTC!$B347)</f>
        <v>PITX-E</v>
      </c>
      <c r="C348" t="str">
        <f>IF(Summary_Exchange_Balances_00UTC!$B347="","",Summary_Exchange_Balances_00UTC!$E347)</f>
        <v>ETH</v>
      </c>
      <c r="D348" t="str">
        <f>IF(OR(Summary_Exchange_Balances_00UTC!$B347="",Summary_Exchange_Balances_00UTC!$D347=""),"",Summary_Exchange_Balances_00UTC!$D347)</f>
        <v/>
      </c>
      <c r="E348" s="53">
        <f>IF(Summary_Exchange_Balances_00UTC!$B347="","",Summary_Exchange_Balances_00UTC!$C347)</f>
        <v>7.1361999999999999E-4</v>
      </c>
      <c r="G348" s="52" t="e">
        <f ca="1">IF(Summary_Exchange_Balances_00UTC!$B347="","",VLOOKUP(IF(ISERROR(SEARCH(" ", $B348)),UPPER($B348&amp;$C348&amp;IF(OR(NOT(ISERROR(SEARCH("trade",$D348))),NOT(ISERROR(SEARCH("balance",$D348)))),"",$D348)),UPPER(LEFT($B348, SEARCH(" ",$B348)-1)&amp;$C348&amp;IF(OR(NOT(ISERROR(SEARCH("trade",$D348))),NOT(ISERROR(SEARCH("balance",$D348)))),"",$D348))),$L:$T,MATCH("balance",$L$2:$S$2,0),FALSE))</f>
        <v>#N/A</v>
      </c>
      <c r="H348" s="35" t="e">
        <f ca="1">IF(Summary_Exchange_Balances_00UTC!$B347="","",(G348-E348)/E348)</f>
        <v>#N/A</v>
      </c>
      <c r="I348" s="165">
        <f ca="1">IF(Summary_Exchange_Balances_00UTC!$B347="","",IF(ISERROR($G348),$E348,$G348))</f>
        <v>7.1361999999999999E-4</v>
      </c>
      <c r="K348" t="str">
        <f t="shared" ca="1" si="26"/>
        <v>OKEXZIL</v>
      </c>
      <c r="L348" t="str">
        <f t="shared" ca="1" si="27"/>
        <v>OKEX-2-MZIL</v>
      </c>
      <c r="N348" s="161" t="str">
        <f ca="1">IF(raw_exchange_data!$A347="","",OFFSET(raw_exchange_data!$A347,0,MATCH(N$2,raw_exchange_data!$1:$1,0)-1))</f>
        <v>ZIL</v>
      </c>
      <c r="O348" s="161" t="str">
        <f ca="1">IF(raw_exchange_data!$A347="","",OFFSET(raw_exchange_data!$A347,0,MATCH(O$2,raw_exchange_data!$1:$1,0)-1))</f>
        <v>OKEX</v>
      </c>
      <c r="P348" s="161" t="str">
        <f ca="1">IF(raw_exchange_data!$A347="","",OFFSET(raw_exchange_data!$A347,0,MATCH(P$2,raw_exchange_data!$1:$1,0)-1))</f>
        <v>OKEX-2-M</v>
      </c>
      <c r="Q348" s="161" t="str">
        <f ca="1">IF(raw_exchange_data!$A347="","",TEXT(OFFSET(raw_exchange_data!$A347,0,MATCH(Q$2,raw_exchange_data!$1:$1,0)-1),""))</f>
        <v/>
      </c>
      <c r="R348" s="162">
        <f ca="1">IF(raw_exchange_data!$A347="","",OFFSET(raw_exchange_data!$A347,0,MATCH(R$2,raw_exchange_data!$1:$1,0)-1))</f>
        <v>3424548.2799914898</v>
      </c>
      <c r="S348" s="190">
        <f ca="1">IF(raw_exchange_data!$A347="","",OFFSET(raw_exchange_data!$A347,0,MATCH(S$2,raw_exchange_data!$1:$1,0)-1))</f>
        <v>44937.668607233798</v>
      </c>
      <c r="T348" s="161">
        <v>1</v>
      </c>
      <c r="W348" t="str">
        <f t="shared" si="28"/>
        <v>PITX</v>
      </c>
      <c r="X348" t="str">
        <f t="shared" si="29"/>
        <v>ETH</v>
      </c>
      <c r="Y348" s="42">
        <f t="shared" si="30"/>
        <v>7.1361999999999999E-4</v>
      </c>
      <c r="Z348" s="42">
        <f t="shared" ca="1" si="31"/>
        <v>0</v>
      </c>
      <c r="AC348"/>
      <c r="AD348"/>
    </row>
    <row r="349" spans="1:30" x14ac:dyDescent="0.25">
      <c r="A349" t="str">
        <f>IF(Summary_Exchange_Balances_00UTC!$B348="","",Summary_Exchange_Balances_00UTC!$N348)</f>
        <v>PITX</v>
      </c>
      <c r="B349" t="str">
        <f>IF(Summary_Exchange_Balances_00UTC!$B348="","",Summary_Exchange_Balances_00UTC!$B348)</f>
        <v>PITX-E</v>
      </c>
      <c r="C349" t="str">
        <f>IF(Summary_Exchange_Balances_00UTC!$B348="","",Summary_Exchange_Balances_00UTC!$E348)</f>
        <v>EUR</v>
      </c>
      <c r="D349" t="str">
        <f>IF(OR(Summary_Exchange_Balances_00UTC!$B348="",Summary_Exchange_Balances_00UTC!$D348=""),"",Summary_Exchange_Balances_00UTC!$D348)</f>
        <v/>
      </c>
      <c r="E349" s="52">
        <f>IF(Summary_Exchange_Balances_00UTC!$B348="","",Summary_Exchange_Balances_00UTC!$C348)</f>
        <v>0.01</v>
      </c>
      <c r="G349" s="52" t="e">
        <f ca="1">IF(Summary_Exchange_Balances_00UTC!$B348="","",VLOOKUP(IF(ISERROR(SEARCH(" ", $B349)),UPPER($B349&amp;$C349&amp;IF(OR(NOT(ISERROR(SEARCH("trade",$D349))),NOT(ISERROR(SEARCH("balance",$D349)))),"",$D349)),UPPER(LEFT($B349, SEARCH(" ",$B349)-1)&amp;$C349&amp;IF(OR(NOT(ISERROR(SEARCH("trade",$D349))),NOT(ISERROR(SEARCH("balance",$D349)))),"",$D349))),$L:$T,MATCH("balance",$L$2:$S$2,0),FALSE))</f>
        <v>#N/A</v>
      </c>
      <c r="H349" s="35" t="e">
        <f ca="1">IF(Summary_Exchange_Balances_00UTC!$B348="","",(G349-E349)/E349)</f>
        <v>#N/A</v>
      </c>
      <c r="I349" s="165">
        <f ca="1">IF(Summary_Exchange_Balances_00UTC!$B348="","",IF(ISERROR($G349),$E349,$G349))</f>
        <v>0.01</v>
      </c>
      <c r="K349" t="str">
        <f t="shared" ca="1" si="26"/>
        <v>OKEXBCH</v>
      </c>
      <c r="L349" t="str">
        <f t="shared" ca="1" si="27"/>
        <v>OKEX-2-M-WBCH</v>
      </c>
      <c r="N349" s="161" t="str">
        <f ca="1">IF(raw_exchange_data!$A348="","",OFFSET(raw_exchange_data!$A348,0,MATCH(N$2,raw_exchange_data!$1:$1,0)-1))</f>
        <v>BCH</v>
      </c>
      <c r="O349" s="161" t="str">
        <f ca="1">IF(raw_exchange_data!$A348="","",OFFSET(raw_exchange_data!$A348,0,MATCH(O$2,raw_exchange_data!$1:$1,0)-1))</f>
        <v>OKEX</v>
      </c>
      <c r="P349" s="161" t="str">
        <f ca="1">IF(raw_exchange_data!$A348="","",OFFSET(raw_exchange_data!$A348,0,MATCH(P$2,raw_exchange_data!$1:$1,0)-1))</f>
        <v>OKEX-2-M-W</v>
      </c>
      <c r="Q349" s="161" t="str">
        <f ca="1">IF(raw_exchange_data!$A348="","",TEXT(OFFSET(raw_exchange_data!$A348,0,MATCH(Q$2,raw_exchange_data!$1:$1,0)-1),""))</f>
        <v>Balance</v>
      </c>
      <c r="R349" s="162">
        <f ca="1">IF(raw_exchange_data!$A348="","",OFFSET(raw_exchange_data!$A348,0,MATCH(R$2,raw_exchange_data!$1:$1,0)-1))</f>
        <v>3.3324575999999999E-9</v>
      </c>
      <c r="S349" s="190">
        <f ca="1">IF(raw_exchange_data!$A348="","",OFFSET(raw_exchange_data!$A348,0,MATCH(S$2,raw_exchange_data!$1:$1,0)-1))</f>
        <v>44937.666671377316</v>
      </c>
      <c r="T349" s="161">
        <v>1</v>
      </c>
      <c r="W349" t="str">
        <f t="shared" si="28"/>
        <v>PITX</v>
      </c>
      <c r="X349" t="str">
        <f t="shared" si="29"/>
        <v>EUR</v>
      </c>
      <c r="Y349" s="42">
        <f t="shared" si="30"/>
        <v>0.01</v>
      </c>
      <c r="Z349" s="42">
        <f t="shared" ca="1" si="31"/>
        <v>0</v>
      </c>
      <c r="AC349"/>
      <c r="AD349"/>
    </row>
    <row r="350" spans="1:30" x14ac:dyDescent="0.25">
      <c r="A350" t="str">
        <f>IF(Summary_Exchange_Balances_00UTC!$B349="","",Summary_Exchange_Balances_00UTC!$N349)</f>
        <v>PITX</v>
      </c>
      <c r="B350" t="str">
        <f>IF(Summary_Exchange_Balances_00UTC!$B349="","",Summary_Exchange_Balances_00UTC!$B349)</f>
        <v>PITX-E</v>
      </c>
      <c r="C350" t="str">
        <f>IF(Summary_Exchange_Balances_00UTC!$B349="","",Summary_Exchange_Balances_00UTC!$E349)</f>
        <v>GBP</v>
      </c>
      <c r="D350" t="str">
        <f>IF(OR(Summary_Exchange_Balances_00UTC!$B349="",Summary_Exchange_Balances_00UTC!$D349=""),"",Summary_Exchange_Balances_00UTC!$D349)</f>
        <v/>
      </c>
      <c r="E350" s="52">
        <f>IF(Summary_Exchange_Balances_00UTC!$B349="","",Summary_Exchange_Balances_00UTC!$C349)</f>
        <v>0.01</v>
      </c>
      <c r="G350" s="52" t="e">
        <f ca="1">IF(Summary_Exchange_Balances_00UTC!$B349="","",VLOOKUP(IF(ISERROR(SEARCH(" ", $B350)),UPPER($B350&amp;$C350&amp;IF(OR(NOT(ISERROR(SEARCH("trade",$D350))),NOT(ISERROR(SEARCH("balance",$D350)))),"",$D350)),UPPER(LEFT($B350, SEARCH(" ",$B350)-1)&amp;$C350&amp;IF(OR(NOT(ISERROR(SEARCH("trade",$D350))),NOT(ISERROR(SEARCH("balance",$D350)))),"",$D350))),$L:$T,MATCH("balance",$L$2:$S$2,0),FALSE))</f>
        <v>#N/A</v>
      </c>
      <c r="H350" s="35" t="e">
        <f ca="1">IF(Summary_Exchange_Balances_00UTC!$B349="","",(G350-E350)/E350)</f>
        <v>#N/A</v>
      </c>
      <c r="I350" s="165">
        <f ca="1">IF(Summary_Exchange_Balances_00UTC!$B349="","",IF(ISERROR($G350),$E350,$G350))</f>
        <v>0.01</v>
      </c>
      <c r="K350" t="str">
        <f t="shared" ca="1" si="26"/>
        <v>OKEXBSV</v>
      </c>
      <c r="L350" t="str">
        <f t="shared" ca="1" si="27"/>
        <v>OKEX-2-M-WBSV</v>
      </c>
      <c r="N350" s="161" t="str">
        <f ca="1">IF(raw_exchange_data!$A349="","",OFFSET(raw_exchange_data!$A349,0,MATCH(N$2,raw_exchange_data!$1:$1,0)-1))</f>
        <v>BSV</v>
      </c>
      <c r="O350" s="161" t="str">
        <f ca="1">IF(raw_exchange_data!$A349="","",OFFSET(raw_exchange_data!$A349,0,MATCH(O$2,raw_exchange_data!$1:$1,0)-1))</f>
        <v>OKEX</v>
      </c>
      <c r="P350" s="161" t="str">
        <f ca="1">IF(raw_exchange_data!$A349="","",OFFSET(raw_exchange_data!$A349,0,MATCH(P$2,raw_exchange_data!$1:$1,0)-1))</f>
        <v>OKEX-2-M-W</v>
      </c>
      <c r="Q350" s="161" t="str">
        <f ca="1">IF(raw_exchange_data!$A349="","",TEXT(OFFSET(raw_exchange_data!$A349,0,MATCH(Q$2,raw_exchange_data!$1:$1,0)-1),""))</f>
        <v>Balance</v>
      </c>
      <c r="R350" s="162">
        <f ca="1">IF(raw_exchange_data!$A349="","",OFFSET(raw_exchange_data!$A349,0,MATCH(R$2,raw_exchange_data!$1:$1,0)-1))</f>
        <v>9.4549999999999994E-5</v>
      </c>
      <c r="S350" s="190">
        <f ca="1">IF(raw_exchange_data!$A349="","",OFFSET(raw_exchange_data!$A349,0,MATCH(S$2,raw_exchange_data!$1:$1,0)-1))</f>
        <v>44937.666671377316</v>
      </c>
      <c r="T350" s="161">
        <v>1</v>
      </c>
      <c r="W350" t="str">
        <f t="shared" si="28"/>
        <v>PITX</v>
      </c>
      <c r="X350" t="str">
        <f t="shared" si="29"/>
        <v>GBP</v>
      </c>
      <c r="Y350" s="42">
        <f t="shared" si="30"/>
        <v>0.01</v>
      </c>
      <c r="Z350" s="42">
        <f t="shared" ca="1" si="31"/>
        <v>0</v>
      </c>
      <c r="AC350"/>
      <c r="AD350"/>
    </row>
    <row r="351" spans="1:30" x14ac:dyDescent="0.25">
      <c r="A351" t="str">
        <f>IF(Summary_Exchange_Balances_00UTC!$B350="","",Summary_Exchange_Balances_00UTC!$N350)</f>
        <v>PITX</v>
      </c>
      <c r="B351" t="str">
        <f>IF(Summary_Exchange_Balances_00UTC!$B350="","",Summary_Exchange_Balances_00UTC!$B350)</f>
        <v>PITX-E</v>
      </c>
      <c r="C351" t="str">
        <f>IF(Summary_Exchange_Balances_00UTC!$B350="","",Summary_Exchange_Balances_00UTC!$E350)</f>
        <v>TRY</v>
      </c>
      <c r="D351" t="str">
        <f>IF(OR(Summary_Exchange_Balances_00UTC!$B350="",Summary_Exchange_Balances_00UTC!$D350=""),"",Summary_Exchange_Balances_00UTC!$D350)</f>
        <v/>
      </c>
      <c r="E351" s="52">
        <f>IF(Summary_Exchange_Balances_00UTC!$B350="","",Summary_Exchange_Balances_00UTC!$C350)</f>
        <v>0.10983253</v>
      </c>
      <c r="G351" s="52" t="e">
        <f ca="1">IF(Summary_Exchange_Balances_00UTC!$B350="","",VLOOKUP(IF(ISERROR(SEARCH(" ", $B351)),UPPER($B351&amp;$C351&amp;IF(OR(NOT(ISERROR(SEARCH("trade",$D351))),NOT(ISERROR(SEARCH("balance",$D351)))),"",$D351)),UPPER(LEFT($B351, SEARCH(" ",$B351)-1)&amp;$C351&amp;IF(OR(NOT(ISERROR(SEARCH("trade",$D351))),NOT(ISERROR(SEARCH("balance",$D351)))),"",$D351))),$L:$T,MATCH("balance",$L$2:$S$2,0),FALSE))</f>
        <v>#N/A</v>
      </c>
      <c r="H351" s="35" t="e">
        <f ca="1">IF(Summary_Exchange_Balances_00UTC!$B350="","",(G351-E351)/E351)</f>
        <v>#N/A</v>
      </c>
      <c r="I351" s="165">
        <f ca="1">IF(Summary_Exchange_Balances_00UTC!$B350="","",IF(ISERROR($G351),$E351,$G351))</f>
        <v>0.10983253</v>
      </c>
      <c r="K351" t="str">
        <f t="shared" ca="1" si="26"/>
        <v>OKEXDOT</v>
      </c>
      <c r="L351" t="str">
        <f t="shared" ca="1" si="27"/>
        <v>OKEX-2-M-WDOT</v>
      </c>
      <c r="N351" s="161" t="str">
        <f ca="1">IF(raw_exchange_data!$A350="","",OFFSET(raw_exchange_data!$A350,0,MATCH(N$2,raw_exchange_data!$1:$1,0)-1))</f>
        <v>DOT</v>
      </c>
      <c r="O351" s="161" t="str">
        <f ca="1">IF(raw_exchange_data!$A350="","",OFFSET(raw_exchange_data!$A350,0,MATCH(O$2,raw_exchange_data!$1:$1,0)-1))</f>
        <v>OKEX</v>
      </c>
      <c r="P351" s="161" t="str">
        <f ca="1">IF(raw_exchange_data!$A350="","",OFFSET(raw_exchange_data!$A350,0,MATCH(P$2,raw_exchange_data!$1:$1,0)-1))</f>
        <v>OKEX-2-M-W</v>
      </c>
      <c r="Q351" s="161" t="str">
        <f ca="1">IF(raw_exchange_data!$A350="","",TEXT(OFFSET(raw_exchange_data!$A350,0,MATCH(Q$2,raw_exchange_data!$1:$1,0)-1),""))</f>
        <v>Balance</v>
      </c>
      <c r="R351" s="162">
        <f ca="1">IF(raw_exchange_data!$A350="","",OFFSET(raw_exchange_data!$A350,0,MATCH(R$2,raw_exchange_data!$1:$1,0)-1))</f>
        <v>8.6419723E-9</v>
      </c>
      <c r="S351" s="190">
        <f ca="1">IF(raw_exchange_data!$A350="","",OFFSET(raw_exchange_data!$A350,0,MATCH(S$2,raw_exchange_data!$1:$1,0)-1))</f>
        <v>44937.666671377316</v>
      </c>
      <c r="T351" s="161">
        <v>1</v>
      </c>
      <c r="W351" t="str">
        <f t="shared" si="28"/>
        <v>PITX</v>
      </c>
      <c r="X351" t="str">
        <f t="shared" si="29"/>
        <v>TRY</v>
      </c>
      <c r="Y351" s="42">
        <f t="shared" si="30"/>
        <v>0.10983253</v>
      </c>
      <c r="Z351" s="42">
        <f t="shared" ca="1" si="31"/>
        <v>0</v>
      </c>
      <c r="AC351"/>
      <c r="AD351"/>
    </row>
    <row r="352" spans="1:30" x14ac:dyDescent="0.25">
      <c r="A352" t="str">
        <f>IF(Summary_Exchange_Balances_00UTC!$B351="","",Summary_Exchange_Balances_00UTC!$N351)</f>
        <v>PITX</v>
      </c>
      <c r="B352" t="str">
        <f>IF(Summary_Exchange_Balances_00UTC!$B351="","",Summary_Exchange_Balances_00UTC!$B351)</f>
        <v>PITX-E</v>
      </c>
      <c r="C352" t="str">
        <f>IF(Summary_Exchange_Balances_00UTC!$B351="","",Summary_Exchange_Balances_00UTC!$E351)</f>
        <v>USD</v>
      </c>
      <c r="D352" t="str">
        <f>IF(OR(Summary_Exchange_Balances_00UTC!$B351="",Summary_Exchange_Balances_00UTC!$D351=""),"",Summary_Exchange_Balances_00UTC!$D351)</f>
        <v/>
      </c>
      <c r="E352" s="53">
        <f>IF(Summary_Exchange_Balances_00UTC!$B351="","",Summary_Exchange_Balances_00UTC!$C351)</f>
        <v>6.5778299999999998E-3</v>
      </c>
      <c r="G352" s="52" t="e">
        <f ca="1">IF(Summary_Exchange_Balances_00UTC!$B351="","",VLOOKUP(IF(ISERROR(SEARCH(" ", $B352)),UPPER($B352&amp;$C352&amp;IF(OR(NOT(ISERROR(SEARCH("trade",$D352))),NOT(ISERROR(SEARCH("balance",$D352)))),"",$D352)),UPPER(LEFT($B352, SEARCH(" ",$B352)-1)&amp;$C352&amp;IF(OR(NOT(ISERROR(SEARCH("trade",$D352))),NOT(ISERROR(SEARCH("balance",$D352)))),"",$D352))),$L:$T,MATCH("balance",$L$2:$S$2,0),FALSE))</f>
        <v>#N/A</v>
      </c>
      <c r="H352" s="35" t="e">
        <f ca="1">IF(Summary_Exchange_Balances_00UTC!$B351="","",(G352-E352)/E352)</f>
        <v>#N/A</v>
      </c>
      <c r="I352" s="165">
        <f ca="1">IF(Summary_Exchange_Balances_00UTC!$B351="","",IF(ISERROR($G352),$E352,$G352))</f>
        <v>6.5778299999999998E-3</v>
      </c>
      <c r="K352" t="str">
        <f t="shared" ca="1" si="26"/>
        <v>OKEXETC</v>
      </c>
      <c r="L352" t="str">
        <f t="shared" ca="1" si="27"/>
        <v>OKEX-2-M-WETC</v>
      </c>
      <c r="N352" s="161" t="str">
        <f ca="1">IF(raw_exchange_data!$A351="","",OFFSET(raw_exchange_data!$A351,0,MATCH(N$2,raw_exchange_data!$1:$1,0)-1))</f>
        <v>ETC</v>
      </c>
      <c r="O352" s="161" t="str">
        <f ca="1">IF(raw_exchange_data!$A351="","",OFFSET(raw_exchange_data!$A351,0,MATCH(O$2,raw_exchange_data!$1:$1,0)-1))</f>
        <v>OKEX</v>
      </c>
      <c r="P352" s="161" t="str">
        <f ca="1">IF(raw_exchange_data!$A351="","",OFFSET(raw_exchange_data!$A351,0,MATCH(P$2,raw_exchange_data!$1:$1,0)-1))</f>
        <v>OKEX-2-M-W</v>
      </c>
      <c r="Q352" s="161" t="str">
        <f ca="1">IF(raw_exchange_data!$A351="","",TEXT(OFFSET(raw_exchange_data!$A351,0,MATCH(Q$2,raw_exchange_data!$1:$1,0)-1),""))</f>
        <v>Balance</v>
      </c>
      <c r="R352" s="162">
        <f ca="1">IF(raw_exchange_data!$A351="","",OFFSET(raw_exchange_data!$A351,0,MATCH(R$2,raw_exchange_data!$1:$1,0)-1))</f>
        <v>2.7714130000000002E-9</v>
      </c>
      <c r="S352" s="190">
        <f ca="1">IF(raw_exchange_data!$A351="","",OFFSET(raw_exchange_data!$A351,0,MATCH(S$2,raw_exchange_data!$1:$1,0)-1))</f>
        <v>44937.666671377316</v>
      </c>
      <c r="T352" s="161">
        <v>1</v>
      </c>
      <c r="W352" t="str">
        <f t="shared" si="28"/>
        <v>PITX</v>
      </c>
      <c r="X352" t="str">
        <f t="shared" si="29"/>
        <v>USD</v>
      </c>
      <c r="Y352" s="42">
        <f t="shared" si="30"/>
        <v>6.5778299999999998E-3</v>
      </c>
      <c r="Z352" s="42">
        <f t="shared" ca="1" si="31"/>
        <v>0</v>
      </c>
      <c r="AC352"/>
      <c r="AD352"/>
    </row>
    <row r="353" spans="1:30" x14ac:dyDescent="0.25">
      <c r="A353" t="str">
        <f>IF(Summary_Exchange_Balances_00UTC!$B352="","",Summary_Exchange_Balances_00UTC!$N352)</f>
        <v>PITX</v>
      </c>
      <c r="B353" t="str">
        <f>IF(Summary_Exchange_Balances_00UTC!$B352="","",Summary_Exchange_Balances_00UTC!$B352)</f>
        <v>PITX-E</v>
      </c>
      <c r="C353" t="str">
        <f>IF(Summary_Exchange_Balances_00UTC!$B352="","",Summary_Exchange_Balances_00UTC!$E352)</f>
        <v>USDT</v>
      </c>
      <c r="D353" t="str">
        <f>IF(OR(Summary_Exchange_Balances_00UTC!$B352="",Summary_Exchange_Balances_00UTC!$D352=""),"",Summary_Exchange_Balances_00UTC!$D352)</f>
        <v/>
      </c>
      <c r="E353" s="53">
        <f>IF(Summary_Exchange_Balances_00UTC!$B352="","",Summary_Exchange_Balances_00UTC!$C352)</f>
        <v>9.9996000000000004E-4</v>
      </c>
      <c r="G353" s="52" t="e">
        <f ca="1">IF(Summary_Exchange_Balances_00UTC!$B352="","",VLOOKUP(IF(ISERROR(SEARCH(" ", $B353)),UPPER($B353&amp;$C353&amp;IF(OR(NOT(ISERROR(SEARCH("trade",$D353))),NOT(ISERROR(SEARCH("balance",$D353)))),"",$D353)),UPPER(LEFT($B353, SEARCH(" ",$B353)-1)&amp;$C353&amp;IF(OR(NOT(ISERROR(SEARCH("trade",$D353))),NOT(ISERROR(SEARCH("balance",$D353)))),"",$D353))),$L:$T,MATCH("balance",$L$2:$S$2,0),FALSE))</f>
        <v>#N/A</v>
      </c>
      <c r="H353" s="35" t="e">
        <f ca="1">IF(Summary_Exchange_Balances_00UTC!$B352="","",(G353-E353)/E353)</f>
        <v>#N/A</v>
      </c>
      <c r="I353" s="165">
        <f ca="1">IF(Summary_Exchange_Balances_00UTC!$B352="","",IF(ISERROR($G353),$E353,$G353))</f>
        <v>9.9996000000000004E-4</v>
      </c>
      <c r="K353" t="str">
        <f t="shared" ca="1" si="26"/>
        <v>OKEXETHW</v>
      </c>
      <c r="L353" t="str">
        <f t="shared" ca="1" si="27"/>
        <v>OKEX-2-M-WETHW</v>
      </c>
      <c r="N353" s="161" t="str">
        <f ca="1">IF(raw_exchange_data!$A352="","",OFFSET(raw_exchange_data!$A352,0,MATCH(N$2,raw_exchange_data!$1:$1,0)-1))</f>
        <v>ETHW</v>
      </c>
      <c r="O353" s="161" t="str">
        <f ca="1">IF(raw_exchange_data!$A352="","",OFFSET(raw_exchange_data!$A352,0,MATCH(O$2,raw_exchange_data!$1:$1,0)-1))</f>
        <v>OKEX</v>
      </c>
      <c r="P353" s="161" t="str">
        <f ca="1">IF(raw_exchange_data!$A352="","",OFFSET(raw_exchange_data!$A352,0,MATCH(P$2,raw_exchange_data!$1:$1,0)-1))</f>
        <v>OKEX-2-M-W</v>
      </c>
      <c r="Q353" s="161" t="str">
        <f ca="1">IF(raw_exchange_data!$A352="","",TEXT(OFFSET(raw_exchange_data!$A352,0,MATCH(Q$2,raw_exchange_data!$1:$1,0)-1),""))</f>
        <v>Balance</v>
      </c>
      <c r="R353" s="162">
        <f ca="1">IF(raw_exchange_data!$A352="","",OFFSET(raw_exchange_data!$A352,0,MATCH(R$2,raw_exchange_data!$1:$1,0)-1))</f>
        <v>8.7934414489999996E-5</v>
      </c>
      <c r="S353" s="190">
        <f ca="1">IF(raw_exchange_data!$A352="","",OFFSET(raw_exchange_data!$A352,0,MATCH(S$2,raw_exchange_data!$1:$1,0)-1))</f>
        <v>44937.666671377316</v>
      </c>
      <c r="T353" s="161">
        <v>1</v>
      </c>
      <c r="W353" t="str">
        <f t="shared" si="28"/>
        <v>PITX</v>
      </c>
      <c r="X353" t="str">
        <f t="shared" si="29"/>
        <v>USDT</v>
      </c>
      <c r="Y353" s="42">
        <f t="shared" si="30"/>
        <v>9.9996000000000004E-4</v>
      </c>
      <c r="Z353" s="42">
        <f t="shared" ca="1" si="31"/>
        <v>0</v>
      </c>
      <c r="AC353"/>
      <c r="AD353"/>
    </row>
    <row r="354" spans="1:30" x14ac:dyDescent="0.25">
      <c r="A354" t="str">
        <f>IF(Summary_Exchange_Balances_00UTC!$B353="","",Summary_Exchange_Balances_00UTC!$N353)</f>
        <v>PITX</v>
      </c>
      <c r="B354" t="str">
        <f>IF(Summary_Exchange_Balances_00UTC!$B353="","",Summary_Exchange_Balances_00UTC!$B353)</f>
        <v>PITX-E</v>
      </c>
      <c r="C354" t="str">
        <f>IF(Summary_Exchange_Balances_00UTC!$B353="","",Summary_Exchange_Balances_00UTC!$E353)</f>
        <v>XLM</v>
      </c>
      <c r="D354" t="str">
        <f>IF(OR(Summary_Exchange_Balances_00UTC!$B353="",Summary_Exchange_Balances_00UTC!$D353=""),"",Summary_Exchange_Balances_00UTC!$D353)</f>
        <v/>
      </c>
      <c r="E354" s="52">
        <f>IF(Summary_Exchange_Balances_00UTC!$B353="","",Summary_Exchange_Balances_00UTC!$C353)</f>
        <v>9.9999999999999995E-8</v>
      </c>
      <c r="G354" s="52" t="e">
        <f ca="1">IF(Summary_Exchange_Balances_00UTC!$B353="","",VLOOKUP(IF(ISERROR(SEARCH(" ", $B354)),UPPER($B354&amp;$C354&amp;IF(OR(NOT(ISERROR(SEARCH("trade",$D354))),NOT(ISERROR(SEARCH("balance",$D354)))),"",$D354)),UPPER(LEFT($B354, SEARCH(" ",$B354)-1)&amp;$C354&amp;IF(OR(NOT(ISERROR(SEARCH("trade",$D354))),NOT(ISERROR(SEARCH("balance",$D354)))),"",$D354))),$L:$T,MATCH("balance",$L$2:$S$2,0),FALSE))</f>
        <v>#N/A</v>
      </c>
      <c r="H354" s="35" t="e">
        <f ca="1">IF(Summary_Exchange_Balances_00UTC!$B353="","",(G354-E354)/E354)</f>
        <v>#N/A</v>
      </c>
      <c r="I354" s="165">
        <f ca="1">IF(Summary_Exchange_Balances_00UTC!$B353="","",IF(ISERROR($G354),$E354,$G354))</f>
        <v>9.9999999999999995E-8</v>
      </c>
      <c r="K354" t="str">
        <f t="shared" ca="1" si="26"/>
        <v>OKEXLTC</v>
      </c>
      <c r="L354" t="str">
        <f t="shared" ca="1" si="27"/>
        <v>OKEX-2-M-WLTC</v>
      </c>
      <c r="N354" s="161" t="str">
        <f ca="1">IF(raw_exchange_data!$A353="","",OFFSET(raw_exchange_data!$A353,0,MATCH(N$2,raw_exchange_data!$1:$1,0)-1))</f>
        <v>LTC</v>
      </c>
      <c r="O354" s="161" t="str">
        <f ca="1">IF(raw_exchange_data!$A353="","",OFFSET(raw_exchange_data!$A353,0,MATCH(O$2,raw_exchange_data!$1:$1,0)-1))</f>
        <v>OKEX</v>
      </c>
      <c r="P354" s="161" t="str">
        <f ca="1">IF(raw_exchange_data!$A353="","",OFFSET(raw_exchange_data!$A353,0,MATCH(P$2,raw_exchange_data!$1:$1,0)-1))</f>
        <v>OKEX-2-M-W</v>
      </c>
      <c r="Q354" s="161" t="str">
        <f ca="1">IF(raw_exchange_data!$A353="","",TEXT(OFFSET(raw_exchange_data!$A353,0,MATCH(Q$2,raw_exchange_data!$1:$1,0)-1),""))</f>
        <v>Balance</v>
      </c>
      <c r="R354" s="162">
        <f ca="1">IF(raw_exchange_data!$A353="","",OFFSET(raw_exchange_data!$A353,0,MATCH(R$2,raw_exchange_data!$1:$1,0)-1))</f>
        <v>6.8821467999999997E-9</v>
      </c>
      <c r="S354" s="190">
        <f ca="1">IF(raw_exchange_data!$A353="","",OFFSET(raw_exchange_data!$A353,0,MATCH(S$2,raw_exchange_data!$1:$1,0)-1))</f>
        <v>44937.666671377316</v>
      </c>
      <c r="T354" s="161">
        <v>1</v>
      </c>
      <c r="W354" t="str">
        <f t="shared" si="28"/>
        <v>PITX</v>
      </c>
      <c r="X354" t="str">
        <f t="shared" si="29"/>
        <v>XLM</v>
      </c>
      <c r="Y354" s="42">
        <f t="shared" si="30"/>
        <v>9.9999999999999995E-8</v>
      </c>
      <c r="Z354" s="42">
        <f t="shared" ca="1" si="31"/>
        <v>0</v>
      </c>
      <c r="AC354"/>
      <c r="AD354"/>
    </row>
    <row r="355" spans="1:30" x14ac:dyDescent="0.25">
      <c r="A355" t="str">
        <f>IF(Summary_Exchange_Balances_00UTC!$B354="","",Summary_Exchange_Balances_00UTC!$N354)</f>
        <v>SHFT WALLET</v>
      </c>
      <c r="B355" t="str">
        <f>IF(Summary_Exchange_Balances_00UTC!$B354="","",Summary_Exchange_Balances_00UTC!$B354)</f>
        <v>SHFT-1-W</v>
      </c>
      <c r="C355" t="str">
        <f>IF(Summary_Exchange_Balances_00UTC!$B354="","",Summary_Exchange_Balances_00UTC!$E354)</f>
        <v>SHFT</v>
      </c>
      <c r="D355" t="str">
        <f>IF(OR(Summary_Exchange_Balances_00UTC!$B354="",Summary_Exchange_Balances_00UTC!$D354=""),"",Summary_Exchange_Balances_00UTC!$D354)</f>
        <v/>
      </c>
      <c r="E355" s="52">
        <f>IF(Summary_Exchange_Balances_00UTC!$B354="","",Summary_Exchange_Balances_00UTC!$C354)</f>
        <v>3449324.2188823698</v>
      </c>
      <c r="G355" s="52" t="e">
        <f ca="1">IF(Summary_Exchange_Balances_00UTC!$B354="","",VLOOKUP(IF(ISERROR(SEARCH(" ", $B355)),UPPER($B355&amp;$C355&amp;IF(OR(NOT(ISERROR(SEARCH("trade",$D355))),NOT(ISERROR(SEARCH("balance",$D355)))),"",$D355)),UPPER(LEFT($B355, SEARCH(" ",$B355)-1)&amp;$C355&amp;IF(OR(NOT(ISERROR(SEARCH("trade",$D355))),NOT(ISERROR(SEARCH("balance",$D355)))),"",$D355))),$L:$T,MATCH("balance",$L$2:$S$2,0),FALSE))</f>
        <v>#N/A</v>
      </c>
      <c r="H355" s="35" t="e">
        <f ca="1">IF(Summary_Exchange_Balances_00UTC!$B354="","",(G355-E355)/E355)</f>
        <v>#N/A</v>
      </c>
      <c r="I355" s="165">
        <f ca="1">IF(Summary_Exchange_Balances_00UTC!$B354="","",IF(ISERROR($G355),$E355,$G355))</f>
        <v>3449324.2188823698</v>
      </c>
      <c r="K355" t="str">
        <f t="shared" ca="1" si="26"/>
        <v>OKEXSHIB</v>
      </c>
      <c r="L355" t="str">
        <f t="shared" ca="1" si="27"/>
        <v>OKEX-2-M-WSHIB</v>
      </c>
      <c r="N355" s="161" t="str">
        <f ca="1">IF(raw_exchange_data!$A354="","",OFFSET(raw_exchange_data!$A354,0,MATCH(N$2,raw_exchange_data!$1:$1,0)-1))</f>
        <v>SHIB</v>
      </c>
      <c r="O355" s="161" t="str">
        <f ca="1">IF(raw_exchange_data!$A354="","",OFFSET(raw_exchange_data!$A354,0,MATCH(O$2,raw_exchange_data!$1:$1,0)-1))</f>
        <v>OKEX</v>
      </c>
      <c r="P355" s="161" t="str">
        <f ca="1">IF(raw_exchange_data!$A354="","",OFFSET(raw_exchange_data!$A354,0,MATCH(P$2,raw_exchange_data!$1:$1,0)-1))</f>
        <v>OKEX-2-M-W</v>
      </c>
      <c r="Q355" s="161" t="str">
        <f ca="1">IF(raw_exchange_data!$A354="","",TEXT(OFFSET(raw_exchange_data!$A354,0,MATCH(Q$2,raw_exchange_data!$1:$1,0)-1),""))</f>
        <v>Balance</v>
      </c>
      <c r="R355" s="162">
        <f ca="1">IF(raw_exchange_data!$A354="","",OFFSET(raw_exchange_data!$A354,0,MATCH(R$2,raw_exchange_data!$1:$1,0)-1))</f>
        <v>8.1456625171150003E-4</v>
      </c>
      <c r="S355" s="190">
        <f ca="1">IF(raw_exchange_data!$A354="","",OFFSET(raw_exchange_data!$A354,0,MATCH(S$2,raw_exchange_data!$1:$1,0)-1))</f>
        <v>44937.666671377316</v>
      </c>
      <c r="T355" s="161">
        <v>1</v>
      </c>
      <c r="W355" t="str">
        <f t="shared" si="28"/>
        <v>SHFT WALLET</v>
      </c>
      <c r="X355" t="str">
        <f t="shared" si="29"/>
        <v>SHFT</v>
      </c>
      <c r="Y355" s="42">
        <f t="shared" si="30"/>
        <v>3449324.2188823698</v>
      </c>
      <c r="Z355" s="42">
        <f t="shared" ca="1" si="31"/>
        <v>0</v>
      </c>
      <c r="AC355"/>
      <c r="AD355"/>
    </row>
    <row r="356" spans="1:30" x14ac:dyDescent="0.25">
      <c r="A356" t="str">
        <f>IF(Summary_Exchange_Balances_00UTC!$B355="","",Summary_Exchange_Balances_00UTC!$N355)</f>
        <v>WOOX</v>
      </c>
      <c r="B356" t="str">
        <f>IF(Summary_Exchange_Balances_00UTC!$B355="","",Summary_Exchange_Balances_00UTC!$B355)</f>
        <v>WOOX-1-M-E</v>
      </c>
      <c r="C356" t="str">
        <f>IF(Summary_Exchange_Balances_00UTC!$B355="","",Summary_Exchange_Balances_00UTC!$E355)</f>
        <v>BTC</v>
      </c>
      <c r="D356" t="str">
        <f>IF(OR(Summary_Exchange_Balances_00UTC!$B355="",Summary_Exchange_Balances_00UTC!$D355=""),"",Summary_Exchange_Balances_00UTC!$D355)</f>
        <v/>
      </c>
      <c r="E356" s="52">
        <f>IF(Summary_Exchange_Balances_00UTC!$B355="","",Summary_Exchange_Balances_00UTC!$C355)</f>
        <v>130.56228007999999</v>
      </c>
      <c r="G356" s="52">
        <f ca="1">IF(Summary_Exchange_Balances_00UTC!$B355="","",VLOOKUP(IF(ISERROR(SEARCH(" ", $B356)),UPPER($B356&amp;$C356&amp;IF(OR(NOT(ISERROR(SEARCH("trade",$D356))),NOT(ISERROR(SEARCH("balance",$D356)))),"",$D356)),UPPER(LEFT($B356, SEARCH(" ",$B356)-1)&amp;$C356&amp;IF(OR(NOT(ISERROR(SEARCH("trade",$D356))),NOT(ISERROR(SEARCH("balance",$D356)))),"",$D356))),$L:$T,MATCH("balance",$L$2:$S$2,0),FALSE))</f>
        <v>80.760352080000004</v>
      </c>
      <c r="H356" s="35">
        <f ca="1">IF(Summary_Exchange_Balances_00UTC!$B355="","",(G356-E356)/E356)</f>
        <v>-0.3814419292423864</v>
      </c>
      <c r="I356" s="165">
        <f ca="1">IF(Summary_Exchange_Balances_00UTC!$B355="","",IF(ISERROR($G356),$E356,$G356))</f>
        <v>80.760352080000004</v>
      </c>
      <c r="K356" t="str">
        <f t="shared" ca="1" si="26"/>
        <v>OKEXUSDC</v>
      </c>
      <c r="L356" t="str">
        <f t="shared" ca="1" si="27"/>
        <v>OKEX-2-M-WUSDC</v>
      </c>
      <c r="N356" s="161" t="str">
        <f ca="1">IF(raw_exchange_data!$A355="","",OFFSET(raw_exchange_data!$A355,0,MATCH(N$2,raw_exchange_data!$1:$1,0)-1))</f>
        <v>USDC</v>
      </c>
      <c r="O356" s="161" t="str">
        <f ca="1">IF(raw_exchange_data!$A355="","",OFFSET(raw_exchange_data!$A355,0,MATCH(O$2,raw_exchange_data!$1:$1,0)-1))</f>
        <v>OKEX</v>
      </c>
      <c r="P356" s="161" t="str">
        <f ca="1">IF(raw_exchange_data!$A355="","",OFFSET(raw_exchange_data!$A355,0,MATCH(P$2,raw_exchange_data!$1:$1,0)-1))</f>
        <v>OKEX-2-M-W</v>
      </c>
      <c r="Q356" s="161" t="str">
        <f ca="1">IF(raw_exchange_data!$A355="","",TEXT(OFFSET(raw_exchange_data!$A355,0,MATCH(Q$2,raw_exchange_data!$1:$1,0)-1),""))</f>
        <v>Balance</v>
      </c>
      <c r="R356" s="162">
        <f ca="1">IF(raw_exchange_data!$A355="","",OFFSET(raw_exchange_data!$A355,0,MATCH(R$2,raw_exchange_data!$1:$1,0)-1))</f>
        <v>5.1611396659999999E-7</v>
      </c>
      <c r="S356" s="190">
        <f ca="1">IF(raw_exchange_data!$A355="","",OFFSET(raw_exchange_data!$A355,0,MATCH(S$2,raw_exchange_data!$1:$1,0)-1))</f>
        <v>44937.666671377316</v>
      </c>
      <c r="T356" s="161">
        <v>1</v>
      </c>
      <c r="W356" t="str">
        <f t="shared" si="28"/>
        <v>WOOX</v>
      </c>
      <c r="X356" t="str">
        <f t="shared" si="29"/>
        <v>BTC</v>
      </c>
      <c r="Y356" s="42">
        <f t="shared" si="30"/>
        <v>130.56228007999999</v>
      </c>
      <c r="Z356" s="42">
        <f t="shared" ca="1" si="31"/>
        <v>80.760352080000004</v>
      </c>
      <c r="AC356"/>
      <c r="AD356"/>
    </row>
    <row r="357" spans="1:30" x14ac:dyDescent="0.25">
      <c r="A357" t="str">
        <f>IF(Summary_Exchange_Balances_00UTC!$B356="","",Summary_Exchange_Balances_00UTC!$N356)</f>
        <v>WOOX</v>
      </c>
      <c r="B357" t="str">
        <f>IF(Summary_Exchange_Balances_00UTC!$B356="","",Summary_Exchange_Balances_00UTC!$B356)</f>
        <v>WOOX-1-M-E</v>
      </c>
      <c r="C357" t="str">
        <f>IF(Summary_Exchange_Balances_00UTC!$B356="","",Summary_Exchange_Balances_00UTC!$E356)</f>
        <v>ETH</v>
      </c>
      <c r="D357" t="str">
        <f>IF(OR(Summary_Exchange_Balances_00UTC!$B356="",Summary_Exchange_Balances_00UTC!$D356=""),"",Summary_Exchange_Balances_00UTC!$D356)</f>
        <v/>
      </c>
      <c r="E357" s="52">
        <f>IF(Summary_Exchange_Balances_00UTC!$B356="","",Summary_Exchange_Balances_00UTC!$C356)</f>
        <v>2169.3453886699999</v>
      </c>
      <c r="G357" s="52">
        <f ca="1">IF(Summary_Exchange_Balances_00UTC!$B356="","",VLOOKUP(IF(ISERROR(SEARCH(" ", $B357)),UPPER($B357&amp;$C357&amp;IF(OR(NOT(ISERROR(SEARCH("trade",$D357))),NOT(ISERROR(SEARCH("balance",$D357)))),"",$D357)),UPPER(LEFT($B357, SEARCH(" ",$B357)-1)&amp;$C357&amp;IF(OR(NOT(ISERROR(SEARCH("trade",$D357))),NOT(ISERROR(SEARCH("balance",$D357)))),"",$D357))),$L:$T,MATCH("balance",$L$2:$S$2,0),FALSE))</f>
        <v>585.43178266999996</v>
      </c>
      <c r="H357" s="35">
        <f ca="1">IF(Summary_Exchange_Balances_00UTC!$B356="","",(G357-E357)/E357)</f>
        <v>-0.73013435955031525</v>
      </c>
      <c r="I357" s="165">
        <f ca="1">IF(Summary_Exchange_Balances_00UTC!$B356="","",IF(ISERROR($G357),$E357,$G357))</f>
        <v>585.43178266999996</v>
      </c>
      <c r="K357" t="str">
        <f t="shared" ca="1" si="26"/>
        <v>OKEXXEC</v>
      </c>
      <c r="L357" t="str">
        <f t="shared" ca="1" si="27"/>
        <v>OKEX-2-M-WXEC</v>
      </c>
      <c r="N357" s="161" t="str">
        <f ca="1">IF(raw_exchange_data!$A356="","",OFFSET(raw_exchange_data!$A356,0,MATCH(N$2,raw_exchange_data!$1:$1,0)-1))</f>
        <v>XEC</v>
      </c>
      <c r="O357" s="161" t="str">
        <f ca="1">IF(raw_exchange_data!$A356="","",OFFSET(raw_exchange_data!$A356,0,MATCH(O$2,raw_exchange_data!$1:$1,0)-1))</f>
        <v>OKEX</v>
      </c>
      <c r="P357" s="161" t="str">
        <f ca="1">IF(raw_exchange_data!$A356="","",OFFSET(raw_exchange_data!$A356,0,MATCH(P$2,raw_exchange_data!$1:$1,0)-1))</f>
        <v>OKEX-2-M-W</v>
      </c>
      <c r="Q357" s="161" t="str">
        <f ca="1">IF(raw_exchange_data!$A356="","",TEXT(OFFSET(raw_exchange_data!$A356,0,MATCH(Q$2,raw_exchange_data!$1:$1,0)-1),""))</f>
        <v>Balance</v>
      </c>
      <c r="R357" s="162">
        <f ca="1">IF(raw_exchange_data!$A356="","",OFFSET(raw_exchange_data!$A356,0,MATCH(R$2,raw_exchange_data!$1:$1,0)-1))</f>
        <v>5.47</v>
      </c>
      <c r="S357" s="190">
        <f ca="1">IF(raw_exchange_data!$A356="","",OFFSET(raw_exchange_data!$A356,0,MATCH(S$2,raw_exchange_data!$1:$1,0)-1))</f>
        <v>44937.666671377316</v>
      </c>
      <c r="T357" s="161">
        <v>1</v>
      </c>
      <c r="W357" t="str">
        <f t="shared" si="28"/>
        <v>WOOX</v>
      </c>
      <c r="X357" t="str">
        <f t="shared" si="29"/>
        <v>ETH</v>
      </c>
      <c r="Y357" s="42">
        <f t="shared" si="30"/>
        <v>2169.3453886699999</v>
      </c>
      <c r="Z357" s="42">
        <f t="shared" ca="1" si="31"/>
        <v>585.43178266999996</v>
      </c>
      <c r="AC357"/>
      <c r="AD357"/>
    </row>
    <row r="358" spans="1:30" x14ac:dyDescent="0.25">
      <c r="A358" t="str">
        <f>IF(Summary_Exchange_Balances_00UTC!$B357="","",Summary_Exchange_Balances_00UTC!$N357)</f>
        <v>WOOX</v>
      </c>
      <c r="B358" t="str">
        <f>IF(Summary_Exchange_Balances_00UTC!$B357="","",Summary_Exchange_Balances_00UTC!$B357)</f>
        <v>WOOX-1-M-E</v>
      </c>
      <c r="C358" t="str">
        <f>IF(Summary_Exchange_Balances_00UTC!$B357="","",Summary_Exchange_Balances_00UTC!$E357)</f>
        <v>WOO</v>
      </c>
      <c r="D358" t="str">
        <f>IF(OR(Summary_Exchange_Balances_00UTC!$B357="",Summary_Exchange_Balances_00UTC!$D357=""),"",Summary_Exchange_Balances_00UTC!$D357)</f>
        <v/>
      </c>
      <c r="E358" s="52">
        <f>IF(Summary_Exchange_Balances_00UTC!$B357="","",Summary_Exchange_Balances_00UTC!$C357)</f>
        <v>1644286.05309931</v>
      </c>
      <c r="G358" s="52">
        <f ca="1">IF(Summary_Exchange_Balances_00UTC!$B357="","",VLOOKUP(IF(ISERROR(SEARCH(" ", $B358)),UPPER($B358&amp;$C358&amp;IF(OR(NOT(ISERROR(SEARCH("trade",$D358))),NOT(ISERROR(SEARCH("balance",$D358)))),"",$D358)),UPPER(LEFT($B358, SEARCH(" ",$B358)-1)&amp;$C358&amp;IF(OR(NOT(ISERROR(SEARCH("trade",$D358))),NOT(ISERROR(SEARCH("balance",$D358)))),"",$D358))),$L:$T,MATCH("balance",$L$2:$S$2,0),FALSE))</f>
        <v>1644286.05309931</v>
      </c>
      <c r="H358" s="35">
        <f ca="1">IF(Summary_Exchange_Balances_00UTC!$B357="","",(G358-E358)/E358)</f>
        <v>0</v>
      </c>
      <c r="I358" s="165">
        <f ca="1">IF(Summary_Exchange_Balances_00UTC!$B357="","",IF(ISERROR($G358),$E358,$G358))</f>
        <v>1644286.05309931</v>
      </c>
      <c r="K358" t="str">
        <f t="shared" ca="1" si="26"/>
        <v>OKEXXRP</v>
      </c>
      <c r="L358" t="str">
        <f t="shared" ca="1" si="27"/>
        <v>OKEX-2-M-WXRP</v>
      </c>
      <c r="N358" s="161" t="str">
        <f ca="1">IF(raw_exchange_data!$A357="","",OFFSET(raw_exchange_data!$A357,0,MATCH(N$2,raw_exchange_data!$1:$1,0)-1))</f>
        <v>XRP</v>
      </c>
      <c r="O358" s="161" t="str">
        <f ca="1">IF(raw_exchange_data!$A357="","",OFFSET(raw_exchange_data!$A357,0,MATCH(O$2,raw_exchange_data!$1:$1,0)-1))</f>
        <v>OKEX</v>
      </c>
      <c r="P358" s="161" t="str">
        <f ca="1">IF(raw_exchange_data!$A357="","",OFFSET(raw_exchange_data!$A357,0,MATCH(P$2,raw_exchange_data!$1:$1,0)-1))</f>
        <v>OKEX-2-M-W</v>
      </c>
      <c r="Q358" s="161" t="str">
        <f ca="1">IF(raw_exchange_data!$A357="","",TEXT(OFFSET(raw_exchange_data!$A357,0,MATCH(Q$2,raw_exchange_data!$1:$1,0)-1),""))</f>
        <v>Balance</v>
      </c>
      <c r="R358" s="162">
        <f ca="1">IF(raw_exchange_data!$A357="","",OFFSET(raw_exchange_data!$A357,0,MATCH(R$2,raw_exchange_data!$1:$1,0)-1))</f>
        <v>4.4140430209999998E-7</v>
      </c>
      <c r="S358" s="190">
        <f ca="1">IF(raw_exchange_data!$A357="","",OFFSET(raw_exchange_data!$A357,0,MATCH(S$2,raw_exchange_data!$1:$1,0)-1))</f>
        <v>44937.666671377316</v>
      </c>
      <c r="T358" s="161">
        <v>1</v>
      </c>
      <c r="W358" t="str">
        <f t="shared" si="28"/>
        <v>WOOX</v>
      </c>
      <c r="X358" t="str">
        <f t="shared" si="29"/>
        <v>WOO</v>
      </c>
      <c r="Y358" s="42">
        <f t="shared" si="30"/>
        <v>1644286.05309931</v>
      </c>
      <c r="Z358" s="42">
        <f t="shared" ca="1" si="31"/>
        <v>1644286.05309931</v>
      </c>
      <c r="AC358"/>
      <c r="AD358"/>
    </row>
    <row r="359" spans="1:30" x14ac:dyDescent="0.25">
      <c r="A359" t="str">
        <f>IF(Summary_Exchange_Balances_00UTC!$B358="","",Summary_Exchange_Balances_00UTC!$N358)</f>
        <v>FBLK</v>
      </c>
      <c r="B359" t="str">
        <f>IF(Summary_Exchange_Balances_00UTC!$B358="","",Summary_Exchange_Balances_00UTC!$B358)</f>
        <v>FBLK</v>
      </c>
      <c r="C359" t="str">
        <f>IF(Summary_Exchange_Balances_00UTC!$B358="","",Summary_Exchange_Balances_00UTC!$E358)</f>
        <v>AAVE</v>
      </c>
      <c r="D359" t="str">
        <f>IF(OR(Summary_Exchange_Balances_00UTC!$B358="",Summary_Exchange_Balances_00UTC!$D358=""),"",Summary_Exchange_Balances_00UTC!$D358)</f>
        <v/>
      </c>
      <c r="E359" s="52">
        <f>IF(Summary_Exchange_Balances_00UTC!$B358="","",Summary_Exchange_Balances_00UTC!$C358)</f>
        <v>1.34894162</v>
      </c>
      <c r="G359" s="52">
        <f ca="1">IF(Summary_Exchange_Balances_00UTC!$B358="","",VLOOKUP(IF(ISERROR(SEARCH(" ", $B359)),UPPER($B359&amp;$C359&amp;IF(OR(NOT(ISERROR(SEARCH("trade",$D359))),NOT(ISERROR(SEARCH("balance",$D359)))),"",$D359)),UPPER(LEFT($B359, SEARCH(" ",$B359)-1)&amp;$C359&amp;IF(OR(NOT(ISERROR(SEARCH("trade",$D359))),NOT(ISERROR(SEARCH("balance",$D359)))),"",$D359))),$L:$T,MATCH("balance",$L$2:$S$2,0),FALSE))</f>
        <v>150.08189084680001</v>
      </c>
      <c r="H359" s="35">
        <f ca="1">IF(Summary_Exchange_Balances_00UTC!$B358="","",(G359-E359)/E359)</f>
        <v>110.25899640252779</v>
      </c>
      <c r="I359" s="165">
        <f ca="1">IF(Summary_Exchange_Balances_00UTC!$B358="","",IF(ISERROR($G359),$E359,$G359))</f>
        <v>150.08189084680001</v>
      </c>
      <c r="K359" t="str">
        <f t="shared" ca="1" si="26"/>
        <v>OKEXBTC</v>
      </c>
      <c r="L359" t="str">
        <f t="shared" ca="1" si="27"/>
        <v>OKEX-2-S1BTC</v>
      </c>
      <c r="N359" s="161" t="str">
        <f ca="1">IF(raw_exchange_data!$A358="","",OFFSET(raw_exchange_data!$A358,0,MATCH(N$2,raw_exchange_data!$1:$1,0)-1))</f>
        <v>BTC</v>
      </c>
      <c r="O359" s="161" t="str">
        <f ca="1">IF(raw_exchange_data!$A358="","",OFFSET(raw_exchange_data!$A358,0,MATCH(O$2,raw_exchange_data!$1:$1,0)-1))</f>
        <v>OKEX</v>
      </c>
      <c r="P359" s="161" t="str">
        <f ca="1">IF(raw_exchange_data!$A358="","",OFFSET(raw_exchange_data!$A358,0,MATCH(P$2,raw_exchange_data!$1:$1,0)-1))</f>
        <v>OKEX-2-S1</v>
      </c>
      <c r="Q359" s="161" t="str">
        <f ca="1">IF(raw_exchange_data!$A358="","",TEXT(OFFSET(raw_exchange_data!$A358,0,MATCH(Q$2,raw_exchange_data!$1:$1,0)-1),""))</f>
        <v/>
      </c>
      <c r="R359" s="162">
        <f ca="1">IF(raw_exchange_data!$A358="","",OFFSET(raw_exchange_data!$A358,0,MATCH(R$2,raw_exchange_data!$1:$1,0)-1))</f>
        <v>2.647276654E-7</v>
      </c>
      <c r="S359" s="190">
        <f ca="1">IF(raw_exchange_data!$A358="","",OFFSET(raw_exchange_data!$A358,0,MATCH(S$2,raw_exchange_data!$1:$1,0)-1))</f>
        <v>44937.668673148146</v>
      </c>
      <c r="T359" s="161">
        <v>1</v>
      </c>
      <c r="W359" t="str">
        <f t="shared" si="28"/>
        <v>FBLK</v>
      </c>
      <c r="X359" t="str">
        <f t="shared" si="29"/>
        <v>AAVE</v>
      </c>
      <c r="Y359" s="42">
        <f t="shared" si="30"/>
        <v>1.34894162</v>
      </c>
      <c r="Z359" s="42">
        <f t="shared" ca="1" si="31"/>
        <v>150.08189084680001</v>
      </c>
      <c r="AC359"/>
      <c r="AD359"/>
    </row>
    <row r="360" spans="1:30" x14ac:dyDescent="0.25">
      <c r="A360" t="str">
        <f>IF(Summary_Exchange_Balances_00UTC!$B359="","",Summary_Exchange_Balances_00UTC!$N359)</f>
        <v>FBLK</v>
      </c>
      <c r="B360" t="str">
        <f>IF(Summary_Exchange_Balances_00UTC!$B359="","",Summary_Exchange_Balances_00UTC!$B359)</f>
        <v>FBLK</v>
      </c>
      <c r="C360" t="str">
        <f>IF(Summary_Exchange_Balances_00UTC!$B359="","",Summary_Exchange_Balances_00UTC!$E359)</f>
        <v>ADA</v>
      </c>
      <c r="D360" t="str">
        <f>IF(OR(Summary_Exchange_Balances_00UTC!$B359="",Summary_Exchange_Balances_00UTC!$D359=""),"",Summary_Exchange_Balances_00UTC!$D359)</f>
        <v/>
      </c>
      <c r="E360" s="53">
        <f>IF(Summary_Exchange_Balances_00UTC!$B359="","",Summary_Exchange_Balances_00UTC!$C359)</f>
        <v>559</v>
      </c>
      <c r="G360" s="52">
        <f ca="1">IF(Summary_Exchange_Balances_00UTC!$B359="","",VLOOKUP(IF(ISERROR(SEARCH(" ", $B360)),UPPER($B360&amp;$C360&amp;IF(OR(NOT(ISERROR(SEARCH("trade",$D360))),NOT(ISERROR(SEARCH("balance",$D360)))),"",$D360)),UPPER(LEFT($B360, SEARCH(" ",$B360)-1)&amp;$C360&amp;IF(OR(NOT(ISERROR(SEARCH("trade",$D360))),NOT(ISERROR(SEARCH("balance",$D360)))),"",$D360))),$L:$T,MATCH("balance",$L$2:$S$2,0),FALSE))</f>
        <v>22641.773882000001</v>
      </c>
      <c r="H360" s="35">
        <f ca="1">IF(Summary_Exchange_Balances_00UTC!$B359="","",(G360-E360)/E360)</f>
        <v>39.50406776744186</v>
      </c>
      <c r="I360" s="165">
        <f ca="1">IF(Summary_Exchange_Balances_00UTC!$B359="","",IF(ISERROR($G360),$E360,$G360))</f>
        <v>22641.773882000001</v>
      </c>
      <c r="K360" t="str">
        <f t="shared" ca="1" si="26"/>
        <v>OKEXETH</v>
      </c>
      <c r="L360" t="str">
        <f t="shared" ca="1" si="27"/>
        <v>OKEX-2-S1ETH</v>
      </c>
      <c r="N360" s="161" t="str">
        <f ca="1">IF(raw_exchange_data!$A359="","",OFFSET(raw_exchange_data!$A359,0,MATCH(N$2,raw_exchange_data!$1:$1,0)-1))</f>
        <v>ETH</v>
      </c>
      <c r="O360" s="161" t="str">
        <f ca="1">IF(raw_exchange_data!$A359="","",OFFSET(raw_exchange_data!$A359,0,MATCH(O$2,raw_exchange_data!$1:$1,0)-1))</f>
        <v>OKEX</v>
      </c>
      <c r="P360" s="161" t="str">
        <f ca="1">IF(raw_exchange_data!$A359="","",OFFSET(raw_exchange_data!$A359,0,MATCH(P$2,raw_exchange_data!$1:$1,0)-1))</f>
        <v>OKEX-2-S1</v>
      </c>
      <c r="Q360" s="161" t="str">
        <f ca="1">IF(raw_exchange_data!$A359="","",TEXT(OFFSET(raw_exchange_data!$A359,0,MATCH(Q$2,raw_exchange_data!$1:$1,0)-1),""))</f>
        <v/>
      </c>
      <c r="R360" s="162">
        <f ca="1">IF(raw_exchange_data!$A359="","",OFFSET(raw_exchange_data!$A359,0,MATCH(R$2,raw_exchange_data!$1:$1,0)-1))</f>
        <v>6.7475689886000002E-6</v>
      </c>
      <c r="S360" s="190">
        <f ca="1">IF(raw_exchange_data!$A359="","",OFFSET(raw_exchange_data!$A359,0,MATCH(S$2,raw_exchange_data!$1:$1,0)-1))</f>
        <v>44937.668673148146</v>
      </c>
      <c r="T360" s="161">
        <v>1</v>
      </c>
      <c r="W360" t="str">
        <f t="shared" si="28"/>
        <v>FBLK</v>
      </c>
      <c r="X360" t="str">
        <f t="shared" si="29"/>
        <v>ADA</v>
      </c>
      <c r="Y360" s="42">
        <f t="shared" si="30"/>
        <v>559</v>
      </c>
      <c r="Z360" s="42">
        <f t="shared" ca="1" si="31"/>
        <v>22641.773882000001</v>
      </c>
      <c r="AC360"/>
      <c r="AD360"/>
    </row>
    <row r="361" spans="1:30" x14ac:dyDescent="0.25">
      <c r="A361" t="str">
        <f>IF(Summary_Exchange_Balances_00UTC!$B360="","",Summary_Exchange_Balances_00UTC!$N360)</f>
        <v>FBLK</v>
      </c>
      <c r="B361" t="str">
        <f>IF(Summary_Exchange_Balances_00UTC!$B360="","",Summary_Exchange_Balances_00UTC!$B360)</f>
        <v>FBLK</v>
      </c>
      <c r="C361" t="str">
        <f>IF(Summary_Exchange_Balances_00UTC!$B360="","",Summary_Exchange_Balances_00UTC!$E360)</f>
        <v>ALGO</v>
      </c>
      <c r="D361" t="str">
        <f>IF(OR(Summary_Exchange_Balances_00UTC!$B360="",Summary_Exchange_Balances_00UTC!$D360=""),"",Summary_Exchange_Balances_00UTC!$D360)</f>
        <v/>
      </c>
      <c r="E361" s="53">
        <f>IF(Summary_Exchange_Balances_00UTC!$B360="","",Summary_Exchange_Balances_00UTC!$C360)</f>
        <v>116.66666600000001</v>
      </c>
      <c r="G361" s="52">
        <f ca="1">IF(Summary_Exchange_Balances_00UTC!$B360="","",VLOOKUP(IF(ISERROR(SEARCH(" ", $B361)),UPPER($B361&amp;$C361&amp;IF(OR(NOT(ISERROR(SEARCH("trade",$D361))),NOT(ISERROR(SEARCH("balance",$D361)))),"",$D361)),UPPER(LEFT($B361, SEARCH(" ",$B361)-1)&amp;$C361&amp;IF(OR(NOT(ISERROR(SEARCH("trade",$D361))),NOT(ISERROR(SEARCH("balance",$D361)))),"",$D361))),$L:$T,MATCH("balance",$L$2:$S$2,0),FALSE))</f>
        <v>12552.259884999999</v>
      </c>
      <c r="H361" s="35">
        <f ca="1">IF(Summary_Exchange_Balances_00UTC!$B360="","",(G361-E361)/E361)</f>
        <v>106.59079962909028</v>
      </c>
      <c r="I361" s="165">
        <f ca="1">IF(Summary_Exchange_Balances_00UTC!$B360="","",IF(ISERROR($G361),$E361,$G361))</f>
        <v>12552.259884999999</v>
      </c>
      <c r="K361" t="str">
        <f t="shared" ca="1" si="26"/>
        <v>OKEXXRP</v>
      </c>
      <c r="L361" t="str">
        <f t="shared" ca="1" si="27"/>
        <v>OKEX-2-S1XRP</v>
      </c>
      <c r="N361" s="161" t="str">
        <f ca="1">IF(raw_exchange_data!$A360="","",OFFSET(raw_exchange_data!$A360,0,MATCH(N$2,raw_exchange_data!$1:$1,0)-1))</f>
        <v>XRP</v>
      </c>
      <c r="O361" s="161" t="str">
        <f ca="1">IF(raw_exchange_data!$A360="","",OFFSET(raw_exchange_data!$A360,0,MATCH(O$2,raw_exchange_data!$1:$1,0)-1))</f>
        <v>OKEX</v>
      </c>
      <c r="P361" s="161" t="str">
        <f ca="1">IF(raw_exchange_data!$A360="","",OFFSET(raw_exchange_data!$A360,0,MATCH(P$2,raw_exchange_data!$1:$1,0)-1))</f>
        <v>OKEX-2-S1</v>
      </c>
      <c r="Q361" s="161" t="str">
        <f ca="1">IF(raw_exchange_data!$A360="","",TEXT(OFFSET(raw_exchange_data!$A360,0,MATCH(Q$2,raw_exchange_data!$1:$1,0)-1),""))</f>
        <v/>
      </c>
      <c r="R361" s="162">
        <f ca="1">IF(raw_exchange_data!$A360="","",OFFSET(raw_exchange_data!$A360,0,MATCH(R$2,raw_exchange_data!$1:$1,0)-1))</f>
        <v>0.44933626032875501</v>
      </c>
      <c r="S361" s="190">
        <f ca="1">IF(raw_exchange_data!$A360="","",OFFSET(raw_exchange_data!$A360,0,MATCH(S$2,raw_exchange_data!$1:$1,0)-1))</f>
        <v>44937.668673148146</v>
      </c>
      <c r="T361" s="161">
        <v>1</v>
      </c>
      <c r="W361" t="str">
        <f t="shared" si="28"/>
        <v>FBLK</v>
      </c>
      <c r="X361" t="str">
        <f t="shared" si="29"/>
        <v>ALGO</v>
      </c>
      <c r="Y361" s="42">
        <f t="shared" si="30"/>
        <v>116.66666600000001</v>
      </c>
      <c r="Z361" s="42">
        <f t="shared" ca="1" si="31"/>
        <v>12552.259884999999</v>
      </c>
      <c r="AC361"/>
      <c r="AD361"/>
    </row>
    <row r="362" spans="1:30" x14ac:dyDescent="0.25">
      <c r="A362" t="str">
        <f>IF(Summary_Exchange_Balances_00UTC!$B361="","",Summary_Exchange_Balances_00UTC!$N361)</f>
        <v>FBLK</v>
      </c>
      <c r="B362" t="str">
        <f>IF(Summary_Exchange_Balances_00UTC!$B361="","",Summary_Exchange_Balances_00UTC!$B361)</f>
        <v>FBLK</v>
      </c>
      <c r="C362" t="str">
        <f>IF(Summary_Exchange_Balances_00UTC!$B361="","",Summary_Exchange_Balances_00UTC!$E361)</f>
        <v>AVAX</v>
      </c>
      <c r="D362" t="str">
        <f>IF(OR(Summary_Exchange_Balances_00UTC!$B361="",Summary_Exchange_Balances_00UTC!$D361=""),"",Summary_Exchange_Balances_00UTC!$D361)</f>
        <v/>
      </c>
      <c r="E362" s="53">
        <f>IF(Summary_Exchange_Balances_00UTC!$B361="","",Summary_Exchange_Balances_00UTC!$C361)</f>
        <v>170.43333855999899</v>
      </c>
      <c r="G362" s="52">
        <f ca="1">IF(Summary_Exchange_Balances_00UTC!$B361="","",VLOOKUP(IF(ISERROR(SEARCH(" ", $B362)),UPPER($B362&amp;$C362&amp;IF(OR(NOT(ISERROR(SEARCH("trade",$D362))),NOT(ISERROR(SEARCH("balance",$D362)))),"",$D362)),UPPER(LEFT($B362, SEARCH(" ",$B362)-1)&amp;$C362&amp;IF(OR(NOT(ISERROR(SEARCH("trade",$D362))),NOT(ISERROR(SEARCH("balance",$D362)))),"",$D362))),$L:$T,MATCH("balance",$L$2:$S$2,0),FALSE))</f>
        <v>179.08775599379999</v>
      </c>
      <c r="H362" s="35">
        <f ca="1">IF(Summary_Exchange_Balances_00UTC!$B361="","",(G362-E362)/E362)</f>
        <v>5.0778899873244687E-2</v>
      </c>
      <c r="I362" s="165">
        <f ca="1">IF(Summary_Exchange_Balances_00UTC!$B361="","",IF(ISERROR($G362),$E362,$G362))</f>
        <v>179.08775599379999</v>
      </c>
      <c r="K362" t="str">
        <f t="shared" ca="1" si="26"/>
        <v>OKEXUSDT</v>
      </c>
      <c r="L362" t="str">
        <f t="shared" ca="1" si="27"/>
        <v>OKEX-2-S2USDT</v>
      </c>
      <c r="N362" s="161" t="str">
        <f ca="1">IF(raw_exchange_data!$A361="","",OFFSET(raw_exchange_data!$A361,0,MATCH(N$2,raw_exchange_data!$1:$1,0)-1))</f>
        <v>USDT</v>
      </c>
      <c r="O362" s="161" t="str">
        <f ca="1">IF(raw_exchange_data!$A361="","",OFFSET(raw_exchange_data!$A361,0,MATCH(O$2,raw_exchange_data!$1:$1,0)-1))</f>
        <v>OKEX</v>
      </c>
      <c r="P362" s="161" t="str">
        <f ca="1">IF(raw_exchange_data!$A361="","",OFFSET(raw_exchange_data!$A361,0,MATCH(P$2,raw_exchange_data!$1:$1,0)-1))</f>
        <v>OKEX-2-S2</v>
      </c>
      <c r="Q362" s="161" t="str">
        <f ca="1">IF(raw_exchange_data!$A361="","",TEXT(OFFSET(raw_exchange_data!$A361,0,MATCH(Q$2,raw_exchange_data!$1:$1,0)-1),""))</f>
        <v/>
      </c>
      <c r="R362" s="162">
        <f ca="1">IF(raw_exchange_data!$A361="","",OFFSET(raw_exchange_data!$A361,0,MATCH(R$2,raw_exchange_data!$1:$1,0)-1))</f>
        <v>9.0007773026227998E-3</v>
      </c>
      <c r="S362" s="190">
        <f ca="1">IF(raw_exchange_data!$A361="","",OFFSET(raw_exchange_data!$A361,0,MATCH(S$2,raw_exchange_data!$1:$1,0)-1))</f>
        <v>44937.668739201392</v>
      </c>
      <c r="T362" s="161">
        <v>1</v>
      </c>
      <c r="W362" t="str">
        <f t="shared" si="28"/>
        <v>FBLK</v>
      </c>
      <c r="X362" t="str">
        <f t="shared" si="29"/>
        <v>AVAX</v>
      </c>
      <c r="Y362" s="42">
        <f t="shared" si="30"/>
        <v>170.43333855999899</v>
      </c>
      <c r="Z362" s="42">
        <f t="shared" ca="1" si="31"/>
        <v>179.08775599379999</v>
      </c>
      <c r="AC362"/>
      <c r="AD362"/>
    </row>
    <row r="363" spans="1:30" x14ac:dyDescent="0.25">
      <c r="A363" t="str">
        <f>IF(Summary_Exchange_Balances_00UTC!$B362="","",Summary_Exchange_Balances_00UTC!$N362)</f>
        <v>FBLK</v>
      </c>
      <c r="B363" t="str">
        <f>IF(Summary_Exchange_Balances_00UTC!$B362="","",Summary_Exchange_Balances_00UTC!$B362)</f>
        <v>FBLK</v>
      </c>
      <c r="C363" t="str">
        <f>IF(Summary_Exchange_Balances_00UTC!$B362="","",Summary_Exchange_Balances_00UTC!$E362)</f>
        <v>BAT</v>
      </c>
      <c r="D363" t="str">
        <f>IF(OR(Summary_Exchange_Balances_00UTC!$B362="",Summary_Exchange_Balances_00UTC!$D362=""),"",Summary_Exchange_Balances_00UTC!$D362)</f>
        <v/>
      </c>
      <c r="E363" s="53">
        <f>IF(Summary_Exchange_Balances_00UTC!$B362="","",Summary_Exchange_Balances_00UTC!$C362)</f>
        <v>333.33333333000002</v>
      </c>
      <c r="G363" s="52">
        <f ca="1">IF(Summary_Exchange_Balances_00UTC!$B362="","",VLOOKUP(IF(ISERROR(SEARCH(" ", $B363)),UPPER($B363&amp;$C363&amp;IF(OR(NOT(ISERROR(SEARCH("trade",$D363))),NOT(ISERROR(SEARCH("balance",$D363)))),"",$D363)),UPPER(LEFT($B363, SEARCH(" ",$B363)-1)&amp;$C363&amp;IF(OR(NOT(ISERROR(SEARCH("trade",$D363))),NOT(ISERROR(SEARCH("balance",$D363)))),"",$D363))),$L:$T,MATCH("balance",$L$2:$S$2,0),FALSE))</f>
        <v>12234.90497353</v>
      </c>
      <c r="H363" s="35">
        <f ca="1">IF(Summary_Exchange_Balances_00UTC!$B362="","",(G363-E363)/E363)</f>
        <v>35.704714920957045</v>
      </c>
      <c r="I363" s="165">
        <f ca="1">IF(Summary_Exchange_Balances_00UTC!$B362="","",IF(ISERROR($G363),$E363,$G363))</f>
        <v>12234.90497353</v>
      </c>
      <c r="K363" t="str">
        <f t="shared" ca="1" si="26"/>
        <v>SILVERGATE CHECKINGUSD</v>
      </c>
      <c r="L363" t="str">
        <f t="shared" ca="1" si="27"/>
        <v>SILVERGATE CHECKINGUSD</v>
      </c>
      <c r="N363" s="161" t="str">
        <f ca="1">IF(raw_exchange_data!$A362="","",OFFSET(raw_exchange_data!$A362,0,MATCH(N$2,raw_exchange_data!$1:$1,0)-1))</f>
        <v>USD</v>
      </c>
      <c r="O363" s="161" t="str">
        <f ca="1">IF(raw_exchange_data!$A362="","",OFFSET(raw_exchange_data!$A362,0,MATCH(O$2,raw_exchange_data!$1:$1,0)-1))</f>
        <v>Silvergate Checking</v>
      </c>
      <c r="P363" s="161" t="str">
        <f ca="1">IF(raw_exchange_data!$A362="","",OFFSET(raw_exchange_data!$A362,0,MATCH(P$2,raw_exchange_data!$1:$1,0)-1))</f>
        <v>Silvergate Checking</v>
      </c>
      <c r="Q363" s="161" t="str">
        <f ca="1">IF(raw_exchange_data!$A362="","",TEXT(OFFSET(raw_exchange_data!$A362,0,MATCH(Q$2,raw_exchange_data!$1:$1,0)-1),""))</f>
        <v/>
      </c>
      <c r="R363" s="162">
        <f ca="1">IF(raw_exchange_data!$A362="","",OFFSET(raw_exchange_data!$A362,0,MATCH(R$2,raw_exchange_data!$1:$1,0)-1))</f>
        <v>3217.54</v>
      </c>
      <c r="S363" s="190">
        <f ca="1">IF(raw_exchange_data!$A362="","",OFFSET(raw_exchange_data!$A362,0,MATCH(S$2,raw_exchange_data!$1:$1,0)-1))</f>
        <v>44937.666666666664</v>
      </c>
      <c r="T363" s="161">
        <v>1</v>
      </c>
      <c r="W363" t="str">
        <f t="shared" si="28"/>
        <v>FBLK</v>
      </c>
      <c r="X363" t="str">
        <f t="shared" si="29"/>
        <v>BAT</v>
      </c>
      <c r="Y363" s="42">
        <f t="shared" si="30"/>
        <v>333.33333333000002</v>
      </c>
      <c r="Z363" s="42">
        <f t="shared" ca="1" si="31"/>
        <v>12234.90497353</v>
      </c>
      <c r="AC363"/>
      <c r="AD363"/>
    </row>
    <row r="364" spans="1:30" x14ac:dyDescent="0.25">
      <c r="A364" t="str">
        <f>IF(Summary_Exchange_Balances_00UTC!$B363="","",Summary_Exchange_Balances_00UTC!$N363)</f>
        <v>FBLK</v>
      </c>
      <c r="B364" t="str">
        <f>IF(Summary_Exchange_Balances_00UTC!$B363="","",Summary_Exchange_Balances_00UTC!$B363)</f>
        <v>FBLK</v>
      </c>
      <c r="C364" t="str">
        <f>IF(Summary_Exchange_Balances_00UTC!$B363="","",Summary_Exchange_Balances_00UTC!$E363)</f>
        <v>BCH</v>
      </c>
      <c r="D364" t="str">
        <f>IF(OR(Summary_Exchange_Balances_00UTC!$B363="",Summary_Exchange_Balances_00UTC!$D363=""),"",Summary_Exchange_Balances_00UTC!$D363)</f>
        <v/>
      </c>
      <c r="E364" s="53">
        <f>IF(Summary_Exchange_Balances_00UTC!$B363="","",Summary_Exchange_Balances_00UTC!$C363)</f>
        <v>5171.2119944799997</v>
      </c>
      <c r="G364" s="52">
        <f ca="1">IF(Summary_Exchange_Balances_00UTC!$B363="","",VLOOKUP(IF(ISERROR(SEARCH(" ", $B364)),UPPER($B364&amp;$C364&amp;IF(OR(NOT(ISERROR(SEARCH("trade",$D364))),NOT(ISERROR(SEARCH("balance",$D364)))),"",$D364)),UPPER(LEFT($B364, SEARCH(" ",$B364)-1)&amp;$C364&amp;IF(OR(NOT(ISERROR(SEARCH("trade",$D364))),NOT(ISERROR(SEARCH("balance",$D364)))),"",$D364))),$L:$T,MATCH("balance",$L$2:$S$2,0),FALSE))</f>
        <v>5171.2119944799997</v>
      </c>
      <c r="H364" s="35">
        <f ca="1">IF(Summary_Exchange_Balances_00UTC!$B363="","",(G364-E364)/E364)</f>
        <v>0</v>
      </c>
      <c r="I364" s="165">
        <f ca="1">IF(Summary_Exchange_Balances_00UTC!$B363="","",IF(ISERROR($G364),$E364,$G364))</f>
        <v>5171.2119944799997</v>
      </c>
      <c r="K364" t="str">
        <f t="shared" ca="1" si="26"/>
        <v>SILVERGATE NETWORKEUR</v>
      </c>
      <c r="L364" t="str">
        <f t="shared" ca="1" si="27"/>
        <v>SILVERGATE NETWORKEUR</v>
      </c>
      <c r="N364" s="161" t="str">
        <f ca="1">IF(raw_exchange_data!$A363="","",OFFSET(raw_exchange_data!$A363,0,MATCH(N$2,raw_exchange_data!$1:$1,0)-1))</f>
        <v>EUR</v>
      </c>
      <c r="O364" s="161" t="str">
        <f ca="1">IF(raw_exchange_data!$A363="","",OFFSET(raw_exchange_data!$A363,0,MATCH(O$2,raw_exchange_data!$1:$1,0)-1))</f>
        <v>Silvergate Network</v>
      </c>
      <c r="P364" s="161" t="str">
        <f ca="1">IF(raw_exchange_data!$A363="","",OFFSET(raw_exchange_data!$A363,0,MATCH(P$2,raw_exchange_data!$1:$1,0)-1))</f>
        <v>Silvergate Network</v>
      </c>
      <c r="Q364" s="161" t="str">
        <f ca="1">IF(raw_exchange_data!$A363="","",TEXT(OFFSET(raw_exchange_data!$A363,0,MATCH(Q$2,raw_exchange_data!$1:$1,0)-1),""))</f>
        <v/>
      </c>
      <c r="R364" s="162">
        <f ca="1">IF(raw_exchange_data!$A363="","",OFFSET(raw_exchange_data!$A363,0,MATCH(R$2,raw_exchange_data!$1:$1,0)-1))</f>
        <v>42244.639999999999</v>
      </c>
      <c r="S364" s="190">
        <f ca="1">IF(raw_exchange_data!$A363="","",OFFSET(raw_exchange_data!$A363,0,MATCH(S$2,raw_exchange_data!$1:$1,0)-1))</f>
        <v>44937.666666666664</v>
      </c>
      <c r="T364" s="161">
        <v>1</v>
      </c>
      <c r="W364" t="str">
        <f t="shared" si="28"/>
        <v>FBLK</v>
      </c>
      <c r="X364" t="str">
        <f t="shared" si="29"/>
        <v>BCH</v>
      </c>
      <c r="Y364" s="42">
        <f t="shared" si="30"/>
        <v>5171.2119944799997</v>
      </c>
      <c r="Z364" s="42">
        <f t="shared" ca="1" si="31"/>
        <v>5171.2119944799997</v>
      </c>
      <c r="AC364"/>
      <c r="AD364"/>
    </row>
    <row r="365" spans="1:30" x14ac:dyDescent="0.25">
      <c r="A365" t="str">
        <f>IF(Summary_Exchange_Balances_00UTC!$B364="","",Summary_Exchange_Balances_00UTC!$N364)</f>
        <v>FBLK</v>
      </c>
      <c r="B365" t="str">
        <f>IF(Summary_Exchange_Balances_00UTC!$B364="","",Summary_Exchange_Balances_00UTC!$B364)</f>
        <v>FBLK</v>
      </c>
      <c r="C365" t="str">
        <f>IF(Summary_Exchange_Balances_00UTC!$B364="","",Summary_Exchange_Balances_00UTC!$E364)</f>
        <v>BNB</v>
      </c>
      <c r="D365" t="str">
        <f>IF(OR(Summary_Exchange_Balances_00UTC!$B364="",Summary_Exchange_Balances_00UTC!$D364=""),"",Summary_Exchange_Balances_00UTC!$D364)</f>
        <v/>
      </c>
      <c r="E365" s="53">
        <f>IF(Summary_Exchange_Balances_00UTC!$B364="","",Summary_Exchange_Balances_00UTC!$C364)</f>
        <v>1.7652E-4</v>
      </c>
      <c r="G365" s="52" t="e">
        <f ca="1">IF(Summary_Exchange_Balances_00UTC!$B364="","",VLOOKUP(IF(ISERROR(SEARCH(" ", $B365)),UPPER($B365&amp;$C365&amp;IF(OR(NOT(ISERROR(SEARCH("trade",$D365))),NOT(ISERROR(SEARCH("balance",$D365)))),"",$D365)),UPPER(LEFT($B365, SEARCH(" ",$B365)-1)&amp;$C365&amp;IF(OR(NOT(ISERROR(SEARCH("trade",$D365))),NOT(ISERROR(SEARCH("balance",$D365)))),"",$D365))),$L:$T,MATCH("balance",$L$2:$S$2,0),FALSE))</f>
        <v>#N/A</v>
      </c>
      <c r="H365" s="35" t="e">
        <f ca="1">IF(Summary_Exchange_Balances_00UTC!$B364="","",(G365-E365)/E365)</f>
        <v>#N/A</v>
      </c>
      <c r="I365" s="165">
        <f ca="1">IF(Summary_Exchange_Balances_00UTC!$B364="","",IF(ISERROR($G365),$E365,$G365))</f>
        <v>1.7652E-4</v>
      </c>
      <c r="K365" t="str">
        <f t="shared" ca="1" si="26"/>
        <v>SILVERGATE NETWORKUSD</v>
      </c>
      <c r="L365" t="str">
        <f t="shared" ca="1" si="27"/>
        <v>SILVERGATE NETWORKUSD</v>
      </c>
      <c r="N365" s="161" t="str">
        <f ca="1">IF(raw_exchange_data!$A364="","",OFFSET(raw_exchange_data!$A364,0,MATCH(N$2,raw_exchange_data!$1:$1,0)-1))</f>
        <v>USD</v>
      </c>
      <c r="O365" s="161" t="str">
        <f ca="1">IF(raw_exchange_data!$A364="","",OFFSET(raw_exchange_data!$A364,0,MATCH(O$2,raw_exchange_data!$1:$1,0)-1))</f>
        <v>Silvergate Network</v>
      </c>
      <c r="P365" s="161" t="str">
        <f ca="1">IF(raw_exchange_data!$A364="","",OFFSET(raw_exchange_data!$A364,0,MATCH(P$2,raw_exchange_data!$1:$1,0)-1))</f>
        <v>Silvergate Network</v>
      </c>
      <c r="Q365" s="161" t="str">
        <f ca="1">IF(raw_exchange_data!$A364="","",TEXT(OFFSET(raw_exchange_data!$A364,0,MATCH(Q$2,raw_exchange_data!$1:$1,0)-1),""))</f>
        <v/>
      </c>
      <c r="R365" s="162">
        <f ca="1">IF(raw_exchange_data!$A364="","",OFFSET(raw_exchange_data!$A364,0,MATCH(R$2,raw_exchange_data!$1:$1,0)-1))</f>
        <v>784545.3</v>
      </c>
      <c r="S365" s="190">
        <f ca="1">IF(raw_exchange_data!$A364="","",OFFSET(raw_exchange_data!$A364,0,MATCH(S$2,raw_exchange_data!$1:$1,0)-1))</f>
        <v>44937.666666666664</v>
      </c>
      <c r="T365" s="161">
        <v>1</v>
      </c>
      <c r="W365" t="str">
        <f t="shared" si="28"/>
        <v>FBLK</v>
      </c>
      <c r="X365" t="str">
        <f t="shared" si="29"/>
        <v>BNB</v>
      </c>
      <c r="Y365" s="42">
        <f t="shared" si="30"/>
        <v>1.7652E-4</v>
      </c>
      <c r="Z365" s="42">
        <f t="shared" ca="1" si="31"/>
        <v>0</v>
      </c>
      <c r="AC365"/>
      <c r="AD365"/>
    </row>
    <row r="366" spans="1:30" x14ac:dyDescent="0.25">
      <c r="A366" t="str">
        <f>IF(Summary_Exchange_Balances_00UTC!$B365="","",Summary_Exchange_Balances_00UTC!$N365)</f>
        <v>FBLK</v>
      </c>
      <c r="B366" t="str">
        <f>IF(Summary_Exchange_Balances_00UTC!$B365="","",Summary_Exchange_Balances_00UTC!$B365)</f>
        <v>FBLK</v>
      </c>
      <c r="C366" t="str">
        <f>IF(Summary_Exchange_Balances_00UTC!$B365="","",Summary_Exchange_Balances_00UTC!$E365)</f>
        <v>BTC</v>
      </c>
      <c r="D366" t="str">
        <f>IF(OR(Summary_Exchange_Balances_00UTC!$B365="",Summary_Exchange_Balances_00UTC!$D365=""),"",Summary_Exchange_Balances_00UTC!$D365)</f>
        <v/>
      </c>
      <c r="E366" s="53">
        <f>IF(Summary_Exchange_Balances_00UTC!$B365="","",Summary_Exchange_Balances_00UTC!$C365)</f>
        <v>135.14263080000001</v>
      </c>
      <c r="G366" s="52">
        <f ca="1">IF(Summary_Exchange_Balances_00UTC!$B365="","",VLOOKUP(IF(ISERROR(SEARCH(" ", $B366)),UPPER($B366&amp;$C366&amp;IF(OR(NOT(ISERROR(SEARCH("trade",$D366))),NOT(ISERROR(SEARCH("balance",$D366)))),"",$D366)),UPPER(LEFT($B366, SEARCH(" ",$B366)-1)&amp;$C366&amp;IF(OR(NOT(ISERROR(SEARCH("trade",$D366))),NOT(ISERROR(SEARCH("balance",$D366)))),"",$D366))),$L:$T,MATCH("balance",$L$2:$S$2,0),FALSE))</f>
        <v>293.99617287000001</v>
      </c>
      <c r="H366" s="35">
        <f ca="1">IF(Summary_Exchange_Balances_00UTC!$B365="","",(G366-E366)/E366)</f>
        <v>1.1754510114953305</v>
      </c>
      <c r="I366" s="165">
        <f ca="1">IF(Summary_Exchange_Balances_00UTC!$B365="","",IF(ISERROR($G366),$E366,$G366))</f>
        <v>293.99617287000001</v>
      </c>
      <c r="K366" t="str">
        <f t="shared" ca="1" si="26"/>
        <v>WOOXBTC</v>
      </c>
      <c r="L366" t="str">
        <f t="shared" ca="1" si="27"/>
        <v>WOOX-1-M-EBTC</v>
      </c>
      <c r="N366" s="161" t="str">
        <f ca="1">IF(raw_exchange_data!$A365="","",OFFSET(raw_exchange_data!$A365,0,MATCH(N$2,raw_exchange_data!$1:$1,0)-1))</f>
        <v>BTC</v>
      </c>
      <c r="O366" s="161" t="str">
        <f ca="1">IF(raw_exchange_data!$A365="","",OFFSET(raw_exchange_data!$A365,0,MATCH(O$2,raw_exchange_data!$1:$1,0)-1))</f>
        <v>WOOX</v>
      </c>
      <c r="P366" s="161" t="str">
        <f ca="1">IF(raw_exchange_data!$A365="","",OFFSET(raw_exchange_data!$A365,0,MATCH(P$2,raw_exchange_data!$1:$1,0)-1))</f>
        <v>WOOX-1-M-E</v>
      </c>
      <c r="Q366" s="161" t="str">
        <f ca="1">IF(raw_exchange_data!$A365="","",TEXT(OFFSET(raw_exchange_data!$A365,0,MATCH(Q$2,raw_exchange_data!$1:$1,0)-1),""))</f>
        <v/>
      </c>
      <c r="R366" s="162">
        <f ca="1">IF(raw_exchange_data!$A365="","",OFFSET(raw_exchange_data!$A365,0,MATCH(R$2,raw_exchange_data!$1:$1,0)-1))</f>
        <v>80.760352080000004</v>
      </c>
      <c r="S366" s="190">
        <f ca="1">IF(raw_exchange_data!$A365="","",OFFSET(raw_exchange_data!$A365,0,MATCH(S$2,raw_exchange_data!$1:$1,0)-1))</f>
        <v>44937.669491296299</v>
      </c>
      <c r="T366" s="161">
        <v>1</v>
      </c>
      <c r="W366" t="str">
        <f t="shared" si="28"/>
        <v>FBLK</v>
      </c>
      <c r="X366" t="str">
        <f t="shared" si="29"/>
        <v>BTC</v>
      </c>
      <c r="Y366" s="42">
        <f t="shared" si="30"/>
        <v>135.14263080000001</v>
      </c>
      <c r="Z366" s="42">
        <f t="shared" ca="1" si="31"/>
        <v>293.99617287000001</v>
      </c>
      <c r="AC366"/>
      <c r="AD366"/>
    </row>
    <row r="367" spans="1:30" x14ac:dyDescent="0.25">
      <c r="A367" t="str">
        <f>IF(Summary_Exchange_Balances_00UTC!$B366="","",Summary_Exchange_Balances_00UTC!$N366)</f>
        <v>FBLK</v>
      </c>
      <c r="B367" t="str">
        <f>IF(Summary_Exchange_Balances_00UTC!$B366="","",Summary_Exchange_Balances_00UTC!$B366)</f>
        <v>FBLK</v>
      </c>
      <c r="C367" t="str">
        <f>IF(Summary_Exchange_Balances_00UTC!$B366="","",Summary_Exchange_Balances_00UTC!$E366)</f>
        <v>COMP</v>
      </c>
      <c r="D367" t="str">
        <f>IF(OR(Summary_Exchange_Balances_00UTC!$B366="",Summary_Exchange_Balances_00UTC!$D366=""),"",Summary_Exchange_Balances_00UTC!$D366)</f>
        <v/>
      </c>
      <c r="E367" s="53">
        <f>IF(Summary_Exchange_Balances_00UTC!$B366="","",Summary_Exchange_Balances_00UTC!$C366)</f>
        <v>2921.9333411799998</v>
      </c>
      <c r="G367" s="52">
        <f ca="1">IF(Summary_Exchange_Balances_00UTC!$B366="","",VLOOKUP(IF(ISERROR(SEARCH(" ", $B367)),UPPER($B367&amp;$C367&amp;IF(OR(NOT(ISERROR(SEARCH("trade",$D367))),NOT(ISERROR(SEARCH("balance",$D367)))),"",$D367)),UPPER(LEFT($B367, SEARCH(" ",$B367)-1)&amp;$C367&amp;IF(OR(NOT(ISERROR(SEARCH("trade",$D367))),NOT(ISERROR(SEARCH("balance",$D367)))),"",$D367))),$L:$T,MATCH("balance",$L$2:$S$2,0),FALSE))</f>
        <v>3103.3033653500001</v>
      </c>
      <c r="H367" s="35">
        <f ca="1">IF(Summary_Exchange_Balances_00UTC!$B366="","",(G367-E367)/E367)</f>
        <v>6.2071923960029647E-2</v>
      </c>
      <c r="I367" s="165">
        <f ca="1">IF(Summary_Exchange_Balances_00UTC!$B366="","",IF(ISERROR($G367),$E367,$G367))</f>
        <v>3103.3033653500001</v>
      </c>
      <c r="K367" t="str">
        <f t="shared" ca="1" si="26"/>
        <v>WOOXETH</v>
      </c>
      <c r="L367" t="str">
        <f t="shared" ca="1" si="27"/>
        <v>WOOX-1-M-EETH</v>
      </c>
      <c r="N367" s="161" t="str">
        <f ca="1">IF(raw_exchange_data!$A366="","",OFFSET(raw_exchange_data!$A366,0,MATCH(N$2,raw_exchange_data!$1:$1,0)-1))</f>
        <v>ETH</v>
      </c>
      <c r="O367" s="161" t="str">
        <f ca="1">IF(raw_exchange_data!$A366="","",OFFSET(raw_exchange_data!$A366,0,MATCH(O$2,raw_exchange_data!$1:$1,0)-1))</f>
        <v>WOOX</v>
      </c>
      <c r="P367" s="161" t="str">
        <f ca="1">IF(raw_exchange_data!$A366="","",OFFSET(raw_exchange_data!$A366,0,MATCH(P$2,raw_exchange_data!$1:$1,0)-1))</f>
        <v>WOOX-1-M-E</v>
      </c>
      <c r="Q367" s="161" t="str">
        <f ca="1">IF(raw_exchange_data!$A366="","",TEXT(OFFSET(raw_exchange_data!$A366,0,MATCH(Q$2,raw_exchange_data!$1:$1,0)-1),""))</f>
        <v/>
      </c>
      <c r="R367" s="162">
        <f ca="1">IF(raw_exchange_data!$A366="","",OFFSET(raw_exchange_data!$A366,0,MATCH(R$2,raw_exchange_data!$1:$1,0)-1))</f>
        <v>585.43178266999996</v>
      </c>
      <c r="S367" s="190">
        <f ca="1">IF(raw_exchange_data!$A366="","",OFFSET(raw_exchange_data!$A366,0,MATCH(S$2,raw_exchange_data!$1:$1,0)-1))</f>
        <v>44937.669491296299</v>
      </c>
      <c r="T367" s="161">
        <v>1</v>
      </c>
      <c r="W367" t="str">
        <f t="shared" si="28"/>
        <v>FBLK</v>
      </c>
      <c r="X367" t="str">
        <f t="shared" si="29"/>
        <v>COMP</v>
      </c>
      <c r="Y367" s="42">
        <f t="shared" si="30"/>
        <v>2921.9333411799998</v>
      </c>
      <c r="Z367" s="42">
        <f t="shared" ca="1" si="31"/>
        <v>3103.3033653500001</v>
      </c>
      <c r="AC367"/>
      <c r="AD367"/>
    </row>
    <row r="368" spans="1:30" x14ac:dyDescent="0.25">
      <c r="A368" t="str">
        <f>IF(Summary_Exchange_Balances_00UTC!$B367="","",Summary_Exchange_Balances_00UTC!$N367)</f>
        <v>FBLK</v>
      </c>
      <c r="B368" t="str">
        <f>IF(Summary_Exchange_Balances_00UTC!$B367="","",Summary_Exchange_Balances_00UTC!$B367)</f>
        <v>FBLK</v>
      </c>
      <c r="C368" t="str">
        <f>IF(Summary_Exchange_Balances_00UTC!$B367="","",Summary_Exchange_Balances_00UTC!$E367)</f>
        <v>DASH</v>
      </c>
      <c r="D368" t="str">
        <f>IF(OR(Summary_Exchange_Balances_00UTC!$B367="",Summary_Exchange_Balances_00UTC!$D367=""),"",Summary_Exchange_Balances_00UTC!$D367)</f>
        <v/>
      </c>
      <c r="E368" s="53">
        <f>IF(Summary_Exchange_Balances_00UTC!$B367="","",Summary_Exchange_Balances_00UTC!$C367)</f>
        <v>2.9907231299999899</v>
      </c>
      <c r="G368" s="52">
        <f ca="1">IF(Summary_Exchange_Balances_00UTC!$B367="","",VLOOKUP(IF(ISERROR(SEARCH(" ", $B368)),UPPER($B368&amp;$C368&amp;IF(OR(NOT(ISERROR(SEARCH("trade",$D368))),NOT(ISERROR(SEARCH("balance",$D368)))),"",$D368)),UPPER(LEFT($B368, SEARCH(" ",$B368)-1)&amp;$C368&amp;IF(OR(NOT(ISERROR(SEARCH("trade",$D368))),NOT(ISERROR(SEARCH("balance",$D368)))),"",$D368))),$L:$T,MATCH("balance",$L$2:$S$2,0),FALSE))</f>
        <v>3.0107491300000002</v>
      </c>
      <c r="H368" s="35">
        <f ca="1">IF(Summary_Exchange_Balances_00UTC!$B367="","",(G368-E368)/E368)</f>
        <v>6.6960394291030144E-3</v>
      </c>
      <c r="I368" s="165">
        <f ca="1">IF(Summary_Exchange_Balances_00UTC!$B367="","",IF(ISERROR($G368),$E368,$G368))</f>
        <v>3.0107491300000002</v>
      </c>
      <c r="K368" t="str">
        <f t="shared" ca="1" si="26"/>
        <v>WOOXUSDT</v>
      </c>
      <c r="L368" t="str">
        <f t="shared" ca="1" si="27"/>
        <v>WOOX-1-M-EUSDT</v>
      </c>
      <c r="N368" s="161" t="str">
        <f ca="1">IF(raw_exchange_data!$A367="","",OFFSET(raw_exchange_data!$A367,0,MATCH(N$2,raw_exchange_data!$1:$1,0)-1))</f>
        <v>USDT</v>
      </c>
      <c r="O368" s="161" t="str">
        <f ca="1">IF(raw_exchange_data!$A367="","",OFFSET(raw_exchange_data!$A367,0,MATCH(O$2,raw_exchange_data!$1:$1,0)-1))</f>
        <v>WOOX</v>
      </c>
      <c r="P368" s="161" t="str">
        <f ca="1">IF(raw_exchange_data!$A367="","",OFFSET(raw_exchange_data!$A367,0,MATCH(P$2,raw_exchange_data!$1:$1,0)-1))</f>
        <v>WOOX-1-M-E</v>
      </c>
      <c r="Q368" s="161" t="str">
        <f ca="1">IF(raw_exchange_data!$A367="","",TEXT(OFFSET(raw_exchange_data!$A367,0,MATCH(Q$2,raw_exchange_data!$1:$1,0)-1),""))</f>
        <v/>
      </c>
      <c r="R368" s="162">
        <f ca="1">IF(raw_exchange_data!$A367="","",OFFSET(raw_exchange_data!$A367,0,MATCH(R$2,raw_exchange_data!$1:$1,0)-1))</f>
        <v>754009.51596374996</v>
      </c>
      <c r="S368" s="190">
        <f ca="1">IF(raw_exchange_data!$A367="","",OFFSET(raw_exchange_data!$A367,0,MATCH(S$2,raw_exchange_data!$1:$1,0)-1))</f>
        <v>44937.669491296299</v>
      </c>
      <c r="T368" s="161">
        <v>1</v>
      </c>
      <c r="W368" t="str">
        <f t="shared" si="28"/>
        <v>FBLK</v>
      </c>
      <c r="X368" t="str">
        <f t="shared" si="29"/>
        <v>DASH</v>
      </c>
      <c r="Y368" s="42">
        <f t="shared" si="30"/>
        <v>2.9907231299999899</v>
      </c>
      <c r="Z368" s="42">
        <f t="shared" ca="1" si="31"/>
        <v>3.0107491300000002</v>
      </c>
      <c r="AC368"/>
      <c r="AD368"/>
    </row>
    <row r="369" spans="1:30" x14ac:dyDescent="0.25">
      <c r="A369" t="str">
        <f>IF(Summary_Exchange_Balances_00UTC!$B368="","",Summary_Exchange_Balances_00UTC!$N368)</f>
        <v>FBLK</v>
      </c>
      <c r="B369" t="str">
        <f>IF(Summary_Exchange_Balances_00UTC!$B368="","",Summary_Exchange_Balances_00UTC!$B368)</f>
        <v>FBLK</v>
      </c>
      <c r="C369" t="str">
        <f>IF(Summary_Exchange_Balances_00UTC!$B368="","",Summary_Exchange_Balances_00UTC!$E368)</f>
        <v>DOGE</v>
      </c>
      <c r="D369" t="str">
        <f>IF(OR(Summary_Exchange_Balances_00UTC!$B368="",Summary_Exchange_Balances_00UTC!$D368=""),"",Summary_Exchange_Balances_00UTC!$D368)</f>
        <v/>
      </c>
      <c r="E369" s="52">
        <f>IF(Summary_Exchange_Balances_00UTC!$B368="","",Summary_Exchange_Balances_00UTC!$C368)</f>
        <v>2000</v>
      </c>
      <c r="G369" s="52">
        <f ca="1">IF(Summary_Exchange_Balances_00UTC!$B368="","",VLOOKUP(IF(ISERROR(SEARCH(" ", $B369)),UPPER($B369&amp;$C369&amp;IF(OR(NOT(ISERROR(SEARCH("trade",$D369))),NOT(ISERROR(SEARCH("balance",$D369)))),"",$D369)),UPPER(LEFT($B369, SEARCH(" ",$B369)-1)&amp;$C369&amp;IF(OR(NOT(ISERROR(SEARCH("trade",$D369))),NOT(ISERROR(SEARCH("balance",$D369)))),"",$D369))),$L:$T,MATCH("balance",$L$2:$S$2,0),FALSE))</f>
        <v>43773.598906400002</v>
      </c>
      <c r="H369" s="35">
        <f ca="1">IF(Summary_Exchange_Balances_00UTC!$B368="","",(G369-E369)/E369)</f>
        <v>20.886799453200002</v>
      </c>
      <c r="I369" s="165">
        <f ca="1">IF(Summary_Exchange_Balances_00UTC!$B368="","",IF(ISERROR($G369),$E369,$G369))</f>
        <v>43773.598906400002</v>
      </c>
      <c r="K369" t="str">
        <f t="shared" ca="1" si="26"/>
        <v>WOOXWOO</v>
      </c>
      <c r="L369" t="str">
        <f t="shared" ca="1" si="27"/>
        <v>WOOX-1-M-EWOO</v>
      </c>
      <c r="N369" s="161" t="str">
        <f ca="1">IF(raw_exchange_data!$A368="","",OFFSET(raw_exchange_data!$A368,0,MATCH(N$2,raw_exchange_data!$1:$1,0)-1))</f>
        <v>WOO</v>
      </c>
      <c r="O369" s="161" t="str">
        <f ca="1">IF(raw_exchange_data!$A368="","",OFFSET(raw_exchange_data!$A368,0,MATCH(O$2,raw_exchange_data!$1:$1,0)-1))</f>
        <v>WOOX</v>
      </c>
      <c r="P369" s="161" t="str">
        <f ca="1">IF(raw_exchange_data!$A368="","",OFFSET(raw_exchange_data!$A368,0,MATCH(P$2,raw_exchange_data!$1:$1,0)-1))</f>
        <v>WOOX-1-M-E</v>
      </c>
      <c r="Q369" s="161" t="str">
        <f ca="1">IF(raw_exchange_data!$A368="","",TEXT(OFFSET(raw_exchange_data!$A368,0,MATCH(Q$2,raw_exchange_data!$1:$1,0)-1),""))</f>
        <v/>
      </c>
      <c r="R369" s="162">
        <f ca="1">IF(raw_exchange_data!$A368="","",OFFSET(raw_exchange_data!$A368,0,MATCH(R$2,raw_exchange_data!$1:$1,0)-1))</f>
        <v>1644286.05309931</v>
      </c>
      <c r="S369" s="190">
        <f ca="1">IF(raw_exchange_data!$A368="","",OFFSET(raw_exchange_data!$A368,0,MATCH(S$2,raw_exchange_data!$1:$1,0)-1))</f>
        <v>44937.669491296299</v>
      </c>
      <c r="T369" s="161">
        <v>1</v>
      </c>
      <c r="W369" t="str">
        <f t="shared" si="28"/>
        <v>FBLK</v>
      </c>
      <c r="X369" t="str">
        <f t="shared" si="29"/>
        <v>DOGE</v>
      </c>
      <c r="Y369" s="42">
        <f t="shared" si="30"/>
        <v>2000</v>
      </c>
      <c r="Z369" s="42">
        <f t="shared" ca="1" si="31"/>
        <v>43773.598906400002</v>
      </c>
      <c r="AC369"/>
      <c r="AD369"/>
    </row>
    <row r="370" spans="1:30" x14ac:dyDescent="0.25">
      <c r="A370" t="str">
        <f>IF(Summary_Exchange_Balances_00UTC!$B369="","",Summary_Exchange_Balances_00UTC!$N369)</f>
        <v>FBLK</v>
      </c>
      <c r="B370" t="str">
        <f>IF(Summary_Exchange_Balances_00UTC!$B369="","",Summary_Exchange_Balances_00UTC!$B369)</f>
        <v>FBLK</v>
      </c>
      <c r="C370" t="str">
        <f>IF(Summary_Exchange_Balances_00UTC!$B369="","",Summary_Exchange_Balances_00UTC!$E369)</f>
        <v>DOT</v>
      </c>
      <c r="D370" t="str">
        <f>IF(OR(Summary_Exchange_Balances_00UTC!$B369="",Summary_Exchange_Balances_00UTC!$D369=""),"",Summary_Exchange_Balances_00UTC!$D369)</f>
        <v/>
      </c>
      <c r="E370" s="53">
        <f>IF(Summary_Exchange_Balances_00UTC!$B369="","",Summary_Exchange_Balances_00UTC!$C369)</f>
        <v>322.31185354000002</v>
      </c>
      <c r="G370" s="52">
        <f ca="1">IF(Summary_Exchange_Balances_00UTC!$B369="","",VLOOKUP(IF(ISERROR(SEARCH(" ", $B370)),UPPER($B370&amp;$C370&amp;IF(OR(NOT(ISERROR(SEARCH("trade",$D370))),NOT(ISERROR(SEARCH("balance",$D370)))),"",$D370)),UPPER(LEFT($B370, SEARCH(" ",$B370)-1)&amp;$C370&amp;IF(OR(NOT(ISERROR(SEARCH("trade",$D370))),NOT(ISERROR(SEARCH("balance",$D370)))),"",$D370))),$L:$T,MATCH("balance",$L$2:$S$2,0),FALSE))</f>
        <v>479.1824984754</v>
      </c>
      <c r="H370" s="35">
        <f ca="1">IF(Summary_Exchange_Balances_00UTC!$B369="","",(G370-E370)/E370)</f>
        <v>0.4867045478236865</v>
      </c>
      <c r="I370" s="165">
        <f ca="1">IF(Summary_Exchange_Balances_00UTC!$B369="","",IF(ISERROR($G370),$E370,$G370))</f>
        <v>479.1824984754</v>
      </c>
      <c r="K370" t="str">
        <f t="shared" ca="1" si="26"/>
        <v/>
      </c>
      <c r="L370" t="str">
        <f t="shared" ca="1" si="27"/>
        <v/>
      </c>
      <c r="N370" s="161" t="str">
        <f ca="1">IF(raw_exchange_data!$A369="","",OFFSET(raw_exchange_data!$A369,0,MATCH(N$2,raw_exchange_data!$1:$1,0)-1))</f>
        <v/>
      </c>
      <c r="O370" s="161" t="str">
        <f ca="1">IF(raw_exchange_data!$A369="","",OFFSET(raw_exchange_data!$A369,0,MATCH(O$2,raw_exchange_data!$1:$1,0)-1))</f>
        <v/>
      </c>
      <c r="P370" s="161" t="str">
        <f ca="1">IF(raw_exchange_data!$A369="","",OFFSET(raw_exchange_data!$A369,0,MATCH(P$2,raw_exchange_data!$1:$1,0)-1))</f>
        <v/>
      </c>
      <c r="Q370" s="161" t="str">
        <f ca="1">IF(raw_exchange_data!$A369="","",TEXT(OFFSET(raw_exchange_data!$A369,0,MATCH(Q$2,raw_exchange_data!$1:$1,0)-1),""))</f>
        <v/>
      </c>
      <c r="R370" s="162" t="str">
        <f ca="1">IF(raw_exchange_data!$A369="","",OFFSET(raw_exchange_data!$A369,0,MATCH(R$2,raw_exchange_data!$1:$1,0)-1))</f>
        <v/>
      </c>
      <c r="S370" s="190" t="str">
        <f ca="1">IF(raw_exchange_data!$A369="","",OFFSET(raw_exchange_data!$A369,0,MATCH(S$2,raw_exchange_data!$1:$1,0)-1))</f>
        <v/>
      </c>
      <c r="T370" s="161">
        <v>1</v>
      </c>
      <c r="W370" t="str">
        <f t="shared" si="28"/>
        <v>FBLK</v>
      </c>
      <c r="X370" t="str">
        <f t="shared" si="29"/>
        <v>DOT</v>
      </c>
      <c r="Y370" s="42">
        <f t="shared" si="30"/>
        <v>322.31185354000002</v>
      </c>
      <c r="Z370" s="42">
        <f t="shared" ca="1" si="31"/>
        <v>479.1824984754</v>
      </c>
      <c r="AC370"/>
      <c r="AD370"/>
    </row>
    <row r="371" spans="1:30" x14ac:dyDescent="0.25">
      <c r="A371" t="str">
        <f>IF(Summary_Exchange_Balances_00UTC!$B370="","",Summary_Exchange_Balances_00UTC!$N370)</f>
        <v>FBLK</v>
      </c>
      <c r="B371" t="str">
        <f>IF(Summary_Exchange_Balances_00UTC!$B370="","",Summary_Exchange_Balances_00UTC!$B370)</f>
        <v>FBLK</v>
      </c>
      <c r="C371" t="str">
        <f>IF(Summary_Exchange_Balances_00UTC!$B370="","",Summary_Exchange_Balances_00UTC!$E370)</f>
        <v>ENJ</v>
      </c>
      <c r="D371" t="str">
        <f>IF(OR(Summary_Exchange_Balances_00UTC!$B370="",Summary_Exchange_Balances_00UTC!$D370=""),"",Summary_Exchange_Balances_00UTC!$D370)</f>
        <v/>
      </c>
      <c r="E371" s="53">
        <f>IF(Summary_Exchange_Balances_00UTC!$B370="","",Summary_Exchange_Balances_00UTC!$C370)</f>
        <v>516.67744242000003</v>
      </c>
      <c r="G371" s="52">
        <f ca="1">IF(Summary_Exchange_Balances_00UTC!$B370="","",VLOOKUP(IF(ISERROR(SEARCH(" ", $B371)),UPPER($B371&amp;$C371&amp;IF(OR(NOT(ISERROR(SEARCH("trade",$D371))),NOT(ISERROR(SEARCH("balance",$D371)))),"",$D371)),UPPER(LEFT($B371, SEARCH(" ",$B371)-1)&amp;$C371&amp;IF(OR(NOT(ISERROR(SEARCH("trade",$D371))),NOT(ISERROR(SEARCH("balance",$D371)))),"",$D371))),$L:$T,MATCH("balance",$L$2:$S$2,0),FALSE))</f>
        <v>2329.31244242</v>
      </c>
      <c r="H371" s="35">
        <f ca="1">IF(Summary_Exchange_Balances_00UTC!$B370="","",(G371-E371)/E371)</f>
        <v>3.5082526372934506</v>
      </c>
      <c r="I371" s="165">
        <f ca="1">IF(Summary_Exchange_Balances_00UTC!$B370="","",IF(ISERROR($G371),$E371,$G371))</f>
        <v>2329.31244242</v>
      </c>
      <c r="K371" t="str">
        <f t="shared" ca="1" si="26"/>
        <v/>
      </c>
      <c r="L371" t="str">
        <f t="shared" ca="1" si="27"/>
        <v/>
      </c>
      <c r="N371" s="161" t="str">
        <f ca="1">IF(raw_exchange_data!$A370="","",OFFSET(raw_exchange_data!$A370,0,MATCH(N$2,raw_exchange_data!$1:$1,0)-1))</f>
        <v/>
      </c>
      <c r="O371" s="161" t="str">
        <f ca="1">IF(raw_exchange_data!$A370="","",OFFSET(raw_exchange_data!$A370,0,MATCH(O$2,raw_exchange_data!$1:$1,0)-1))</f>
        <v/>
      </c>
      <c r="P371" s="161" t="str">
        <f ca="1">IF(raw_exchange_data!$A370="","",OFFSET(raw_exchange_data!$A370,0,MATCH(P$2,raw_exchange_data!$1:$1,0)-1))</f>
        <v/>
      </c>
      <c r="Q371" s="161" t="str">
        <f ca="1">IF(raw_exchange_data!$A370="","",TEXT(OFFSET(raw_exchange_data!$A370,0,MATCH(Q$2,raw_exchange_data!$1:$1,0)-1),""))</f>
        <v/>
      </c>
      <c r="R371" s="162" t="str">
        <f ca="1">IF(raw_exchange_data!$A370="","",OFFSET(raw_exchange_data!$A370,0,MATCH(R$2,raw_exchange_data!$1:$1,0)-1))</f>
        <v/>
      </c>
      <c r="S371" s="190" t="str">
        <f ca="1">IF(raw_exchange_data!$A370="","",OFFSET(raw_exchange_data!$A370,0,MATCH(S$2,raw_exchange_data!$1:$1,0)-1))</f>
        <v/>
      </c>
      <c r="T371" s="161">
        <v>1</v>
      </c>
      <c r="W371" t="str">
        <f t="shared" si="28"/>
        <v>FBLK</v>
      </c>
      <c r="X371" t="str">
        <f t="shared" si="29"/>
        <v>ENJ</v>
      </c>
      <c r="Y371" s="42">
        <f t="shared" si="30"/>
        <v>516.67744242000003</v>
      </c>
      <c r="Z371" s="42">
        <f t="shared" ca="1" si="31"/>
        <v>2329.31244242</v>
      </c>
      <c r="AC371"/>
      <c r="AD371"/>
    </row>
    <row r="372" spans="1:30" x14ac:dyDescent="0.25">
      <c r="A372" t="str">
        <f>IF(Summary_Exchange_Balances_00UTC!$B371="","",Summary_Exchange_Balances_00UTC!$N371)</f>
        <v>FBLK</v>
      </c>
      <c r="B372" t="str">
        <f>IF(Summary_Exchange_Balances_00UTC!$B371="","",Summary_Exchange_Balances_00UTC!$B371)</f>
        <v>FBLK</v>
      </c>
      <c r="C372" t="str">
        <f>IF(Summary_Exchange_Balances_00UTC!$B371="","",Summary_Exchange_Balances_00UTC!$E371)</f>
        <v>EOS</v>
      </c>
      <c r="D372" t="str">
        <f>IF(OR(Summary_Exchange_Balances_00UTC!$B371="",Summary_Exchange_Balances_00UTC!$D371=""),"",Summary_Exchange_Balances_00UTC!$D371)</f>
        <v/>
      </c>
      <c r="E372" s="53">
        <f>IF(Summary_Exchange_Balances_00UTC!$B371="","",Summary_Exchange_Balances_00UTC!$C371)</f>
        <v>186334.70740000001</v>
      </c>
      <c r="G372" s="52">
        <f ca="1">IF(Summary_Exchange_Balances_00UTC!$B371="","",VLOOKUP(IF(ISERROR(SEARCH(" ", $B372)),UPPER($B372&amp;$C372&amp;IF(OR(NOT(ISERROR(SEARCH("trade",$D372))),NOT(ISERROR(SEARCH("balance",$D372)))),"",$D372)),UPPER(LEFT($B372, SEARCH(" ",$B372)-1)&amp;$C372&amp;IF(OR(NOT(ISERROR(SEARCH("trade",$D372))),NOT(ISERROR(SEARCH("balance",$D372)))),"",$D372))),$L:$T,MATCH("balance",$L$2:$S$2,0),FALSE))</f>
        <v>186334.70740000001</v>
      </c>
      <c r="H372" s="35">
        <f ca="1">IF(Summary_Exchange_Balances_00UTC!$B371="","",(G372-E372)/E372)</f>
        <v>0</v>
      </c>
      <c r="I372" s="165">
        <f ca="1">IF(Summary_Exchange_Balances_00UTC!$B371="","",IF(ISERROR($G372),$E372,$G372))</f>
        <v>186334.70740000001</v>
      </c>
      <c r="K372" t="str">
        <f t="shared" ca="1" si="26"/>
        <v/>
      </c>
      <c r="L372" t="str">
        <f t="shared" ca="1" si="27"/>
        <v/>
      </c>
      <c r="N372" s="161" t="str">
        <f ca="1">IF(raw_exchange_data!$A371="","",OFFSET(raw_exchange_data!$A371,0,MATCH(N$2,raw_exchange_data!$1:$1,0)-1))</f>
        <v/>
      </c>
      <c r="O372" s="161" t="str">
        <f ca="1">IF(raw_exchange_data!$A371="","",OFFSET(raw_exchange_data!$A371,0,MATCH(O$2,raw_exchange_data!$1:$1,0)-1))</f>
        <v/>
      </c>
      <c r="P372" s="161" t="str">
        <f ca="1">IF(raw_exchange_data!$A371="","",OFFSET(raw_exchange_data!$A371,0,MATCH(P$2,raw_exchange_data!$1:$1,0)-1))</f>
        <v/>
      </c>
      <c r="Q372" s="161" t="str">
        <f ca="1">IF(raw_exchange_data!$A371="","",TEXT(OFFSET(raw_exchange_data!$A371,0,MATCH(Q$2,raw_exchange_data!$1:$1,0)-1),""))</f>
        <v/>
      </c>
      <c r="R372" s="162" t="str">
        <f ca="1">IF(raw_exchange_data!$A371="","",OFFSET(raw_exchange_data!$A371,0,MATCH(R$2,raw_exchange_data!$1:$1,0)-1))</f>
        <v/>
      </c>
      <c r="S372" s="190" t="str">
        <f ca="1">IF(raw_exchange_data!$A371="","",OFFSET(raw_exchange_data!$A371,0,MATCH(S$2,raw_exchange_data!$1:$1,0)-1))</f>
        <v/>
      </c>
      <c r="T372" s="161">
        <v>1</v>
      </c>
      <c r="W372" t="str">
        <f t="shared" si="28"/>
        <v>FBLK</v>
      </c>
      <c r="X372" t="str">
        <f t="shared" si="29"/>
        <v>EOS</v>
      </c>
      <c r="Y372" s="42">
        <f t="shared" si="30"/>
        <v>186334.70740000001</v>
      </c>
      <c r="Z372" s="42">
        <f t="shared" ca="1" si="31"/>
        <v>186334.70740000001</v>
      </c>
      <c r="AC372"/>
      <c r="AD372"/>
    </row>
    <row r="373" spans="1:30" x14ac:dyDescent="0.25">
      <c r="A373" t="str">
        <f>IF(Summary_Exchange_Balances_00UTC!$B372="","",Summary_Exchange_Balances_00UTC!$N372)</f>
        <v>FBLK</v>
      </c>
      <c r="B373" t="str">
        <f>IF(Summary_Exchange_Balances_00UTC!$B372="","",Summary_Exchange_Balances_00UTC!$B372)</f>
        <v>FBLK</v>
      </c>
      <c r="C373" t="str">
        <f>IF(Summary_Exchange_Balances_00UTC!$B372="","",Summary_Exchange_Balances_00UTC!$E372)</f>
        <v>ETC</v>
      </c>
      <c r="D373" t="str">
        <f>IF(OR(Summary_Exchange_Balances_00UTC!$B372="",Summary_Exchange_Balances_00UTC!$D372=""),"",Summary_Exchange_Balances_00UTC!$D372)</f>
        <v/>
      </c>
      <c r="E373" s="53">
        <f>IF(Summary_Exchange_Balances_00UTC!$B372="","",Summary_Exchange_Balances_00UTC!$C372)</f>
        <v>98844.463872979904</v>
      </c>
      <c r="G373" s="52">
        <f ca="1">IF(Summary_Exchange_Balances_00UTC!$B372="","",VLOOKUP(IF(ISERROR(SEARCH(" ", $B373)),UPPER($B373&amp;$C373&amp;IF(OR(NOT(ISERROR(SEARCH("trade",$D373))),NOT(ISERROR(SEARCH("balance",$D373)))),"",$D373)),UPPER(LEFT($B373, SEARCH(" ",$B373)-1)&amp;$C373&amp;IF(OR(NOT(ISERROR(SEARCH("trade",$D373))),NOT(ISERROR(SEARCH("balance",$D373)))),"",$D373))),$L:$T,MATCH("balance",$L$2:$S$2,0),FALSE))</f>
        <v>98844.463872979206</v>
      </c>
      <c r="H373" s="35">
        <f ca="1">IF(Summary_Exchange_Balances_00UTC!$B372="","",(G373-E373)/E373)</f>
        <v>-7.0665761499724061E-15</v>
      </c>
      <c r="I373" s="165">
        <f ca="1">IF(Summary_Exchange_Balances_00UTC!$B372="","",IF(ISERROR($G373),$E373,$G373))</f>
        <v>98844.463872979206</v>
      </c>
      <c r="K373" t="str">
        <f t="shared" ca="1" si="26"/>
        <v/>
      </c>
      <c r="L373" t="str">
        <f t="shared" ca="1" si="27"/>
        <v/>
      </c>
      <c r="N373" s="161" t="str">
        <f ca="1">IF(raw_exchange_data!$A372="","",OFFSET(raw_exchange_data!$A372,0,MATCH(N$2,raw_exchange_data!$1:$1,0)-1))</f>
        <v/>
      </c>
      <c r="O373" s="161" t="str">
        <f ca="1">IF(raw_exchange_data!$A372="","",OFFSET(raw_exchange_data!$A372,0,MATCH(O$2,raw_exchange_data!$1:$1,0)-1))</f>
        <v/>
      </c>
      <c r="P373" s="161" t="str">
        <f ca="1">IF(raw_exchange_data!$A372="","",OFFSET(raw_exchange_data!$A372,0,MATCH(P$2,raw_exchange_data!$1:$1,0)-1))</f>
        <v/>
      </c>
      <c r="Q373" s="161" t="str">
        <f ca="1">IF(raw_exchange_data!$A372="","",TEXT(OFFSET(raw_exchange_data!$A372,0,MATCH(Q$2,raw_exchange_data!$1:$1,0)-1),""))</f>
        <v/>
      </c>
      <c r="R373" s="162" t="str">
        <f ca="1">IF(raw_exchange_data!$A372="","",OFFSET(raw_exchange_data!$A372,0,MATCH(R$2,raw_exchange_data!$1:$1,0)-1))</f>
        <v/>
      </c>
      <c r="S373" s="190" t="str">
        <f ca="1">IF(raw_exchange_data!$A372="","",OFFSET(raw_exchange_data!$A372,0,MATCH(S$2,raw_exchange_data!$1:$1,0)-1))</f>
        <v/>
      </c>
      <c r="T373" s="161">
        <v>1</v>
      </c>
      <c r="W373" t="str">
        <f t="shared" si="28"/>
        <v>FBLK</v>
      </c>
      <c r="X373" t="str">
        <f t="shared" si="29"/>
        <v>ETC</v>
      </c>
      <c r="Y373" s="42">
        <f t="shared" si="30"/>
        <v>98844.463872979904</v>
      </c>
      <c r="Z373" s="42">
        <f t="shared" ca="1" si="31"/>
        <v>98844.463872979206</v>
      </c>
      <c r="AC373"/>
      <c r="AD373"/>
    </row>
    <row r="374" spans="1:30" x14ac:dyDescent="0.25">
      <c r="A374" t="str">
        <f>IF(Summary_Exchange_Balances_00UTC!$B373="","",Summary_Exchange_Balances_00UTC!$N373)</f>
        <v>FBLK</v>
      </c>
      <c r="B374" t="str">
        <f>IF(Summary_Exchange_Balances_00UTC!$B373="","",Summary_Exchange_Balances_00UTC!$B373)</f>
        <v>FBLK</v>
      </c>
      <c r="C374" t="str">
        <f>IF(Summary_Exchange_Balances_00UTC!$B373="","",Summary_Exchange_Balances_00UTC!$E373)</f>
        <v>ETH</v>
      </c>
      <c r="D374" t="str">
        <f>IF(OR(Summary_Exchange_Balances_00UTC!$B373="",Summary_Exchange_Balances_00UTC!$D373=""),"",Summary_Exchange_Balances_00UTC!$D373)</f>
        <v/>
      </c>
      <c r="E374" s="53">
        <f>IF(Summary_Exchange_Balances_00UTC!$B373="","",Summary_Exchange_Balances_00UTC!$C373)</f>
        <v>1175.8957334300001</v>
      </c>
      <c r="G374" s="52">
        <f ca="1">IF(Summary_Exchange_Balances_00UTC!$B373="","",VLOOKUP(IF(ISERROR(SEARCH(" ", $B374)),UPPER($B374&amp;$C374&amp;IF(OR(NOT(ISERROR(SEARCH("trade",$D374))),NOT(ISERROR(SEARCH("balance",$D374)))),"",$D374)),UPPER(LEFT($B374, SEARCH(" ",$B374)-1)&amp;$C374&amp;IF(OR(NOT(ISERROR(SEARCH("trade",$D374))),NOT(ISERROR(SEARCH("balance",$D374)))),"",$D374))),$L:$T,MATCH("balance",$L$2:$S$2,0),FALSE))</f>
        <v>638.44672550229996</v>
      </c>
      <c r="H374" s="35">
        <f ca="1">IF(Summary_Exchange_Balances_00UTC!$B373="","",(G374-E374)/E374)</f>
        <v>-0.45705498595526106</v>
      </c>
      <c r="I374" s="165">
        <f ca="1">IF(Summary_Exchange_Balances_00UTC!$B373="","",IF(ISERROR($G374),$E374,$G374))</f>
        <v>638.44672550229996</v>
      </c>
      <c r="K374" t="str">
        <f t="shared" ca="1" si="26"/>
        <v/>
      </c>
      <c r="L374" t="str">
        <f t="shared" ca="1" si="27"/>
        <v/>
      </c>
      <c r="N374" s="161" t="str">
        <f ca="1">IF(raw_exchange_data!$A373="","",OFFSET(raw_exchange_data!$A373,0,MATCH(N$2,raw_exchange_data!$1:$1,0)-1))</f>
        <v/>
      </c>
      <c r="O374" s="161" t="str">
        <f ca="1">IF(raw_exchange_data!$A373="","",OFFSET(raw_exchange_data!$A373,0,MATCH(O$2,raw_exchange_data!$1:$1,0)-1))</f>
        <v/>
      </c>
      <c r="P374" s="161" t="str">
        <f ca="1">IF(raw_exchange_data!$A373="","",OFFSET(raw_exchange_data!$A373,0,MATCH(P$2,raw_exchange_data!$1:$1,0)-1))</f>
        <v/>
      </c>
      <c r="Q374" s="161" t="str">
        <f ca="1">IF(raw_exchange_data!$A373="","",TEXT(OFFSET(raw_exchange_data!$A373,0,MATCH(Q$2,raw_exchange_data!$1:$1,0)-1),""))</f>
        <v/>
      </c>
      <c r="R374" s="162" t="str">
        <f ca="1">IF(raw_exchange_data!$A373="","",OFFSET(raw_exchange_data!$A373,0,MATCH(R$2,raw_exchange_data!$1:$1,0)-1))</f>
        <v/>
      </c>
      <c r="S374" s="190" t="str">
        <f ca="1">IF(raw_exchange_data!$A373="","",OFFSET(raw_exchange_data!$A373,0,MATCH(S$2,raw_exchange_data!$1:$1,0)-1))</f>
        <v/>
      </c>
      <c r="T374" s="161">
        <v>1</v>
      </c>
      <c r="W374" t="str">
        <f t="shared" si="28"/>
        <v>FBLK</v>
      </c>
      <c r="X374" t="str">
        <f t="shared" si="29"/>
        <v>ETH</v>
      </c>
      <c r="Y374" s="42">
        <f t="shared" si="30"/>
        <v>1175.8957334300001</v>
      </c>
      <c r="Z374" s="42">
        <f t="shared" ca="1" si="31"/>
        <v>638.44672550229996</v>
      </c>
      <c r="AC374"/>
      <c r="AD374"/>
    </row>
    <row r="375" spans="1:30" x14ac:dyDescent="0.25">
      <c r="A375" t="str">
        <f>IF(Summary_Exchange_Balances_00UTC!$B374="","",Summary_Exchange_Balances_00UTC!$N374)</f>
        <v>FBLK</v>
      </c>
      <c r="B375" t="str">
        <f>IF(Summary_Exchange_Balances_00UTC!$B374="","",Summary_Exchange_Balances_00UTC!$B374)</f>
        <v>FBLK</v>
      </c>
      <c r="C375" t="str">
        <f>IF(Summary_Exchange_Balances_00UTC!$B374="","",Summary_Exchange_Balances_00UTC!$E374)</f>
        <v>ETHW</v>
      </c>
      <c r="D375" t="str">
        <f>IF(OR(Summary_Exchange_Balances_00UTC!$B374="",Summary_Exchange_Balances_00UTC!$D374=""),"",Summary_Exchange_Balances_00UTC!$D374)</f>
        <v/>
      </c>
      <c r="E375" s="53">
        <f>IF(Summary_Exchange_Balances_00UTC!$B374="","",Summary_Exchange_Balances_00UTC!$C374)</f>
        <v>1268.1820227400001</v>
      </c>
      <c r="G375" s="52">
        <f ca="1">IF(Summary_Exchange_Balances_00UTC!$B374="","",VLOOKUP(IF(ISERROR(SEARCH(" ", $B375)),UPPER($B375&amp;$C375&amp;IF(OR(NOT(ISERROR(SEARCH("trade",$D375))),NOT(ISERROR(SEARCH("balance",$D375)))),"",$D375)),UPPER(LEFT($B375, SEARCH(" ",$B375)-1)&amp;$C375&amp;IF(OR(NOT(ISERROR(SEARCH("trade",$D375))),NOT(ISERROR(SEARCH("balance",$D375)))),"",$D375))),$L:$T,MATCH("balance",$L$2:$S$2,0),FALSE))</f>
        <v>1271.8180884257999</v>
      </c>
      <c r="H375" s="35">
        <f ca="1">IF(Summary_Exchange_Balances_00UTC!$B374="","",(G375-E375)/E375)</f>
        <v>2.8671481069758925E-3</v>
      </c>
      <c r="I375" s="165">
        <f ca="1">IF(Summary_Exchange_Balances_00UTC!$B374="","",IF(ISERROR($G375),$E375,$G375))</f>
        <v>1271.8180884257999</v>
      </c>
      <c r="K375" t="str">
        <f t="shared" ca="1" si="26"/>
        <v/>
      </c>
      <c r="L375" t="str">
        <f t="shared" ca="1" si="27"/>
        <v/>
      </c>
      <c r="N375" s="161" t="str">
        <f ca="1">IF(raw_exchange_data!$A374="","",OFFSET(raw_exchange_data!$A374,0,MATCH(N$2,raw_exchange_data!$1:$1,0)-1))</f>
        <v/>
      </c>
      <c r="O375" s="161" t="str">
        <f ca="1">IF(raw_exchange_data!$A374="","",OFFSET(raw_exchange_data!$A374,0,MATCH(O$2,raw_exchange_data!$1:$1,0)-1))</f>
        <v/>
      </c>
      <c r="P375" s="161" t="str">
        <f ca="1">IF(raw_exchange_data!$A374="","",OFFSET(raw_exchange_data!$A374,0,MATCH(P$2,raw_exchange_data!$1:$1,0)-1))</f>
        <v/>
      </c>
      <c r="Q375" s="161" t="str">
        <f ca="1">IF(raw_exchange_data!$A374="","",TEXT(OFFSET(raw_exchange_data!$A374,0,MATCH(Q$2,raw_exchange_data!$1:$1,0)-1),""))</f>
        <v/>
      </c>
      <c r="R375" s="162" t="str">
        <f ca="1">IF(raw_exchange_data!$A374="","",OFFSET(raw_exchange_data!$A374,0,MATCH(R$2,raw_exchange_data!$1:$1,0)-1))</f>
        <v/>
      </c>
      <c r="S375" s="190" t="str">
        <f ca="1">IF(raw_exchange_data!$A374="","",OFFSET(raw_exchange_data!$A374,0,MATCH(S$2,raw_exchange_data!$1:$1,0)-1))</f>
        <v/>
      </c>
      <c r="T375" s="161">
        <v>1</v>
      </c>
      <c r="W375" t="str">
        <f t="shared" si="28"/>
        <v>FBLK</v>
      </c>
      <c r="X375" t="str">
        <f t="shared" si="29"/>
        <v>ETHW</v>
      </c>
      <c r="Y375" s="42">
        <f t="shared" si="30"/>
        <v>1268.1820227400001</v>
      </c>
      <c r="Z375" s="42">
        <f t="shared" ca="1" si="31"/>
        <v>1271.8180884257999</v>
      </c>
      <c r="AC375"/>
      <c r="AD375"/>
    </row>
    <row r="376" spans="1:30" x14ac:dyDescent="0.25">
      <c r="A376" t="str">
        <f>IF(Summary_Exchange_Balances_00UTC!$B375="","",Summary_Exchange_Balances_00UTC!$N375)</f>
        <v>FBLK</v>
      </c>
      <c r="B376" t="str">
        <f>IF(Summary_Exchange_Balances_00UTC!$B375="","",Summary_Exchange_Balances_00UTC!$B375)</f>
        <v>FBLK</v>
      </c>
      <c r="C376" t="str">
        <f>IF(Summary_Exchange_Balances_00UTC!$B375="","",Summary_Exchange_Balances_00UTC!$E375)</f>
        <v>EUROC</v>
      </c>
      <c r="D376" t="str">
        <f>IF(OR(Summary_Exchange_Balances_00UTC!$B375="",Summary_Exchange_Balances_00UTC!$D375=""),"",Summary_Exchange_Balances_00UTC!$D375)</f>
        <v/>
      </c>
      <c r="E376" s="53">
        <f>IF(Summary_Exchange_Balances_00UTC!$B375="","",Summary_Exchange_Balances_00UTC!$C375)</f>
        <v>235746.127034</v>
      </c>
      <c r="G376" s="52" t="e">
        <f ca="1">IF(Summary_Exchange_Balances_00UTC!$B375="","",VLOOKUP(IF(ISERROR(SEARCH(" ", $B376)),UPPER($B376&amp;$C376&amp;IF(OR(NOT(ISERROR(SEARCH("trade",$D376))),NOT(ISERROR(SEARCH("balance",$D376)))),"",$D376)),UPPER(LEFT($B376, SEARCH(" ",$B376)-1)&amp;$C376&amp;IF(OR(NOT(ISERROR(SEARCH("trade",$D376))),NOT(ISERROR(SEARCH("balance",$D376)))),"",$D376))),$L:$T,MATCH("balance",$L$2:$S$2,0),FALSE))</f>
        <v>#N/A</v>
      </c>
      <c r="H376" s="35" t="e">
        <f ca="1">IF(Summary_Exchange_Balances_00UTC!$B375="","",(G376-E376)/E376)</f>
        <v>#N/A</v>
      </c>
      <c r="I376" s="165">
        <f ca="1">IF(Summary_Exchange_Balances_00UTC!$B375="","",IF(ISERROR($G376),$E376,$G376))</f>
        <v>235746.127034</v>
      </c>
      <c r="K376" t="str">
        <f t="shared" ca="1" si="26"/>
        <v/>
      </c>
      <c r="L376" t="str">
        <f t="shared" ca="1" si="27"/>
        <v/>
      </c>
      <c r="N376" s="161" t="str">
        <f ca="1">IF(raw_exchange_data!$A375="","",OFFSET(raw_exchange_data!$A375,0,MATCH(N$2,raw_exchange_data!$1:$1,0)-1))</f>
        <v/>
      </c>
      <c r="O376" s="161" t="str">
        <f ca="1">IF(raw_exchange_data!$A375="","",OFFSET(raw_exchange_data!$A375,0,MATCH(O$2,raw_exchange_data!$1:$1,0)-1))</f>
        <v/>
      </c>
      <c r="P376" s="161" t="str">
        <f ca="1">IF(raw_exchange_data!$A375="","",OFFSET(raw_exchange_data!$A375,0,MATCH(P$2,raw_exchange_data!$1:$1,0)-1))</f>
        <v/>
      </c>
      <c r="Q376" s="161" t="str">
        <f ca="1">IF(raw_exchange_data!$A375="","",TEXT(OFFSET(raw_exchange_data!$A375,0,MATCH(Q$2,raw_exchange_data!$1:$1,0)-1),""))</f>
        <v/>
      </c>
      <c r="R376" s="162" t="str">
        <f ca="1">IF(raw_exchange_data!$A375="","",OFFSET(raw_exchange_data!$A375,0,MATCH(R$2,raw_exchange_data!$1:$1,0)-1))</f>
        <v/>
      </c>
      <c r="S376" s="190" t="str">
        <f ca="1">IF(raw_exchange_data!$A375="","",OFFSET(raw_exchange_data!$A375,0,MATCH(S$2,raw_exchange_data!$1:$1,0)-1))</f>
        <v/>
      </c>
      <c r="T376" s="161">
        <v>1</v>
      </c>
      <c r="W376" t="str">
        <f t="shared" si="28"/>
        <v>FBLK</v>
      </c>
      <c r="X376" t="str">
        <f t="shared" si="29"/>
        <v>EUROC</v>
      </c>
      <c r="Y376" s="42">
        <f t="shared" si="30"/>
        <v>235746.127034</v>
      </c>
      <c r="Z376" s="42">
        <f t="shared" ca="1" si="31"/>
        <v>0</v>
      </c>
      <c r="AC376"/>
      <c r="AD376"/>
    </row>
    <row r="377" spans="1:30" x14ac:dyDescent="0.25">
      <c r="A377" t="str">
        <f>IF(Summary_Exchange_Balances_00UTC!$B376="","",Summary_Exchange_Balances_00UTC!$N376)</f>
        <v>FBLK</v>
      </c>
      <c r="B377" t="str">
        <f>IF(Summary_Exchange_Balances_00UTC!$B376="","",Summary_Exchange_Balances_00UTC!$B376)</f>
        <v>FBLK</v>
      </c>
      <c r="C377" t="str">
        <f>IF(Summary_Exchange_Balances_00UTC!$B376="","",Summary_Exchange_Balances_00UTC!$E376)</f>
        <v>FTM</v>
      </c>
      <c r="D377" t="str">
        <f>IF(OR(Summary_Exchange_Balances_00UTC!$B376="",Summary_Exchange_Balances_00UTC!$D376=""),"",Summary_Exchange_Balances_00UTC!$D376)</f>
        <v/>
      </c>
      <c r="E377" s="53">
        <f>IF(Summary_Exchange_Balances_00UTC!$B376="","",Summary_Exchange_Balances_00UTC!$C376)</f>
        <v>3173.41253207</v>
      </c>
      <c r="G377" s="52" t="e">
        <f ca="1">IF(Summary_Exchange_Balances_00UTC!$B376="","",VLOOKUP(IF(ISERROR(SEARCH(" ", $B377)),UPPER($B377&amp;$C377&amp;IF(OR(NOT(ISERROR(SEARCH("trade",$D377))),NOT(ISERROR(SEARCH("balance",$D377)))),"",$D377)),UPPER(LEFT($B377, SEARCH(" ",$B377)-1)&amp;$C377&amp;IF(OR(NOT(ISERROR(SEARCH("trade",$D377))),NOT(ISERROR(SEARCH("balance",$D377)))),"",$D377))),$L:$T,MATCH("balance",$L$2:$S$2,0),FALSE))</f>
        <v>#N/A</v>
      </c>
      <c r="H377" s="35" t="e">
        <f ca="1">IF(Summary_Exchange_Balances_00UTC!$B376="","",(G377-E377)/E377)</f>
        <v>#N/A</v>
      </c>
      <c r="I377" s="165">
        <f ca="1">IF(Summary_Exchange_Balances_00UTC!$B376="","",IF(ISERROR($G377),$E377,$G377))</f>
        <v>3173.41253207</v>
      </c>
      <c r="K377" t="str">
        <f t="shared" ca="1" si="26"/>
        <v/>
      </c>
      <c r="L377" t="str">
        <f t="shared" ca="1" si="27"/>
        <v/>
      </c>
      <c r="N377" s="161" t="str">
        <f ca="1">IF(raw_exchange_data!$A376="","",OFFSET(raw_exchange_data!$A376,0,MATCH(N$2,raw_exchange_data!$1:$1,0)-1))</f>
        <v/>
      </c>
      <c r="O377" s="161" t="str">
        <f ca="1">IF(raw_exchange_data!$A376="","",OFFSET(raw_exchange_data!$A376,0,MATCH(O$2,raw_exchange_data!$1:$1,0)-1))</f>
        <v/>
      </c>
      <c r="P377" s="161" t="str">
        <f ca="1">IF(raw_exchange_data!$A376="","",OFFSET(raw_exchange_data!$A376,0,MATCH(P$2,raw_exchange_data!$1:$1,0)-1))</f>
        <v/>
      </c>
      <c r="Q377" s="161" t="str">
        <f ca="1">IF(raw_exchange_data!$A376="","",TEXT(OFFSET(raw_exchange_data!$A376,0,MATCH(Q$2,raw_exchange_data!$1:$1,0)-1),""))</f>
        <v/>
      </c>
      <c r="R377" s="162" t="str">
        <f ca="1">IF(raw_exchange_data!$A376="","",OFFSET(raw_exchange_data!$A376,0,MATCH(R$2,raw_exchange_data!$1:$1,0)-1))</f>
        <v/>
      </c>
      <c r="S377" s="190" t="str">
        <f ca="1">IF(raw_exchange_data!$A376="","",OFFSET(raw_exchange_data!$A376,0,MATCH(S$2,raw_exchange_data!$1:$1,0)-1))</f>
        <v/>
      </c>
      <c r="T377" s="161">
        <v>1</v>
      </c>
      <c r="W377" t="str">
        <f t="shared" si="28"/>
        <v>FBLK</v>
      </c>
      <c r="X377" t="str">
        <f t="shared" si="29"/>
        <v>FTM</v>
      </c>
      <c r="Y377" s="42">
        <f t="shared" si="30"/>
        <v>3173.41253207</v>
      </c>
      <c r="Z377" s="42">
        <f t="shared" ca="1" si="31"/>
        <v>0</v>
      </c>
      <c r="AC377"/>
      <c r="AD377"/>
    </row>
    <row r="378" spans="1:30" x14ac:dyDescent="0.25">
      <c r="A378" t="str">
        <f>IF(Summary_Exchange_Balances_00UTC!$B377="","",Summary_Exchange_Balances_00UTC!$N377)</f>
        <v>FBLK</v>
      </c>
      <c r="B378" t="str">
        <f>IF(Summary_Exchange_Balances_00UTC!$B377="","",Summary_Exchange_Balances_00UTC!$B377)</f>
        <v>FBLK</v>
      </c>
      <c r="C378" t="str">
        <f>IF(Summary_Exchange_Balances_00UTC!$B377="","",Summary_Exchange_Balances_00UTC!$E377)</f>
        <v>FTT</v>
      </c>
      <c r="D378" t="str">
        <f>IF(OR(Summary_Exchange_Balances_00UTC!$B377="",Summary_Exchange_Balances_00UTC!$D377=""),"",Summary_Exchange_Balances_00UTC!$D377)</f>
        <v/>
      </c>
      <c r="E378" s="53">
        <f>IF(Summary_Exchange_Balances_00UTC!$B377="","",Summary_Exchange_Balances_00UTC!$C377)</f>
        <v>2.53888889</v>
      </c>
      <c r="G378" s="52">
        <f ca="1">IF(Summary_Exchange_Balances_00UTC!$B377="","",VLOOKUP(IF(ISERROR(SEARCH(" ", $B378)),UPPER($B378&amp;$C378&amp;IF(OR(NOT(ISERROR(SEARCH("trade",$D378))),NOT(ISERROR(SEARCH("balance",$D378)))),"",$D378)),UPPER(LEFT($B378, SEARCH(" ",$B378)-1)&amp;$C378&amp;IF(OR(NOT(ISERROR(SEARCH("trade",$D378))),NOT(ISERROR(SEARCH("balance",$D378)))),"",$D378))),$L:$T,MATCH("balance",$L$2:$S$2,0),FALSE))</f>
        <v>2.53888889</v>
      </c>
      <c r="H378" s="35">
        <f ca="1">IF(Summary_Exchange_Balances_00UTC!$B377="","",(G378-E378)/E378)</f>
        <v>0</v>
      </c>
      <c r="I378" s="165">
        <f ca="1">IF(Summary_Exchange_Balances_00UTC!$B377="","",IF(ISERROR($G378),$E378,$G378))</f>
        <v>2.53888889</v>
      </c>
      <c r="K378" t="str">
        <f t="shared" ca="1" si="26"/>
        <v/>
      </c>
      <c r="L378" t="str">
        <f t="shared" ca="1" si="27"/>
        <v/>
      </c>
      <c r="N378" s="161" t="str">
        <f ca="1">IF(raw_exchange_data!$A377="","",OFFSET(raw_exchange_data!$A377,0,MATCH(N$2,raw_exchange_data!$1:$1,0)-1))</f>
        <v/>
      </c>
      <c r="O378" s="161" t="str">
        <f ca="1">IF(raw_exchange_data!$A377="","",OFFSET(raw_exchange_data!$A377,0,MATCH(O$2,raw_exchange_data!$1:$1,0)-1))</f>
        <v/>
      </c>
      <c r="P378" s="161" t="str">
        <f ca="1">IF(raw_exchange_data!$A377="","",OFFSET(raw_exchange_data!$A377,0,MATCH(P$2,raw_exchange_data!$1:$1,0)-1))</f>
        <v/>
      </c>
      <c r="Q378" s="161" t="str">
        <f ca="1">IF(raw_exchange_data!$A377="","",TEXT(OFFSET(raw_exchange_data!$A377,0,MATCH(Q$2,raw_exchange_data!$1:$1,0)-1),""))</f>
        <v/>
      </c>
      <c r="R378" s="162" t="str">
        <f ca="1">IF(raw_exchange_data!$A377="","",OFFSET(raw_exchange_data!$A377,0,MATCH(R$2,raw_exchange_data!$1:$1,0)-1))</f>
        <v/>
      </c>
      <c r="S378" s="190" t="str">
        <f ca="1">IF(raw_exchange_data!$A377="","",OFFSET(raw_exchange_data!$A377,0,MATCH(S$2,raw_exchange_data!$1:$1,0)-1))</f>
        <v/>
      </c>
      <c r="W378" t="str">
        <f t="shared" si="28"/>
        <v>FBLK</v>
      </c>
      <c r="X378" t="str">
        <f t="shared" si="29"/>
        <v>FTT</v>
      </c>
      <c r="Y378" s="42">
        <f t="shared" si="30"/>
        <v>2.53888889</v>
      </c>
      <c r="Z378" s="42">
        <f t="shared" ca="1" si="31"/>
        <v>2.53888889</v>
      </c>
      <c r="AC378"/>
      <c r="AD378"/>
    </row>
    <row r="379" spans="1:30" x14ac:dyDescent="0.25">
      <c r="A379" t="str">
        <f>IF(Summary_Exchange_Balances_00UTC!$B378="","",Summary_Exchange_Balances_00UTC!$N378)</f>
        <v>FBLK</v>
      </c>
      <c r="B379" t="str">
        <f>IF(Summary_Exchange_Balances_00UTC!$B378="","",Summary_Exchange_Balances_00UTC!$B378)</f>
        <v>FBLK</v>
      </c>
      <c r="C379" t="str">
        <f>IF(Summary_Exchange_Balances_00UTC!$B378="","",Summary_Exchange_Balances_00UTC!$E378)</f>
        <v>GRT</v>
      </c>
      <c r="D379" t="str">
        <f>IF(OR(Summary_Exchange_Balances_00UTC!$B378="",Summary_Exchange_Balances_00UTC!$D378=""),"",Summary_Exchange_Balances_00UTC!$D378)</f>
        <v/>
      </c>
      <c r="E379" s="53">
        <f>IF(Summary_Exchange_Balances_00UTC!$B378="","",Summary_Exchange_Balances_00UTC!$C378)</f>
        <v>8497.41400307</v>
      </c>
      <c r="G379" s="52">
        <f ca="1">IF(Summary_Exchange_Balances_00UTC!$B378="","",VLOOKUP(IF(ISERROR(SEARCH(" ", $B379)),UPPER($B379&amp;$C379&amp;IF(OR(NOT(ISERROR(SEARCH("trade",$D379))),NOT(ISERROR(SEARCH("balance",$D379)))),"",$D379)),UPPER(LEFT($B379, SEARCH(" ",$B379)-1)&amp;$C379&amp;IF(OR(NOT(ISERROR(SEARCH("trade",$D379))),NOT(ISERROR(SEARCH("balance",$D379)))),"",$D379))),$L:$T,MATCH("balance",$L$2:$S$2,0),FALSE))</f>
        <v>13740.37771737</v>
      </c>
      <c r="H379" s="35">
        <f ca="1">IF(Summary_Exchange_Balances_00UTC!$B378="","",(G379-E379)/E379)</f>
        <v>0.61700697558172268</v>
      </c>
      <c r="I379" s="165">
        <f ca="1">IF(Summary_Exchange_Balances_00UTC!$B378="","",IF(ISERROR($G379),$E379,$G379))</f>
        <v>13740.37771737</v>
      </c>
      <c r="K379" t="str">
        <f t="shared" ca="1" si="26"/>
        <v/>
      </c>
      <c r="L379" t="str">
        <f t="shared" ca="1" si="27"/>
        <v/>
      </c>
      <c r="N379" s="161" t="str">
        <f ca="1">IF(raw_exchange_data!$A378="","",OFFSET(raw_exchange_data!$A378,0,MATCH(N$2,raw_exchange_data!$1:$1,0)-1))</f>
        <v/>
      </c>
      <c r="O379" s="161" t="str">
        <f ca="1">IF(raw_exchange_data!$A378="","",OFFSET(raw_exchange_data!$A378,0,MATCH(O$2,raw_exchange_data!$1:$1,0)-1))</f>
        <v/>
      </c>
      <c r="P379" s="161" t="str">
        <f ca="1">IF(raw_exchange_data!$A378="","",OFFSET(raw_exchange_data!$A378,0,MATCH(P$2,raw_exchange_data!$1:$1,0)-1))</f>
        <v/>
      </c>
      <c r="Q379" s="161" t="str">
        <f ca="1">IF(raw_exchange_data!$A378="","",TEXT(OFFSET(raw_exchange_data!$A378,0,MATCH(Q$2,raw_exchange_data!$1:$1,0)-1),""))</f>
        <v/>
      </c>
      <c r="R379" s="162" t="str">
        <f ca="1">IF(raw_exchange_data!$A378="","",OFFSET(raw_exchange_data!$A378,0,MATCH(R$2,raw_exchange_data!$1:$1,0)-1))</f>
        <v/>
      </c>
      <c r="S379" s="190" t="str">
        <f ca="1">IF(raw_exchange_data!$A378="","",OFFSET(raw_exchange_data!$A378,0,MATCH(S$2,raw_exchange_data!$1:$1,0)-1))</f>
        <v/>
      </c>
      <c r="W379" t="str">
        <f t="shared" si="28"/>
        <v>FBLK</v>
      </c>
      <c r="X379" t="str">
        <f t="shared" si="29"/>
        <v>GRT</v>
      </c>
      <c r="Y379" s="42">
        <f t="shared" si="30"/>
        <v>8497.41400307</v>
      </c>
      <c r="Z379" s="42">
        <f t="shared" ca="1" si="31"/>
        <v>13740.37771737</v>
      </c>
      <c r="AC379"/>
      <c r="AD379"/>
    </row>
    <row r="380" spans="1:30" x14ac:dyDescent="0.25">
      <c r="A380" t="str">
        <f>IF(Summary_Exchange_Balances_00UTC!$B379="","",Summary_Exchange_Balances_00UTC!$N379)</f>
        <v>FBLK</v>
      </c>
      <c r="B380" t="str">
        <f>IF(Summary_Exchange_Balances_00UTC!$B379="","",Summary_Exchange_Balances_00UTC!$B379)</f>
        <v>FBLK</v>
      </c>
      <c r="C380" t="str">
        <f>IF(Summary_Exchange_Balances_00UTC!$B379="","",Summary_Exchange_Balances_00UTC!$E379)</f>
        <v>HBAR</v>
      </c>
      <c r="D380" t="str">
        <f>IF(OR(Summary_Exchange_Balances_00UTC!$B379="",Summary_Exchange_Balances_00UTC!$D379=""),"",Summary_Exchange_Balances_00UTC!$D379)</f>
        <v/>
      </c>
      <c r="E380" s="53">
        <f>IF(Summary_Exchange_Balances_00UTC!$B379="","",Summary_Exchange_Balances_00UTC!$C379)</f>
        <v>255118.81084801001</v>
      </c>
      <c r="G380" s="52">
        <f ca="1">IF(Summary_Exchange_Balances_00UTC!$B379="","",VLOOKUP(IF(ISERROR(SEARCH(" ", $B380)),UPPER($B380&amp;$C380&amp;IF(OR(NOT(ISERROR(SEARCH("trade",$D380))),NOT(ISERROR(SEARCH("balance",$D380)))),"",$D380)),UPPER(LEFT($B380, SEARCH(" ",$B380)-1)&amp;$C380&amp;IF(OR(NOT(ISERROR(SEARCH("trade",$D380))),NOT(ISERROR(SEARCH("balance",$D380)))),"",$D380))),$L:$T,MATCH("balance",$L$2:$S$2,0),FALSE))</f>
        <v>4716.81084801</v>
      </c>
      <c r="H380" s="35">
        <f ca="1">IF(Summary_Exchange_Balances_00UTC!$B379="","",(G380-E380)/E380)</f>
        <v>-0.98151131689454252</v>
      </c>
      <c r="I380" s="165">
        <f ca="1">IF(Summary_Exchange_Balances_00UTC!$B379="","",IF(ISERROR($G380),$E380,$G380))</f>
        <v>4716.81084801</v>
      </c>
      <c r="K380" t="str">
        <f t="shared" ca="1" si="26"/>
        <v/>
      </c>
      <c r="L380" t="str">
        <f t="shared" ca="1" si="27"/>
        <v/>
      </c>
      <c r="N380" s="161" t="str">
        <f ca="1">IF(raw_exchange_data!$A379="","",OFFSET(raw_exchange_data!$A379,0,MATCH(N$2,raw_exchange_data!$1:$1,0)-1))</f>
        <v/>
      </c>
      <c r="O380" s="161" t="str">
        <f ca="1">IF(raw_exchange_data!$A379="","",OFFSET(raw_exchange_data!$A379,0,MATCH(O$2,raw_exchange_data!$1:$1,0)-1))</f>
        <v/>
      </c>
      <c r="P380" s="161" t="str">
        <f ca="1">IF(raw_exchange_data!$A379="","",OFFSET(raw_exchange_data!$A379,0,MATCH(P$2,raw_exchange_data!$1:$1,0)-1))</f>
        <v/>
      </c>
      <c r="Q380" s="161" t="str">
        <f ca="1">IF(raw_exchange_data!$A379="","",TEXT(OFFSET(raw_exchange_data!$A379,0,MATCH(Q$2,raw_exchange_data!$1:$1,0)-1),""))</f>
        <v/>
      </c>
      <c r="R380" s="162" t="str">
        <f ca="1">IF(raw_exchange_data!$A379="","",OFFSET(raw_exchange_data!$A379,0,MATCH(R$2,raw_exchange_data!$1:$1,0)-1))</f>
        <v/>
      </c>
      <c r="S380" s="190" t="str">
        <f ca="1">IF(raw_exchange_data!$A379="","",OFFSET(raw_exchange_data!$A379,0,MATCH(S$2,raw_exchange_data!$1:$1,0)-1))</f>
        <v/>
      </c>
      <c r="W380" t="str">
        <f t="shared" si="28"/>
        <v>FBLK</v>
      </c>
      <c r="X380" t="str">
        <f t="shared" si="29"/>
        <v>HBAR</v>
      </c>
      <c r="Y380" s="42">
        <f t="shared" si="30"/>
        <v>255118.81084801001</v>
      </c>
      <c r="Z380" s="42">
        <f t="shared" ca="1" si="31"/>
        <v>4716.81084801</v>
      </c>
      <c r="AC380"/>
      <c r="AD380"/>
    </row>
    <row r="381" spans="1:30" x14ac:dyDescent="0.25">
      <c r="A381" t="str">
        <f>IF(Summary_Exchange_Balances_00UTC!$B380="","",Summary_Exchange_Balances_00UTC!$N380)</f>
        <v>FBLK</v>
      </c>
      <c r="B381" t="str">
        <f>IF(Summary_Exchange_Balances_00UTC!$B380="","",Summary_Exchange_Balances_00UTC!$B380)</f>
        <v>FBLK</v>
      </c>
      <c r="C381" t="str">
        <f>IF(Summary_Exchange_Balances_00UTC!$B380="","",Summary_Exchange_Balances_00UTC!$E380)</f>
        <v>KSM</v>
      </c>
      <c r="D381" t="str">
        <f>IF(OR(Summary_Exchange_Balances_00UTC!$B380="",Summary_Exchange_Balances_00UTC!$D380=""),"",Summary_Exchange_Balances_00UTC!$D380)</f>
        <v/>
      </c>
      <c r="E381" s="53">
        <f>IF(Summary_Exchange_Balances_00UTC!$B380="","",Summary_Exchange_Balances_00UTC!$C380)</f>
        <v>9.2269799999999992E-3</v>
      </c>
      <c r="G381" s="52">
        <f ca="1">IF(Summary_Exchange_Balances_00UTC!$B380="","",VLOOKUP(IF(ISERROR(SEARCH(" ", $B381)),UPPER($B381&amp;$C381&amp;IF(OR(NOT(ISERROR(SEARCH("trade",$D381))),NOT(ISERROR(SEARCH("balance",$D381)))),"",$D381)),UPPER(LEFT($B381, SEARCH(" ",$B381)-1)&amp;$C381&amp;IF(OR(NOT(ISERROR(SEARCH("trade",$D381))),NOT(ISERROR(SEARCH("balance",$D381)))),"",$D381))),$L:$T,MATCH("balance",$L$2:$S$2,0),FALSE))</f>
        <v>9.2269842999999994E-3</v>
      </c>
      <c r="H381" s="35">
        <f ca="1">IF(Summary_Exchange_Balances_00UTC!$B380="","",(G381-E381)/E381)</f>
        <v>4.660246364645077E-7</v>
      </c>
      <c r="I381" s="165">
        <f ca="1">IF(Summary_Exchange_Balances_00UTC!$B380="","",IF(ISERROR($G381),$E381,$G381))</f>
        <v>9.2269842999999994E-3</v>
      </c>
      <c r="K381" t="str">
        <f t="shared" ca="1" si="26"/>
        <v/>
      </c>
      <c r="L381" t="str">
        <f t="shared" ca="1" si="27"/>
        <v/>
      </c>
      <c r="N381" s="161" t="str">
        <f ca="1">IF(raw_exchange_data!$A380="","",OFFSET(raw_exchange_data!$A380,0,MATCH(N$2,raw_exchange_data!$1:$1,0)-1))</f>
        <v/>
      </c>
      <c r="O381" s="161" t="str">
        <f ca="1">IF(raw_exchange_data!$A380="","",OFFSET(raw_exchange_data!$A380,0,MATCH(O$2,raw_exchange_data!$1:$1,0)-1))</f>
        <v/>
      </c>
      <c r="P381" s="161" t="str">
        <f ca="1">IF(raw_exchange_data!$A380="","",OFFSET(raw_exchange_data!$A380,0,MATCH(P$2,raw_exchange_data!$1:$1,0)-1))</f>
        <v/>
      </c>
      <c r="Q381" s="161" t="str">
        <f ca="1">IF(raw_exchange_data!$A380="","",TEXT(OFFSET(raw_exchange_data!$A380,0,MATCH(Q$2,raw_exchange_data!$1:$1,0)-1),""))</f>
        <v/>
      </c>
      <c r="R381" s="162" t="str">
        <f ca="1">IF(raw_exchange_data!$A380="","",OFFSET(raw_exchange_data!$A380,0,MATCH(R$2,raw_exchange_data!$1:$1,0)-1))</f>
        <v/>
      </c>
      <c r="S381" s="190" t="str">
        <f ca="1">IF(raw_exchange_data!$A380="","",OFFSET(raw_exchange_data!$A380,0,MATCH(S$2,raw_exchange_data!$1:$1,0)-1))</f>
        <v/>
      </c>
      <c r="W381" t="str">
        <f t="shared" si="28"/>
        <v>FBLK</v>
      </c>
      <c r="X381" t="str">
        <f t="shared" si="29"/>
        <v>KSM</v>
      </c>
      <c r="Y381" s="42">
        <f t="shared" si="30"/>
        <v>9.2269799999999992E-3</v>
      </c>
      <c r="Z381" s="42">
        <f t="shared" ca="1" si="31"/>
        <v>9.2269842999999994E-3</v>
      </c>
      <c r="AC381"/>
      <c r="AD381"/>
    </row>
    <row r="382" spans="1:30" x14ac:dyDescent="0.25">
      <c r="A382" t="str">
        <f>IF(Summary_Exchange_Balances_00UTC!$B381="","",Summary_Exchange_Balances_00UTC!$N381)</f>
        <v>FBLK</v>
      </c>
      <c r="B382" t="str">
        <f>IF(Summary_Exchange_Balances_00UTC!$B381="","",Summary_Exchange_Balances_00UTC!$B381)</f>
        <v>FBLK</v>
      </c>
      <c r="C382" t="str">
        <f>IF(Summary_Exchange_Balances_00UTC!$B381="","",Summary_Exchange_Balances_00UTC!$E381)</f>
        <v>LINK</v>
      </c>
      <c r="D382" t="str">
        <f>IF(OR(Summary_Exchange_Balances_00UTC!$B381="",Summary_Exchange_Balances_00UTC!$D381=""),"",Summary_Exchange_Balances_00UTC!$D381)</f>
        <v/>
      </c>
      <c r="E382" s="53">
        <f>IF(Summary_Exchange_Balances_00UTC!$B381="","",Summary_Exchange_Balances_00UTC!$C381)</f>
        <v>23.333333329999999</v>
      </c>
      <c r="G382" s="52">
        <f ca="1">IF(Summary_Exchange_Balances_00UTC!$B381="","",VLOOKUP(IF(ISERROR(SEARCH(" ", $B382)),UPPER($B382&amp;$C382&amp;IF(OR(NOT(ISERROR(SEARCH("trade",$D382))),NOT(ISERROR(SEARCH("balance",$D382)))),"",$D382)),UPPER(LEFT($B382, SEARCH(" ",$B382)-1)&amp;$C382&amp;IF(OR(NOT(ISERROR(SEARCH("trade",$D382))),NOT(ISERROR(SEARCH("balance",$D382)))),"",$D382))),$L:$T,MATCH("balance",$L$2:$S$2,0),FALSE))</f>
        <v>1291.2665841600001</v>
      </c>
      <c r="H382" s="35">
        <f ca="1">IF(Summary_Exchange_Balances_00UTC!$B381="","",(G382-E382)/E382)</f>
        <v>54.339996471905721</v>
      </c>
      <c r="I382" s="165">
        <f ca="1">IF(Summary_Exchange_Balances_00UTC!$B381="","",IF(ISERROR($G382),$E382,$G382))</f>
        <v>1291.2665841600001</v>
      </c>
      <c r="K382" t="str">
        <f t="shared" ca="1" si="26"/>
        <v/>
      </c>
      <c r="L382" t="str">
        <f t="shared" ca="1" si="27"/>
        <v/>
      </c>
      <c r="N382" s="161" t="str">
        <f ca="1">IF(raw_exchange_data!$A381="","",OFFSET(raw_exchange_data!$A381,0,MATCH(N$2,raw_exchange_data!$1:$1,0)-1))</f>
        <v/>
      </c>
      <c r="O382" s="161" t="str">
        <f ca="1">IF(raw_exchange_data!$A381="","",OFFSET(raw_exchange_data!$A381,0,MATCH(O$2,raw_exchange_data!$1:$1,0)-1))</f>
        <v/>
      </c>
      <c r="P382" s="161" t="str">
        <f ca="1">IF(raw_exchange_data!$A381="","",OFFSET(raw_exchange_data!$A381,0,MATCH(P$2,raw_exchange_data!$1:$1,0)-1))</f>
        <v/>
      </c>
      <c r="Q382" s="161" t="str">
        <f ca="1">IF(raw_exchange_data!$A381="","",TEXT(OFFSET(raw_exchange_data!$A381,0,MATCH(Q$2,raw_exchange_data!$1:$1,0)-1),""))</f>
        <v/>
      </c>
      <c r="R382" s="162" t="str">
        <f ca="1">IF(raw_exchange_data!$A381="","",OFFSET(raw_exchange_data!$A381,0,MATCH(R$2,raw_exchange_data!$1:$1,0)-1))</f>
        <v/>
      </c>
      <c r="S382" s="190" t="str">
        <f ca="1">IF(raw_exchange_data!$A381="","",OFFSET(raw_exchange_data!$A381,0,MATCH(S$2,raw_exchange_data!$1:$1,0)-1))</f>
        <v/>
      </c>
      <c r="W382" t="str">
        <f t="shared" si="28"/>
        <v>FBLK</v>
      </c>
      <c r="X382" t="str">
        <f t="shared" si="29"/>
        <v>LINK</v>
      </c>
      <c r="Y382" s="42">
        <f t="shared" si="30"/>
        <v>23.333333329999999</v>
      </c>
      <c r="Z382" s="42">
        <f t="shared" ca="1" si="31"/>
        <v>1291.2665841600001</v>
      </c>
      <c r="AC382"/>
      <c r="AD382"/>
    </row>
    <row r="383" spans="1:30" x14ac:dyDescent="0.25">
      <c r="A383" t="str">
        <f>IF(Summary_Exchange_Balances_00UTC!$B382="","",Summary_Exchange_Balances_00UTC!$N382)</f>
        <v>FBLK</v>
      </c>
      <c r="B383" t="str">
        <f>IF(Summary_Exchange_Balances_00UTC!$B382="","",Summary_Exchange_Balances_00UTC!$B382)</f>
        <v>FBLK</v>
      </c>
      <c r="C383" t="str">
        <f>IF(Summary_Exchange_Balances_00UTC!$B382="","",Summary_Exchange_Balances_00UTC!$E382)</f>
        <v>LTC</v>
      </c>
      <c r="D383" t="str">
        <f>IF(OR(Summary_Exchange_Balances_00UTC!$B382="",Summary_Exchange_Balances_00UTC!$D382=""),"",Summary_Exchange_Balances_00UTC!$D382)</f>
        <v/>
      </c>
      <c r="E383" s="53">
        <f>IF(Summary_Exchange_Balances_00UTC!$B382="","",Summary_Exchange_Balances_00UTC!$C382)</f>
        <v>1.6666666699999999</v>
      </c>
      <c r="G383" s="52">
        <f ca="1">IF(Summary_Exchange_Balances_00UTC!$B382="","",VLOOKUP(IF(ISERROR(SEARCH(" ", $B383)),UPPER($B383&amp;$C383&amp;IF(OR(NOT(ISERROR(SEARCH("trade",$D383))),NOT(ISERROR(SEARCH("balance",$D383)))),"",$D383)),UPPER(LEFT($B383, SEARCH(" ",$B383)-1)&amp;$C383&amp;IF(OR(NOT(ISERROR(SEARCH("trade",$D383))),NOT(ISERROR(SEARCH("balance",$D383)))),"",$D383))),$L:$T,MATCH("balance",$L$2:$S$2,0),FALSE))</f>
        <v>128.49216579</v>
      </c>
      <c r="H383" s="35">
        <f ca="1">IF(Summary_Exchange_Balances_00UTC!$B382="","",(G383-E383)/E383)</f>
        <v>76.095299319809413</v>
      </c>
      <c r="I383" s="165">
        <f ca="1">IF(Summary_Exchange_Balances_00UTC!$B382="","",IF(ISERROR($G383),$E383,$G383))</f>
        <v>128.49216579</v>
      </c>
      <c r="K383" t="str">
        <f t="shared" ca="1" si="26"/>
        <v/>
      </c>
      <c r="L383" t="str">
        <f t="shared" ca="1" si="27"/>
        <v/>
      </c>
      <c r="N383" s="161" t="str">
        <f ca="1">IF(raw_exchange_data!$A382="","",OFFSET(raw_exchange_data!$A382,0,MATCH(N$2,raw_exchange_data!$1:$1,0)-1))</f>
        <v/>
      </c>
      <c r="O383" s="161" t="str">
        <f ca="1">IF(raw_exchange_data!$A382="","",OFFSET(raw_exchange_data!$A382,0,MATCH(O$2,raw_exchange_data!$1:$1,0)-1))</f>
        <v/>
      </c>
      <c r="P383" s="161" t="str">
        <f ca="1">IF(raw_exchange_data!$A382="","",OFFSET(raw_exchange_data!$A382,0,MATCH(P$2,raw_exchange_data!$1:$1,0)-1))</f>
        <v/>
      </c>
      <c r="Q383" s="161" t="str">
        <f ca="1">IF(raw_exchange_data!$A382="","",TEXT(OFFSET(raw_exchange_data!$A382,0,MATCH(Q$2,raw_exchange_data!$1:$1,0)-1),""))</f>
        <v/>
      </c>
      <c r="R383" s="162" t="str">
        <f ca="1">IF(raw_exchange_data!$A382="","",OFFSET(raw_exchange_data!$A382,0,MATCH(R$2,raw_exchange_data!$1:$1,0)-1))</f>
        <v/>
      </c>
      <c r="S383" s="190" t="str">
        <f ca="1">IF(raw_exchange_data!$A382="","",OFFSET(raw_exchange_data!$A382,0,MATCH(S$2,raw_exchange_data!$1:$1,0)-1))</f>
        <v/>
      </c>
      <c r="W383" t="str">
        <f t="shared" si="28"/>
        <v>FBLK</v>
      </c>
      <c r="X383" t="str">
        <f t="shared" si="29"/>
        <v>LTC</v>
      </c>
      <c r="Y383" s="42">
        <f t="shared" si="30"/>
        <v>1.6666666699999999</v>
      </c>
      <c r="Z383" s="42">
        <f t="shared" ca="1" si="31"/>
        <v>128.49216579</v>
      </c>
      <c r="AC383"/>
      <c r="AD383"/>
    </row>
    <row r="384" spans="1:30" x14ac:dyDescent="0.25">
      <c r="A384" t="str">
        <f>IF(Summary_Exchange_Balances_00UTC!$B383="","",Summary_Exchange_Balances_00UTC!$N383)</f>
        <v>FBLK</v>
      </c>
      <c r="B384" t="str">
        <f>IF(Summary_Exchange_Balances_00UTC!$B383="","",Summary_Exchange_Balances_00UTC!$B383)</f>
        <v>FBLK</v>
      </c>
      <c r="C384" t="str">
        <f>IF(Summary_Exchange_Balances_00UTC!$B383="","",Summary_Exchange_Balances_00UTC!$E383)</f>
        <v>MANA</v>
      </c>
      <c r="D384" t="str">
        <f>IF(OR(Summary_Exchange_Balances_00UTC!$B383="",Summary_Exchange_Balances_00UTC!$D383=""),"",Summary_Exchange_Balances_00UTC!$D383)</f>
        <v/>
      </c>
      <c r="E384" s="53">
        <f>IF(Summary_Exchange_Balances_00UTC!$B383="","",Summary_Exchange_Balances_00UTC!$C383)</f>
        <v>150.97894937000001</v>
      </c>
      <c r="G384" s="52">
        <f ca="1">IF(Summary_Exchange_Balances_00UTC!$B383="","",VLOOKUP(IF(ISERROR(SEARCH(" ", $B384)),UPPER($B384&amp;$C384&amp;IF(OR(NOT(ISERROR(SEARCH("trade",$D384))),NOT(ISERROR(SEARCH("balance",$D384)))),"",$D384)),UPPER(LEFT($B384, SEARCH(" ",$B384)-1)&amp;$C384&amp;IF(OR(NOT(ISERROR(SEARCH("trade",$D384))),NOT(ISERROR(SEARCH("balance",$D384)))),"",$D384))),$L:$T,MATCH("balance",$L$2:$S$2,0),FALSE))</f>
        <v>798.08621639</v>
      </c>
      <c r="H384" s="35">
        <f ca="1">IF(Summary_Exchange_Balances_00UTC!$B383="","",(G384-E384)/E384)</f>
        <v>4.2860761034583161</v>
      </c>
      <c r="I384" s="165">
        <f ca="1">IF(Summary_Exchange_Balances_00UTC!$B383="","",IF(ISERROR($G384),$E384,$G384))</f>
        <v>798.08621639</v>
      </c>
      <c r="L384" t="str">
        <f t="shared" ca="1" si="27"/>
        <v/>
      </c>
      <c r="N384" s="161" t="str">
        <f ca="1">IF(raw_exchange_data!$A383="","",OFFSET(raw_exchange_data!$A383,0,MATCH(N$2,raw_exchange_data!$1:$1,0)-1))</f>
        <v/>
      </c>
      <c r="O384" s="161" t="str">
        <f ca="1">IF(raw_exchange_data!$A383="","",OFFSET(raw_exchange_data!$A383,0,MATCH(O$2,raw_exchange_data!$1:$1,0)-1))</f>
        <v/>
      </c>
      <c r="P384" s="161" t="str">
        <f ca="1">IF(raw_exchange_data!$A383="","",OFFSET(raw_exchange_data!$A383,0,MATCH(P$2,raw_exchange_data!$1:$1,0)-1))</f>
        <v/>
      </c>
      <c r="Q384" s="161" t="str">
        <f ca="1">IF(raw_exchange_data!$A383="","",TEXT(OFFSET(raw_exchange_data!$A383,0,MATCH(Q$2,raw_exchange_data!$1:$1,0)-1),""))</f>
        <v/>
      </c>
      <c r="R384" s="162" t="str">
        <f ca="1">IF(raw_exchange_data!$A383="","",OFFSET(raw_exchange_data!$A383,0,MATCH(R$2,raw_exchange_data!$1:$1,0)-1))</f>
        <v/>
      </c>
      <c r="S384" s="190" t="str">
        <f ca="1">IF(raw_exchange_data!$A383="","",OFFSET(raw_exchange_data!$A383,0,MATCH(S$2,raw_exchange_data!$1:$1,0)-1))</f>
        <v/>
      </c>
      <c r="W384" t="str">
        <f t="shared" si="28"/>
        <v>FBLK</v>
      </c>
      <c r="X384" t="str">
        <f t="shared" si="29"/>
        <v>MANA</v>
      </c>
      <c r="Y384" s="42">
        <f t="shared" si="30"/>
        <v>150.97894937000001</v>
      </c>
      <c r="Z384" s="42">
        <f t="shared" ca="1" si="31"/>
        <v>798.08621639</v>
      </c>
      <c r="AC384"/>
      <c r="AD384"/>
    </row>
    <row r="385" spans="1:30" x14ac:dyDescent="0.25">
      <c r="A385" t="str">
        <f>IF(Summary_Exchange_Balances_00UTC!$B384="","",Summary_Exchange_Balances_00UTC!$N384)</f>
        <v>FBLK</v>
      </c>
      <c r="B385" t="str">
        <f>IF(Summary_Exchange_Balances_00UTC!$B384="","",Summary_Exchange_Balances_00UTC!$B384)</f>
        <v>FBLK</v>
      </c>
      <c r="C385" t="str">
        <f>IF(Summary_Exchange_Balances_00UTC!$B384="","",Summary_Exchange_Balances_00UTC!$E384)</f>
        <v>MATIC</v>
      </c>
      <c r="D385" t="str">
        <f>IF(OR(Summary_Exchange_Balances_00UTC!$B384="",Summary_Exchange_Balances_00UTC!$D384=""),"",Summary_Exchange_Balances_00UTC!$D384)</f>
        <v/>
      </c>
      <c r="E385" s="53">
        <f>IF(Summary_Exchange_Balances_00UTC!$B384="","",Summary_Exchange_Balances_00UTC!$C384)</f>
        <v>2464.7238741799902</v>
      </c>
      <c r="G385" s="52">
        <f ca="1">IF(Summary_Exchange_Balances_00UTC!$B384="","",VLOOKUP(IF(ISERROR(SEARCH(" ", $B385)),UPPER($B385&amp;$C385&amp;IF(OR(NOT(ISERROR(SEARCH("trade",$D385))),NOT(ISERROR(SEARCH("balance",$D385)))),"",$D385)),UPPER(LEFT($B385, SEARCH(" ",$B385)-1)&amp;$C385&amp;IF(OR(NOT(ISERROR(SEARCH("trade",$D385))),NOT(ISERROR(SEARCH("balance",$D385)))),"",$D385))),$L:$T,MATCH("balance",$L$2:$S$2,0),FALSE))</f>
        <v>3428.9663478000002</v>
      </c>
      <c r="H385" s="35">
        <f ca="1">IF(Summary_Exchange_Balances_00UTC!$B384="","",(G385-E385)/E385)</f>
        <v>0.39121724089308463</v>
      </c>
      <c r="I385" s="165">
        <f ca="1">IF(Summary_Exchange_Balances_00UTC!$B384="","",IF(ISERROR($G385),$E385,$G385))</f>
        <v>3428.9663478000002</v>
      </c>
      <c r="L385" t="str">
        <f t="shared" ca="1" si="27"/>
        <v/>
      </c>
      <c r="N385" s="161" t="str">
        <f ca="1">IF(raw_exchange_data!$A384="","",OFFSET(raw_exchange_data!$A384,0,MATCH(N$2,raw_exchange_data!$1:$1,0)-1))</f>
        <v/>
      </c>
      <c r="O385" s="161" t="str">
        <f ca="1">IF(raw_exchange_data!$A384="","",OFFSET(raw_exchange_data!$A384,0,MATCH(O$2,raw_exchange_data!$1:$1,0)-1))</f>
        <v/>
      </c>
      <c r="P385" s="161" t="str">
        <f ca="1">IF(raw_exchange_data!$A384="","",OFFSET(raw_exchange_data!$A384,0,MATCH(P$2,raw_exchange_data!$1:$1,0)-1))</f>
        <v/>
      </c>
      <c r="Q385" s="161" t="str">
        <f ca="1">IF(raw_exchange_data!$A384="","",TEXT(OFFSET(raw_exchange_data!$A384,0,MATCH(Q$2,raw_exchange_data!$1:$1,0)-1),""))</f>
        <v/>
      </c>
      <c r="R385" s="162" t="str">
        <f ca="1">IF(raw_exchange_data!$A384="","",OFFSET(raw_exchange_data!$A384,0,MATCH(R$2,raw_exchange_data!$1:$1,0)-1))</f>
        <v/>
      </c>
      <c r="S385" s="190" t="str">
        <f ca="1">IF(raw_exchange_data!$A384="","",OFFSET(raw_exchange_data!$A384,0,MATCH(S$2,raw_exchange_data!$1:$1,0)-1))</f>
        <v/>
      </c>
      <c r="W385" t="str">
        <f t="shared" si="28"/>
        <v>FBLK</v>
      </c>
      <c r="X385" t="str">
        <f t="shared" si="29"/>
        <v>MATIC</v>
      </c>
      <c r="Y385" s="42">
        <f t="shared" si="30"/>
        <v>2464.7238741799902</v>
      </c>
      <c r="Z385" s="42">
        <f t="shared" ca="1" si="31"/>
        <v>3428.9663478000002</v>
      </c>
      <c r="AC385"/>
      <c r="AD385"/>
    </row>
    <row r="386" spans="1:30" x14ac:dyDescent="0.25">
      <c r="A386" t="str">
        <f>IF(Summary_Exchange_Balances_00UTC!$B385="","",Summary_Exchange_Balances_00UTC!$N385)</f>
        <v>FBLK</v>
      </c>
      <c r="B386" t="str">
        <f>IF(Summary_Exchange_Balances_00UTC!$B385="","",Summary_Exchange_Balances_00UTC!$B385)</f>
        <v>FBLK</v>
      </c>
      <c r="C386" t="str">
        <f>IF(Summary_Exchange_Balances_00UTC!$B385="","",Summary_Exchange_Balances_00UTC!$E385)</f>
        <v>MKR</v>
      </c>
      <c r="D386" t="str">
        <f>IF(OR(Summary_Exchange_Balances_00UTC!$B385="",Summary_Exchange_Balances_00UTC!$D385=""),"",Summary_Exchange_Balances_00UTC!$D385)</f>
        <v/>
      </c>
      <c r="E386" s="53">
        <f>IF(Summary_Exchange_Balances_00UTC!$B385="","",Summary_Exchange_Balances_00UTC!$C385)</f>
        <v>3.27084449</v>
      </c>
      <c r="G386" s="52">
        <f ca="1">IF(Summary_Exchange_Balances_00UTC!$B385="","",VLOOKUP(IF(ISERROR(SEARCH(" ", $B386)),UPPER($B386&amp;$C386&amp;IF(OR(NOT(ISERROR(SEARCH("trade",$D386))),NOT(ISERROR(SEARCH("balance",$D386)))),"",$D386)),UPPER(LEFT($B386, SEARCH(" ",$B386)-1)&amp;$C386&amp;IF(OR(NOT(ISERROR(SEARCH("trade",$D386))),NOT(ISERROR(SEARCH("balance",$D386)))),"",$D386))),$L:$T,MATCH("balance",$L$2:$S$2,0),FALSE))</f>
        <v>1.4836537599999999</v>
      </c>
      <c r="H386" s="35">
        <f ca="1">IF(Summary_Exchange_Balances_00UTC!$B385="","",(G386-E386)/E386)</f>
        <v>-0.54640039765387927</v>
      </c>
      <c r="I386" s="165">
        <f ca="1">IF(Summary_Exchange_Balances_00UTC!$B385="","",IF(ISERROR($G386),$E386,$G386))</f>
        <v>1.4836537599999999</v>
      </c>
      <c r="L386" t="str">
        <f t="shared" ca="1" si="27"/>
        <v/>
      </c>
      <c r="N386" s="161" t="str">
        <f ca="1">IF(raw_exchange_data!$A385="","",OFFSET(raw_exchange_data!$A385,0,MATCH(N$2,raw_exchange_data!$1:$1,0)-1))</f>
        <v/>
      </c>
      <c r="O386" s="161" t="str">
        <f ca="1">IF(raw_exchange_data!$A385="","",OFFSET(raw_exchange_data!$A385,0,MATCH(O$2,raw_exchange_data!$1:$1,0)-1))</f>
        <v/>
      </c>
      <c r="P386" s="161" t="str">
        <f ca="1">IF(raw_exchange_data!$A385="","",OFFSET(raw_exchange_data!$A385,0,MATCH(P$2,raw_exchange_data!$1:$1,0)-1))</f>
        <v/>
      </c>
      <c r="Q386" s="161" t="str">
        <f ca="1">IF(raw_exchange_data!$A385="","",TEXT(OFFSET(raw_exchange_data!$A385,0,MATCH(Q$2,raw_exchange_data!$1:$1,0)-1),""))</f>
        <v/>
      </c>
      <c r="R386" s="162" t="str">
        <f ca="1">IF(raw_exchange_data!$A385="","",OFFSET(raw_exchange_data!$A385,0,MATCH(R$2,raw_exchange_data!$1:$1,0)-1))</f>
        <v/>
      </c>
      <c r="S386" s="190" t="str">
        <f ca="1">IF(raw_exchange_data!$A385="","",OFFSET(raw_exchange_data!$A385,0,MATCH(S$2,raw_exchange_data!$1:$1,0)-1))</f>
        <v/>
      </c>
      <c r="W386" t="str">
        <f t="shared" si="28"/>
        <v>FBLK</v>
      </c>
      <c r="X386" t="str">
        <f t="shared" si="29"/>
        <v>MKR</v>
      </c>
      <c r="Y386" s="42">
        <f t="shared" si="30"/>
        <v>3.27084449</v>
      </c>
      <c r="Z386" s="42">
        <f t="shared" ca="1" si="31"/>
        <v>1.4836537599999999</v>
      </c>
      <c r="AC386"/>
      <c r="AD386"/>
    </row>
    <row r="387" spans="1:30" x14ac:dyDescent="0.25">
      <c r="A387" t="str">
        <f>IF(Summary_Exchange_Balances_00UTC!$B386="","",Summary_Exchange_Balances_00UTC!$N386)</f>
        <v>FBLK</v>
      </c>
      <c r="B387" t="str">
        <f>IF(Summary_Exchange_Balances_00UTC!$B386="","",Summary_Exchange_Balances_00UTC!$B386)</f>
        <v>FBLK</v>
      </c>
      <c r="C387" t="str">
        <f>IF(Summary_Exchange_Balances_00UTC!$B386="","",Summary_Exchange_Balances_00UTC!$E386)</f>
        <v>OMG</v>
      </c>
      <c r="D387" t="str">
        <f>IF(OR(Summary_Exchange_Balances_00UTC!$B386="",Summary_Exchange_Balances_00UTC!$D386=""),"",Summary_Exchange_Balances_00UTC!$D386)</f>
        <v/>
      </c>
      <c r="E387" s="53">
        <f>IF(Summary_Exchange_Balances_00UTC!$B386="","",Summary_Exchange_Balances_00UTC!$C386)</f>
        <v>204.55099999999999</v>
      </c>
      <c r="G387" s="52">
        <f ca="1">IF(Summary_Exchange_Balances_00UTC!$B386="","",VLOOKUP(IF(ISERROR(SEARCH(" ", $B387)),UPPER($B387&amp;$C387&amp;IF(OR(NOT(ISERROR(SEARCH("trade",$D387))),NOT(ISERROR(SEARCH("balance",$D387)))),"",$D387)),UPPER(LEFT($B387, SEARCH(" ",$B387)-1)&amp;$C387&amp;IF(OR(NOT(ISERROR(SEARCH("trade",$D387))),NOT(ISERROR(SEARCH("balance",$D387)))),"",$D387))),$L:$T,MATCH("balance",$L$2:$S$2,0),FALSE))</f>
        <v>168.05099999999999</v>
      </c>
      <c r="H387" s="35">
        <f ca="1">IF(Summary_Exchange_Balances_00UTC!$B386="","",(G387-E387)/E387)</f>
        <v>-0.17843960674843928</v>
      </c>
      <c r="I387" s="165">
        <f ca="1">IF(Summary_Exchange_Balances_00UTC!$B386="","",IF(ISERROR($G387),$E387,$G387))</f>
        <v>168.05099999999999</v>
      </c>
      <c r="L387" t="str">
        <f t="shared" ca="1" si="27"/>
        <v/>
      </c>
      <c r="N387" s="161" t="str">
        <f ca="1">IF(raw_exchange_data!$A386="","",OFFSET(raw_exchange_data!$A386,0,MATCH(N$2,raw_exchange_data!$1:$1,0)-1))</f>
        <v/>
      </c>
      <c r="O387" s="161" t="str">
        <f ca="1">IF(raw_exchange_data!$A386="","",OFFSET(raw_exchange_data!$A386,0,MATCH(O$2,raw_exchange_data!$1:$1,0)-1))</f>
        <v/>
      </c>
      <c r="P387" s="161" t="str">
        <f ca="1">IF(raw_exchange_data!$A386="","",OFFSET(raw_exchange_data!$A386,0,MATCH(P$2,raw_exchange_data!$1:$1,0)-1))</f>
        <v/>
      </c>
      <c r="Q387" s="161" t="str">
        <f ca="1">IF(raw_exchange_data!$A386="","",TEXT(OFFSET(raw_exchange_data!$A386,0,MATCH(Q$2,raw_exchange_data!$1:$1,0)-1),""))</f>
        <v/>
      </c>
      <c r="R387" s="162" t="str">
        <f ca="1">IF(raw_exchange_data!$A386="","",OFFSET(raw_exchange_data!$A386,0,MATCH(R$2,raw_exchange_data!$1:$1,0)-1))</f>
        <v/>
      </c>
      <c r="S387" s="190" t="str">
        <f ca="1">IF(raw_exchange_data!$A386="","",OFFSET(raw_exchange_data!$A386,0,MATCH(S$2,raw_exchange_data!$1:$1,0)-1))</f>
        <v/>
      </c>
      <c r="W387" t="str">
        <f t="shared" si="28"/>
        <v>FBLK</v>
      </c>
      <c r="X387" t="str">
        <f t="shared" si="29"/>
        <v>OMG</v>
      </c>
      <c r="Y387" s="42">
        <f t="shared" si="30"/>
        <v>204.55099999999999</v>
      </c>
      <c r="Z387" s="42">
        <f t="shared" ca="1" si="31"/>
        <v>168.05099999999999</v>
      </c>
      <c r="AC387"/>
      <c r="AD387"/>
    </row>
    <row r="388" spans="1:30" x14ac:dyDescent="0.25">
      <c r="A388" t="str">
        <f>IF(Summary_Exchange_Balances_00UTC!$B387="","",Summary_Exchange_Balances_00UTC!$N387)</f>
        <v>FBLK</v>
      </c>
      <c r="B388" t="str">
        <f>IF(Summary_Exchange_Balances_00UTC!$B387="","",Summary_Exchange_Balances_00UTC!$B387)</f>
        <v>FBLK</v>
      </c>
      <c r="C388" t="str">
        <f>IF(Summary_Exchange_Balances_00UTC!$B387="","",Summary_Exchange_Balances_00UTC!$E387)</f>
        <v>OXT</v>
      </c>
      <c r="D388" t="str">
        <f>IF(OR(Summary_Exchange_Balances_00UTC!$B387="",Summary_Exchange_Balances_00UTC!$D387=""),"",Summary_Exchange_Balances_00UTC!$D387)</f>
        <v/>
      </c>
      <c r="E388" s="53">
        <f>IF(Summary_Exchange_Balances_00UTC!$B387="","",Summary_Exchange_Balances_00UTC!$C387)</f>
        <v>837715.31955742999</v>
      </c>
      <c r="G388" s="52">
        <f ca="1">IF(Summary_Exchange_Balances_00UTC!$B387="","",VLOOKUP(IF(ISERROR(SEARCH(" ", $B388)),UPPER($B388&amp;$C388&amp;IF(OR(NOT(ISERROR(SEARCH("trade",$D388))),NOT(ISERROR(SEARCH("balance",$D388)))),"",$D388)),UPPER(LEFT($B388, SEARCH(" ",$B388)-1)&amp;$C388&amp;IF(OR(NOT(ISERROR(SEARCH("trade",$D388))),NOT(ISERROR(SEARCH("balance",$D388)))),"",$D388))),$L:$T,MATCH("balance",$L$2:$S$2,0),FALSE))</f>
        <v>837715.31955742999</v>
      </c>
      <c r="H388" s="35">
        <f ca="1">IF(Summary_Exchange_Balances_00UTC!$B387="","",(G388-E388)/E388)</f>
        <v>0</v>
      </c>
      <c r="I388" s="165">
        <f ca="1">IF(Summary_Exchange_Balances_00UTC!$B387="","",IF(ISERROR($G388),$E388,$G388))</f>
        <v>837715.31955742999</v>
      </c>
      <c r="L388" t="str">
        <f t="shared" ref="L388:L451" ca="1" si="32">UPPER($P388&amp;$N388&amp;IF(OR(NOT(ISERROR(SEARCH("trade",Q388))),NOT(ISERROR(SEARCH("balance",Q388)))),"",Q388))</f>
        <v/>
      </c>
      <c r="N388" s="161" t="str">
        <f ca="1">IF(raw_exchange_data!$A387="","",OFFSET(raw_exchange_data!$A387,0,MATCH(N$2,raw_exchange_data!$1:$1,0)-1))</f>
        <v/>
      </c>
      <c r="O388" s="161" t="str">
        <f ca="1">IF(raw_exchange_data!$A387="","",OFFSET(raw_exchange_data!$A387,0,MATCH(O$2,raw_exchange_data!$1:$1,0)-1))</f>
        <v/>
      </c>
      <c r="P388" s="161" t="str">
        <f ca="1">IF(raw_exchange_data!$A387="","",OFFSET(raw_exchange_data!$A387,0,MATCH(P$2,raw_exchange_data!$1:$1,0)-1))</f>
        <v/>
      </c>
      <c r="Q388" s="161" t="str">
        <f ca="1">IF(raw_exchange_data!$A387="","",TEXT(OFFSET(raw_exchange_data!$A387,0,MATCH(Q$2,raw_exchange_data!$1:$1,0)-1),""))</f>
        <v/>
      </c>
      <c r="R388" s="162" t="str">
        <f ca="1">IF(raw_exchange_data!$A387="","",OFFSET(raw_exchange_data!$A387,0,MATCH(R$2,raw_exchange_data!$1:$1,0)-1))</f>
        <v/>
      </c>
      <c r="S388" s="190" t="str">
        <f ca="1">IF(raw_exchange_data!$A387="","",OFFSET(raw_exchange_data!$A387,0,MATCH(S$2,raw_exchange_data!$1:$1,0)-1))</f>
        <v/>
      </c>
      <c r="W388" t="str">
        <f t="shared" ref="W388:W451" si="33">IF($A388="","",$A388)</f>
        <v>FBLK</v>
      </c>
      <c r="X388" t="str">
        <f t="shared" ref="X388:X451" si="34">IF($A388="","",$C388)</f>
        <v>OXT</v>
      </c>
      <c r="Y388" s="42">
        <f t="shared" ref="Y388:Y451" si="35">IF($A388="","",$E388)</f>
        <v>837715.31955742999</v>
      </c>
      <c r="Z388" s="42">
        <f t="shared" ref="Z388:Z451" ca="1" si="36">IF($A388="","",IF(ISERROR($G388),0,$G388))</f>
        <v>837715.31955742999</v>
      </c>
      <c r="AC388"/>
      <c r="AD388"/>
    </row>
    <row r="389" spans="1:30" x14ac:dyDescent="0.25">
      <c r="A389" t="str">
        <f>IF(Summary_Exchange_Balances_00UTC!$B388="","",Summary_Exchange_Balances_00UTC!$N388)</f>
        <v>FBLK</v>
      </c>
      <c r="B389" t="str">
        <f>IF(Summary_Exchange_Balances_00UTC!$B388="","",Summary_Exchange_Balances_00UTC!$B388)</f>
        <v>FBLK</v>
      </c>
      <c r="C389" t="str">
        <f>IF(Summary_Exchange_Balances_00UTC!$B388="","",Summary_Exchange_Balances_00UTC!$E388)</f>
        <v>SHIB</v>
      </c>
      <c r="D389" t="str">
        <f>IF(OR(Summary_Exchange_Balances_00UTC!$B388="",Summary_Exchange_Balances_00UTC!$D388=""),"",Summary_Exchange_Balances_00UTC!$D388)</f>
        <v/>
      </c>
      <c r="E389" s="53">
        <f>IF(Summary_Exchange_Balances_00UTC!$B388="","",Summary_Exchange_Balances_00UTC!$C388)</f>
        <v>1682891321.7256501</v>
      </c>
      <c r="G389" s="52">
        <f ca="1">IF(Summary_Exchange_Balances_00UTC!$B388="","",VLOOKUP(IF(ISERROR(SEARCH(" ", $B389)),UPPER($B389&amp;$C389&amp;IF(OR(NOT(ISERROR(SEARCH("trade",$D389))),NOT(ISERROR(SEARCH("balance",$D389)))),"",$D389)),UPPER(LEFT($B389, SEARCH(" ",$B389)-1)&amp;$C389&amp;IF(OR(NOT(ISERROR(SEARCH("trade",$D389))),NOT(ISERROR(SEARCH("balance",$D389)))),"",$D389))),$L:$T,MATCH("balance",$L$2:$S$2,0),FALSE))</f>
        <v>168343999455.48901</v>
      </c>
      <c r="H389" s="35">
        <f ca="1">IF(Summary_Exchange_Balances_00UTC!$B388="","",(G389-E389)/E389)</f>
        <v>99.032602986429183</v>
      </c>
      <c r="I389" s="165">
        <f ca="1">IF(Summary_Exchange_Balances_00UTC!$B388="","",IF(ISERROR($G389),$E389,$G389))</f>
        <v>168343999455.48901</v>
      </c>
      <c r="L389" t="str">
        <f t="shared" ca="1" si="32"/>
        <v/>
      </c>
      <c r="N389" s="161" t="str">
        <f ca="1">IF(raw_exchange_data!$A388="","",OFFSET(raw_exchange_data!$A388,0,MATCH(N$2,raw_exchange_data!$1:$1,0)-1))</f>
        <v/>
      </c>
      <c r="O389" s="161" t="str">
        <f ca="1">IF(raw_exchange_data!$A388="","",OFFSET(raw_exchange_data!$A388,0,MATCH(O$2,raw_exchange_data!$1:$1,0)-1))</f>
        <v/>
      </c>
      <c r="P389" s="161" t="str">
        <f ca="1">IF(raw_exchange_data!$A388="","",OFFSET(raw_exchange_data!$A388,0,MATCH(P$2,raw_exchange_data!$1:$1,0)-1))</f>
        <v/>
      </c>
      <c r="Q389" s="161" t="str">
        <f ca="1">IF(raw_exchange_data!$A388="","",TEXT(OFFSET(raw_exchange_data!$A388,0,MATCH(Q$2,raw_exchange_data!$1:$1,0)-1),""))</f>
        <v/>
      </c>
      <c r="R389" s="162" t="str">
        <f ca="1">IF(raw_exchange_data!$A388="","",OFFSET(raw_exchange_data!$A388,0,MATCH(R$2,raw_exchange_data!$1:$1,0)-1))</f>
        <v/>
      </c>
      <c r="S389" s="190" t="str">
        <f ca="1">IF(raw_exchange_data!$A388="","",OFFSET(raw_exchange_data!$A388,0,MATCH(S$2,raw_exchange_data!$1:$1,0)-1))</f>
        <v/>
      </c>
      <c r="W389" t="str">
        <f t="shared" si="33"/>
        <v>FBLK</v>
      </c>
      <c r="X389" t="str">
        <f t="shared" si="34"/>
        <v>SHIB</v>
      </c>
      <c r="Y389" s="42">
        <f t="shared" si="35"/>
        <v>1682891321.7256501</v>
      </c>
      <c r="Z389" s="42">
        <f t="shared" ca="1" si="36"/>
        <v>168343999455.48901</v>
      </c>
      <c r="AC389"/>
      <c r="AD389"/>
    </row>
    <row r="390" spans="1:30" x14ac:dyDescent="0.25">
      <c r="A390" t="str">
        <f>IF(Summary_Exchange_Balances_00UTC!$B389="","",Summary_Exchange_Balances_00UTC!$N389)</f>
        <v>FBLK</v>
      </c>
      <c r="B390" t="str">
        <f>IF(Summary_Exchange_Balances_00UTC!$B389="","",Summary_Exchange_Balances_00UTC!$B389)</f>
        <v>FBLK</v>
      </c>
      <c r="C390" t="str">
        <f>IF(Summary_Exchange_Balances_00UTC!$B389="","",Summary_Exchange_Balances_00UTC!$E389)</f>
        <v>SOL</v>
      </c>
      <c r="D390" t="str">
        <f>IF(OR(Summary_Exchange_Balances_00UTC!$B389="",Summary_Exchange_Balances_00UTC!$D389=""),"",Summary_Exchange_Balances_00UTC!$D389)</f>
        <v/>
      </c>
      <c r="E390" s="53">
        <f>IF(Summary_Exchange_Balances_00UTC!$B389="","",Summary_Exchange_Balances_00UTC!$C389)</f>
        <v>11.66666667</v>
      </c>
      <c r="G390" s="52">
        <f ca="1">IF(Summary_Exchange_Balances_00UTC!$B389="","",VLOOKUP(IF(ISERROR(SEARCH(" ", $B390)),UPPER($B390&amp;$C390&amp;IF(OR(NOT(ISERROR(SEARCH("trade",$D390))),NOT(ISERROR(SEARCH("balance",$D390)))),"",$D390)),UPPER(LEFT($B390, SEARCH(" ",$B390)-1)&amp;$C390&amp;IF(OR(NOT(ISERROR(SEARCH("trade",$D390))),NOT(ISERROR(SEARCH("balance",$D390)))),"",$D390))),$L:$T,MATCH("balance",$L$2:$S$2,0),FALSE))</f>
        <v>822.35711387000003</v>
      </c>
      <c r="H390" s="35">
        <f ca="1">IF(Summary_Exchange_Balances_00UTC!$B389="","",(G390-E390)/E390)</f>
        <v>69.487752597289216</v>
      </c>
      <c r="I390" s="165">
        <f ca="1">IF(Summary_Exchange_Balances_00UTC!$B389="","",IF(ISERROR($G390),$E390,$G390))</f>
        <v>822.35711387000003</v>
      </c>
      <c r="L390" t="str">
        <f t="shared" ca="1" si="32"/>
        <v/>
      </c>
      <c r="N390" s="161" t="str">
        <f ca="1">IF(raw_exchange_data!$A389="","",OFFSET(raw_exchange_data!$A389,0,MATCH(N$2,raw_exchange_data!$1:$1,0)-1))</f>
        <v/>
      </c>
      <c r="O390" s="161" t="str">
        <f ca="1">IF(raw_exchange_data!$A389="","",OFFSET(raw_exchange_data!$A389,0,MATCH(O$2,raw_exchange_data!$1:$1,0)-1))</f>
        <v/>
      </c>
      <c r="P390" s="161" t="str">
        <f ca="1">IF(raw_exchange_data!$A389="","",OFFSET(raw_exchange_data!$A389,0,MATCH(P$2,raw_exchange_data!$1:$1,0)-1))</f>
        <v/>
      </c>
      <c r="Q390" s="161" t="str">
        <f ca="1">IF(raw_exchange_data!$A389="","",TEXT(OFFSET(raw_exchange_data!$A389,0,MATCH(Q$2,raw_exchange_data!$1:$1,0)-1),""))</f>
        <v/>
      </c>
      <c r="R390" s="162" t="str">
        <f ca="1">IF(raw_exchange_data!$A389="","",OFFSET(raw_exchange_data!$A389,0,MATCH(R$2,raw_exchange_data!$1:$1,0)-1))</f>
        <v/>
      </c>
      <c r="S390" s="190" t="str">
        <f ca="1">IF(raw_exchange_data!$A389="","",OFFSET(raw_exchange_data!$A389,0,MATCH(S$2,raw_exchange_data!$1:$1,0)-1))</f>
        <v/>
      </c>
      <c r="W390" t="str">
        <f t="shared" si="33"/>
        <v>FBLK</v>
      </c>
      <c r="X390" t="str">
        <f t="shared" si="34"/>
        <v>SOL</v>
      </c>
      <c r="Y390" s="42">
        <f t="shared" si="35"/>
        <v>11.66666667</v>
      </c>
      <c r="Z390" s="42">
        <f t="shared" ca="1" si="36"/>
        <v>822.35711387000003</v>
      </c>
      <c r="AC390"/>
      <c r="AD390"/>
    </row>
    <row r="391" spans="1:30" x14ac:dyDescent="0.25">
      <c r="A391" t="str">
        <f>IF(Summary_Exchange_Balances_00UTC!$B390="","",Summary_Exchange_Balances_00UTC!$N390)</f>
        <v>FBLK</v>
      </c>
      <c r="B391" t="str">
        <f>IF(Summary_Exchange_Balances_00UTC!$B390="","",Summary_Exchange_Balances_00UTC!$B390)</f>
        <v>FBLK</v>
      </c>
      <c r="C391" t="str">
        <f>IF(Summary_Exchange_Balances_00UTC!$B390="","",Summary_Exchange_Balances_00UTC!$E390)</f>
        <v>SUSHI</v>
      </c>
      <c r="D391" t="str">
        <f>IF(OR(Summary_Exchange_Balances_00UTC!$B390="",Summary_Exchange_Balances_00UTC!$D390=""),"",Summary_Exchange_Balances_00UTC!$D390)</f>
        <v/>
      </c>
      <c r="E391" s="53">
        <f>IF(Summary_Exchange_Balances_00UTC!$B390="","",Summary_Exchange_Balances_00UTC!$C390)</f>
        <v>719.80145141000003</v>
      </c>
      <c r="G391" s="52">
        <f ca="1">IF(Summary_Exchange_Balances_00UTC!$B390="","",VLOOKUP(IF(ISERROR(SEARCH(" ", $B391)),UPPER($B391&amp;$C391&amp;IF(OR(NOT(ISERROR(SEARCH("trade",$D391))),NOT(ISERROR(SEARCH("balance",$D391)))),"",$D391)),UPPER(LEFT($B391, SEARCH(" ",$B391)-1)&amp;$C391&amp;IF(OR(NOT(ISERROR(SEARCH("trade",$D391))),NOT(ISERROR(SEARCH("balance",$D391)))),"",$D391))),$L:$T,MATCH("balance",$L$2:$S$2,0),FALSE))</f>
        <v>149.7566716</v>
      </c>
      <c r="H391" s="35">
        <f ca="1">IF(Summary_Exchange_Balances_00UTC!$B390="","",(G391-E391)/E391)</f>
        <v>-0.79194724974971131</v>
      </c>
      <c r="I391" s="165">
        <f ca="1">IF(Summary_Exchange_Balances_00UTC!$B390="","",IF(ISERROR($G391),$E391,$G391))</f>
        <v>149.7566716</v>
      </c>
      <c r="L391" t="str">
        <f t="shared" ca="1" si="32"/>
        <v/>
      </c>
      <c r="N391" s="161" t="str">
        <f ca="1">IF(raw_exchange_data!$A390="","",OFFSET(raw_exchange_data!$A390,0,MATCH(N$2,raw_exchange_data!$1:$1,0)-1))</f>
        <v/>
      </c>
      <c r="O391" s="161" t="str">
        <f ca="1">IF(raw_exchange_data!$A390="","",OFFSET(raw_exchange_data!$A390,0,MATCH(O$2,raw_exchange_data!$1:$1,0)-1))</f>
        <v/>
      </c>
      <c r="P391" s="161" t="str">
        <f ca="1">IF(raw_exchange_data!$A390="","",OFFSET(raw_exchange_data!$A390,0,MATCH(P$2,raw_exchange_data!$1:$1,0)-1))</f>
        <v/>
      </c>
      <c r="Q391" s="161" t="str">
        <f ca="1">IF(raw_exchange_data!$A390="","",TEXT(OFFSET(raw_exchange_data!$A390,0,MATCH(Q$2,raw_exchange_data!$1:$1,0)-1),""))</f>
        <v/>
      </c>
      <c r="R391" s="162" t="str">
        <f ca="1">IF(raw_exchange_data!$A390="","",OFFSET(raw_exchange_data!$A390,0,MATCH(R$2,raw_exchange_data!$1:$1,0)-1))</f>
        <v/>
      </c>
      <c r="S391" s="190" t="str">
        <f ca="1">IF(raw_exchange_data!$A390="","",OFFSET(raw_exchange_data!$A390,0,MATCH(S$2,raw_exchange_data!$1:$1,0)-1))</f>
        <v/>
      </c>
      <c r="W391" t="str">
        <f t="shared" si="33"/>
        <v>FBLK</v>
      </c>
      <c r="X391" t="str">
        <f t="shared" si="34"/>
        <v>SUSHI</v>
      </c>
      <c r="Y391" s="42">
        <f t="shared" si="35"/>
        <v>719.80145141000003</v>
      </c>
      <c r="Z391" s="42">
        <f t="shared" ca="1" si="36"/>
        <v>149.7566716</v>
      </c>
      <c r="AC391"/>
      <c r="AD391"/>
    </row>
    <row r="392" spans="1:30" x14ac:dyDescent="0.25">
      <c r="A392" t="str">
        <f>IF(Summary_Exchange_Balances_00UTC!$B391="","",Summary_Exchange_Balances_00UTC!$N391)</f>
        <v>FBLK</v>
      </c>
      <c r="B392" t="str">
        <f>IF(Summary_Exchange_Balances_00UTC!$B391="","",Summary_Exchange_Balances_00UTC!$B391)</f>
        <v>FBLK</v>
      </c>
      <c r="C392" t="str">
        <f>IF(Summary_Exchange_Balances_00UTC!$B391="","",Summary_Exchange_Balances_00UTC!$E391)</f>
        <v>UNI</v>
      </c>
      <c r="D392" t="str">
        <f>IF(OR(Summary_Exchange_Balances_00UTC!$B391="",Summary_Exchange_Balances_00UTC!$D391=""),"",Summary_Exchange_Balances_00UTC!$D391)</f>
        <v/>
      </c>
      <c r="E392" s="53">
        <f>IF(Summary_Exchange_Balances_00UTC!$B391="","",Summary_Exchange_Balances_00UTC!$C391)</f>
        <v>308.31158293999999</v>
      </c>
      <c r="G392" s="52">
        <f ca="1">IF(Summary_Exchange_Balances_00UTC!$B391="","",VLOOKUP(IF(ISERROR(SEARCH(" ", $B392)),UPPER($B392&amp;$C392&amp;IF(OR(NOT(ISERROR(SEARCH("trade",$D392))),NOT(ISERROR(SEARCH("balance",$D392)))),"",$D392)),UPPER(LEFT($B392, SEARCH(" ",$B392)-1)&amp;$C392&amp;IF(OR(NOT(ISERROR(SEARCH("trade",$D392))),NOT(ISERROR(SEARCH("balance",$D392)))),"",$D392))),$L:$T,MATCH("balance",$L$2:$S$2,0),FALSE))</f>
        <v>137.54021624000001</v>
      </c>
      <c r="H392" s="35">
        <f ca="1">IF(Summary_Exchange_Balances_00UTC!$B391="","",(G392-E392)/E392)</f>
        <v>-0.5538921537477024</v>
      </c>
      <c r="I392" s="165">
        <f ca="1">IF(Summary_Exchange_Balances_00UTC!$B391="","",IF(ISERROR($G392),$E392,$G392))</f>
        <v>137.54021624000001</v>
      </c>
      <c r="L392" t="str">
        <f t="shared" ca="1" si="32"/>
        <v/>
      </c>
      <c r="N392" s="161" t="str">
        <f ca="1">IF(raw_exchange_data!$A391="","",OFFSET(raw_exchange_data!$A391,0,MATCH(N$2,raw_exchange_data!$1:$1,0)-1))</f>
        <v/>
      </c>
      <c r="O392" s="161" t="str">
        <f ca="1">IF(raw_exchange_data!$A391="","",OFFSET(raw_exchange_data!$A391,0,MATCH(O$2,raw_exchange_data!$1:$1,0)-1))</f>
        <v/>
      </c>
      <c r="P392" s="161" t="str">
        <f ca="1">IF(raw_exchange_data!$A391="","",OFFSET(raw_exchange_data!$A391,0,MATCH(P$2,raw_exchange_data!$1:$1,0)-1))</f>
        <v/>
      </c>
      <c r="Q392" s="161" t="str">
        <f ca="1">IF(raw_exchange_data!$A391="","",TEXT(OFFSET(raw_exchange_data!$A391,0,MATCH(Q$2,raw_exchange_data!$1:$1,0)-1),""))</f>
        <v/>
      </c>
      <c r="R392" s="162" t="str">
        <f ca="1">IF(raw_exchange_data!$A391="","",OFFSET(raw_exchange_data!$A391,0,MATCH(R$2,raw_exchange_data!$1:$1,0)-1))</f>
        <v/>
      </c>
      <c r="S392" s="190" t="str">
        <f ca="1">IF(raw_exchange_data!$A391="","",OFFSET(raw_exchange_data!$A391,0,MATCH(S$2,raw_exchange_data!$1:$1,0)-1))</f>
        <v/>
      </c>
      <c r="W392" t="str">
        <f t="shared" si="33"/>
        <v>FBLK</v>
      </c>
      <c r="X392" t="str">
        <f t="shared" si="34"/>
        <v>UNI</v>
      </c>
      <c r="Y392" s="42">
        <f t="shared" si="35"/>
        <v>308.31158293999999</v>
      </c>
      <c r="Z392" s="42">
        <f t="shared" ca="1" si="36"/>
        <v>137.54021624000001</v>
      </c>
      <c r="AC392"/>
      <c r="AD392"/>
    </row>
    <row r="393" spans="1:30" x14ac:dyDescent="0.25">
      <c r="A393" t="str">
        <f>IF(Summary_Exchange_Balances_00UTC!$B392="","",Summary_Exchange_Balances_00UTC!$N392)</f>
        <v>FBLK</v>
      </c>
      <c r="B393" t="str">
        <f>IF(Summary_Exchange_Balances_00UTC!$B392="","",Summary_Exchange_Balances_00UTC!$B392)</f>
        <v>FBLK</v>
      </c>
      <c r="C393" t="str">
        <f>IF(Summary_Exchange_Balances_00UTC!$B392="","",Summary_Exchange_Balances_00UTC!$E392)</f>
        <v>USDC</v>
      </c>
      <c r="D393" t="str">
        <f>IF(OR(Summary_Exchange_Balances_00UTC!$B392="",Summary_Exchange_Balances_00UTC!$D392=""),"",Summary_Exchange_Balances_00UTC!$D392)</f>
        <v/>
      </c>
      <c r="E393" s="53">
        <f>IF(Summary_Exchange_Balances_00UTC!$B392="","",Summary_Exchange_Balances_00UTC!$C392)</f>
        <v>18401408.683667999</v>
      </c>
      <c r="G393" s="52">
        <f ca="1">IF(Summary_Exchange_Balances_00UTC!$B392="","",VLOOKUP(IF(ISERROR(SEARCH(" ", $B393)),UPPER($B393&amp;$C393&amp;IF(OR(NOT(ISERROR(SEARCH("trade",$D393))),NOT(ISERROR(SEARCH("balance",$D393)))),"",$D393)),UPPER(LEFT($B393, SEARCH(" ",$B393)-1)&amp;$C393&amp;IF(OR(NOT(ISERROR(SEARCH("trade",$D393))),NOT(ISERROR(SEARCH("balance",$D393)))),"",$D393))),$L:$T,MATCH("balance",$L$2:$S$2,0),FALSE))</f>
        <v>17251083.073406</v>
      </c>
      <c r="H393" s="35">
        <f ca="1">IF(Summary_Exchange_Balances_00UTC!$B392="","",(G393-E393)/E393)</f>
        <v>-6.2512910290556181E-2</v>
      </c>
      <c r="I393" s="165">
        <f ca="1">IF(Summary_Exchange_Balances_00UTC!$B392="","",IF(ISERROR($G393),$E393,$G393))</f>
        <v>17251083.073406</v>
      </c>
      <c r="L393" t="str">
        <f t="shared" ca="1" si="32"/>
        <v/>
      </c>
      <c r="N393" s="161" t="str">
        <f ca="1">IF(raw_exchange_data!$A392="","",OFFSET(raw_exchange_data!$A392,0,MATCH(N$2,raw_exchange_data!$1:$1,0)-1))</f>
        <v/>
      </c>
      <c r="O393" s="161" t="str">
        <f ca="1">IF(raw_exchange_data!$A392="","",OFFSET(raw_exchange_data!$A392,0,MATCH(O$2,raw_exchange_data!$1:$1,0)-1))</f>
        <v/>
      </c>
      <c r="P393" s="161" t="str">
        <f ca="1">IF(raw_exchange_data!$A392="","",OFFSET(raw_exchange_data!$A392,0,MATCH(P$2,raw_exchange_data!$1:$1,0)-1))</f>
        <v/>
      </c>
      <c r="Q393" s="161" t="str">
        <f ca="1">IF(raw_exchange_data!$A392="","",TEXT(OFFSET(raw_exchange_data!$A392,0,MATCH(Q$2,raw_exchange_data!$1:$1,0)-1),""))</f>
        <v/>
      </c>
      <c r="R393" s="162" t="str">
        <f ca="1">IF(raw_exchange_data!$A392="","",OFFSET(raw_exchange_data!$A392,0,MATCH(R$2,raw_exchange_data!$1:$1,0)-1))</f>
        <v/>
      </c>
      <c r="S393" s="190" t="str">
        <f ca="1">IF(raw_exchange_data!$A392="","",OFFSET(raw_exchange_data!$A392,0,MATCH(S$2,raw_exchange_data!$1:$1,0)-1))</f>
        <v/>
      </c>
      <c r="W393" t="str">
        <f t="shared" si="33"/>
        <v>FBLK</v>
      </c>
      <c r="X393" t="str">
        <f t="shared" si="34"/>
        <v>USDC</v>
      </c>
      <c r="Y393" s="42">
        <f t="shared" si="35"/>
        <v>18401408.683667999</v>
      </c>
      <c r="Z393" s="42">
        <f t="shared" ca="1" si="36"/>
        <v>17251083.073406</v>
      </c>
      <c r="AC393"/>
      <c r="AD393"/>
    </row>
    <row r="394" spans="1:30" x14ac:dyDescent="0.25">
      <c r="A394" t="str">
        <f>IF(Summary_Exchange_Balances_00UTC!$B393="","",Summary_Exchange_Balances_00UTC!$N393)</f>
        <v>FBLK</v>
      </c>
      <c r="B394" t="str">
        <f>IF(Summary_Exchange_Balances_00UTC!$B393="","",Summary_Exchange_Balances_00UTC!$B393)</f>
        <v>FBLK</v>
      </c>
      <c r="C394" t="str">
        <f>IF(Summary_Exchange_Balances_00UTC!$B393="","",Summary_Exchange_Balances_00UTC!$E393)</f>
        <v>USDT</v>
      </c>
      <c r="D394" t="str">
        <f>IF(OR(Summary_Exchange_Balances_00UTC!$B393="",Summary_Exchange_Balances_00UTC!$D393=""),"",Summary_Exchange_Balances_00UTC!$D393)</f>
        <v/>
      </c>
      <c r="E394" s="53">
        <f>IF(Summary_Exchange_Balances_00UTC!$B393="","",Summary_Exchange_Balances_00UTC!$C393)</f>
        <v>1579950.0448429999</v>
      </c>
      <c r="G394" s="52" t="e">
        <f ca="1">IF(Summary_Exchange_Balances_00UTC!$B393="","",VLOOKUP(IF(ISERROR(SEARCH(" ", $B394)),UPPER($B394&amp;$C394&amp;IF(OR(NOT(ISERROR(SEARCH("trade",$D394))),NOT(ISERROR(SEARCH("balance",$D394)))),"",$D394)),UPPER(LEFT($B394, SEARCH(" ",$B394)-1)&amp;$C394&amp;IF(OR(NOT(ISERROR(SEARCH("trade",$D394))),NOT(ISERROR(SEARCH("balance",$D394)))),"",$D394))),$L:$T,MATCH("balance",$L$2:$S$2,0),FALSE))</f>
        <v>#N/A</v>
      </c>
      <c r="H394" s="35" t="e">
        <f ca="1">IF(Summary_Exchange_Balances_00UTC!$B393="","",(G394-E394)/E394)</f>
        <v>#N/A</v>
      </c>
      <c r="I394" s="165">
        <f ca="1">IF(Summary_Exchange_Balances_00UTC!$B393="","",IF(ISERROR($G394),$E394,$G394))</f>
        <v>1579950.0448429999</v>
      </c>
      <c r="L394" t="str">
        <f t="shared" ca="1" si="32"/>
        <v/>
      </c>
      <c r="N394" s="161" t="str">
        <f ca="1">IF(raw_exchange_data!$A393="","",OFFSET(raw_exchange_data!$A393,0,MATCH(N$2,raw_exchange_data!$1:$1,0)-1))</f>
        <v/>
      </c>
      <c r="O394" s="161" t="str">
        <f ca="1">IF(raw_exchange_data!$A393="","",OFFSET(raw_exchange_data!$A393,0,MATCH(O$2,raw_exchange_data!$1:$1,0)-1))</f>
        <v/>
      </c>
      <c r="P394" s="161" t="str">
        <f ca="1">IF(raw_exchange_data!$A393="","",OFFSET(raw_exchange_data!$A393,0,MATCH(P$2,raw_exchange_data!$1:$1,0)-1))</f>
        <v/>
      </c>
      <c r="Q394" s="161" t="str">
        <f ca="1">IF(raw_exchange_data!$A393="","",TEXT(OFFSET(raw_exchange_data!$A393,0,MATCH(Q$2,raw_exchange_data!$1:$1,0)-1),""))</f>
        <v/>
      </c>
      <c r="R394" s="162" t="str">
        <f ca="1">IF(raw_exchange_data!$A393="","",OFFSET(raw_exchange_data!$A393,0,MATCH(R$2,raw_exchange_data!$1:$1,0)-1))</f>
        <v/>
      </c>
      <c r="S394" s="190" t="str">
        <f ca="1">IF(raw_exchange_data!$A393="","",OFFSET(raw_exchange_data!$A393,0,MATCH(S$2,raw_exchange_data!$1:$1,0)-1))</f>
        <v/>
      </c>
      <c r="W394" t="str">
        <f t="shared" si="33"/>
        <v>FBLK</v>
      </c>
      <c r="X394" t="str">
        <f t="shared" si="34"/>
        <v>USDT</v>
      </c>
      <c r="Y394" s="42">
        <f t="shared" si="35"/>
        <v>1579950.0448429999</v>
      </c>
      <c r="Z394" s="42">
        <f t="shared" ca="1" si="36"/>
        <v>0</v>
      </c>
      <c r="AC394"/>
      <c r="AD394"/>
    </row>
    <row r="395" spans="1:30" x14ac:dyDescent="0.25">
      <c r="A395" t="str">
        <f>IF(Summary_Exchange_Balances_00UTC!$B394="","",Summary_Exchange_Balances_00UTC!$N394)</f>
        <v>FBLK</v>
      </c>
      <c r="B395" t="str">
        <f>IF(Summary_Exchange_Balances_00UTC!$B394="","",Summary_Exchange_Balances_00UTC!$B394)</f>
        <v>FBLK</v>
      </c>
      <c r="C395" t="str">
        <f>IF(Summary_Exchange_Balances_00UTC!$B394="","",Summary_Exchange_Balances_00UTC!$E394)</f>
        <v>XLM</v>
      </c>
      <c r="D395" t="str">
        <f>IF(OR(Summary_Exchange_Balances_00UTC!$B394="",Summary_Exchange_Balances_00UTC!$D394=""),"",Summary_Exchange_Balances_00UTC!$D394)</f>
        <v/>
      </c>
      <c r="E395" s="53">
        <f>IF(Summary_Exchange_Balances_00UTC!$B394="","",Summary_Exchange_Balances_00UTC!$C394)</f>
        <v>25070.457326</v>
      </c>
      <c r="G395" s="52">
        <f ca="1">IF(Summary_Exchange_Balances_00UTC!$B394="","",VLOOKUP(IF(ISERROR(SEARCH(" ", $B395)),UPPER($B395&amp;$C395&amp;IF(OR(NOT(ISERROR(SEARCH("trade",$D395))),NOT(ISERROR(SEARCH("balance",$D395)))),"",$D395)),UPPER(LEFT($B395, SEARCH(" ",$B395)-1)&amp;$C395&amp;IF(OR(NOT(ISERROR(SEARCH("trade",$D395))),NOT(ISERROR(SEARCH("balance",$D395)))),"",$D395))),$L:$T,MATCH("balance",$L$2:$S$2,0),FALSE))</f>
        <v>28358.945426099999</v>
      </c>
      <c r="H395" s="35">
        <f ca="1">IF(Summary_Exchange_Balances_00UTC!$B394="","",(G395-E395)/E395)</f>
        <v>0.13116984893169792</v>
      </c>
      <c r="I395" s="165">
        <f ca="1">IF(Summary_Exchange_Balances_00UTC!$B394="","",IF(ISERROR($G395),$E395,$G395))</f>
        <v>28358.945426099999</v>
      </c>
      <c r="L395" t="str">
        <f t="shared" ca="1" si="32"/>
        <v/>
      </c>
      <c r="N395" s="161" t="str">
        <f ca="1">IF(raw_exchange_data!$A394="","",OFFSET(raw_exchange_data!$A394,0,MATCH(N$2,raw_exchange_data!$1:$1,0)-1))</f>
        <v/>
      </c>
      <c r="O395" s="161" t="str">
        <f ca="1">IF(raw_exchange_data!$A394="","",OFFSET(raw_exchange_data!$A394,0,MATCH(O$2,raw_exchange_data!$1:$1,0)-1))</f>
        <v/>
      </c>
      <c r="P395" s="161" t="str">
        <f ca="1">IF(raw_exchange_data!$A394="","",OFFSET(raw_exchange_data!$A394,0,MATCH(P$2,raw_exchange_data!$1:$1,0)-1))</f>
        <v/>
      </c>
      <c r="Q395" s="161" t="str">
        <f ca="1">IF(raw_exchange_data!$A394="","",TEXT(OFFSET(raw_exchange_data!$A394,0,MATCH(Q$2,raw_exchange_data!$1:$1,0)-1),""))</f>
        <v/>
      </c>
      <c r="R395" s="162" t="str">
        <f ca="1">IF(raw_exchange_data!$A394="","",OFFSET(raw_exchange_data!$A394,0,MATCH(R$2,raw_exchange_data!$1:$1,0)-1))</f>
        <v/>
      </c>
      <c r="S395" s="190" t="str">
        <f ca="1">IF(raw_exchange_data!$A394="","",OFFSET(raw_exchange_data!$A394,0,MATCH(S$2,raw_exchange_data!$1:$1,0)-1))</f>
        <v/>
      </c>
      <c r="W395" t="str">
        <f t="shared" si="33"/>
        <v>FBLK</v>
      </c>
      <c r="X395" t="str">
        <f t="shared" si="34"/>
        <v>XLM</v>
      </c>
      <c r="Y395" s="42">
        <f t="shared" si="35"/>
        <v>25070.457326</v>
      </c>
      <c r="Z395" s="42">
        <f t="shared" ca="1" si="36"/>
        <v>28358.945426099999</v>
      </c>
      <c r="AC395"/>
      <c r="AD395"/>
    </row>
    <row r="396" spans="1:30" x14ac:dyDescent="0.25">
      <c r="A396" t="str">
        <f>IF(Summary_Exchange_Balances_00UTC!$B395="","",Summary_Exchange_Balances_00UTC!$N395)</f>
        <v>FBLK</v>
      </c>
      <c r="B396" t="str">
        <f>IF(Summary_Exchange_Balances_00UTC!$B395="","",Summary_Exchange_Balances_00UTC!$B395)</f>
        <v>FBLK</v>
      </c>
      <c r="C396" t="str">
        <f>IF(Summary_Exchange_Balances_00UTC!$B395="","",Summary_Exchange_Balances_00UTC!$E395)</f>
        <v>XRP</v>
      </c>
      <c r="D396" t="str">
        <f>IF(OR(Summary_Exchange_Balances_00UTC!$B395="",Summary_Exchange_Balances_00UTC!$D395=""),"",Summary_Exchange_Balances_00UTC!$D395)</f>
        <v/>
      </c>
      <c r="E396" s="53">
        <f>IF(Summary_Exchange_Balances_00UTC!$B395="","",Summary_Exchange_Balances_00UTC!$C395)</f>
        <v>283.58991600000002</v>
      </c>
      <c r="G396" s="52">
        <f ca="1">IF(Summary_Exchange_Balances_00UTC!$B395="","",VLOOKUP(IF(ISERROR(SEARCH(" ", $B396)),UPPER($B396&amp;$C396&amp;IF(OR(NOT(ISERROR(SEARCH("trade",$D396))),NOT(ISERROR(SEARCH("balance",$D396)))),"",$D396)),UPPER(LEFT($B396, SEARCH(" ",$B396)-1)&amp;$C396&amp;IF(OR(NOT(ISERROR(SEARCH("trade",$D396))),NOT(ISERROR(SEARCH("balance",$D396)))),"",$D396))),$L:$T,MATCH("balance",$L$2:$S$2,0),FALSE))</f>
        <v>283.58991600000002</v>
      </c>
      <c r="H396" s="35">
        <f ca="1">IF(Summary_Exchange_Balances_00UTC!$B395="","",(G396-E396)/E396)</f>
        <v>0</v>
      </c>
      <c r="I396" s="165">
        <f ca="1">IF(Summary_Exchange_Balances_00UTC!$B395="","",IF(ISERROR($G396),$E396,$G396))</f>
        <v>283.58991600000002</v>
      </c>
      <c r="L396" t="str">
        <f t="shared" ca="1" si="32"/>
        <v/>
      </c>
      <c r="N396" s="161" t="str">
        <f ca="1">IF(raw_exchange_data!$A395="","",OFFSET(raw_exchange_data!$A395,0,MATCH(N$2,raw_exchange_data!$1:$1,0)-1))</f>
        <v/>
      </c>
      <c r="O396" s="161" t="str">
        <f ca="1">IF(raw_exchange_data!$A395="","",OFFSET(raw_exchange_data!$A395,0,MATCH(O$2,raw_exchange_data!$1:$1,0)-1))</f>
        <v/>
      </c>
      <c r="P396" s="161" t="str">
        <f ca="1">IF(raw_exchange_data!$A395="","",OFFSET(raw_exchange_data!$A395,0,MATCH(P$2,raw_exchange_data!$1:$1,0)-1))</f>
        <v/>
      </c>
      <c r="Q396" s="161" t="str">
        <f ca="1">IF(raw_exchange_data!$A395="","",TEXT(OFFSET(raw_exchange_data!$A395,0,MATCH(Q$2,raw_exchange_data!$1:$1,0)-1),""))</f>
        <v/>
      </c>
      <c r="R396" s="162" t="str">
        <f ca="1">IF(raw_exchange_data!$A395="","",OFFSET(raw_exchange_data!$A395,0,MATCH(R$2,raw_exchange_data!$1:$1,0)-1))</f>
        <v/>
      </c>
      <c r="S396" s="190" t="str">
        <f ca="1">IF(raw_exchange_data!$A395="","",OFFSET(raw_exchange_data!$A395,0,MATCH(S$2,raw_exchange_data!$1:$1,0)-1))</f>
        <v/>
      </c>
      <c r="W396" t="str">
        <f t="shared" si="33"/>
        <v>FBLK</v>
      </c>
      <c r="X396" t="str">
        <f t="shared" si="34"/>
        <v>XRP</v>
      </c>
      <c r="Y396" s="42">
        <f t="shared" si="35"/>
        <v>283.58991600000002</v>
      </c>
      <c r="Z396" s="42">
        <f t="shared" ca="1" si="36"/>
        <v>283.58991600000002</v>
      </c>
      <c r="AC396"/>
      <c r="AD396"/>
    </row>
    <row r="397" spans="1:30" x14ac:dyDescent="0.25">
      <c r="A397" t="str">
        <f>IF(Summary_Exchange_Balances_00UTC!$B396="","",Summary_Exchange_Balances_00UTC!$N396)</f>
        <v>FBLK</v>
      </c>
      <c r="B397" t="str">
        <f>IF(Summary_Exchange_Balances_00UTC!$B396="","",Summary_Exchange_Balances_00UTC!$B396)</f>
        <v>FBLK</v>
      </c>
      <c r="C397" t="str">
        <f>IF(Summary_Exchange_Balances_00UTC!$B396="","",Summary_Exchange_Balances_00UTC!$E396)</f>
        <v>XTZ</v>
      </c>
      <c r="D397" t="str">
        <f>IF(OR(Summary_Exchange_Balances_00UTC!$B396="",Summary_Exchange_Balances_00UTC!$D396=""),"",Summary_Exchange_Balances_00UTC!$D396)</f>
        <v/>
      </c>
      <c r="E397" s="53">
        <f>IF(Summary_Exchange_Balances_00UTC!$B396="","",Summary_Exchange_Balances_00UTC!$C396)</f>
        <v>599.81476599999996</v>
      </c>
      <c r="G397" s="52">
        <f ca="1">IF(Summary_Exchange_Balances_00UTC!$B396="","",VLOOKUP(IF(ISERROR(SEARCH(" ", $B397)),UPPER($B397&amp;$C397&amp;IF(OR(NOT(ISERROR(SEARCH("trade",$D397))),NOT(ISERROR(SEARCH("balance",$D397)))),"",$D397)),UPPER(LEFT($B397, SEARCH(" ",$B397)-1)&amp;$C397&amp;IF(OR(NOT(ISERROR(SEARCH("trade",$D397))),NOT(ISERROR(SEARCH("balance",$D397)))),"",$D397))),$L:$T,MATCH("balance",$L$2:$S$2,0),FALSE))</f>
        <v>997.63721599999997</v>
      </c>
      <c r="H397" s="35">
        <f ca="1">IF(Summary_Exchange_Balances_00UTC!$B396="","",(G397-E397)/E397)</f>
        <v>0.66324217500174054</v>
      </c>
      <c r="I397" s="165">
        <f ca="1">IF(Summary_Exchange_Balances_00UTC!$B396="","",IF(ISERROR($G397),$E397,$G397))</f>
        <v>997.63721599999997</v>
      </c>
      <c r="L397" t="str">
        <f t="shared" ca="1" si="32"/>
        <v/>
      </c>
      <c r="N397" s="161" t="str">
        <f ca="1">IF(raw_exchange_data!$A396="","",OFFSET(raw_exchange_data!$A396,0,MATCH(N$2,raw_exchange_data!$1:$1,0)-1))</f>
        <v/>
      </c>
      <c r="O397" s="161" t="str">
        <f ca="1">IF(raw_exchange_data!$A396="","",OFFSET(raw_exchange_data!$A396,0,MATCH(O$2,raw_exchange_data!$1:$1,0)-1))</f>
        <v/>
      </c>
      <c r="P397" s="161" t="str">
        <f ca="1">IF(raw_exchange_data!$A396="","",OFFSET(raw_exchange_data!$A396,0,MATCH(P$2,raw_exchange_data!$1:$1,0)-1))</f>
        <v/>
      </c>
      <c r="Q397" s="161" t="str">
        <f ca="1">IF(raw_exchange_data!$A396="","",TEXT(OFFSET(raw_exchange_data!$A396,0,MATCH(Q$2,raw_exchange_data!$1:$1,0)-1),""))</f>
        <v/>
      </c>
      <c r="R397" s="162" t="str">
        <f ca="1">IF(raw_exchange_data!$A396="","",OFFSET(raw_exchange_data!$A396,0,MATCH(R$2,raw_exchange_data!$1:$1,0)-1))</f>
        <v/>
      </c>
      <c r="S397" s="190" t="str">
        <f ca="1">IF(raw_exchange_data!$A396="","",OFFSET(raw_exchange_data!$A396,0,MATCH(S$2,raw_exchange_data!$1:$1,0)-1))</f>
        <v/>
      </c>
      <c r="W397" t="str">
        <f t="shared" si="33"/>
        <v>FBLK</v>
      </c>
      <c r="X397" t="str">
        <f t="shared" si="34"/>
        <v>XTZ</v>
      </c>
      <c r="Y397" s="42">
        <f t="shared" si="35"/>
        <v>599.81476599999996</v>
      </c>
      <c r="Z397" s="42">
        <f t="shared" ca="1" si="36"/>
        <v>997.63721599999997</v>
      </c>
      <c r="AC397"/>
      <c r="AD397"/>
    </row>
    <row r="398" spans="1:30" x14ac:dyDescent="0.25">
      <c r="A398" t="str">
        <f>IF(Summary_Exchange_Balances_00UTC!$B397="","",Summary_Exchange_Balances_00UTC!$N397)</f>
        <v>FBLK</v>
      </c>
      <c r="B398" t="str">
        <f>IF(Summary_Exchange_Balances_00UTC!$B397="","",Summary_Exchange_Balances_00UTC!$B397)</f>
        <v>FBLK</v>
      </c>
      <c r="C398" t="str">
        <f>IF(Summary_Exchange_Balances_00UTC!$B397="","",Summary_Exchange_Balances_00UTC!$E397)</f>
        <v>YFI</v>
      </c>
      <c r="D398" t="str">
        <f>IF(OR(Summary_Exchange_Balances_00UTC!$B397="",Summary_Exchange_Balances_00UTC!$D397=""),"",Summary_Exchange_Balances_00UTC!$D397)</f>
        <v/>
      </c>
      <c r="E398" s="53">
        <f>IF(Summary_Exchange_Balances_00UTC!$B397="","",Summary_Exchange_Balances_00UTC!$C397)</f>
        <v>3.444444E-2</v>
      </c>
      <c r="G398" s="52">
        <f ca="1">IF(Summary_Exchange_Balances_00UTC!$B397="","",VLOOKUP(IF(ISERROR(SEARCH(" ", $B398)),UPPER($B398&amp;$C398&amp;IF(OR(NOT(ISERROR(SEARCH("trade",$D398))),NOT(ISERROR(SEARCH("balance",$D398)))),"",$D398)),UPPER(LEFT($B398, SEARCH(" ",$B398)-1)&amp;$C398&amp;IF(OR(NOT(ISERROR(SEARCH("trade",$D398))),NOT(ISERROR(SEARCH("balance",$D398)))),"",$D398))),$L:$T,MATCH("balance",$L$2:$S$2,0),FALSE))</f>
        <v>4.1732661899999997</v>
      </c>
      <c r="H398" s="35">
        <f ca="1">IF(Summary_Exchange_Balances_00UTC!$B397="","",(G398-E398)/E398)</f>
        <v>120.15935663346538</v>
      </c>
      <c r="I398" s="165">
        <f ca="1">IF(Summary_Exchange_Balances_00UTC!$B397="","",IF(ISERROR($G398),$E398,$G398))</f>
        <v>4.1732661899999997</v>
      </c>
      <c r="L398" t="str">
        <f t="shared" ca="1" si="32"/>
        <v/>
      </c>
      <c r="N398" s="161" t="str">
        <f ca="1">IF(raw_exchange_data!$A397="","",OFFSET(raw_exchange_data!$A397,0,MATCH(N$2,raw_exchange_data!$1:$1,0)-1))</f>
        <v/>
      </c>
      <c r="O398" s="161" t="str">
        <f ca="1">IF(raw_exchange_data!$A397="","",OFFSET(raw_exchange_data!$A397,0,MATCH(O$2,raw_exchange_data!$1:$1,0)-1))</f>
        <v/>
      </c>
      <c r="P398" s="161" t="str">
        <f ca="1">IF(raw_exchange_data!$A397="","",OFFSET(raw_exchange_data!$A397,0,MATCH(P$2,raw_exchange_data!$1:$1,0)-1))</f>
        <v/>
      </c>
      <c r="Q398" s="161" t="str">
        <f ca="1">IF(raw_exchange_data!$A397="","",TEXT(OFFSET(raw_exchange_data!$A397,0,MATCH(Q$2,raw_exchange_data!$1:$1,0)-1),""))</f>
        <v/>
      </c>
      <c r="R398" s="162" t="str">
        <f ca="1">IF(raw_exchange_data!$A397="","",OFFSET(raw_exchange_data!$A397,0,MATCH(R$2,raw_exchange_data!$1:$1,0)-1))</f>
        <v/>
      </c>
      <c r="S398" s="190" t="str">
        <f ca="1">IF(raw_exchange_data!$A397="","",OFFSET(raw_exchange_data!$A397,0,MATCH(S$2,raw_exchange_data!$1:$1,0)-1))</f>
        <v/>
      </c>
      <c r="W398" t="str">
        <f t="shared" si="33"/>
        <v>FBLK</v>
      </c>
      <c r="X398" t="str">
        <f t="shared" si="34"/>
        <v>YFI</v>
      </c>
      <c r="Y398" s="42">
        <f t="shared" si="35"/>
        <v>3.444444E-2</v>
      </c>
      <c r="Z398" s="42">
        <f t="shared" ca="1" si="36"/>
        <v>4.1732661899999997</v>
      </c>
    </row>
    <row r="399" spans="1:30" x14ac:dyDescent="0.25">
      <c r="A399" t="str">
        <f>IF(Summary_Exchange_Balances_00UTC!$B398="","",Summary_Exchange_Balances_00UTC!$N398)</f>
        <v>BINE</v>
      </c>
      <c r="B399" t="str">
        <f>IF(Summary_Exchange_Balances_00UTC!$B398="","",Summary_Exchange_Balances_00UTC!$B398)</f>
        <v>BINE-2-S1-M Margin Loan</v>
      </c>
      <c r="C399" t="str">
        <f>IF(Summary_Exchange_Balances_00UTC!$B398="","",Summary_Exchange_Balances_00UTC!$E398)</f>
        <v>AAVE</v>
      </c>
      <c r="D399" t="str">
        <f>IF(OR(Summary_Exchange_Balances_00UTC!$B398="",Summary_Exchange_Balances_00UTC!$D398=""),"",Summary_Exchange_Balances_00UTC!$D398)</f>
        <v/>
      </c>
      <c r="E399" s="52">
        <f>IF(Summary_Exchange_Balances_00UTC!$B398="","",Summary_Exchange_Balances_00UTC!$C398)</f>
        <v>-900</v>
      </c>
      <c r="G399" s="52">
        <f ca="1">IF(Summary_Exchange_Balances_00UTC!$B398="","",VLOOKUP(IF(ISERROR(SEARCH(" ", $B399)),UPPER($B399&amp;$C399&amp;IF(OR(NOT(ISERROR(SEARCH("trade",$D399))),NOT(ISERROR(SEARCH("balance",$D399)))),"",$D399)),UPPER(LEFT($B399, SEARCH(" ",$B399)-1)&amp;$C399&amp;IF(OR(NOT(ISERROR(SEARCH("trade",$D399))),NOT(ISERROR(SEARCH("balance",$D399)))),"",$D399))),$L:$T,MATCH("balance",$L$2:$S$2,0),FALSE))</f>
        <v>-900</v>
      </c>
      <c r="H399" s="35">
        <f ca="1">IF(Summary_Exchange_Balances_00UTC!$B398="","",(G399-E399)/E399)</f>
        <v>0</v>
      </c>
      <c r="I399" s="165">
        <f ca="1">IF(Summary_Exchange_Balances_00UTC!$B398="","",IF(ISERROR($G399),$E399,$G399))</f>
        <v>-900</v>
      </c>
      <c r="L399" t="str">
        <f t="shared" ca="1" si="32"/>
        <v/>
      </c>
      <c r="N399" s="161" t="str">
        <f ca="1">IF(raw_exchange_data!$A398="","",OFFSET(raw_exchange_data!$A398,0,MATCH(N$2,raw_exchange_data!$1:$1,0)-1))</f>
        <v/>
      </c>
      <c r="O399" s="161" t="str">
        <f ca="1">IF(raw_exchange_data!$A398="","",OFFSET(raw_exchange_data!$A398,0,MATCH(O$2,raw_exchange_data!$1:$1,0)-1))</f>
        <v/>
      </c>
      <c r="P399" s="161" t="str">
        <f ca="1">IF(raw_exchange_data!$A398="","",OFFSET(raw_exchange_data!$A398,0,MATCH(P$2,raw_exchange_data!$1:$1,0)-1))</f>
        <v/>
      </c>
      <c r="Q399" s="161" t="str">
        <f ca="1">IF(raw_exchange_data!$A398="","",TEXT(OFFSET(raw_exchange_data!$A398,0,MATCH(Q$2,raw_exchange_data!$1:$1,0)-1),""))</f>
        <v/>
      </c>
      <c r="R399" s="162" t="str">
        <f ca="1">IF(raw_exchange_data!$A398="","",OFFSET(raw_exchange_data!$A398,0,MATCH(R$2,raw_exchange_data!$1:$1,0)-1))</f>
        <v/>
      </c>
      <c r="S399" s="190" t="str">
        <f ca="1">IF(raw_exchange_data!$A398="","",OFFSET(raw_exchange_data!$A398,0,MATCH(S$2,raw_exchange_data!$1:$1,0)-1))</f>
        <v/>
      </c>
      <c r="W399" t="str">
        <f t="shared" si="33"/>
        <v>BINE</v>
      </c>
      <c r="X399" t="str">
        <f t="shared" si="34"/>
        <v>AAVE</v>
      </c>
      <c r="Y399" s="42">
        <f t="shared" si="35"/>
        <v>-900</v>
      </c>
      <c r="Z399" s="42">
        <f t="shared" ca="1" si="36"/>
        <v>-900</v>
      </c>
    </row>
    <row r="400" spans="1:30" x14ac:dyDescent="0.25">
      <c r="A400" t="str">
        <f>IF(Summary_Exchange_Balances_00UTC!$B399="","",Summary_Exchange_Balances_00UTC!$N399)</f>
        <v>BINE</v>
      </c>
      <c r="B400" t="str">
        <f>IF(Summary_Exchange_Balances_00UTC!$B399="","",Summary_Exchange_Balances_00UTC!$B399)</f>
        <v>BINE-2-S1-M Margin Loan</v>
      </c>
      <c r="C400" t="str">
        <f>IF(Summary_Exchange_Balances_00UTC!$B399="","",Summary_Exchange_Balances_00UTC!$E399)</f>
        <v>ADA</v>
      </c>
      <c r="D400" t="str">
        <f>IF(OR(Summary_Exchange_Balances_00UTC!$B399="",Summary_Exchange_Balances_00UTC!$D399=""),"",Summary_Exchange_Balances_00UTC!$D399)</f>
        <v/>
      </c>
      <c r="E400" s="52">
        <f>IF(Summary_Exchange_Balances_00UTC!$B399="","",Summary_Exchange_Balances_00UTC!$C399)</f>
        <v>-450000</v>
      </c>
      <c r="G400" s="52">
        <f ca="1">IF(Summary_Exchange_Balances_00UTC!$B399="","",VLOOKUP(IF(ISERROR(SEARCH(" ", $B400)),UPPER($B400&amp;$C400&amp;IF(OR(NOT(ISERROR(SEARCH("trade",$D400))),NOT(ISERROR(SEARCH("balance",$D400)))),"",$D400)),UPPER(LEFT($B400, SEARCH(" ",$B400)-1)&amp;$C400&amp;IF(OR(NOT(ISERROR(SEARCH("trade",$D400))),NOT(ISERROR(SEARCH("balance",$D400)))),"",$D400))),$L:$T,MATCH("balance",$L$2:$S$2,0),FALSE))</f>
        <v>-450000</v>
      </c>
      <c r="H400" s="35">
        <f ca="1">IF(Summary_Exchange_Balances_00UTC!$B399="","",(G400-E400)/E400)</f>
        <v>0</v>
      </c>
      <c r="I400" s="165">
        <f ca="1">IF(Summary_Exchange_Balances_00UTC!$B399="","",IF(ISERROR($G400),$E400,$G400))</f>
        <v>-450000</v>
      </c>
      <c r="L400" t="str">
        <f t="shared" ca="1" si="32"/>
        <v/>
      </c>
      <c r="N400" s="161" t="str">
        <f ca="1">IF(raw_exchange_data!$A399="","",OFFSET(raw_exchange_data!$A399,0,MATCH(N$2,raw_exchange_data!$1:$1,0)-1))</f>
        <v/>
      </c>
      <c r="O400" s="161" t="str">
        <f ca="1">IF(raw_exchange_data!$A399="","",OFFSET(raw_exchange_data!$A399,0,MATCH(O$2,raw_exchange_data!$1:$1,0)-1))</f>
        <v/>
      </c>
      <c r="P400" s="161" t="str">
        <f ca="1">IF(raw_exchange_data!$A399="","",OFFSET(raw_exchange_data!$A399,0,MATCH(P$2,raw_exchange_data!$1:$1,0)-1))</f>
        <v/>
      </c>
      <c r="Q400" s="161" t="str">
        <f ca="1">IF(raw_exchange_data!$A399="","",TEXT(OFFSET(raw_exchange_data!$A399,0,MATCH(Q$2,raw_exchange_data!$1:$1,0)-1),""))</f>
        <v/>
      </c>
      <c r="R400" s="162" t="str">
        <f ca="1">IF(raw_exchange_data!$A399="","",OFFSET(raw_exchange_data!$A399,0,MATCH(R$2,raw_exchange_data!$1:$1,0)-1))</f>
        <v/>
      </c>
      <c r="S400" s="190" t="str">
        <f ca="1">IF(raw_exchange_data!$A399="","",OFFSET(raw_exchange_data!$A399,0,MATCH(S$2,raw_exchange_data!$1:$1,0)-1))</f>
        <v/>
      </c>
      <c r="W400" t="str">
        <f t="shared" si="33"/>
        <v>BINE</v>
      </c>
      <c r="X400" t="str">
        <f t="shared" si="34"/>
        <v>ADA</v>
      </c>
      <c r="Y400" s="42">
        <f t="shared" si="35"/>
        <v>-450000</v>
      </c>
      <c r="Z400" s="42">
        <f t="shared" ca="1" si="36"/>
        <v>-450000</v>
      </c>
    </row>
    <row r="401" spans="1:26" x14ac:dyDescent="0.25">
      <c r="A401" t="str">
        <f>IF(Summary_Exchange_Balances_00UTC!$B400="","",Summary_Exchange_Balances_00UTC!$N400)</f>
        <v>BINE</v>
      </c>
      <c r="B401" t="str">
        <f>IF(Summary_Exchange_Balances_00UTC!$B400="","",Summary_Exchange_Balances_00UTC!$B400)</f>
        <v>BINE-2-S1-M Margin Loan</v>
      </c>
      <c r="C401" t="str">
        <f>IF(Summary_Exchange_Balances_00UTC!$B400="","",Summary_Exchange_Balances_00UTC!$E400)</f>
        <v>ALGO</v>
      </c>
      <c r="D401" t="str">
        <f>IF(OR(Summary_Exchange_Balances_00UTC!$B400="",Summary_Exchange_Balances_00UTC!$D400=""),"",Summary_Exchange_Balances_00UTC!$D400)</f>
        <v/>
      </c>
      <c r="E401" s="53">
        <f>IF(Summary_Exchange_Balances_00UTC!$B400="","",Summary_Exchange_Balances_00UTC!$C400)</f>
        <v>-244800</v>
      </c>
      <c r="G401" s="52">
        <f ca="1">IF(Summary_Exchange_Balances_00UTC!$B400="","",VLOOKUP(IF(ISERROR(SEARCH(" ", $B401)),UPPER($B401&amp;$C401&amp;IF(OR(NOT(ISERROR(SEARCH("trade",$D401))),NOT(ISERROR(SEARCH("balance",$D401)))),"",$D401)),UPPER(LEFT($B401, SEARCH(" ",$B401)-1)&amp;$C401&amp;IF(OR(NOT(ISERROR(SEARCH("trade",$D401))),NOT(ISERROR(SEARCH("balance",$D401)))),"",$D401))),$L:$T,MATCH("balance",$L$2:$S$2,0),FALSE))</f>
        <v>-244800</v>
      </c>
      <c r="H401" s="35">
        <f ca="1">IF(Summary_Exchange_Balances_00UTC!$B400="","",(G401-E401)/E401)</f>
        <v>0</v>
      </c>
      <c r="I401" s="165">
        <f ca="1">IF(Summary_Exchange_Balances_00UTC!$B400="","",IF(ISERROR($G401),$E401,$G401))</f>
        <v>-244800</v>
      </c>
      <c r="L401" t="str">
        <f t="shared" ca="1" si="32"/>
        <v/>
      </c>
      <c r="N401" s="161" t="str">
        <f ca="1">IF(raw_exchange_data!$A400="","",OFFSET(raw_exchange_data!$A400,0,MATCH(N$2,raw_exchange_data!$1:$1,0)-1))</f>
        <v/>
      </c>
      <c r="O401" s="161" t="str">
        <f ca="1">IF(raw_exchange_data!$A400="","",OFFSET(raw_exchange_data!$A400,0,MATCH(O$2,raw_exchange_data!$1:$1,0)-1))</f>
        <v/>
      </c>
      <c r="P401" s="161" t="str">
        <f ca="1">IF(raw_exchange_data!$A400="","",OFFSET(raw_exchange_data!$A400,0,MATCH(P$2,raw_exchange_data!$1:$1,0)-1))</f>
        <v/>
      </c>
      <c r="Q401" s="161" t="str">
        <f ca="1">IF(raw_exchange_data!$A400="","",TEXT(OFFSET(raw_exchange_data!$A400,0,MATCH(Q$2,raw_exchange_data!$1:$1,0)-1),""))</f>
        <v/>
      </c>
      <c r="R401" s="162" t="str">
        <f ca="1">IF(raw_exchange_data!$A400="","",OFFSET(raw_exchange_data!$A400,0,MATCH(R$2,raw_exchange_data!$1:$1,0)-1))</f>
        <v/>
      </c>
      <c r="S401" s="190" t="str">
        <f ca="1">IF(raw_exchange_data!$A400="","",OFFSET(raw_exchange_data!$A400,0,MATCH(S$2,raw_exchange_data!$1:$1,0)-1))</f>
        <v/>
      </c>
      <c r="W401" t="str">
        <f t="shared" si="33"/>
        <v>BINE</v>
      </c>
      <c r="X401" t="str">
        <f t="shared" si="34"/>
        <v>ALGO</v>
      </c>
      <c r="Y401" s="42">
        <f t="shared" si="35"/>
        <v>-244800</v>
      </c>
      <c r="Z401" s="42">
        <f t="shared" ca="1" si="36"/>
        <v>-244800</v>
      </c>
    </row>
    <row r="402" spans="1:26" x14ac:dyDescent="0.25">
      <c r="A402" t="str">
        <f>IF(Summary_Exchange_Balances_00UTC!$B401="","",Summary_Exchange_Balances_00UTC!$N401)</f>
        <v>BINE</v>
      </c>
      <c r="B402" t="str">
        <f>IF(Summary_Exchange_Balances_00UTC!$B401="","",Summary_Exchange_Balances_00UTC!$B401)</f>
        <v>BINE-2-S1-M Margin Loan</v>
      </c>
      <c r="C402" t="str">
        <f>IF(Summary_Exchange_Balances_00UTC!$B401="","",Summary_Exchange_Balances_00UTC!$E401)</f>
        <v>AVAX</v>
      </c>
      <c r="D402" t="str">
        <f>IF(OR(Summary_Exchange_Balances_00UTC!$B401="",Summary_Exchange_Balances_00UTC!$D401=""),"",Summary_Exchange_Balances_00UTC!$D401)</f>
        <v/>
      </c>
      <c r="E402" s="52">
        <f>IF(Summary_Exchange_Balances_00UTC!$B401="","",Summary_Exchange_Balances_00UTC!$C401)</f>
        <v>-6000</v>
      </c>
      <c r="G402" s="52">
        <f ca="1">IF(Summary_Exchange_Balances_00UTC!$B401="","",VLOOKUP(IF(ISERROR(SEARCH(" ", $B402)),UPPER($B402&amp;$C402&amp;IF(OR(NOT(ISERROR(SEARCH("trade",$D402))),NOT(ISERROR(SEARCH("balance",$D402)))),"",$D402)),UPPER(LEFT($B402, SEARCH(" ",$B402)-1)&amp;$C402&amp;IF(OR(NOT(ISERROR(SEARCH("trade",$D402))),NOT(ISERROR(SEARCH("balance",$D402)))),"",$D402))),$L:$T,MATCH("balance",$L$2:$S$2,0),FALSE))</f>
        <v>-6000</v>
      </c>
      <c r="H402" s="35">
        <f ca="1">IF(Summary_Exchange_Balances_00UTC!$B401="","",(G402-E402)/E402)</f>
        <v>0</v>
      </c>
      <c r="I402" s="165">
        <f ca="1">IF(Summary_Exchange_Balances_00UTC!$B401="","",IF(ISERROR($G402),$E402,$G402))</f>
        <v>-6000</v>
      </c>
      <c r="L402" t="str">
        <f t="shared" ca="1" si="32"/>
        <v/>
      </c>
      <c r="N402" s="161" t="str">
        <f ca="1">IF(raw_exchange_data!$A401="","",OFFSET(raw_exchange_data!$A401,0,MATCH(N$2,raw_exchange_data!$1:$1,0)-1))</f>
        <v/>
      </c>
      <c r="O402" s="161" t="str">
        <f ca="1">IF(raw_exchange_data!$A401="","",OFFSET(raw_exchange_data!$A401,0,MATCH(O$2,raw_exchange_data!$1:$1,0)-1))</f>
        <v/>
      </c>
      <c r="P402" s="161" t="str">
        <f ca="1">IF(raw_exchange_data!$A401="","",OFFSET(raw_exchange_data!$A401,0,MATCH(P$2,raw_exchange_data!$1:$1,0)-1))</f>
        <v/>
      </c>
      <c r="Q402" s="161" t="str">
        <f ca="1">IF(raw_exchange_data!$A401="","",TEXT(OFFSET(raw_exchange_data!$A401,0,MATCH(Q$2,raw_exchange_data!$1:$1,0)-1),""))</f>
        <v/>
      </c>
      <c r="R402" s="162" t="str">
        <f ca="1">IF(raw_exchange_data!$A401="","",OFFSET(raw_exchange_data!$A401,0,MATCH(R$2,raw_exchange_data!$1:$1,0)-1))</f>
        <v/>
      </c>
      <c r="S402" s="190" t="str">
        <f ca="1">IF(raw_exchange_data!$A401="","",OFFSET(raw_exchange_data!$A401,0,MATCH(S$2,raw_exchange_data!$1:$1,0)-1))</f>
        <v/>
      </c>
      <c r="W402" t="str">
        <f t="shared" si="33"/>
        <v>BINE</v>
      </c>
      <c r="X402" t="str">
        <f t="shared" si="34"/>
        <v>AVAX</v>
      </c>
      <c r="Y402" s="42">
        <f t="shared" si="35"/>
        <v>-6000</v>
      </c>
      <c r="Z402" s="42">
        <f t="shared" ca="1" si="36"/>
        <v>-6000</v>
      </c>
    </row>
    <row r="403" spans="1:26" x14ac:dyDescent="0.25">
      <c r="A403" t="str">
        <f>IF(Summary_Exchange_Balances_00UTC!$B402="","",Summary_Exchange_Balances_00UTC!$N402)</f>
        <v>BINE</v>
      </c>
      <c r="B403" t="str">
        <f>IF(Summary_Exchange_Balances_00UTC!$B402="","",Summary_Exchange_Balances_00UTC!$B402)</f>
        <v>BINE-2-S1-M Margin Loan</v>
      </c>
      <c r="C403" t="str">
        <f>IF(Summary_Exchange_Balances_00UTC!$B402="","",Summary_Exchange_Balances_00UTC!$E402)</f>
        <v>BAT</v>
      </c>
      <c r="D403" t="str">
        <f>IF(OR(Summary_Exchange_Balances_00UTC!$B402="",Summary_Exchange_Balances_00UTC!$D402=""),"",Summary_Exchange_Balances_00UTC!$D402)</f>
        <v/>
      </c>
      <c r="E403" s="52">
        <f>IF(Summary_Exchange_Balances_00UTC!$B402="","",Summary_Exchange_Balances_00UTC!$C402)</f>
        <v>-200000</v>
      </c>
      <c r="G403" s="52">
        <f ca="1">IF(Summary_Exchange_Balances_00UTC!$B402="","",VLOOKUP(IF(ISERROR(SEARCH(" ", $B403)),UPPER($B403&amp;$C403&amp;IF(OR(NOT(ISERROR(SEARCH("trade",$D403))),NOT(ISERROR(SEARCH("balance",$D403)))),"",$D403)),UPPER(LEFT($B403, SEARCH(" ",$B403)-1)&amp;$C403&amp;IF(OR(NOT(ISERROR(SEARCH("trade",$D403))),NOT(ISERROR(SEARCH("balance",$D403)))),"",$D403))),$L:$T,MATCH("balance",$L$2:$S$2,0),FALSE))</f>
        <v>-200000</v>
      </c>
      <c r="H403" s="35">
        <f ca="1">IF(Summary_Exchange_Balances_00UTC!$B402="","",(G403-E403)/E403)</f>
        <v>0</v>
      </c>
      <c r="I403" s="165">
        <f ca="1">IF(Summary_Exchange_Balances_00UTC!$B402="","",IF(ISERROR($G403),$E403,$G403))</f>
        <v>-200000</v>
      </c>
      <c r="L403" t="str">
        <f t="shared" ca="1" si="32"/>
        <v/>
      </c>
      <c r="N403" s="161" t="str">
        <f ca="1">IF(raw_exchange_data!$A402="","",OFFSET(raw_exchange_data!$A402,0,MATCH(N$2,raw_exchange_data!$1:$1,0)-1))</f>
        <v/>
      </c>
      <c r="O403" s="161" t="str">
        <f ca="1">IF(raw_exchange_data!$A402="","",OFFSET(raw_exchange_data!$A402,0,MATCH(O$2,raw_exchange_data!$1:$1,0)-1))</f>
        <v/>
      </c>
      <c r="P403" s="161" t="str">
        <f ca="1">IF(raw_exchange_data!$A402="","",OFFSET(raw_exchange_data!$A402,0,MATCH(P$2,raw_exchange_data!$1:$1,0)-1))</f>
        <v/>
      </c>
      <c r="Q403" s="161" t="str">
        <f ca="1">IF(raw_exchange_data!$A402="","",TEXT(OFFSET(raw_exchange_data!$A402,0,MATCH(Q$2,raw_exchange_data!$1:$1,0)-1),""))</f>
        <v/>
      </c>
      <c r="R403" s="162" t="str">
        <f ca="1">IF(raw_exchange_data!$A402="","",OFFSET(raw_exchange_data!$A402,0,MATCH(R$2,raw_exchange_data!$1:$1,0)-1))</f>
        <v/>
      </c>
      <c r="S403" s="190" t="str">
        <f ca="1">IF(raw_exchange_data!$A402="","",OFFSET(raw_exchange_data!$A402,0,MATCH(S$2,raw_exchange_data!$1:$1,0)-1))</f>
        <v/>
      </c>
      <c r="W403" t="str">
        <f t="shared" si="33"/>
        <v>BINE</v>
      </c>
      <c r="X403" t="str">
        <f t="shared" si="34"/>
        <v>BAT</v>
      </c>
      <c r="Y403" s="42">
        <f t="shared" si="35"/>
        <v>-200000</v>
      </c>
      <c r="Z403" s="42">
        <f t="shared" ca="1" si="36"/>
        <v>-200000</v>
      </c>
    </row>
    <row r="404" spans="1:26" x14ac:dyDescent="0.25">
      <c r="A404" t="str">
        <f>IF(Summary_Exchange_Balances_00UTC!$B403="","",Summary_Exchange_Balances_00UTC!$N403)</f>
        <v>BINE</v>
      </c>
      <c r="B404" t="str">
        <f>IF(Summary_Exchange_Balances_00UTC!$B403="","",Summary_Exchange_Balances_00UTC!$B403)</f>
        <v>BINE-2-S1-M Margin Loan</v>
      </c>
      <c r="C404" t="str">
        <f>IF(Summary_Exchange_Balances_00UTC!$B403="","",Summary_Exchange_Balances_00UTC!$E403)</f>
        <v>BCH</v>
      </c>
      <c r="D404" t="str">
        <f>IF(OR(Summary_Exchange_Balances_00UTC!$B403="",Summary_Exchange_Balances_00UTC!$D403=""),"",Summary_Exchange_Balances_00UTC!$D403)</f>
        <v/>
      </c>
      <c r="E404" s="52">
        <f>IF(Summary_Exchange_Balances_00UTC!$B403="","",Summary_Exchange_Balances_00UTC!$C403)</f>
        <v>-90</v>
      </c>
      <c r="G404" s="52">
        <f ca="1">IF(Summary_Exchange_Balances_00UTC!$B403="","",VLOOKUP(IF(ISERROR(SEARCH(" ", $B404)),UPPER($B404&amp;$C404&amp;IF(OR(NOT(ISERROR(SEARCH("trade",$D404))),NOT(ISERROR(SEARCH("balance",$D404)))),"",$D404)),UPPER(LEFT($B404, SEARCH(" ",$B404)-1)&amp;$C404&amp;IF(OR(NOT(ISERROR(SEARCH("trade",$D404))),NOT(ISERROR(SEARCH("balance",$D404)))),"",$D404))),$L:$T,MATCH("balance",$L$2:$S$2,0),FALSE))</f>
        <v>-90</v>
      </c>
      <c r="H404" s="35">
        <f ca="1">IF(Summary_Exchange_Balances_00UTC!$B403="","",(G404-E404)/E404)</f>
        <v>0</v>
      </c>
      <c r="I404" s="165">
        <f ca="1">IF(Summary_Exchange_Balances_00UTC!$B403="","",IF(ISERROR($G404),$E404,$G404))</f>
        <v>-90</v>
      </c>
      <c r="L404" t="str">
        <f t="shared" ca="1" si="32"/>
        <v/>
      </c>
      <c r="N404" s="161" t="str">
        <f ca="1">IF(raw_exchange_data!$A403="","",OFFSET(raw_exchange_data!$A403,0,MATCH(N$2,raw_exchange_data!$1:$1,0)-1))</f>
        <v/>
      </c>
      <c r="O404" s="161" t="str">
        <f ca="1">IF(raw_exchange_data!$A403="","",OFFSET(raw_exchange_data!$A403,0,MATCH(O$2,raw_exchange_data!$1:$1,0)-1))</f>
        <v/>
      </c>
      <c r="P404" s="161" t="str">
        <f ca="1">IF(raw_exchange_data!$A403="","",OFFSET(raw_exchange_data!$A403,0,MATCH(P$2,raw_exchange_data!$1:$1,0)-1))</f>
        <v/>
      </c>
      <c r="Q404" s="161" t="str">
        <f ca="1">IF(raw_exchange_data!$A403="","",TEXT(OFFSET(raw_exchange_data!$A403,0,MATCH(Q$2,raw_exchange_data!$1:$1,0)-1),""))</f>
        <v/>
      </c>
      <c r="R404" s="162" t="str">
        <f ca="1">IF(raw_exchange_data!$A403="","",OFFSET(raw_exchange_data!$A403,0,MATCH(R$2,raw_exchange_data!$1:$1,0)-1))</f>
        <v/>
      </c>
      <c r="S404" s="190" t="str">
        <f ca="1">IF(raw_exchange_data!$A403="","",OFFSET(raw_exchange_data!$A403,0,MATCH(S$2,raw_exchange_data!$1:$1,0)-1))</f>
        <v/>
      </c>
      <c r="W404" t="str">
        <f t="shared" si="33"/>
        <v>BINE</v>
      </c>
      <c r="X404" t="str">
        <f t="shared" si="34"/>
        <v>BCH</v>
      </c>
      <c r="Y404" s="42">
        <f t="shared" si="35"/>
        <v>-90</v>
      </c>
      <c r="Z404" s="42">
        <f t="shared" ca="1" si="36"/>
        <v>-90</v>
      </c>
    </row>
    <row r="405" spans="1:26" x14ac:dyDescent="0.25">
      <c r="A405" t="str">
        <f>IF(Summary_Exchange_Balances_00UTC!$B404="","",Summary_Exchange_Balances_00UTC!$N404)</f>
        <v>BINE</v>
      </c>
      <c r="B405" t="str">
        <f>IF(Summary_Exchange_Balances_00UTC!$B404="","",Summary_Exchange_Balances_00UTC!$B404)</f>
        <v>BINE-2-S1-M Margin Loan</v>
      </c>
      <c r="C405" t="str">
        <f>IF(Summary_Exchange_Balances_00UTC!$B404="","",Summary_Exchange_Balances_00UTC!$E404)</f>
        <v>COMP</v>
      </c>
      <c r="D405" t="str">
        <f>IF(OR(Summary_Exchange_Balances_00UTC!$B404="",Summary_Exchange_Balances_00UTC!$D404=""),"",Summary_Exchange_Balances_00UTC!$D404)</f>
        <v/>
      </c>
      <c r="E405" s="52">
        <f>IF(Summary_Exchange_Balances_00UTC!$B404="","",Summary_Exchange_Balances_00UTC!$C404)</f>
        <v>-4800</v>
      </c>
      <c r="G405" s="52">
        <f ca="1">IF(Summary_Exchange_Balances_00UTC!$B404="","",VLOOKUP(IF(ISERROR(SEARCH(" ", $B405)),UPPER($B405&amp;$C405&amp;IF(OR(NOT(ISERROR(SEARCH("trade",$D405))),NOT(ISERROR(SEARCH("balance",$D405)))),"",$D405)),UPPER(LEFT($B405, SEARCH(" ",$B405)-1)&amp;$C405&amp;IF(OR(NOT(ISERROR(SEARCH("trade",$D405))),NOT(ISERROR(SEARCH("balance",$D405)))),"",$D405))),$L:$T,MATCH("balance",$L$2:$S$2,0),FALSE))</f>
        <v>-4800</v>
      </c>
      <c r="H405" s="35">
        <f ca="1">IF(Summary_Exchange_Balances_00UTC!$B404="","",(G405-E405)/E405)</f>
        <v>0</v>
      </c>
      <c r="I405" s="165">
        <f ca="1">IF(Summary_Exchange_Balances_00UTC!$B404="","",IF(ISERROR($G405),$E405,$G405))</f>
        <v>-4800</v>
      </c>
      <c r="L405" t="str">
        <f t="shared" ca="1" si="32"/>
        <v/>
      </c>
      <c r="N405" s="161" t="str">
        <f ca="1">IF(raw_exchange_data!$A404="","",OFFSET(raw_exchange_data!$A404,0,MATCH(N$2,raw_exchange_data!$1:$1,0)-1))</f>
        <v/>
      </c>
      <c r="O405" s="161" t="str">
        <f ca="1">IF(raw_exchange_data!$A404="","",OFFSET(raw_exchange_data!$A404,0,MATCH(O$2,raw_exchange_data!$1:$1,0)-1))</f>
        <v/>
      </c>
      <c r="P405" s="161" t="str">
        <f ca="1">IF(raw_exchange_data!$A404="","",OFFSET(raw_exchange_data!$A404,0,MATCH(P$2,raw_exchange_data!$1:$1,0)-1))</f>
        <v/>
      </c>
      <c r="Q405" s="161" t="str">
        <f ca="1">IF(raw_exchange_data!$A404="","",TEXT(OFFSET(raw_exchange_data!$A404,0,MATCH(Q$2,raw_exchange_data!$1:$1,0)-1),""))</f>
        <v/>
      </c>
      <c r="R405" s="162" t="str">
        <f ca="1">IF(raw_exchange_data!$A404="","",OFFSET(raw_exchange_data!$A404,0,MATCH(R$2,raw_exchange_data!$1:$1,0)-1))</f>
        <v/>
      </c>
      <c r="S405" s="190" t="str">
        <f ca="1">IF(raw_exchange_data!$A404="","",OFFSET(raw_exchange_data!$A404,0,MATCH(S$2,raw_exchange_data!$1:$1,0)-1))</f>
        <v/>
      </c>
      <c r="W405" t="str">
        <f t="shared" si="33"/>
        <v>BINE</v>
      </c>
      <c r="X405" t="str">
        <f t="shared" si="34"/>
        <v>COMP</v>
      </c>
      <c r="Y405" s="42">
        <f t="shared" si="35"/>
        <v>-4800</v>
      </c>
      <c r="Z405" s="42">
        <f t="shared" ca="1" si="36"/>
        <v>-4800</v>
      </c>
    </row>
    <row r="406" spans="1:26" x14ac:dyDescent="0.25">
      <c r="A406" t="str">
        <f>IF(Summary_Exchange_Balances_00UTC!$B405="","",Summary_Exchange_Balances_00UTC!$N405)</f>
        <v>BINE</v>
      </c>
      <c r="B406" t="str">
        <f>IF(Summary_Exchange_Balances_00UTC!$B405="","",Summary_Exchange_Balances_00UTC!$B405)</f>
        <v>BINE-2-S1-M Margin Loan</v>
      </c>
      <c r="C406" t="str">
        <f>IF(Summary_Exchange_Balances_00UTC!$B405="","",Summary_Exchange_Balances_00UTC!$E405)</f>
        <v>DASH</v>
      </c>
      <c r="D406" t="str">
        <f>IF(OR(Summary_Exchange_Balances_00UTC!$B405="",Summary_Exchange_Balances_00UTC!$D405=""),"",Summary_Exchange_Balances_00UTC!$D405)</f>
        <v/>
      </c>
      <c r="E406" s="52">
        <f>IF(Summary_Exchange_Balances_00UTC!$B405="","",Summary_Exchange_Balances_00UTC!$C405)</f>
        <v>-1000</v>
      </c>
      <c r="G406" s="52">
        <f ca="1">IF(Summary_Exchange_Balances_00UTC!$B405="","",VLOOKUP(IF(ISERROR(SEARCH(" ", $B406)),UPPER($B406&amp;$C406&amp;IF(OR(NOT(ISERROR(SEARCH("trade",$D406))),NOT(ISERROR(SEARCH("balance",$D406)))),"",$D406)),UPPER(LEFT($B406, SEARCH(" ",$B406)-1)&amp;$C406&amp;IF(OR(NOT(ISERROR(SEARCH("trade",$D406))),NOT(ISERROR(SEARCH("balance",$D406)))),"",$D406))),$L:$T,MATCH("balance",$L$2:$S$2,0),FALSE))</f>
        <v>-1000</v>
      </c>
      <c r="H406" s="35">
        <f ca="1">IF(Summary_Exchange_Balances_00UTC!$B405="","",(G406-E406)/E406)</f>
        <v>0</v>
      </c>
      <c r="I406" s="165">
        <f ca="1">IF(Summary_Exchange_Balances_00UTC!$B405="","",IF(ISERROR($G406),$E406,$G406))</f>
        <v>-1000</v>
      </c>
      <c r="L406" t="str">
        <f t="shared" ca="1" si="32"/>
        <v/>
      </c>
      <c r="N406" s="161" t="str">
        <f ca="1">IF(raw_exchange_data!$A405="","",OFFSET(raw_exchange_data!$A405,0,MATCH(N$2,raw_exchange_data!$1:$1,0)-1))</f>
        <v/>
      </c>
      <c r="O406" s="161" t="str">
        <f ca="1">IF(raw_exchange_data!$A405="","",OFFSET(raw_exchange_data!$A405,0,MATCH(O$2,raw_exchange_data!$1:$1,0)-1))</f>
        <v/>
      </c>
      <c r="P406" s="161" t="str">
        <f ca="1">IF(raw_exchange_data!$A405="","",OFFSET(raw_exchange_data!$A405,0,MATCH(P$2,raw_exchange_data!$1:$1,0)-1))</f>
        <v/>
      </c>
      <c r="Q406" s="161" t="str">
        <f ca="1">IF(raw_exchange_data!$A405="","",TEXT(OFFSET(raw_exchange_data!$A405,0,MATCH(Q$2,raw_exchange_data!$1:$1,0)-1),""))</f>
        <v/>
      </c>
      <c r="R406" s="162" t="str">
        <f ca="1">IF(raw_exchange_data!$A405="","",OFFSET(raw_exchange_data!$A405,0,MATCH(R$2,raw_exchange_data!$1:$1,0)-1))</f>
        <v/>
      </c>
      <c r="S406" s="190" t="str">
        <f ca="1">IF(raw_exchange_data!$A405="","",OFFSET(raw_exchange_data!$A405,0,MATCH(S$2,raw_exchange_data!$1:$1,0)-1))</f>
        <v/>
      </c>
      <c r="W406" t="str">
        <f t="shared" si="33"/>
        <v>BINE</v>
      </c>
      <c r="X406" t="str">
        <f t="shared" si="34"/>
        <v>DASH</v>
      </c>
      <c r="Y406" s="42">
        <f t="shared" si="35"/>
        <v>-1000</v>
      </c>
      <c r="Z406" s="42">
        <f t="shared" ca="1" si="36"/>
        <v>-1000</v>
      </c>
    </row>
    <row r="407" spans="1:26" x14ac:dyDescent="0.25">
      <c r="A407" t="str">
        <f>IF(Summary_Exchange_Balances_00UTC!$B406="","",Summary_Exchange_Balances_00UTC!$N406)</f>
        <v>BINE</v>
      </c>
      <c r="B407" t="str">
        <f>IF(Summary_Exchange_Balances_00UTC!$B406="","",Summary_Exchange_Balances_00UTC!$B406)</f>
        <v>BINE-2-S1-M Margin Loan</v>
      </c>
      <c r="C407" t="str">
        <f>IF(Summary_Exchange_Balances_00UTC!$B406="","",Summary_Exchange_Balances_00UTC!$E406)</f>
        <v>DOGE</v>
      </c>
      <c r="D407" t="str">
        <f>IF(OR(Summary_Exchange_Balances_00UTC!$B406="",Summary_Exchange_Balances_00UTC!$D406=""),"",Summary_Exchange_Balances_00UTC!$D406)</f>
        <v/>
      </c>
      <c r="E407" s="52">
        <f>IF(Summary_Exchange_Balances_00UTC!$B406="","",Summary_Exchange_Balances_00UTC!$C406)</f>
        <v>-1100000</v>
      </c>
      <c r="G407" s="52">
        <f ca="1">IF(Summary_Exchange_Balances_00UTC!$B406="","",VLOOKUP(IF(ISERROR(SEARCH(" ", $B407)),UPPER($B407&amp;$C407&amp;IF(OR(NOT(ISERROR(SEARCH("trade",$D407))),NOT(ISERROR(SEARCH("balance",$D407)))),"",$D407)),UPPER(LEFT($B407, SEARCH(" ",$B407)-1)&amp;$C407&amp;IF(OR(NOT(ISERROR(SEARCH("trade",$D407))),NOT(ISERROR(SEARCH("balance",$D407)))),"",$D407))),$L:$T,MATCH("balance",$L$2:$S$2,0),FALSE))</f>
        <v>-1100000</v>
      </c>
      <c r="H407" s="35">
        <f ca="1">IF(Summary_Exchange_Balances_00UTC!$B406="","",(G407-E407)/E407)</f>
        <v>0</v>
      </c>
      <c r="I407" s="165">
        <f ca="1">IF(Summary_Exchange_Balances_00UTC!$B406="","",IF(ISERROR($G407),$E407,$G407))</f>
        <v>-1100000</v>
      </c>
      <c r="L407" t="str">
        <f t="shared" ca="1" si="32"/>
        <v/>
      </c>
      <c r="N407" s="161" t="str">
        <f ca="1">IF(raw_exchange_data!$A406="","",OFFSET(raw_exchange_data!$A406,0,MATCH(N$2,raw_exchange_data!$1:$1,0)-1))</f>
        <v/>
      </c>
      <c r="O407" s="161" t="str">
        <f ca="1">IF(raw_exchange_data!$A406="","",OFFSET(raw_exchange_data!$A406,0,MATCH(O$2,raw_exchange_data!$1:$1,0)-1))</f>
        <v/>
      </c>
      <c r="P407" s="161" t="str">
        <f ca="1">IF(raw_exchange_data!$A406="","",OFFSET(raw_exchange_data!$A406,0,MATCH(P$2,raw_exchange_data!$1:$1,0)-1))</f>
        <v/>
      </c>
      <c r="Q407" s="161" t="str">
        <f ca="1">IF(raw_exchange_data!$A406="","",TEXT(OFFSET(raw_exchange_data!$A406,0,MATCH(Q$2,raw_exchange_data!$1:$1,0)-1),""))</f>
        <v/>
      </c>
      <c r="R407" s="162" t="str">
        <f ca="1">IF(raw_exchange_data!$A406="","",OFFSET(raw_exchange_data!$A406,0,MATCH(R$2,raw_exchange_data!$1:$1,0)-1))</f>
        <v/>
      </c>
      <c r="S407" s="190" t="str">
        <f ca="1">IF(raw_exchange_data!$A406="","",OFFSET(raw_exchange_data!$A406,0,MATCH(S$2,raw_exchange_data!$1:$1,0)-1))</f>
        <v/>
      </c>
      <c r="W407" t="str">
        <f t="shared" si="33"/>
        <v>BINE</v>
      </c>
      <c r="X407" t="str">
        <f t="shared" si="34"/>
        <v>DOGE</v>
      </c>
      <c r="Y407" s="42">
        <f t="shared" si="35"/>
        <v>-1100000</v>
      </c>
      <c r="Z407" s="42">
        <f t="shared" ca="1" si="36"/>
        <v>-1100000</v>
      </c>
    </row>
    <row r="408" spans="1:26" x14ac:dyDescent="0.25">
      <c r="A408" t="str">
        <f>IF(Summary_Exchange_Balances_00UTC!$B407="","",Summary_Exchange_Balances_00UTC!$N407)</f>
        <v>BINE</v>
      </c>
      <c r="B408" t="str">
        <f>IF(Summary_Exchange_Balances_00UTC!$B407="","",Summary_Exchange_Balances_00UTC!$B407)</f>
        <v>BINE-2-S1-M Margin Loan</v>
      </c>
      <c r="C408" t="str">
        <f>IF(Summary_Exchange_Balances_00UTC!$B407="","",Summary_Exchange_Balances_00UTC!$E407)</f>
        <v>DOT</v>
      </c>
      <c r="D408" t="str">
        <f>IF(OR(Summary_Exchange_Balances_00UTC!$B407="",Summary_Exchange_Balances_00UTC!$D407=""),"",Summary_Exchange_Balances_00UTC!$D407)</f>
        <v/>
      </c>
      <c r="E408" s="52">
        <f>IF(Summary_Exchange_Balances_00UTC!$B407="","",Summary_Exchange_Balances_00UTC!$C407)</f>
        <v>-10000</v>
      </c>
      <c r="G408" s="52">
        <f ca="1">IF(Summary_Exchange_Balances_00UTC!$B407="","",VLOOKUP(IF(ISERROR(SEARCH(" ", $B408)),UPPER($B408&amp;$C408&amp;IF(OR(NOT(ISERROR(SEARCH("trade",$D408))),NOT(ISERROR(SEARCH("balance",$D408)))),"",$D408)),UPPER(LEFT($B408, SEARCH(" ",$B408)-1)&amp;$C408&amp;IF(OR(NOT(ISERROR(SEARCH("trade",$D408))),NOT(ISERROR(SEARCH("balance",$D408)))),"",$D408))),$L:$T,MATCH("balance",$L$2:$S$2,0),FALSE))</f>
        <v>-10000</v>
      </c>
      <c r="H408" s="35">
        <f ca="1">IF(Summary_Exchange_Balances_00UTC!$B407="","",(G408-E408)/E408)</f>
        <v>0</v>
      </c>
      <c r="I408" s="165">
        <f ca="1">IF(Summary_Exchange_Balances_00UTC!$B407="","",IF(ISERROR($G408),$E408,$G408))</f>
        <v>-10000</v>
      </c>
      <c r="L408" t="str">
        <f t="shared" ca="1" si="32"/>
        <v/>
      </c>
      <c r="N408" s="161" t="str">
        <f ca="1">IF(raw_exchange_data!$A407="","",OFFSET(raw_exchange_data!$A407,0,MATCH(N$2,raw_exchange_data!$1:$1,0)-1))</f>
        <v/>
      </c>
      <c r="O408" s="161" t="str">
        <f ca="1">IF(raw_exchange_data!$A407="","",OFFSET(raw_exchange_data!$A407,0,MATCH(O$2,raw_exchange_data!$1:$1,0)-1))</f>
        <v/>
      </c>
      <c r="P408" s="161" t="str">
        <f ca="1">IF(raw_exchange_data!$A407="","",OFFSET(raw_exchange_data!$A407,0,MATCH(P$2,raw_exchange_data!$1:$1,0)-1))</f>
        <v/>
      </c>
      <c r="Q408" s="161" t="str">
        <f ca="1">IF(raw_exchange_data!$A407="","",TEXT(OFFSET(raw_exchange_data!$A407,0,MATCH(Q$2,raw_exchange_data!$1:$1,0)-1),""))</f>
        <v/>
      </c>
      <c r="R408" s="162" t="str">
        <f ca="1">IF(raw_exchange_data!$A407="","",OFFSET(raw_exchange_data!$A407,0,MATCH(R$2,raw_exchange_data!$1:$1,0)-1))</f>
        <v/>
      </c>
      <c r="S408" s="190" t="str">
        <f ca="1">IF(raw_exchange_data!$A407="","",OFFSET(raw_exchange_data!$A407,0,MATCH(S$2,raw_exchange_data!$1:$1,0)-1))</f>
        <v/>
      </c>
      <c r="W408" t="str">
        <f t="shared" si="33"/>
        <v>BINE</v>
      </c>
      <c r="X408" t="str">
        <f t="shared" si="34"/>
        <v>DOT</v>
      </c>
      <c r="Y408" s="42">
        <f t="shared" si="35"/>
        <v>-10000</v>
      </c>
      <c r="Z408" s="42">
        <f t="shared" ca="1" si="36"/>
        <v>-10000</v>
      </c>
    </row>
    <row r="409" spans="1:26" x14ac:dyDescent="0.25">
      <c r="A409" t="str">
        <f>IF(Summary_Exchange_Balances_00UTC!$B408="","",Summary_Exchange_Balances_00UTC!$N408)</f>
        <v>BINE</v>
      </c>
      <c r="B409" t="str">
        <f>IF(Summary_Exchange_Balances_00UTC!$B408="","",Summary_Exchange_Balances_00UTC!$B408)</f>
        <v>BINE-2-S1-M Margin Loan</v>
      </c>
      <c r="C409" t="str">
        <f>IF(Summary_Exchange_Balances_00UTC!$B408="","",Summary_Exchange_Balances_00UTC!$E408)</f>
        <v>ENJ</v>
      </c>
      <c r="D409" t="str">
        <f>IF(OR(Summary_Exchange_Balances_00UTC!$B408="",Summary_Exchange_Balances_00UTC!$D408=""),"",Summary_Exchange_Balances_00UTC!$D408)</f>
        <v/>
      </c>
      <c r="E409" s="52">
        <f>IF(Summary_Exchange_Balances_00UTC!$B408="","",Summary_Exchange_Balances_00UTC!$C408)</f>
        <v>-60000</v>
      </c>
      <c r="G409" s="52">
        <f ca="1">IF(Summary_Exchange_Balances_00UTC!$B408="","",VLOOKUP(IF(ISERROR(SEARCH(" ", $B409)),UPPER($B409&amp;$C409&amp;IF(OR(NOT(ISERROR(SEARCH("trade",$D409))),NOT(ISERROR(SEARCH("balance",$D409)))),"",$D409)),UPPER(LEFT($B409, SEARCH(" ",$B409)-1)&amp;$C409&amp;IF(OR(NOT(ISERROR(SEARCH("trade",$D409))),NOT(ISERROR(SEARCH("balance",$D409)))),"",$D409))),$L:$T,MATCH("balance",$L$2:$S$2,0),FALSE))</f>
        <v>-60000</v>
      </c>
      <c r="H409" s="35">
        <f ca="1">IF(Summary_Exchange_Balances_00UTC!$B408="","",(G409-E409)/E409)</f>
        <v>0</v>
      </c>
      <c r="I409" s="165">
        <f ca="1">IF(Summary_Exchange_Balances_00UTC!$B408="","",IF(ISERROR($G409),$E409,$G409))</f>
        <v>-60000</v>
      </c>
      <c r="L409" t="str">
        <f t="shared" ca="1" si="32"/>
        <v/>
      </c>
      <c r="N409" s="161" t="str">
        <f ca="1">IF(raw_exchange_data!$A408="","",OFFSET(raw_exchange_data!$A408,0,MATCH(N$2,raw_exchange_data!$1:$1,0)-1))</f>
        <v/>
      </c>
      <c r="O409" s="161" t="str">
        <f ca="1">IF(raw_exchange_data!$A408="","",OFFSET(raw_exchange_data!$A408,0,MATCH(O$2,raw_exchange_data!$1:$1,0)-1))</f>
        <v/>
      </c>
      <c r="P409" s="161" t="str">
        <f ca="1">IF(raw_exchange_data!$A408="","",OFFSET(raw_exchange_data!$A408,0,MATCH(P$2,raw_exchange_data!$1:$1,0)-1))</f>
        <v/>
      </c>
      <c r="Q409" s="161" t="str">
        <f ca="1">IF(raw_exchange_data!$A408="","",TEXT(OFFSET(raw_exchange_data!$A408,0,MATCH(Q$2,raw_exchange_data!$1:$1,0)-1),""))</f>
        <v/>
      </c>
      <c r="R409" s="162" t="str">
        <f ca="1">IF(raw_exchange_data!$A408="","",OFFSET(raw_exchange_data!$A408,0,MATCH(R$2,raw_exchange_data!$1:$1,0)-1))</f>
        <v/>
      </c>
      <c r="S409" s="190" t="str">
        <f ca="1">IF(raw_exchange_data!$A408="","",OFFSET(raw_exchange_data!$A408,0,MATCH(S$2,raw_exchange_data!$1:$1,0)-1))</f>
        <v/>
      </c>
      <c r="W409" t="str">
        <f t="shared" si="33"/>
        <v>BINE</v>
      </c>
      <c r="X409" t="str">
        <f t="shared" si="34"/>
        <v>ENJ</v>
      </c>
      <c r="Y409" s="42">
        <f t="shared" si="35"/>
        <v>-60000</v>
      </c>
      <c r="Z409" s="42">
        <f t="shared" ca="1" si="36"/>
        <v>-60000</v>
      </c>
    </row>
    <row r="410" spans="1:26" x14ac:dyDescent="0.25">
      <c r="A410" t="str">
        <f>IF(Summary_Exchange_Balances_00UTC!$B409="","",Summary_Exchange_Balances_00UTC!$N409)</f>
        <v>BINE</v>
      </c>
      <c r="B410" t="str">
        <f>IF(Summary_Exchange_Balances_00UTC!$B409="","",Summary_Exchange_Balances_00UTC!$B409)</f>
        <v>BINE-2-S1-M Margin Loan</v>
      </c>
      <c r="C410" t="str">
        <f>IF(Summary_Exchange_Balances_00UTC!$B409="","",Summary_Exchange_Balances_00UTC!$E409)</f>
        <v>EOS</v>
      </c>
      <c r="E410" s="52">
        <f>IF(Summary_Exchange_Balances_00UTC!$B409="","",Summary_Exchange_Balances_00UTC!$C409)</f>
        <v>-115336.6</v>
      </c>
      <c r="G410" s="52">
        <f ca="1">IF(Summary_Exchange_Balances_00UTC!$B409="","",VLOOKUP(IF(ISERROR(SEARCH(" ", $B410)),UPPER($B410&amp;$C410&amp;IF(OR(NOT(ISERROR(SEARCH("trade",$D410))),NOT(ISERROR(SEARCH("balance",$D410)))),"",$D410)),UPPER(LEFT($B410, SEARCH(" ",$B410)-1)&amp;$C410&amp;IF(OR(NOT(ISERROR(SEARCH("trade",$D410))),NOT(ISERROR(SEARCH("balance",$D410)))),"",$D410))),$L:$T,MATCH("balance",$L$2:$S$2,0),FALSE))</f>
        <v>-118545.5</v>
      </c>
      <c r="H410" s="35">
        <f ca="1">IF(Summary_Exchange_Balances_00UTC!$B409="","",(G410-E410)/E410)</f>
        <v>2.7822044346720764E-2</v>
      </c>
      <c r="I410" s="165">
        <f ca="1">IF(Summary_Exchange_Balances_00UTC!$B409="","",IF(ISERROR($G410),$E410,$G410))</f>
        <v>-118545.5</v>
      </c>
      <c r="L410" t="str">
        <f t="shared" ca="1" si="32"/>
        <v/>
      </c>
      <c r="N410" s="161" t="str">
        <f ca="1">IF(raw_exchange_data!$A409="","",OFFSET(raw_exchange_data!$A409,0,MATCH(N$2,raw_exchange_data!$1:$1,0)-1))</f>
        <v/>
      </c>
      <c r="O410" s="161" t="str">
        <f ca="1">IF(raw_exchange_data!$A409="","",OFFSET(raw_exchange_data!$A409,0,MATCH(O$2,raw_exchange_data!$1:$1,0)-1))</f>
        <v/>
      </c>
      <c r="P410" s="161" t="str">
        <f ca="1">IF(raw_exchange_data!$A409="","",OFFSET(raw_exchange_data!$A409,0,MATCH(P$2,raw_exchange_data!$1:$1,0)-1))</f>
        <v/>
      </c>
      <c r="Q410" s="161" t="str">
        <f ca="1">IF(raw_exchange_data!$A409="","",TEXT(OFFSET(raw_exchange_data!$A409,0,MATCH(Q$2,raw_exchange_data!$1:$1,0)-1),""))</f>
        <v/>
      </c>
      <c r="R410" s="162" t="str">
        <f ca="1">IF(raw_exchange_data!$A409="","",OFFSET(raw_exchange_data!$A409,0,MATCH(R$2,raw_exchange_data!$1:$1,0)-1))</f>
        <v/>
      </c>
      <c r="S410" s="190" t="str">
        <f ca="1">IF(raw_exchange_data!$A409="","",OFFSET(raw_exchange_data!$A409,0,MATCH(S$2,raw_exchange_data!$1:$1,0)-1))</f>
        <v/>
      </c>
      <c r="W410" t="str">
        <f t="shared" si="33"/>
        <v>BINE</v>
      </c>
      <c r="X410" t="str">
        <f t="shared" si="34"/>
        <v>EOS</v>
      </c>
      <c r="Y410" s="42">
        <f t="shared" si="35"/>
        <v>-115336.6</v>
      </c>
      <c r="Z410" s="42">
        <f t="shared" ca="1" si="36"/>
        <v>-118545.5</v>
      </c>
    </row>
    <row r="411" spans="1:26" x14ac:dyDescent="0.25">
      <c r="A411" t="str">
        <f>IF(Summary_Exchange_Balances_00UTC!$B410="","",Summary_Exchange_Balances_00UTC!$N410)</f>
        <v>BINE</v>
      </c>
      <c r="B411" t="str">
        <f>IF(Summary_Exchange_Balances_00UTC!$B410="","",Summary_Exchange_Balances_00UTC!$B410)</f>
        <v>BINE-2-S1-M Margin Loan</v>
      </c>
      <c r="C411" t="str">
        <f>IF(Summary_Exchange_Balances_00UTC!$B410="","",Summary_Exchange_Balances_00UTC!$E410)</f>
        <v>FTM</v>
      </c>
      <c r="E411" s="52">
        <f>IF(Summary_Exchange_Balances_00UTC!$B410="","",Summary_Exchange_Balances_00UTC!$C410)</f>
        <v>-300000</v>
      </c>
      <c r="G411" s="52">
        <f ca="1">IF(Summary_Exchange_Balances_00UTC!$B410="","",VLOOKUP(IF(ISERROR(SEARCH(" ", $B411)),UPPER($B411&amp;$C411&amp;IF(OR(NOT(ISERROR(SEARCH("trade",$D411))),NOT(ISERROR(SEARCH("balance",$D411)))),"",$D411)),UPPER(LEFT($B411, SEARCH(" ",$B411)-1)&amp;$C411&amp;IF(OR(NOT(ISERROR(SEARCH("trade",$D411))),NOT(ISERROR(SEARCH("balance",$D411)))),"",$D411))),$L:$T,MATCH("balance",$L$2:$S$2,0),FALSE))</f>
        <v>-300000</v>
      </c>
      <c r="H411" s="35">
        <f ca="1">IF(Summary_Exchange_Balances_00UTC!$B410="","",(G411-E411)/E411)</f>
        <v>0</v>
      </c>
      <c r="I411" s="165">
        <f ca="1">IF(Summary_Exchange_Balances_00UTC!$B410="","",IF(ISERROR($G411),$E411,$G411))</f>
        <v>-300000</v>
      </c>
      <c r="L411" t="str">
        <f t="shared" ca="1" si="32"/>
        <v/>
      </c>
      <c r="N411" s="161" t="str">
        <f ca="1">IF(raw_exchange_data!$A410="","",OFFSET(raw_exchange_data!$A410,0,MATCH(N$2,raw_exchange_data!$1:$1,0)-1))</f>
        <v/>
      </c>
      <c r="O411" s="161" t="str">
        <f ca="1">IF(raw_exchange_data!$A410="","",OFFSET(raw_exchange_data!$A410,0,MATCH(O$2,raw_exchange_data!$1:$1,0)-1))</f>
        <v/>
      </c>
      <c r="P411" s="161" t="str">
        <f ca="1">IF(raw_exchange_data!$A410="","",OFFSET(raw_exchange_data!$A410,0,MATCH(P$2,raw_exchange_data!$1:$1,0)-1))</f>
        <v/>
      </c>
      <c r="Q411" s="161" t="str">
        <f ca="1">IF(raw_exchange_data!$A410="","",TEXT(OFFSET(raw_exchange_data!$A410,0,MATCH(Q$2,raw_exchange_data!$1:$1,0)-1),""))</f>
        <v/>
      </c>
      <c r="R411" s="162" t="str">
        <f ca="1">IF(raw_exchange_data!$A410="","",OFFSET(raw_exchange_data!$A410,0,MATCH(R$2,raw_exchange_data!$1:$1,0)-1))</f>
        <v/>
      </c>
      <c r="S411" s="190" t="str">
        <f ca="1">IF(raw_exchange_data!$A410="","",OFFSET(raw_exchange_data!$A410,0,MATCH(S$2,raw_exchange_data!$1:$1,0)-1))</f>
        <v/>
      </c>
      <c r="W411" t="str">
        <f t="shared" si="33"/>
        <v>BINE</v>
      </c>
      <c r="X411" t="str">
        <f t="shared" si="34"/>
        <v>FTM</v>
      </c>
      <c r="Y411" s="42">
        <f t="shared" si="35"/>
        <v>-300000</v>
      </c>
      <c r="Z411" s="42">
        <f t="shared" ca="1" si="36"/>
        <v>-300000</v>
      </c>
    </row>
    <row r="412" spans="1:26" x14ac:dyDescent="0.25">
      <c r="A412" t="str">
        <f>IF(Summary_Exchange_Balances_00UTC!$B411="","",Summary_Exchange_Balances_00UTC!$N411)</f>
        <v>BINE</v>
      </c>
      <c r="B412" t="str">
        <f>IF(Summary_Exchange_Balances_00UTC!$B411="","",Summary_Exchange_Balances_00UTC!$B411)</f>
        <v>BINE-2-S1-M Margin Loan</v>
      </c>
      <c r="C412" t="str">
        <f>IF(Summary_Exchange_Balances_00UTC!$B411="","",Summary_Exchange_Balances_00UTC!$E411)</f>
        <v>GRT</v>
      </c>
      <c r="E412" s="52">
        <f>IF(Summary_Exchange_Balances_00UTC!$B411="","",Summary_Exchange_Balances_00UTC!$C411)</f>
        <v>-240000</v>
      </c>
      <c r="G412" s="52">
        <f ca="1">IF(Summary_Exchange_Balances_00UTC!$B411="","",VLOOKUP(IF(ISERROR(SEARCH(" ", $B412)),UPPER($B412&amp;$C412&amp;IF(OR(NOT(ISERROR(SEARCH("trade",$D412))),NOT(ISERROR(SEARCH("balance",$D412)))),"",$D412)),UPPER(LEFT($B412, SEARCH(" ",$B412)-1)&amp;$C412&amp;IF(OR(NOT(ISERROR(SEARCH("trade",$D412))),NOT(ISERROR(SEARCH("balance",$D412)))),"",$D412))),$L:$T,MATCH("balance",$L$2:$S$2,0),FALSE))</f>
        <v>-240000</v>
      </c>
      <c r="H412" s="35">
        <f ca="1">IF(Summary_Exchange_Balances_00UTC!$B411="","",(G412-E412)/E412)</f>
        <v>0</v>
      </c>
      <c r="I412" s="165">
        <f ca="1">IF(Summary_Exchange_Balances_00UTC!$B411="","",IF(ISERROR($G412),$E412,$G412))</f>
        <v>-240000</v>
      </c>
      <c r="L412" t="str">
        <f t="shared" ca="1" si="32"/>
        <v/>
      </c>
      <c r="N412" s="161" t="str">
        <f ca="1">IF(raw_exchange_data!$A411="","",OFFSET(raw_exchange_data!$A411,0,MATCH(N$2,raw_exchange_data!$1:$1,0)-1))</f>
        <v/>
      </c>
      <c r="O412" s="161" t="str">
        <f ca="1">IF(raw_exchange_data!$A411="","",OFFSET(raw_exchange_data!$A411,0,MATCH(O$2,raw_exchange_data!$1:$1,0)-1))</f>
        <v/>
      </c>
      <c r="P412" s="161" t="str">
        <f ca="1">IF(raw_exchange_data!$A411="","",OFFSET(raw_exchange_data!$A411,0,MATCH(P$2,raw_exchange_data!$1:$1,0)-1))</f>
        <v/>
      </c>
      <c r="Q412" s="161" t="str">
        <f ca="1">IF(raw_exchange_data!$A411="","",TEXT(OFFSET(raw_exchange_data!$A411,0,MATCH(Q$2,raw_exchange_data!$1:$1,0)-1),""))</f>
        <v/>
      </c>
      <c r="R412" s="162" t="str">
        <f ca="1">IF(raw_exchange_data!$A411="","",OFFSET(raw_exchange_data!$A411,0,MATCH(R$2,raw_exchange_data!$1:$1,0)-1))</f>
        <v/>
      </c>
      <c r="S412" s="190" t="str">
        <f ca="1">IF(raw_exchange_data!$A411="","",OFFSET(raw_exchange_data!$A411,0,MATCH(S$2,raw_exchange_data!$1:$1,0)-1))</f>
        <v/>
      </c>
      <c r="W412" t="str">
        <f t="shared" si="33"/>
        <v>BINE</v>
      </c>
      <c r="X412" t="str">
        <f t="shared" si="34"/>
        <v>GRT</v>
      </c>
      <c r="Y412" s="42">
        <f t="shared" si="35"/>
        <v>-240000</v>
      </c>
      <c r="Z412" s="42">
        <f t="shared" ca="1" si="36"/>
        <v>-240000</v>
      </c>
    </row>
    <row r="413" spans="1:26" x14ac:dyDescent="0.25">
      <c r="A413" t="str">
        <f>IF(Summary_Exchange_Balances_00UTC!$B412="","",Summary_Exchange_Balances_00UTC!$N412)</f>
        <v>BINE</v>
      </c>
      <c r="B413" t="str">
        <f>IF(Summary_Exchange_Balances_00UTC!$B412="","",Summary_Exchange_Balances_00UTC!$B412)</f>
        <v>BINE-2-S1-M Margin Loan</v>
      </c>
      <c r="C413" t="str">
        <f>IF(Summary_Exchange_Balances_00UTC!$B412="","",Summary_Exchange_Balances_00UTC!$E412)</f>
        <v>HBAR</v>
      </c>
      <c r="E413" s="52">
        <f>IF(Summary_Exchange_Balances_00UTC!$B412="","",Summary_Exchange_Balances_00UTC!$C412)</f>
        <v>-628800</v>
      </c>
      <c r="G413" s="52">
        <f ca="1">IF(Summary_Exchange_Balances_00UTC!$B412="","",VLOOKUP(IF(ISERROR(SEARCH(" ", $B413)),UPPER($B413&amp;$C413&amp;IF(OR(NOT(ISERROR(SEARCH("trade",$D413))),NOT(ISERROR(SEARCH("balance",$D413)))),"",$D413)),UPPER(LEFT($B413, SEARCH(" ",$B413)-1)&amp;$C413&amp;IF(OR(NOT(ISERROR(SEARCH("trade",$D413))),NOT(ISERROR(SEARCH("balance",$D413)))),"",$D413))),$L:$T,MATCH("balance",$L$2:$S$2,0),FALSE))</f>
        <v>-628800</v>
      </c>
      <c r="H413" s="35">
        <f ca="1">IF(Summary_Exchange_Balances_00UTC!$B412="","",(G413-E413)/E413)</f>
        <v>0</v>
      </c>
      <c r="I413" s="165">
        <f ca="1">IF(Summary_Exchange_Balances_00UTC!$B412="","",IF(ISERROR($G413),$E413,$G413))</f>
        <v>-628800</v>
      </c>
      <c r="L413" t="str">
        <f t="shared" ca="1" si="32"/>
        <v/>
      </c>
      <c r="N413" s="161" t="str">
        <f ca="1">IF(raw_exchange_data!$A412="","",OFFSET(raw_exchange_data!$A412,0,MATCH(N$2,raw_exchange_data!$1:$1,0)-1))</f>
        <v/>
      </c>
      <c r="O413" s="161" t="str">
        <f ca="1">IF(raw_exchange_data!$A412="","",OFFSET(raw_exchange_data!$A412,0,MATCH(O$2,raw_exchange_data!$1:$1,0)-1))</f>
        <v/>
      </c>
      <c r="P413" s="161" t="str">
        <f ca="1">IF(raw_exchange_data!$A412="","",OFFSET(raw_exchange_data!$A412,0,MATCH(P$2,raw_exchange_data!$1:$1,0)-1))</f>
        <v/>
      </c>
      <c r="Q413" s="161" t="str">
        <f ca="1">IF(raw_exchange_data!$A412="","",TEXT(OFFSET(raw_exchange_data!$A412,0,MATCH(Q$2,raw_exchange_data!$1:$1,0)-1),""))</f>
        <v/>
      </c>
      <c r="R413" s="162" t="str">
        <f ca="1">IF(raw_exchange_data!$A412="","",OFFSET(raw_exchange_data!$A412,0,MATCH(R$2,raw_exchange_data!$1:$1,0)-1))</f>
        <v/>
      </c>
      <c r="S413" s="190" t="str">
        <f ca="1">IF(raw_exchange_data!$A412="","",OFFSET(raw_exchange_data!$A412,0,MATCH(S$2,raw_exchange_data!$1:$1,0)-1))</f>
        <v/>
      </c>
      <c r="W413" t="str">
        <f t="shared" si="33"/>
        <v>BINE</v>
      </c>
      <c r="X413" t="str">
        <f t="shared" si="34"/>
        <v>HBAR</v>
      </c>
      <c r="Y413" s="42">
        <f t="shared" si="35"/>
        <v>-628800</v>
      </c>
      <c r="Z413" s="42">
        <f t="shared" ca="1" si="36"/>
        <v>-628800</v>
      </c>
    </row>
    <row r="414" spans="1:26" x14ac:dyDescent="0.25">
      <c r="A414" t="str">
        <f>IF(Summary_Exchange_Balances_00UTC!$B413="","",Summary_Exchange_Balances_00UTC!$N413)</f>
        <v>BINE</v>
      </c>
      <c r="B414" t="str">
        <f>IF(Summary_Exchange_Balances_00UTC!$B413="","",Summary_Exchange_Balances_00UTC!$B413)</f>
        <v>BINE-2-S1-M Margin Loan</v>
      </c>
      <c r="C414" t="str">
        <f>IF(Summary_Exchange_Balances_00UTC!$B413="","",Summary_Exchange_Balances_00UTC!$E413)</f>
        <v>LINK</v>
      </c>
      <c r="E414" s="52">
        <f>IF(Summary_Exchange_Balances_00UTC!$B413="","",Summary_Exchange_Balances_00UTC!$C413)</f>
        <v>-20654.13</v>
      </c>
      <c r="G414" s="52">
        <f ca="1">IF(Summary_Exchange_Balances_00UTC!$B413="","",VLOOKUP(IF(ISERROR(SEARCH(" ", $B414)),UPPER($B414&amp;$C414&amp;IF(OR(NOT(ISERROR(SEARCH("trade",$D414))),NOT(ISERROR(SEARCH("balance",$D414)))),"",$D414)),UPPER(LEFT($B414, SEARCH(" ",$B414)-1)&amp;$C414&amp;IF(OR(NOT(ISERROR(SEARCH("trade",$D414))),NOT(ISERROR(SEARCH("balance",$D414)))),"",$D414))),$L:$T,MATCH("balance",$L$2:$S$2,0),FALSE))</f>
        <v>-21081.119999999999</v>
      </c>
      <c r="H414" s="35">
        <f ca="1">IF(Summary_Exchange_Balances_00UTC!$B413="","",(G414-E414)/E414)</f>
        <v>2.0673347170759453E-2</v>
      </c>
      <c r="I414" s="165">
        <f ca="1">IF(Summary_Exchange_Balances_00UTC!$B413="","",IF(ISERROR($G414),$E414,$G414))</f>
        <v>-21081.119999999999</v>
      </c>
      <c r="L414" t="str">
        <f t="shared" ca="1" si="32"/>
        <v/>
      </c>
      <c r="N414" s="161" t="str">
        <f ca="1">IF(raw_exchange_data!$A413="","",OFFSET(raw_exchange_data!$A413,0,MATCH(N$2,raw_exchange_data!$1:$1,0)-1))</f>
        <v/>
      </c>
      <c r="O414" s="161" t="str">
        <f ca="1">IF(raw_exchange_data!$A413="","",OFFSET(raw_exchange_data!$A413,0,MATCH(O$2,raw_exchange_data!$1:$1,0)-1))</f>
        <v/>
      </c>
      <c r="P414" s="161" t="str">
        <f ca="1">IF(raw_exchange_data!$A413="","",OFFSET(raw_exchange_data!$A413,0,MATCH(P$2,raw_exchange_data!$1:$1,0)-1))</f>
        <v/>
      </c>
      <c r="Q414" s="161" t="str">
        <f ca="1">IF(raw_exchange_data!$A413="","",TEXT(OFFSET(raw_exchange_data!$A413,0,MATCH(Q$2,raw_exchange_data!$1:$1,0)-1),""))</f>
        <v/>
      </c>
      <c r="R414" s="162" t="str">
        <f ca="1">IF(raw_exchange_data!$A413="","",OFFSET(raw_exchange_data!$A413,0,MATCH(R$2,raw_exchange_data!$1:$1,0)-1))</f>
        <v/>
      </c>
      <c r="S414" s="190" t="str">
        <f ca="1">IF(raw_exchange_data!$A413="","",OFFSET(raw_exchange_data!$A413,0,MATCH(S$2,raw_exchange_data!$1:$1,0)-1))</f>
        <v/>
      </c>
      <c r="W414" t="str">
        <f t="shared" si="33"/>
        <v>BINE</v>
      </c>
      <c r="X414" t="str">
        <f t="shared" si="34"/>
        <v>LINK</v>
      </c>
      <c r="Y414" s="42">
        <f t="shared" si="35"/>
        <v>-20654.13</v>
      </c>
      <c r="Z414" s="42">
        <f t="shared" ca="1" si="36"/>
        <v>-21081.119999999999</v>
      </c>
    </row>
    <row r="415" spans="1:26" x14ac:dyDescent="0.25">
      <c r="A415" t="str">
        <f>IF(Summary_Exchange_Balances_00UTC!$B414="","",Summary_Exchange_Balances_00UTC!$N414)</f>
        <v>BINE</v>
      </c>
      <c r="B415" t="str">
        <f>IF(Summary_Exchange_Balances_00UTC!$B414="","",Summary_Exchange_Balances_00UTC!$B414)</f>
        <v>BINE-2-S1-M Margin Loan</v>
      </c>
      <c r="C415" t="str">
        <f>IF(Summary_Exchange_Balances_00UTC!$B414="","",Summary_Exchange_Balances_00UTC!$E414)</f>
        <v>LTC</v>
      </c>
      <c r="E415" s="52">
        <f>IF(Summary_Exchange_Balances_00UTC!$B414="","",Summary_Exchange_Balances_00UTC!$C414)</f>
        <v>-1610.2</v>
      </c>
      <c r="G415" s="52">
        <f ca="1">IF(Summary_Exchange_Balances_00UTC!$B414="","",VLOOKUP(IF(ISERROR(SEARCH(" ", $B415)),UPPER($B415&amp;$C415&amp;IF(OR(NOT(ISERROR(SEARCH("trade",$D415))),NOT(ISERROR(SEARCH("balance",$D415)))),"",$D415)),UPPER(LEFT($B415, SEARCH(" ",$B415)-1)&amp;$C415&amp;IF(OR(NOT(ISERROR(SEARCH("trade",$D415))),NOT(ISERROR(SEARCH("balance",$D415)))),"",$D415))),$L:$T,MATCH("balance",$L$2:$S$2,0),FALSE))</f>
        <v>-1659.578</v>
      </c>
      <c r="H415" s="35">
        <f ca="1">IF(Summary_Exchange_Balances_00UTC!$B414="","",(G415-E415)/E415)</f>
        <v>3.0665755806732038E-2</v>
      </c>
      <c r="I415" s="165">
        <f ca="1">IF(Summary_Exchange_Balances_00UTC!$B414="","",IF(ISERROR($G415),$E415,$G415))</f>
        <v>-1659.578</v>
      </c>
      <c r="L415" t="str">
        <f t="shared" ca="1" si="32"/>
        <v/>
      </c>
      <c r="N415" s="161" t="str">
        <f ca="1">IF(raw_exchange_data!$A414="","",OFFSET(raw_exchange_data!$A414,0,MATCH(N$2,raw_exchange_data!$1:$1,0)-1))</f>
        <v/>
      </c>
      <c r="O415" s="161" t="str">
        <f ca="1">IF(raw_exchange_data!$A414="","",OFFSET(raw_exchange_data!$A414,0,MATCH(O$2,raw_exchange_data!$1:$1,0)-1))</f>
        <v/>
      </c>
      <c r="P415" s="161" t="str">
        <f ca="1">IF(raw_exchange_data!$A414="","",OFFSET(raw_exchange_data!$A414,0,MATCH(P$2,raw_exchange_data!$1:$1,0)-1))</f>
        <v/>
      </c>
      <c r="Q415" s="161" t="str">
        <f ca="1">IF(raw_exchange_data!$A414="","",TEXT(OFFSET(raw_exchange_data!$A414,0,MATCH(Q$2,raw_exchange_data!$1:$1,0)-1),""))</f>
        <v/>
      </c>
      <c r="R415" s="162" t="str">
        <f ca="1">IF(raw_exchange_data!$A414="","",OFFSET(raw_exchange_data!$A414,0,MATCH(R$2,raw_exchange_data!$1:$1,0)-1))</f>
        <v/>
      </c>
      <c r="S415" s="190" t="str">
        <f ca="1">IF(raw_exchange_data!$A414="","",OFFSET(raw_exchange_data!$A414,0,MATCH(S$2,raw_exchange_data!$1:$1,0)-1))</f>
        <v/>
      </c>
      <c r="W415" t="str">
        <f t="shared" si="33"/>
        <v>BINE</v>
      </c>
      <c r="X415" t="str">
        <f t="shared" si="34"/>
        <v>LTC</v>
      </c>
      <c r="Y415" s="42">
        <f t="shared" si="35"/>
        <v>-1610.2</v>
      </c>
      <c r="Z415" s="42">
        <f t="shared" ca="1" si="36"/>
        <v>-1659.578</v>
      </c>
    </row>
    <row r="416" spans="1:26" x14ac:dyDescent="0.25">
      <c r="A416" t="str">
        <f>IF(Summary_Exchange_Balances_00UTC!$B415="","",Summary_Exchange_Balances_00UTC!$N415)</f>
        <v>BINE</v>
      </c>
      <c r="B416" t="str">
        <f>IF(Summary_Exchange_Balances_00UTC!$B415="","",Summary_Exchange_Balances_00UTC!$B415)</f>
        <v>BINE-2-S1-M Margin Loan</v>
      </c>
      <c r="C416" t="str">
        <f>IF(Summary_Exchange_Balances_00UTC!$B415="","",Summary_Exchange_Balances_00UTC!$E415)</f>
        <v>MANA</v>
      </c>
      <c r="E416" s="52">
        <f>IF(Summary_Exchange_Balances_00UTC!$B415="","",Summary_Exchange_Balances_00UTC!$C415)</f>
        <v>-90000</v>
      </c>
      <c r="G416" s="52">
        <f ca="1">IF(Summary_Exchange_Balances_00UTC!$B415="","",VLOOKUP(IF(ISERROR(SEARCH(" ", $B416)),UPPER($B416&amp;$C416&amp;IF(OR(NOT(ISERROR(SEARCH("trade",$D416))),NOT(ISERROR(SEARCH("balance",$D416)))),"",$D416)),UPPER(LEFT($B416, SEARCH(" ",$B416)-1)&amp;$C416&amp;IF(OR(NOT(ISERROR(SEARCH("trade",$D416))),NOT(ISERROR(SEARCH("balance",$D416)))),"",$D416))),$L:$T,MATCH("balance",$L$2:$S$2,0),FALSE))</f>
        <v>-90000</v>
      </c>
      <c r="H416" s="35">
        <f ca="1">IF(Summary_Exchange_Balances_00UTC!$B415="","",(G416-E416)/E416)</f>
        <v>0</v>
      </c>
      <c r="I416" s="165">
        <f ca="1">IF(Summary_Exchange_Balances_00UTC!$B415="","",IF(ISERROR($G416),$E416,$G416))</f>
        <v>-90000</v>
      </c>
      <c r="L416" t="str">
        <f t="shared" ca="1" si="32"/>
        <v/>
      </c>
      <c r="N416" s="161" t="str">
        <f ca="1">IF(raw_exchange_data!$A415="","",OFFSET(raw_exchange_data!$A415,0,MATCH(N$2,raw_exchange_data!$1:$1,0)-1))</f>
        <v/>
      </c>
      <c r="O416" s="161" t="str">
        <f ca="1">IF(raw_exchange_data!$A415="","",OFFSET(raw_exchange_data!$A415,0,MATCH(O$2,raw_exchange_data!$1:$1,0)-1))</f>
        <v/>
      </c>
      <c r="P416" s="161" t="str">
        <f ca="1">IF(raw_exchange_data!$A415="","",OFFSET(raw_exchange_data!$A415,0,MATCH(P$2,raw_exchange_data!$1:$1,0)-1))</f>
        <v/>
      </c>
      <c r="Q416" s="161" t="str">
        <f ca="1">IF(raw_exchange_data!$A415="","",TEXT(OFFSET(raw_exchange_data!$A415,0,MATCH(Q$2,raw_exchange_data!$1:$1,0)-1),""))</f>
        <v/>
      </c>
      <c r="R416" s="162" t="str">
        <f ca="1">IF(raw_exchange_data!$A415="","",OFFSET(raw_exchange_data!$A415,0,MATCH(R$2,raw_exchange_data!$1:$1,0)-1))</f>
        <v/>
      </c>
      <c r="S416" s="190" t="str">
        <f ca="1">IF(raw_exchange_data!$A415="","",OFFSET(raw_exchange_data!$A415,0,MATCH(S$2,raw_exchange_data!$1:$1,0)-1))</f>
        <v/>
      </c>
      <c r="W416" t="str">
        <f t="shared" si="33"/>
        <v>BINE</v>
      </c>
      <c r="X416" t="str">
        <f t="shared" si="34"/>
        <v>MANA</v>
      </c>
      <c r="Y416" s="42">
        <f t="shared" si="35"/>
        <v>-90000</v>
      </c>
      <c r="Z416" s="42">
        <f t="shared" ca="1" si="36"/>
        <v>-90000</v>
      </c>
    </row>
    <row r="417" spans="1:26" x14ac:dyDescent="0.25">
      <c r="A417" t="str">
        <f>IF(Summary_Exchange_Balances_00UTC!$B416="","",Summary_Exchange_Balances_00UTC!$N416)</f>
        <v>BINE</v>
      </c>
      <c r="B417" t="str">
        <f>IF(Summary_Exchange_Balances_00UTC!$B416="","",Summary_Exchange_Balances_00UTC!$B416)</f>
        <v>BINE-2-S1-M Margin Loan</v>
      </c>
      <c r="C417" t="str">
        <f>IF(Summary_Exchange_Balances_00UTC!$B416="","",Summary_Exchange_Balances_00UTC!$E416)</f>
        <v>MATIC</v>
      </c>
      <c r="E417" s="52">
        <f>IF(Summary_Exchange_Balances_00UTC!$B416="","",Summary_Exchange_Balances_00UTC!$C416)</f>
        <v>-100000</v>
      </c>
      <c r="G417" s="52">
        <f ca="1">IF(Summary_Exchange_Balances_00UTC!$B416="","",VLOOKUP(IF(ISERROR(SEARCH(" ", $B417)),UPPER($B417&amp;$C417&amp;IF(OR(NOT(ISERROR(SEARCH("trade",$D417))),NOT(ISERROR(SEARCH("balance",$D417)))),"",$D417)),UPPER(LEFT($B417, SEARCH(" ",$B417)-1)&amp;$C417&amp;IF(OR(NOT(ISERROR(SEARCH("trade",$D417))),NOT(ISERROR(SEARCH("balance",$D417)))),"",$D417))),$L:$T,MATCH("balance",$L$2:$S$2,0),FALSE))</f>
        <v>-100000</v>
      </c>
      <c r="H417" s="35">
        <f ca="1">IF(Summary_Exchange_Balances_00UTC!$B416="","",(G417-E417)/E417)</f>
        <v>0</v>
      </c>
      <c r="I417" s="165">
        <f ca="1">IF(Summary_Exchange_Balances_00UTC!$B416="","",IF(ISERROR($G417),$E417,$G417))</f>
        <v>-100000</v>
      </c>
      <c r="L417" t="str">
        <f t="shared" ca="1" si="32"/>
        <v/>
      </c>
      <c r="N417" s="161" t="str">
        <f ca="1">IF(raw_exchange_data!$A416="","",OFFSET(raw_exchange_data!$A416,0,MATCH(N$2,raw_exchange_data!$1:$1,0)-1))</f>
        <v/>
      </c>
      <c r="O417" s="161" t="str">
        <f ca="1">IF(raw_exchange_data!$A416="","",OFFSET(raw_exchange_data!$A416,0,MATCH(O$2,raw_exchange_data!$1:$1,0)-1))</f>
        <v/>
      </c>
      <c r="P417" s="161" t="str">
        <f ca="1">IF(raw_exchange_data!$A416="","",OFFSET(raw_exchange_data!$A416,0,MATCH(P$2,raw_exchange_data!$1:$1,0)-1))</f>
        <v/>
      </c>
      <c r="Q417" s="161" t="str">
        <f ca="1">IF(raw_exchange_data!$A416="","",TEXT(OFFSET(raw_exchange_data!$A416,0,MATCH(Q$2,raw_exchange_data!$1:$1,0)-1),""))</f>
        <v/>
      </c>
      <c r="R417" s="162" t="str">
        <f ca="1">IF(raw_exchange_data!$A416="","",OFFSET(raw_exchange_data!$A416,0,MATCH(R$2,raw_exchange_data!$1:$1,0)-1))</f>
        <v/>
      </c>
      <c r="S417" s="190" t="str">
        <f ca="1">IF(raw_exchange_data!$A416="","",OFFSET(raw_exchange_data!$A416,0,MATCH(S$2,raw_exchange_data!$1:$1,0)-1))</f>
        <v/>
      </c>
      <c r="W417" t="str">
        <f t="shared" si="33"/>
        <v>BINE</v>
      </c>
      <c r="X417" t="str">
        <f t="shared" si="34"/>
        <v>MATIC</v>
      </c>
      <c r="Y417" s="42">
        <f t="shared" si="35"/>
        <v>-100000</v>
      </c>
      <c r="Z417" s="42">
        <f t="shared" ca="1" si="36"/>
        <v>-100000</v>
      </c>
    </row>
    <row r="418" spans="1:26" x14ac:dyDescent="0.25">
      <c r="A418" t="str">
        <f>IF(Summary_Exchange_Balances_00UTC!$B417="","",Summary_Exchange_Balances_00UTC!$N417)</f>
        <v>BINE</v>
      </c>
      <c r="B418" t="str">
        <f>IF(Summary_Exchange_Balances_00UTC!$B417="","",Summary_Exchange_Balances_00UTC!$B417)</f>
        <v>BINE-2-S1-M Margin Loan</v>
      </c>
      <c r="C418" t="str">
        <f>IF(Summary_Exchange_Balances_00UTC!$B417="","",Summary_Exchange_Balances_00UTC!$E417)</f>
        <v>MKR</v>
      </c>
      <c r="E418" s="52">
        <f>IF(Summary_Exchange_Balances_00UTC!$B417="","",Summary_Exchange_Balances_00UTC!$C417)</f>
        <v>-14</v>
      </c>
      <c r="G418" s="52">
        <f ca="1">IF(Summary_Exchange_Balances_00UTC!$B417="","",VLOOKUP(IF(ISERROR(SEARCH(" ", $B418)),UPPER($B418&amp;$C418&amp;IF(OR(NOT(ISERROR(SEARCH("trade",$D418))),NOT(ISERROR(SEARCH("balance",$D418)))),"",$D418)),UPPER(LEFT($B418, SEARCH(" ",$B418)-1)&amp;$C418&amp;IF(OR(NOT(ISERROR(SEARCH("trade",$D418))),NOT(ISERROR(SEARCH("balance",$D418)))),"",$D418))),$L:$T,MATCH("balance",$L$2:$S$2,0),FALSE))</f>
        <v>-14</v>
      </c>
      <c r="H418" s="35">
        <f ca="1">IF(Summary_Exchange_Balances_00UTC!$B417="","",(G418-E418)/E418)</f>
        <v>0</v>
      </c>
      <c r="I418" s="165">
        <f ca="1">IF(Summary_Exchange_Balances_00UTC!$B417="","",IF(ISERROR($G418),$E418,$G418))</f>
        <v>-14</v>
      </c>
      <c r="L418" t="str">
        <f t="shared" ca="1" si="32"/>
        <v/>
      </c>
      <c r="N418" s="161" t="str">
        <f ca="1">IF(raw_exchange_data!$A417="","",OFFSET(raw_exchange_data!$A417,0,MATCH(N$2,raw_exchange_data!$1:$1,0)-1))</f>
        <v/>
      </c>
      <c r="O418" s="161" t="str">
        <f ca="1">IF(raw_exchange_data!$A417="","",OFFSET(raw_exchange_data!$A417,0,MATCH(O$2,raw_exchange_data!$1:$1,0)-1))</f>
        <v/>
      </c>
      <c r="P418" s="161" t="str">
        <f ca="1">IF(raw_exchange_data!$A417="","",OFFSET(raw_exchange_data!$A417,0,MATCH(P$2,raw_exchange_data!$1:$1,0)-1))</f>
        <v/>
      </c>
      <c r="Q418" s="161" t="str">
        <f ca="1">IF(raw_exchange_data!$A417="","",TEXT(OFFSET(raw_exchange_data!$A417,0,MATCH(Q$2,raw_exchange_data!$1:$1,0)-1),""))</f>
        <v/>
      </c>
      <c r="R418" s="162" t="str">
        <f ca="1">IF(raw_exchange_data!$A417="","",OFFSET(raw_exchange_data!$A417,0,MATCH(R$2,raw_exchange_data!$1:$1,0)-1))</f>
        <v/>
      </c>
      <c r="S418" s="190" t="str">
        <f ca="1">IF(raw_exchange_data!$A417="","",OFFSET(raw_exchange_data!$A417,0,MATCH(S$2,raw_exchange_data!$1:$1,0)-1))</f>
        <v/>
      </c>
      <c r="W418" t="str">
        <f t="shared" si="33"/>
        <v>BINE</v>
      </c>
      <c r="X418" t="str">
        <f t="shared" si="34"/>
        <v>MKR</v>
      </c>
      <c r="Y418" s="42">
        <f t="shared" si="35"/>
        <v>-14</v>
      </c>
      <c r="Z418" s="42">
        <f t="shared" ca="1" si="36"/>
        <v>-14</v>
      </c>
    </row>
    <row r="419" spans="1:26" x14ac:dyDescent="0.25">
      <c r="A419" t="str">
        <f>IF(Summary_Exchange_Balances_00UTC!$B418="","",Summary_Exchange_Balances_00UTC!$N418)</f>
        <v>BINE</v>
      </c>
      <c r="B419" t="str">
        <f>IF(Summary_Exchange_Balances_00UTC!$B418="","",Summary_Exchange_Balances_00UTC!$B418)</f>
        <v>BINE-2-S1-M Margin Loan</v>
      </c>
      <c r="C419" t="str">
        <f>IF(Summary_Exchange_Balances_00UTC!$B418="","",Summary_Exchange_Balances_00UTC!$E418)</f>
        <v>SHIB</v>
      </c>
      <c r="E419" s="52">
        <f>IF(Summary_Exchange_Balances_00UTC!$B418="","",Summary_Exchange_Balances_00UTC!$C418)</f>
        <v>-6000000000</v>
      </c>
      <c r="G419" s="52">
        <f ca="1">IF(Summary_Exchange_Balances_00UTC!$B418="","",VLOOKUP(IF(ISERROR(SEARCH(" ", $B419)),UPPER($B419&amp;$C419&amp;IF(OR(NOT(ISERROR(SEARCH("trade",$D419))),NOT(ISERROR(SEARCH("balance",$D419)))),"",$D419)),UPPER(LEFT($B419, SEARCH(" ",$B419)-1)&amp;$C419&amp;IF(OR(NOT(ISERROR(SEARCH("trade",$D419))),NOT(ISERROR(SEARCH("balance",$D419)))),"",$D419))),$L:$T,MATCH("balance",$L$2:$S$2,0),FALSE))</f>
        <v>-6000000000</v>
      </c>
      <c r="H419" s="35">
        <f ca="1">IF(Summary_Exchange_Balances_00UTC!$B418="","",(G419-E419)/E419)</f>
        <v>0</v>
      </c>
      <c r="I419" s="165">
        <f ca="1">IF(Summary_Exchange_Balances_00UTC!$B418="","",IF(ISERROR($G419),$E419,$G419))</f>
        <v>-6000000000</v>
      </c>
      <c r="L419" t="str">
        <f t="shared" ca="1" si="32"/>
        <v/>
      </c>
      <c r="N419" s="161" t="str">
        <f ca="1">IF(raw_exchange_data!$A418="","",OFFSET(raw_exchange_data!$A418,0,MATCH(N$2,raw_exchange_data!$1:$1,0)-1))</f>
        <v/>
      </c>
      <c r="O419" s="161" t="str">
        <f ca="1">IF(raw_exchange_data!$A418="","",OFFSET(raw_exchange_data!$A418,0,MATCH(O$2,raw_exchange_data!$1:$1,0)-1))</f>
        <v/>
      </c>
      <c r="P419" s="161" t="str">
        <f ca="1">IF(raw_exchange_data!$A418="","",OFFSET(raw_exchange_data!$A418,0,MATCH(P$2,raw_exchange_data!$1:$1,0)-1))</f>
        <v/>
      </c>
      <c r="Q419" s="161" t="str">
        <f ca="1">IF(raw_exchange_data!$A418="","",TEXT(OFFSET(raw_exchange_data!$A418,0,MATCH(Q$2,raw_exchange_data!$1:$1,0)-1),""))</f>
        <v/>
      </c>
      <c r="R419" s="162" t="str">
        <f ca="1">IF(raw_exchange_data!$A418="","",OFFSET(raw_exchange_data!$A418,0,MATCH(R$2,raw_exchange_data!$1:$1,0)-1))</f>
        <v/>
      </c>
      <c r="S419" s="190" t="str">
        <f ca="1">IF(raw_exchange_data!$A418="","",OFFSET(raw_exchange_data!$A418,0,MATCH(S$2,raw_exchange_data!$1:$1,0)-1))</f>
        <v/>
      </c>
      <c r="W419" t="str">
        <f t="shared" si="33"/>
        <v>BINE</v>
      </c>
      <c r="X419" t="str">
        <f t="shared" si="34"/>
        <v>SHIB</v>
      </c>
      <c r="Y419" s="42">
        <f t="shared" si="35"/>
        <v>-6000000000</v>
      </c>
      <c r="Z419" s="42">
        <f t="shared" ca="1" si="36"/>
        <v>-6000000000</v>
      </c>
    </row>
    <row r="420" spans="1:26" x14ac:dyDescent="0.25">
      <c r="A420" t="str">
        <f>IF(Summary_Exchange_Balances_00UTC!$B419="","",Summary_Exchange_Balances_00UTC!$N419)</f>
        <v>BINE</v>
      </c>
      <c r="B420" t="str">
        <f>IF(Summary_Exchange_Balances_00UTC!$B419="","",Summary_Exchange_Balances_00UTC!$B419)</f>
        <v>BINE-2-S1-M Margin Loan</v>
      </c>
      <c r="C420" t="str">
        <f>IF(Summary_Exchange_Balances_00UTC!$B419="","",Summary_Exchange_Balances_00UTC!$E419)</f>
        <v>SOL</v>
      </c>
      <c r="E420" s="52">
        <f>IF(Summary_Exchange_Balances_00UTC!$B419="","",Summary_Exchange_Balances_00UTC!$C419)</f>
        <v>-8500</v>
      </c>
      <c r="G420" s="52">
        <f ca="1">IF(Summary_Exchange_Balances_00UTC!$B419="","",VLOOKUP(IF(ISERROR(SEARCH(" ", $B420)),UPPER($B420&amp;$C420&amp;IF(OR(NOT(ISERROR(SEARCH("trade",$D420))),NOT(ISERROR(SEARCH("balance",$D420)))),"",$D420)),UPPER(LEFT($B420, SEARCH(" ",$B420)-1)&amp;$C420&amp;IF(OR(NOT(ISERROR(SEARCH("trade",$D420))),NOT(ISERROR(SEARCH("balance",$D420)))),"",$D420))),$L:$T,MATCH("balance",$L$2:$S$2,0),FALSE))</f>
        <v>-8500</v>
      </c>
      <c r="H420" s="35">
        <f ca="1">IF(Summary_Exchange_Balances_00UTC!$B419="","",(G420-E420)/E420)</f>
        <v>0</v>
      </c>
      <c r="I420" s="165">
        <f ca="1">IF(Summary_Exchange_Balances_00UTC!$B419="","",IF(ISERROR($G420),$E420,$G420))</f>
        <v>-8500</v>
      </c>
      <c r="L420" t="str">
        <f t="shared" ca="1" si="32"/>
        <v/>
      </c>
      <c r="N420" s="161" t="str">
        <f ca="1">IF(raw_exchange_data!$A419="","",OFFSET(raw_exchange_data!$A419,0,MATCH(N$2,raw_exchange_data!$1:$1,0)-1))</f>
        <v/>
      </c>
      <c r="O420" s="161" t="str">
        <f ca="1">IF(raw_exchange_data!$A419="","",OFFSET(raw_exchange_data!$A419,0,MATCH(O$2,raw_exchange_data!$1:$1,0)-1))</f>
        <v/>
      </c>
      <c r="P420" s="161" t="str">
        <f ca="1">IF(raw_exchange_data!$A419="","",OFFSET(raw_exchange_data!$A419,0,MATCH(P$2,raw_exchange_data!$1:$1,0)-1))</f>
        <v/>
      </c>
      <c r="Q420" s="161" t="str">
        <f ca="1">IF(raw_exchange_data!$A419="","",TEXT(OFFSET(raw_exchange_data!$A419,0,MATCH(Q$2,raw_exchange_data!$1:$1,0)-1),""))</f>
        <v/>
      </c>
      <c r="R420" s="162" t="str">
        <f ca="1">IF(raw_exchange_data!$A419="","",OFFSET(raw_exchange_data!$A419,0,MATCH(R$2,raw_exchange_data!$1:$1,0)-1))</f>
        <v/>
      </c>
      <c r="S420" s="190" t="str">
        <f ca="1">IF(raw_exchange_data!$A419="","",OFFSET(raw_exchange_data!$A419,0,MATCH(S$2,raw_exchange_data!$1:$1,0)-1))</f>
        <v/>
      </c>
      <c r="W420" t="str">
        <f t="shared" si="33"/>
        <v>BINE</v>
      </c>
      <c r="X420" t="str">
        <f t="shared" si="34"/>
        <v>SOL</v>
      </c>
      <c r="Y420" s="42">
        <f t="shared" si="35"/>
        <v>-8500</v>
      </c>
      <c r="Z420" s="42">
        <f t="shared" ca="1" si="36"/>
        <v>-8500</v>
      </c>
    </row>
    <row r="421" spans="1:26" x14ac:dyDescent="0.25">
      <c r="A421" t="str">
        <f>IF(Summary_Exchange_Balances_00UTC!$B420="","",Summary_Exchange_Balances_00UTC!$N420)</f>
        <v>BINE</v>
      </c>
      <c r="B421" t="str">
        <f>IF(Summary_Exchange_Balances_00UTC!$B420="","",Summary_Exchange_Balances_00UTC!$B420)</f>
        <v>BINE-2-S1-M Margin Loan</v>
      </c>
      <c r="C421" t="str">
        <f>IF(Summary_Exchange_Balances_00UTC!$B420="","",Summary_Exchange_Balances_00UTC!$E420)</f>
        <v>SUSHI</v>
      </c>
      <c r="E421" s="52">
        <f>IF(Summary_Exchange_Balances_00UTC!$B420="","",Summary_Exchange_Balances_00UTC!$C420)</f>
        <v>-43200</v>
      </c>
      <c r="G421" s="52">
        <f ca="1">IF(Summary_Exchange_Balances_00UTC!$B420="","",VLOOKUP(IF(ISERROR(SEARCH(" ", $B421)),UPPER($B421&amp;$C421&amp;IF(OR(NOT(ISERROR(SEARCH("trade",$D421))),NOT(ISERROR(SEARCH("balance",$D421)))),"",$D421)),UPPER(LEFT($B421, SEARCH(" ",$B421)-1)&amp;$C421&amp;IF(OR(NOT(ISERROR(SEARCH("trade",$D421))),NOT(ISERROR(SEARCH("balance",$D421)))),"",$D421))),$L:$T,MATCH("balance",$L$2:$S$2,0),FALSE))</f>
        <v>-43200</v>
      </c>
      <c r="H421" s="35">
        <f ca="1">IF(Summary_Exchange_Balances_00UTC!$B420="","",(G421-E421)/E421)</f>
        <v>0</v>
      </c>
      <c r="I421" s="165">
        <f ca="1">IF(Summary_Exchange_Balances_00UTC!$B420="","",IF(ISERROR($G421),$E421,$G421))</f>
        <v>-43200</v>
      </c>
      <c r="L421" t="str">
        <f t="shared" ca="1" si="32"/>
        <v/>
      </c>
      <c r="N421" s="161" t="str">
        <f ca="1">IF(raw_exchange_data!$A420="","",OFFSET(raw_exchange_data!$A420,0,MATCH(N$2,raw_exchange_data!$1:$1,0)-1))</f>
        <v/>
      </c>
      <c r="O421" s="161" t="str">
        <f ca="1">IF(raw_exchange_data!$A420="","",OFFSET(raw_exchange_data!$A420,0,MATCH(O$2,raw_exchange_data!$1:$1,0)-1))</f>
        <v/>
      </c>
      <c r="P421" s="161" t="str">
        <f ca="1">IF(raw_exchange_data!$A420="","",OFFSET(raw_exchange_data!$A420,0,MATCH(P$2,raw_exchange_data!$1:$1,0)-1))</f>
        <v/>
      </c>
      <c r="Q421" s="161" t="str">
        <f ca="1">IF(raw_exchange_data!$A420="","",TEXT(OFFSET(raw_exchange_data!$A420,0,MATCH(Q$2,raw_exchange_data!$1:$1,0)-1),""))</f>
        <v/>
      </c>
      <c r="R421" s="162" t="str">
        <f ca="1">IF(raw_exchange_data!$A420="","",OFFSET(raw_exchange_data!$A420,0,MATCH(R$2,raw_exchange_data!$1:$1,0)-1))</f>
        <v/>
      </c>
      <c r="S421" s="190" t="str">
        <f ca="1">IF(raw_exchange_data!$A420="","",OFFSET(raw_exchange_data!$A420,0,MATCH(S$2,raw_exchange_data!$1:$1,0)-1))</f>
        <v/>
      </c>
      <c r="W421" t="str">
        <f t="shared" si="33"/>
        <v>BINE</v>
      </c>
      <c r="X421" t="str">
        <f t="shared" si="34"/>
        <v>SUSHI</v>
      </c>
      <c r="Y421" s="42">
        <f t="shared" si="35"/>
        <v>-43200</v>
      </c>
      <c r="Z421" s="42">
        <f t="shared" ca="1" si="36"/>
        <v>-43200</v>
      </c>
    </row>
    <row r="422" spans="1:26" x14ac:dyDescent="0.25">
      <c r="A422" t="str">
        <f>IF(Summary_Exchange_Balances_00UTC!$B421="","",Summary_Exchange_Balances_00UTC!$N421)</f>
        <v>BINE</v>
      </c>
      <c r="B422" t="str">
        <f>IF(Summary_Exchange_Balances_00UTC!$B421="","",Summary_Exchange_Balances_00UTC!$B421)</f>
        <v>BINE-2-S1-M Margin Loan</v>
      </c>
      <c r="C422" t="str">
        <f>IF(Summary_Exchange_Balances_00UTC!$B421="","",Summary_Exchange_Balances_00UTC!$E421)</f>
        <v>UNI</v>
      </c>
      <c r="E422" s="52">
        <f>IF(Summary_Exchange_Balances_00UTC!$B421="","",Summary_Exchange_Balances_00UTC!$C421)</f>
        <v>-12000</v>
      </c>
      <c r="G422" s="52">
        <f ca="1">IF(Summary_Exchange_Balances_00UTC!$B421="","",VLOOKUP(IF(ISERROR(SEARCH(" ", $B422)),UPPER($B422&amp;$C422&amp;IF(OR(NOT(ISERROR(SEARCH("trade",$D422))),NOT(ISERROR(SEARCH("balance",$D422)))),"",$D422)),UPPER(LEFT($B422, SEARCH(" ",$B422)-1)&amp;$C422&amp;IF(OR(NOT(ISERROR(SEARCH("trade",$D422))),NOT(ISERROR(SEARCH("balance",$D422)))),"",$D422))),$L:$T,MATCH("balance",$L$2:$S$2,0),FALSE))</f>
        <v>-12000</v>
      </c>
      <c r="H422" s="35">
        <f ca="1">IF(Summary_Exchange_Balances_00UTC!$B421="","",(G422-E422)/E422)</f>
        <v>0</v>
      </c>
      <c r="I422" s="165">
        <f ca="1">IF(Summary_Exchange_Balances_00UTC!$B421="","",IF(ISERROR($G422),$E422,$G422))</f>
        <v>-12000</v>
      </c>
      <c r="L422" t="str">
        <f t="shared" ca="1" si="32"/>
        <v/>
      </c>
      <c r="N422" s="161" t="str">
        <f ca="1">IF(raw_exchange_data!$A421="","",OFFSET(raw_exchange_data!$A421,0,MATCH(N$2,raw_exchange_data!$1:$1,0)-1))</f>
        <v/>
      </c>
      <c r="O422" s="161" t="str">
        <f ca="1">IF(raw_exchange_data!$A421="","",OFFSET(raw_exchange_data!$A421,0,MATCH(O$2,raw_exchange_data!$1:$1,0)-1))</f>
        <v/>
      </c>
      <c r="P422" s="161" t="str">
        <f ca="1">IF(raw_exchange_data!$A421="","",OFFSET(raw_exchange_data!$A421,0,MATCH(P$2,raw_exchange_data!$1:$1,0)-1))</f>
        <v/>
      </c>
      <c r="Q422" s="161" t="str">
        <f ca="1">IF(raw_exchange_data!$A421="","",TEXT(OFFSET(raw_exchange_data!$A421,0,MATCH(Q$2,raw_exchange_data!$1:$1,0)-1),""))</f>
        <v/>
      </c>
      <c r="R422" s="162" t="str">
        <f ca="1">IF(raw_exchange_data!$A421="","",OFFSET(raw_exchange_data!$A421,0,MATCH(R$2,raw_exchange_data!$1:$1,0)-1))</f>
        <v/>
      </c>
      <c r="S422" s="190" t="str">
        <f ca="1">IF(raw_exchange_data!$A421="","",OFFSET(raw_exchange_data!$A421,0,MATCH(S$2,raw_exchange_data!$1:$1,0)-1))</f>
        <v/>
      </c>
      <c r="W422" t="str">
        <f t="shared" si="33"/>
        <v>BINE</v>
      </c>
      <c r="X422" t="str">
        <f t="shared" si="34"/>
        <v>UNI</v>
      </c>
      <c r="Y422" s="42">
        <f t="shared" si="35"/>
        <v>-12000</v>
      </c>
      <c r="Z422" s="42">
        <f t="shared" ca="1" si="36"/>
        <v>-12000</v>
      </c>
    </row>
    <row r="423" spans="1:26" x14ac:dyDescent="0.25">
      <c r="A423" t="str">
        <f>IF(Summary_Exchange_Balances_00UTC!$B422="","",Summary_Exchange_Balances_00UTC!$N422)</f>
        <v>BINE</v>
      </c>
      <c r="B423" t="str">
        <f>IF(Summary_Exchange_Balances_00UTC!$B422="","",Summary_Exchange_Balances_00UTC!$B422)</f>
        <v>BINE-2-S1-M Margin Loan</v>
      </c>
      <c r="C423" t="str">
        <f>IF(Summary_Exchange_Balances_00UTC!$B422="","",Summary_Exchange_Balances_00UTC!$E422)</f>
        <v>VET</v>
      </c>
      <c r="E423" s="52">
        <f>IF(Summary_Exchange_Balances_00UTC!$B422="","",Summary_Exchange_Balances_00UTC!$C422)</f>
        <v>-100</v>
      </c>
      <c r="G423" s="52">
        <f ca="1">IF(Summary_Exchange_Balances_00UTC!$B422="","",VLOOKUP(IF(ISERROR(SEARCH(" ", $B423)),UPPER($B423&amp;$C423&amp;IF(OR(NOT(ISERROR(SEARCH("trade",$D423))),NOT(ISERROR(SEARCH("balance",$D423)))),"",$D423)),UPPER(LEFT($B423, SEARCH(" ",$B423)-1)&amp;$C423&amp;IF(OR(NOT(ISERROR(SEARCH("trade",$D423))),NOT(ISERROR(SEARCH("balance",$D423)))),"",$D423))),$L:$T,MATCH("balance",$L$2:$S$2,0),FALSE))</f>
        <v>-100</v>
      </c>
      <c r="H423" s="35">
        <f ca="1">IF(Summary_Exchange_Balances_00UTC!$B422="","",(G423-E423)/E423)</f>
        <v>0</v>
      </c>
      <c r="I423" s="165">
        <f ca="1">IF(Summary_Exchange_Balances_00UTC!$B422="","",IF(ISERROR($G423),$E423,$G423))</f>
        <v>-100</v>
      </c>
      <c r="L423" t="str">
        <f t="shared" ca="1" si="32"/>
        <v/>
      </c>
      <c r="N423" s="161" t="str">
        <f ca="1">IF(raw_exchange_data!$A422="","",OFFSET(raw_exchange_data!$A422,0,MATCH(N$2,raw_exchange_data!$1:$1,0)-1))</f>
        <v/>
      </c>
      <c r="O423" s="161" t="str">
        <f ca="1">IF(raw_exchange_data!$A422="","",OFFSET(raw_exchange_data!$A422,0,MATCH(O$2,raw_exchange_data!$1:$1,0)-1))</f>
        <v/>
      </c>
      <c r="P423" s="161" t="str">
        <f ca="1">IF(raw_exchange_data!$A422="","",OFFSET(raw_exchange_data!$A422,0,MATCH(P$2,raw_exchange_data!$1:$1,0)-1))</f>
        <v/>
      </c>
      <c r="Q423" s="161" t="str">
        <f ca="1">IF(raw_exchange_data!$A422="","",TEXT(OFFSET(raw_exchange_data!$A422,0,MATCH(Q$2,raw_exchange_data!$1:$1,0)-1),""))</f>
        <v/>
      </c>
      <c r="R423" s="162" t="str">
        <f ca="1">IF(raw_exchange_data!$A422="","",OFFSET(raw_exchange_data!$A422,0,MATCH(R$2,raw_exchange_data!$1:$1,0)-1))</f>
        <v/>
      </c>
      <c r="S423" s="190" t="str">
        <f ca="1">IF(raw_exchange_data!$A422="","",OFFSET(raw_exchange_data!$A422,0,MATCH(S$2,raw_exchange_data!$1:$1,0)-1))</f>
        <v/>
      </c>
      <c r="W423" t="str">
        <f t="shared" si="33"/>
        <v>BINE</v>
      </c>
      <c r="X423" t="str">
        <f t="shared" si="34"/>
        <v>VET</v>
      </c>
      <c r="Y423" s="42">
        <f t="shared" si="35"/>
        <v>-100</v>
      </c>
      <c r="Z423" s="42">
        <f t="shared" ca="1" si="36"/>
        <v>-100</v>
      </c>
    </row>
    <row r="424" spans="1:26" x14ac:dyDescent="0.25">
      <c r="A424" t="str">
        <f>IF(Summary_Exchange_Balances_00UTC!$B423="","",Summary_Exchange_Balances_00UTC!$N423)</f>
        <v>BINE</v>
      </c>
      <c r="B424" t="str">
        <f>IF(Summary_Exchange_Balances_00UTC!$B423="","",Summary_Exchange_Balances_00UTC!$B423)</f>
        <v>BINE-2-S1-M Margin Loan</v>
      </c>
      <c r="C424" t="str">
        <f>IF(Summary_Exchange_Balances_00UTC!$B423="","",Summary_Exchange_Balances_00UTC!$E423)</f>
        <v>XLM</v>
      </c>
      <c r="E424" s="52">
        <f>IF(Summary_Exchange_Balances_00UTC!$B423="","",Summary_Exchange_Balances_00UTC!$C423)</f>
        <v>-1000000</v>
      </c>
      <c r="G424" s="52">
        <f ca="1">IF(Summary_Exchange_Balances_00UTC!$B423="","",VLOOKUP(IF(ISERROR(SEARCH(" ", $B424)),UPPER($B424&amp;$C424&amp;IF(OR(NOT(ISERROR(SEARCH("trade",$D424))),NOT(ISERROR(SEARCH("balance",$D424)))),"",$D424)),UPPER(LEFT($B424, SEARCH(" ",$B424)-1)&amp;$C424&amp;IF(OR(NOT(ISERROR(SEARCH("trade",$D424))),NOT(ISERROR(SEARCH("balance",$D424)))),"",$D424))),$L:$T,MATCH("balance",$L$2:$S$2,0),FALSE))</f>
        <v>-1000000</v>
      </c>
      <c r="H424" s="35">
        <f ca="1">IF(Summary_Exchange_Balances_00UTC!$B423="","",(G424-E424)/E424)</f>
        <v>0</v>
      </c>
      <c r="I424" s="165">
        <f ca="1">IF(Summary_Exchange_Balances_00UTC!$B423="","",IF(ISERROR($G424),$E424,$G424))</f>
        <v>-1000000</v>
      </c>
      <c r="L424" t="str">
        <f t="shared" ca="1" si="32"/>
        <v/>
      </c>
      <c r="N424" s="161" t="str">
        <f ca="1">IF(raw_exchange_data!$A423="","",OFFSET(raw_exchange_data!$A423,0,MATCH(N$2,raw_exchange_data!$1:$1,0)-1))</f>
        <v/>
      </c>
      <c r="O424" s="161" t="str">
        <f ca="1">IF(raw_exchange_data!$A423="","",OFFSET(raw_exchange_data!$A423,0,MATCH(O$2,raw_exchange_data!$1:$1,0)-1))</f>
        <v/>
      </c>
      <c r="P424" s="161" t="str">
        <f ca="1">IF(raw_exchange_data!$A423="","",OFFSET(raw_exchange_data!$A423,0,MATCH(P$2,raw_exchange_data!$1:$1,0)-1))</f>
        <v/>
      </c>
      <c r="Q424" s="161" t="str">
        <f ca="1">IF(raw_exchange_data!$A423="","",TEXT(OFFSET(raw_exchange_data!$A423,0,MATCH(Q$2,raw_exchange_data!$1:$1,0)-1),""))</f>
        <v/>
      </c>
      <c r="R424" s="162" t="str">
        <f ca="1">IF(raw_exchange_data!$A423="","",OFFSET(raw_exchange_data!$A423,0,MATCH(R$2,raw_exchange_data!$1:$1,0)-1))</f>
        <v/>
      </c>
      <c r="S424" s="190" t="str">
        <f ca="1">IF(raw_exchange_data!$A423="","",OFFSET(raw_exchange_data!$A423,0,MATCH(S$2,raw_exchange_data!$1:$1,0)-1))</f>
        <v/>
      </c>
      <c r="W424" t="str">
        <f t="shared" si="33"/>
        <v>BINE</v>
      </c>
      <c r="X424" t="str">
        <f t="shared" si="34"/>
        <v>XLM</v>
      </c>
      <c r="Y424" s="42">
        <f t="shared" si="35"/>
        <v>-1000000</v>
      </c>
      <c r="Z424" s="42">
        <f t="shared" ca="1" si="36"/>
        <v>-1000000</v>
      </c>
    </row>
    <row r="425" spans="1:26" x14ac:dyDescent="0.25">
      <c r="A425" t="str">
        <f>IF(Summary_Exchange_Balances_00UTC!$B424="","",Summary_Exchange_Balances_00UTC!$N424)</f>
        <v>BINE</v>
      </c>
      <c r="B425" t="str">
        <f>IF(Summary_Exchange_Balances_00UTC!$B424="","",Summary_Exchange_Balances_00UTC!$B424)</f>
        <v>BINE-2-S1-M Margin Loan</v>
      </c>
      <c r="C425" t="str">
        <f>IF(Summary_Exchange_Balances_00UTC!$B424="","",Summary_Exchange_Balances_00UTC!$E424)</f>
        <v>XTZ</v>
      </c>
      <c r="E425" s="52">
        <f>IF(Summary_Exchange_Balances_00UTC!$B424="","",Summary_Exchange_Balances_00UTC!$C424)</f>
        <v>-68160</v>
      </c>
      <c r="G425" s="52">
        <f ca="1">IF(Summary_Exchange_Balances_00UTC!$B424="","",VLOOKUP(IF(ISERROR(SEARCH(" ", $B425)),UPPER($B425&amp;$C425&amp;IF(OR(NOT(ISERROR(SEARCH("trade",$D425))),NOT(ISERROR(SEARCH("balance",$D425)))),"",$D425)),UPPER(LEFT($B425, SEARCH(" ",$B425)-1)&amp;$C425&amp;IF(OR(NOT(ISERROR(SEARCH("trade",$D425))),NOT(ISERROR(SEARCH("balance",$D425)))),"",$D425))),$L:$T,MATCH("balance",$L$2:$S$2,0),FALSE))</f>
        <v>-68160</v>
      </c>
      <c r="H425" s="35">
        <f ca="1">IF(Summary_Exchange_Balances_00UTC!$B424="","",(G425-E425)/E425)</f>
        <v>0</v>
      </c>
      <c r="I425" s="165">
        <f ca="1">IF(Summary_Exchange_Balances_00UTC!$B424="","",IF(ISERROR($G425),$E425,$G425))</f>
        <v>-68160</v>
      </c>
      <c r="L425" t="str">
        <f t="shared" ca="1" si="32"/>
        <v/>
      </c>
      <c r="N425" s="161" t="str">
        <f ca="1">IF(raw_exchange_data!$A424="","",OFFSET(raw_exchange_data!$A424,0,MATCH(N$2,raw_exchange_data!$1:$1,0)-1))</f>
        <v/>
      </c>
      <c r="O425" s="161" t="str">
        <f ca="1">IF(raw_exchange_data!$A424="","",OFFSET(raw_exchange_data!$A424,0,MATCH(O$2,raw_exchange_data!$1:$1,0)-1))</f>
        <v/>
      </c>
      <c r="P425" s="161" t="str">
        <f ca="1">IF(raw_exchange_data!$A424="","",OFFSET(raw_exchange_data!$A424,0,MATCH(P$2,raw_exchange_data!$1:$1,0)-1))</f>
        <v/>
      </c>
      <c r="Q425" s="161" t="str">
        <f ca="1">IF(raw_exchange_data!$A424="","",TEXT(OFFSET(raw_exchange_data!$A424,0,MATCH(Q$2,raw_exchange_data!$1:$1,0)-1),""))</f>
        <v/>
      </c>
      <c r="R425" s="162" t="str">
        <f ca="1">IF(raw_exchange_data!$A424="","",OFFSET(raw_exchange_data!$A424,0,MATCH(R$2,raw_exchange_data!$1:$1,0)-1))</f>
        <v/>
      </c>
      <c r="S425" s="190" t="str">
        <f ca="1">IF(raw_exchange_data!$A424="","",OFFSET(raw_exchange_data!$A424,0,MATCH(S$2,raw_exchange_data!$1:$1,0)-1))</f>
        <v/>
      </c>
      <c r="W425" t="str">
        <f t="shared" si="33"/>
        <v>BINE</v>
      </c>
      <c r="X425" t="str">
        <f t="shared" si="34"/>
        <v>XTZ</v>
      </c>
      <c r="Y425" s="42">
        <f t="shared" si="35"/>
        <v>-68160</v>
      </c>
      <c r="Z425" s="42">
        <f t="shared" ca="1" si="36"/>
        <v>-68160</v>
      </c>
    </row>
    <row r="426" spans="1:26" x14ac:dyDescent="0.25">
      <c r="A426" t="str">
        <f>IF(Summary_Exchange_Balances_00UTC!$B425="","",Summary_Exchange_Balances_00UTC!$N425)</f>
        <v>DEFI</v>
      </c>
      <c r="B426" t="str">
        <f>IF(Summary_Exchange_Balances_00UTC!$B425="","",Summary_Exchange_Balances_00UTC!$B425)</f>
        <v>DEFI-STRAT-8 Loan</v>
      </c>
      <c r="C426" t="str">
        <f>IF(Summary_Exchange_Balances_00UTC!$B425="","",Summary_Exchange_Balances_00UTC!$E425)</f>
        <v>USDT</v>
      </c>
      <c r="E426" s="52">
        <f>IF(Summary_Exchange_Balances_00UTC!$B425="","",Summary_Exchange_Balances_00UTC!$C425)</f>
        <v>-9993078.3940130007</v>
      </c>
      <c r="G426" s="52" t="e">
        <f ca="1">IF(Summary_Exchange_Balances_00UTC!$B425="","",VLOOKUP(IF(ISERROR(SEARCH(" ", $B426)),UPPER($B426&amp;$C426&amp;IF(OR(NOT(ISERROR(SEARCH("trade",$D426))),NOT(ISERROR(SEARCH("balance",$D426)))),"",$D426)),UPPER(LEFT($B426, SEARCH(" ",$B426)-1)&amp;$C426&amp;IF(OR(NOT(ISERROR(SEARCH("trade",$D426))),NOT(ISERROR(SEARCH("balance",$D426)))),"",$D426))),$L:$T,MATCH("balance",$L$2:$S$2,0),FALSE))</f>
        <v>#N/A</v>
      </c>
      <c r="H426" s="35" t="e">
        <f ca="1">IF(Summary_Exchange_Balances_00UTC!$B425="","",(G426-E426)/E426)</f>
        <v>#N/A</v>
      </c>
      <c r="I426" s="165">
        <f ca="1">IF(Summary_Exchange_Balances_00UTC!$B425="","",IF(ISERROR($G426),$E426,$G426))</f>
        <v>-9993078.3940130007</v>
      </c>
      <c r="L426" t="str">
        <f t="shared" ca="1" si="32"/>
        <v/>
      </c>
      <c r="N426" s="161" t="str">
        <f ca="1">IF(raw_exchange_data!$A425="","",OFFSET(raw_exchange_data!$A425,0,MATCH(N$2,raw_exchange_data!$1:$1,0)-1))</f>
        <v/>
      </c>
      <c r="O426" s="161" t="str">
        <f ca="1">IF(raw_exchange_data!$A425="","",OFFSET(raw_exchange_data!$A425,0,MATCH(O$2,raw_exchange_data!$1:$1,0)-1))</f>
        <v/>
      </c>
      <c r="P426" s="161" t="str">
        <f ca="1">IF(raw_exchange_data!$A425="","",OFFSET(raw_exchange_data!$A425,0,MATCH(P$2,raw_exchange_data!$1:$1,0)-1))</f>
        <v/>
      </c>
      <c r="Q426" s="161" t="str">
        <f ca="1">IF(raw_exchange_data!$A425="","",TEXT(OFFSET(raw_exchange_data!$A425,0,MATCH(Q$2,raw_exchange_data!$1:$1,0)-1),""))</f>
        <v/>
      </c>
      <c r="R426" s="162" t="str">
        <f ca="1">IF(raw_exchange_data!$A425="","",OFFSET(raw_exchange_data!$A425,0,MATCH(R$2,raw_exchange_data!$1:$1,0)-1))</f>
        <v/>
      </c>
      <c r="S426" s="190" t="str">
        <f ca="1">IF(raw_exchange_data!$A425="","",OFFSET(raw_exchange_data!$A425,0,MATCH(S$2,raw_exchange_data!$1:$1,0)-1))</f>
        <v/>
      </c>
      <c r="W426" t="str">
        <f t="shared" si="33"/>
        <v>DEFI</v>
      </c>
      <c r="X426" t="str">
        <f t="shared" si="34"/>
        <v>USDT</v>
      </c>
      <c r="Y426" s="42">
        <f t="shared" si="35"/>
        <v>-9993078.3940130007</v>
      </c>
      <c r="Z426" s="42">
        <f t="shared" ca="1" si="36"/>
        <v>0</v>
      </c>
    </row>
    <row r="427" spans="1:26" x14ac:dyDescent="0.25">
      <c r="A427" t="str">
        <f>IF(Summary_Exchange_Balances_00UTC!$B426="","",Summary_Exchange_Balances_00UTC!$N426)</f>
        <v>BULL</v>
      </c>
      <c r="B427" t="str">
        <f>IF(Summary_Exchange_Balances_00UTC!$B426="","",Summary_Exchange_Balances_00UTC!$B426)</f>
        <v>LEND-BULL</v>
      </c>
      <c r="C427" t="str">
        <f>IF(Summary_Exchange_Balances_00UTC!$B426="","",Summary_Exchange_Balances_00UTC!$E426)</f>
        <v>BTC</v>
      </c>
      <c r="E427" s="52">
        <f>IF(Summary_Exchange_Balances_00UTC!$B426="","",Summary_Exchange_Balances_00UTC!$C426)</f>
        <v>-3350</v>
      </c>
      <c r="G427" s="52" t="e">
        <f ca="1">IF(Summary_Exchange_Balances_00UTC!$B426="","",VLOOKUP(IF(ISERROR(SEARCH(" ", $B427)),UPPER($B427&amp;$C427&amp;IF(OR(NOT(ISERROR(SEARCH("trade",$D427))),NOT(ISERROR(SEARCH("balance",$D427)))),"",$D427)),UPPER(LEFT($B427, SEARCH(" ",$B427)-1)&amp;$C427&amp;IF(OR(NOT(ISERROR(SEARCH("trade",$D427))),NOT(ISERROR(SEARCH("balance",$D427)))),"",$D427))),$L:$T,MATCH("balance",$L$2:$S$2,0),FALSE))</f>
        <v>#N/A</v>
      </c>
      <c r="H427" s="35" t="e">
        <f ca="1">IF(Summary_Exchange_Balances_00UTC!$B426="","",(G427-E427)/E427)</f>
        <v>#N/A</v>
      </c>
      <c r="I427" s="165">
        <f ca="1">IF(Summary_Exchange_Balances_00UTC!$B426="","",IF(ISERROR($G427),$E427,$G427))</f>
        <v>-3350</v>
      </c>
      <c r="L427" t="str">
        <f t="shared" ca="1" si="32"/>
        <v/>
      </c>
      <c r="N427" s="161" t="str">
        <f ca="1">IF(raw_exchange_data!$A426="","",OFFSET(raw_exchange_data!$A426,0,MATCH(N$2,raw_exchange_data!$1:$1,0)-1))</f>
        <v/>
      </c>
      <c r="O427" s="161" t="str">
        <f ca="1">IF(raw_exchange_data!$A426="","",OFFSET(raw_exchange_data!$A426,0,MATCH(O$2,raw_exchange_data!$1:$1,0)-1))</f>
        <v/>
      </c>
      <c r="P427" s="161" t="str">
        <f ca="1">IF(raw_exchange_data!$A426="","",OFFSET(raw_exchange_data!$A426,0,MATCH(P$2,raw_exchange_data!$1:$1,0)-1))</f>
        <v/>
      </c>
      <c r="Q427" s="161" t="str">
        <f ca="1">IF(raw_exchange_data!$A426="","",TEXT(OFFSET(raw_exchange_data!$A426,0,MATCH(Q$2,raw_exchange_data!$1:$1,0)-1),""))</f>
        <v/>
      </c>
      <c r="R427" s="162" t="str">
        <f ca="1">IF(raw_exchange_data!$A426="","",OFFSET(raw_exchange_data!$A426,0,MATCH(R$2,raw_exchange_data!$1:$1,0)-1))</f>
        <v/>
      </c>
      <c r="S427" s="190" t="str">
        <f ca="1">IF(raw_exchange_data!$A426="","",OFFSET(raw_exchange_data!$A426,0,MATCH(S$2,raw_exchange_data!$1:$1,0)-1))</f>
        <v/>
      </c>
      <c r="W427" t="str">
        <f t="shared" si="33"/>
        <v>BULL</v>
      </c>
      <c r="X427" t="str">
        <f t="shared" si="34"/>
        <v>BTC</v>
      </c>
      <c r="Y427" s="42">
        <f t="shared" si="35"/>
        <v>-3350</v>
      </c>
      <c r="Z427" s="42">
        <f t="shared" ca="1" si="36"/>
        <v>0</v>
      </c>
    </row>
    <row r="428" spans="1:26" x14ac:dyDescent="0.25">
      <c r="A428" t="str">
        <f>IF(Summary_Exchange_Balances_00UTC!$B427="","",Summary_Exchange_Balances_00UTC!$N427)</f>
        <v>BULL</v>
      </c>
      <c r="B428" t="str">
        <f>IF(Summary_Exchange_Balances_00UTC!$B427="","",Summary_Exchange_Balances_00UTC!$B427)</f>
        <v>LEND-BULL</v>
      </c>
      <c r="C428" t="str">
        <f>IF(Summary_Exchange_Balances_00UTC!$B427="","",Summary_Exchange_Balances_00UTC!$E427)</f>
        <v>EOS</v>
      </c>
      <c r="E428" s="52">
        <f>IF(Summary_Exchange_Balances_00UTC!$B427="","",Summary_Exchange_Balances_00UTC!$C427)</f>
        <v>-4350822.18</v>
      </c>
      <c r="G428" s="52" t="e">
        <f ca="1">IF(Summary_Exchange_Balances_00UTC!$B427="","",VLOOKUP(IF(ISERROR(SEARCH(" ", $B428)),UPPER($B428&amp;$C428&amp;IF(OR(NOT(ISERROR(SEARCH("trade",$D428))),NOT(ISERROR(SEARCH("balance",$D428)))),"",$D428)),UPPER(LEFT($B428, SEARCH(" ",$B428)-1)&amp;$C428&amp;IF(OR(NOT(ISERROR(SEARCH("trade",$D428))),NOT(ISERROR(SEARCH("balance",$D428)))),"",$D428))),$L:$T,MATCH("balance",$L$2:$S$2,0),FALSE))</f>
        <v>#N/A</v>
      </c>
      <c r="H428" s="35" t="e">
        <f ca="1">IF(Summary_Exchange_Balances_00UTC!$B427="","",(G428-E428)/E428)</f>
        <v>#N/A</v>
      </c>
      <c r="I428" s="165">
        <f ca="1">IF(Summary_Exchange_Balances_00UTC!$B427="","",IF(ISERROR($G428),$E428,$G428))</f>
        <v>-4350822.18</v>
      </c>
      <c r="L428" t="str">
        <f t="shared" ca="1" si="32"/>
        <v/>
      </c>
      <c r="N428" s="161" t="str">
        <f ca="1">IF(raw_exchange_data!$A427="","",OFFSET(raw_exchange_data!$A427,0,MATCH(N$2,raw_exchange_data!$1:$1,0)-1))</f>
        <v/>
      </c>
      <c r="O428" s="161" t="str">
        <f ca="1">IF(raw_exchange_data!$A427="","",OFFSET(raw_exchange_data!$A427,0,MATCH(O$2,raw_exchange_data!$1:$1,0)-1))</f>
        <v/>
      </c>
      <c r="P428" s="161" t="str">
        <f ca="1">IF(raw_exchange_data!$A427="","",OFFSET(raw_exchange_data!$A427,0,MATCH(P$2,raw_exchange_data!$1:$1,0)-1))</f>
        <v/>
      </c>
      <c r="Q428" s="161" t="str">
        <f ca="1">IF(raw_exchange_data!$A427="","",TEXT(OFFSET(raw_exchange_data!$A427,0,MATCH(Q$2,raw_exchange_data!$1:$1,0)-1),""))</f>
        <v/>
      </c>
      <c r="R428" s="162" t="str">
        <f ca="1">IF(raw_exchange_data!$A427="","",OFFSET(raw_exchange_data!$A427,0,MATCH(R$2,raw_exchange_data!$1:$1,0)-1))</f>
        <v/>
      </c>
      <c r="S428" s="190" t="str">
        <f ca="1">IF(raw_exchange_data!$A427="","",OFFSET(raw_exchange_data!$A427,0,MATCH(S$2,raw_exchange_data!$1:$1,0)-1))</f>
        <v/>
      </c>
      <c r="W428" t="str">
        <f t="shared" si="33"/>
        <v>BULL</v>
      </c>
      <c r="X428" t="str">
        <f t="shared" si="34"/>
        <v>EOS</v>
      </c>
      <c r="Y428" s="42">
        <f t="shared" si="35"/>
        <v>-4350822.18</v>
      </c>
      <c r="Z428" s="42">
        <f t="shared" ca="1" si="36"/>
        <v>0</v>
      </c>
    </row>
    <row r="429" spans="1:26" x14ac:dyDescent="0.25">
      <c r="A429" t="str">
        <f>IF(Summary_Exchange_Balances_00UTC!$B428="","",Summary_Exchange_Balances_00UTC!$N428)</f>
        <v>BULL</v>
      </c>
      <c r="B429" t="str">
        <f>IF(Summary_Exchange_Balances_00UTC!$B428="","",Summary_Exchange_Balances_00UTC!$B428)</f>
        <v>LEND-BULL</v>
      </c>
      <c r="C429" t="str">
        <f>IF(Summary_Exchange_Balances_00UTC!$B428="","",Summary_Exchange_Balances_00UTC!$E428)</f>
        <v>ETH</v>
      </c>
      <c r="E429" s="52">
        <f>IF(Summary_Exchange_Balances_00UTC!$B428="","",Summary_Exchange_Balances_00UTC!$C428)</f>
        <v>-6499.9949999999999</v>
      </c>
      <c r="G429" s="52" t="e">
        <f ca="1">IF(Summary_Exchange_Balances_00UTC!$B428="","",VLOOKUP(IF(ISERROR(SEARCH(" ", $B429)),UPPER($B429&amp;$C429&amp;IF(OR(NOT(ISERROR(SEARCH("trade",$D429))),NOT(ISERROR(SEARCH("balance",$D429)))),"",$D429)),UPPER(LEFT($B429, SEARCH(" ",$B429)-1)&amp;$C429&amp;IF(OR(NOT(ISERROR(SEARCH("trade",$D429))),NOT(ISERROR(SEARCH("balance",$D429)))),"",$D429))),$L:$T,MATCH("balance",$L$2:$S$2,0),FALSE))</f>
        <v>#N/A</v>
      </c>
      <c r="H429" s="35" t="e">
        <f ca="1">IF(Summary_Exchange_Balances_00UTC!$B428="","",(G429-E429)/E429)</f>
        <v>#N/A</v>
      </c>
      <c r="I429" s="165">
        <f ca="1">IF(Summary_Exchange_Balances_00UTC!$B428="","",IF(ISERROR($G429),$E429,$G429))</f>
        <v>-6499.9949999999999</v>
      </c>
      <c r="L429" t="str">
        <f t="shared" ca="1" si="32"/>
        <v/>
      </c>
      <c r="N429" s="161" t="str">
        <f ca="1">IF(raw_exchange_data!$A428="","",OFFSET(raw_exchange_data!$A428,0,MATCH(N$2,raw_exchange_data!$1:$1,0)-1))</f>
        <v/>
      </c>
      <c r="O429" s="161" t="str">
        <f ca="1">IF(raw_exchange_data!$A428="","",OFFSET(raw_exchange_data!$A428,0,MATCH(O$2,raw_exchange_data!$1:$1,0)-1))</f>
        <v/>
      </c>
      <c r="P429" s="161" t="str">
        <f ca="1">IF(raw_exchange_data!$A428="","",OFFSET(raw_exchange_data!$A428,0,MATCH(P$2,raw_exchange_data!$1:$1,0)-1))</f>
        <v/>
      </c>
      <c r="Q429" s="161" t="str">
        <f ca="1">IF(raw_exchange_data!$A428="","",TEXT(OFFSET(raw_exchange_data!$A428,0,MATCH(Q$2,raw_exchange_data!$1:$1,0)-1),""))</f>
        <v/>
      </c>
      <c r="R429" s="162" t="str">
        <f ca="1">IF(raw_exchange_data!$A428="","",OFFSET(raw_exchange_data!$A428,0,MATCH(R$2,raw_exchange_data!$1:$1,0)-1))</f>
        <v/>
      </c>
      <c r="S429" s="190" t="str">
        <f ca="1">IF(raw_exchange_data!$A428="","",OFFSET(raw_exchange_data!$A428,0,MATCH(S$2,raw_exchange_data!$1:$1,0)-1))</f>
        <v/>
      </c>
      <c r="W429" t="str">
        <f t="shared" si="33"/>
        <v>BULL</v>
      </c>
      <c r="X429" t="str">
        <f t="shared" si="34"/>
        <v>ETH</v>
      </c>
      <c r="Y429" s="42">
        <f t="shared" si="35"/>
        <v>-6499.9949999999999</v>
      </c>
      <c r="Z429" s="42">
        <f t="shared" ca="1" si="36"/>
        <v>0</v>
      </c>
    </row>
    <row r="430" spans="1:26" x14ac:dyDescent="0.25">
      <c r="A430" t="str">
        <f>IF(Summary_Exchange_Balances_00UTC!$B429="","",Summary_Exchange_Balances_00UTC!$N429)</f>
        <v>GALAXY</v>
      </c>
      <c r="B430" t="str">
        <f>IF(Summary_Exchange_Balances_00UTC!$B429="","",Summary_Exchange_Balances_00UTC!$B429)</f>
        <v>LEND-GACM</v>
      </c>
      <c r="C430" t="str">
        <f>IF(Summary_Exchange_Balances_00UTC!$B429="","",Summary_Exchange_Balances_00UTC!$E429)</f>
        <v>BTC</v>
      </c>
      <c r="E430" s="52">
        <f>IF(Summary_Exchange_Balances_00UTC!$B429="","",Summary_Exchange_Balances_00UTC!$C429)</f>
        <v>-1340.01684679</v>
      </c>
      <c r="G430" s="52" t="e">
        <f ca="1">IF(Summary_Exchange_Balances_00UTC!$B429="","",VLOOKUP(IF(ISERROR(SEARCH(" ", $B430)),UPPER($B430&amp;$C430&amp;IF(OR(NOT(ISERROR(SEARCH("trade",$D430))),NOT(ISERROR(SEARCH("balance",$D430)))),"",$D430)),UPPER(LEFT($B430, SEARCH(" ",$B430)-1)&amp;$C430&amp;IF(OR(NOT(ISERROR(SEARCH("trade",$D430))),NOT(ISERROR(SEARCH("balance",$D430)))),"",$D430))),$L:$T,MATCH("balance",$L$2:$S$2,0),FALSE))</f>
        <v>#N/A</v>
      </c>
      <c r="H430" s="35" t="e">
        <f ca="1">IF(Summary_Exchange_Balances_00UTC!$B429="","",(G430-E430)/E430)</f>
        <v>#N/A</v>
      </c>
      <c r="I430" s="165">
        <f ca="1">IF(Summary_Exchange_Balances_00UTC!$B429="","",IF(ISERROR($G430),$E430,$G430))</f>
        <v>-1340.01684679</v>
      </c>
      <c r="L430" t="str">
        <f t="shared" ca="1" si="32"/>
        <v/>
      </c>
      <c r="N430" s="161" t="str">
        <f ca="1">IF(raw_exchange_data!$A429="","",OFFSET(raw_exchange_data!$A429,0,MATCH(N$2,raw_exchange_data!$1:$1,0)-1))</f>
        <v/>
      </c>
      <c r="O430" s="161" t="str">
        <f ca="1">IF(raw_exchange_data!$A429="","",OFFSET(raw_exchange_data!$A429,0,MATCH(O$2,raw_exchange_data!$1:$1,0)-1))</f>
        <v/>
      </c>
      <c r="P430" s="161" t="str">
        <f ca="1">IF(raw_exchange_data!$A429="","",OFFSET(raw_exchange_data!$A429,0,MATCH(P$2,raw_exchange_data!$1:$1,0)-1))</f>
        <v/>
      </c>
      <c r="Q430" s="161" t="str">
        <f ca="1">IF(raw_exchange_data!$A429="","",TEXT(OFFSET(raw_exchange_data!$A429,0,MATCH(Q$2,raw_exchange_data!$1:$1,0)-1),""))</f>
        <v/>
      </c>
      <c r="R430" s="162" t="str">
        <f ca="1">IF(raw_exchange_data!$A429="","",OFFSET(raw_exchange_data!$A429,0,MATCH(R$2,raw_exchange_data!$1:$1,0)-1))</f>
        <v/>
      </c>
      <c r="S430" s="190" t="str">
        <f ca="1">IF(raw_exchange_data!$A429="","",OFFSET(raw_exchange_data!$A429,0,MATCH(S$2,raw_exchange_data!$1:$1,0)-1))</f>
        <v/>
      </c>
      <c r="W430" t="str">
        <f t="shared" si="33"/>
        <v>GALAXY</v>
      </c>
      <c r="X430" t="str">
        <f t="shared" si="34"/>
        <v>BTC</v>
      </c>
      <c r="Y430" s="42">
        <f t="shared" si="35"/>
        <v>-1340.01684679</v>
      </c>
      <c r="Z430" s="42">
        <f t="shared" ca="1" si="36"/>
        <v>0</v>
      </c>
    </row>
    <row r="431" spans="1:26" x14ac:dyDescent="0.25">
      <c r="A431" t="str">
        <f>IF(Summary_Exchange_Balances_00UTC!$B430="","",Summary_Exchange_Balances_00UTC!$N430)</f>
        <v>GALAXY</v>
      </c>
      <c r="B431" t="str">
        <f>IF(Summary_Exchange_Balances_00UTC!$B430="","",Summary_Exchange_Balances_00UTC!$B430)</f>
        <v>LEND-GACM</v>
      </c>
      <c r="C431" t="str">
        <f>IF(Summary_Exchange_Balances_00UTC!$B430="","",Summary_Exchange_Balances_00UTC!$E430)</f>
        <v>ETH</v>
      </c>
      <c r="E431" s="52">
        <f>IF(Summary_Exchange_Balances_00UTC!$B430="","",Summary_Exchange_Balances_00UTC!$C430)</f>
        <v>-25855</v>
      </c>
      <c r="G431" s="52" t="e">
        <f ca="1">IF(Summary_Exchange_Balances_00UTC!$B430="","",VLOOKUP(IF(ISERROR(SEARCH(" ", $B431)),UPPER($B431&amp;$C431&amp;IF(OR(NOT(ISERROR(SEARCH("trade",$D431))),NOT(ISERROR(SEARCH("balance",$D431)))),"",$D431)),UPPER(LEFT($B431, SEARCH(" ",$B431)-1)&amp;$C431&amp;IF(OR(NOT(ISERROR(SEARCH("trade",$D431))),NOT(ISERROR(SEARCH("balance",$D431)))),"",$D431))),$L:$T,MATCH("balance",$L$2:$S$2,0),FALSE))</f>
        <v>#N/A</v>
      </c>
      <c r="H431" s="35" t="e">
        <f ca="1">IF(Summary_Exchange_Balances_00UTC!$B430="","",(G431-E431)/E431)</f>
        <v>#N/A</v>
      </c>
      <c r="I431" s="165">
        <f ca="1">IF(Summary_Exchange_Balances_00UTC!$B430="","",IF(ISERROR($G431),$E431,$G431))</f>
        <v>-25855</v>
      </c>
      <c r="L431" t="str">
        <f t="shared" ca="1" si="32"/>
        <v/>
      </c>
      <c r="N431" s="161" t="str">
        <f ca="1">IF(raw_exchange_data!$A430="","",OFFSET(raw_exchange_data!$A430,0,MATCH(N$2,raw_exchange_data!$1:$1,0)-1))</f>
        <v/>
      </c>
      <c r="O431" s="161" t="str">
        <f ca="1">IF(raw_exchange_data!$A430="","",OFFSET(raw_exchange_data!$A430,0,MATCH(O$2,raw_exchange_data!$1:$1,0)-1))</f>
        <v/>
      </c>
      <c r="P431" s="161" t="str">
        <f ca="1">IF(raw_exchange_data!$A430="","",OFFSET(raw_exchange_data!$A430,0,MATCH(P$2,raw_exchange_data!$1:$1,0)-1))</f>
        <v/>
      </c>
      <c r="Q431" s="161" t="str">
        <f ca="1">IF(raw_exchange_data!$A430="","",TEXT(OFFSET(raw_exchange_data!$A430,0,MATCH(Q$2,raw_exchange_data!$1:$1,0)-1),""))</f>
        <v/>
      </c>
      <c r="R431" s="162" t="str">
        <f ca="1">IF(raw_exchange_data!$A430="","",OFFSET(raw_exchange_data!$A430,0,MATCH(R$2,raw_exchange_data!$1:$1,0)-1))</f>
        <v/>
      </c>
      <c r="S431" s="190" t="str">
        <f ca="1">IF(raw_exchange_data!$A430="","",OFFSET(raw_exchange_data!$A430,0,MATCH(S$2,raw_exchange_data!$1:$1,0)-1))</f>
        <v/>
      </c>
      <c r="W431" t="str">
        <f t="shared" si="33"/>
        <v>GALAXY</v>
      </c>
      <c r="X431" t="str">
        <f t="shared" si="34"/>
        <v>ETH</v>
      </c>
      <c r="Y431" s="42">
        <f t="shared" si="35"/>
        <v>-25855</v>
      </c>
      <c r="Z431" s="42">
        <f t="shared" ca="1" si="36"/>
        <v>0</v>
      </c>
    </row>
    <row r="432" spans="1:26" x14ac:dyDescent="0.25">
      <c r="A432" t="str">
        <f>IF(Summary_Exchange_Balances_00UTC!$B431="","",Summary_Exchange_Balances_00UTC!$N431)</f>
        <v>GALAXY</v>
      </c>
      <c r="B432" t="str">
        <f>IF(Summary_Exchange_Balances_00UTC!$B431="","",Summary_Exchange_Balances_00UTC!$B431)</f>
        <v>LEND-GACM</v>
      </c>
      <c r="C432" t="str">
        <f>IF(Summary_Exchange_Balances_00UTC!$B431="","",Summary_Exchange_Balances_00UTC!$E431)</f>
        <v>EUROC</v>
      </c>
      <c r="E432" s="52">
        <f>IF(Summary_Exchange_Balances_00UTC!$B431="","",Summary_Exchange_Balances_00UTC!$C431)</f>
        <v>-15000000</v>
      </c>
      <c r="G432" s="52" t="e">
        <f ca="1">IF(Summary_Exchange_Balances_00UTC!$B431="","",VLOOKUP(IF(ISERROR(SEARCH(" ", $B432)),UPPER($B432&amp;$C432&amp;IF(OR(NOT(ISERROR(SEARCH("trade",$D432))),NOT(ISERROR(SEARCH("balance",$D432)))),"",$D432)),UPPER(LEFT($B432, SEARCH(" ",$B432)-1)&amp;$C432&amp;IF(OR(NOT(ISERROR(SEARCH("trade",$D432))),NOT(ISERROR(SEARCH("balance",$D432)))),"",$D432))),$L:$T,MATCH("balance",$L$2:$S$2,0),FALSE))</f>
        <v>#N/A</v>
      </c>
      <c r="H432" s="35" t="e">
        <f ca="1">IF(Summary_Exchange_Balances_00UTC!$B431="","",(G432-E432)/E432)</f>
        <v>#N/A</v>
      </c>
      <c r="I432" s="165">
        <f ca="1">IF(Summary_Exchange_Balances_00UTC!$B431="","",IF(ISERROR($G432),$E432,$G432))</f>
        <v>-15000000</v>
      </c>
      <c r="L432" t="str">
        <f t="shared" ca="1" si="32"/>
        <v/>
      </c>
      <c r="N432" s="161" t="str">
        <f ca="1">IF(raw_exchange_data!$A431="","",OFFSET(raw_exchange_data!$A431,0,MATCH(N$2,raw_exchange_data!$1:$1,0)-1))</f>
        <v/>
      </c>
      <c r="O432" s="161" t="str">
        <f ca="1">IF(raw_exchange_data!$A431="","",OFFSET(raw_exchange_data!$A431,0,MATCH(O$2,raw_exchange_data!$1:$1,0)-1))</f>
        <v/>
      </c>
      <c r="P432" s="161" t="str">
        <f ca="1">IF(raw_exchange_data!$A431="","",OFFSET(raw_exchange_data!$A431,0,MATCH(P$2,raw_exchange_data!$1:$1,0)-1))</f>
        <v/>
      </c>
      <c r="Q432" s="161" t="str">
        <f ca="1">IF(raw_exchange_data!$A431="","",TEXT(OFFSET(raw_exchange_data!$A431,0,MATCH(Q$2,raw_exchange_data!$1:$1,0)-1),""))</f>
        <v/>
      </c>
      <c r="R432" s="162" t="str">
        <f ca="1">IF(raw_exchange_data!$A431="","",OFFSET(raw_exchange_data!$A431,0,MATCH(R$2,raw_exchange_data!$1:$1,0)-1))</f>
        <v/>
      </c>
      <c r="S432" s="190" t="str">
        <f ca="1">IF(raw_exchange_data!$A431="","",OFFSET(raw_exchange_data!$A431,0,MATCH(S$2,raw_exchange_data!$1:$1,0)-1))</f>
        <v/>
      </c>
      <c r="W432" t="str">
        <f t="shared" si="33"/>
        <v>GALAXY</v>
      </c>
      <c r="X432" t="str">
        <f t="shared" si="34"/>
        <v>EUROC</v>
      </c>
      <c r="Y432" s="42">
        <f t="shared" si="35"/>
        <v>-15000000</v>
      </c>
      <c r="Z432" s="42">
        <f t="shared" ca="1" si="36"/>
        <v>0</v>
      </c>
    </row>
    <row r="433" spans="1:26" x14ac:dyDescent="0.25">
      <c r="A433" t="str">
        <f>IF(Summary_Exchange_Balances_00UTC!$B432="","",Summary_Exchange_Balances_00UTC!$N432)</f>
        <v>GALAXY</v>
      </c>
      <c r="B433" t="str">
        <f>IF(Summary_Exchange_Balances_00UTC!$B432="","",Summary_Exchange_Balances_00UTC!$B432)</f>
        <v>LEND-GACM</v>
      </c>
      <c r="C433" t="str">
        <f>IF(Summary_Exchange_Balances_00UTC!$B432="","",Summary_Exchange_Balances_00UTC!$E432)</f>
        <v>USD</v>
      </c>
      <c r="E433" s="52">
        <f>IF(Summary_Exchange_Balances_00UTC!$B432="","",Summary_Exchange_Balances_00UTC!$C432)</f>
        <v>-42800000</v>
      </c>
      <c r="G433" s="52" t="e">
        <f ca="1">IF(Summary_Exchange_Balances_00UTC!$B432="","",VLOOKUP(IF(ISERROR(SEARCH(" ", $B433)),UPPER($B433&amp;$C433&amp;IF(OR(NOT(ISERROR(SEARCH("trade",$D433))),NOT(ISERROR(SEARCH("balance",$D433)))),"",$D433)),UPPER(LEFT($B433, SEARCH(" ",$B433)-1)&amp;$C433&amp;IF(OR(NOT(ISERROR(SEARCH("trade",$D433))),NOT(ISERROR(SEARCH("balance",$D433)))),"",$D433))),$L:$T,MATCH("balance",$L$2:$S$2,0),FALSE))</f>
        <v>#N/A</v>
      </c>
      <c r="H433" s="35" t="e">
        <f ca="1">IF(Summary_Exchange_Balances_00UTC!$B432="","",(G433-E433)/E433)</f>
        <v>#N/A</v>
      </c>
      <c r="I433" s="165">
        <f ca="1">IF(Summary_Exchange_Balances_00UTC!$B432="","",IF(ISERROR($G433),$E433,$G433))</f>
        <v>-42800000</v>
      </c>
      <c r="L433" t="str">
        <f t="shared" ca="1" si="32"/>
        <v/>
      </c>
      <c r="N433" s="161" t="str">
        <f ca="1">IF(raw_exchange_data!$A432="","",OFFSET(raw_exchange_data!$A432,0,MATCH(N$2,raw_exchange_data!$1:$1,0)-1))</f>
        <v/>
      </c>
      <c r="O433" s="161" t="str">
        <f ca="1">IF(raw_exchange_data!$A432="","",OFFSET(raw_exchange_data!$A432,0,MATCH(O$2,raw_exchange_data!$1:$1,0)-1))</f>
        <v/>
      </c>
      <c r="P433" s="161" t="str">
        <f ca="1">IF(raw_exchange_data!$A432="","",OFFSET(raw_exchange_data!$A432,0,MATCH(P$2,raw_exchange_data!$1:$1,0)-1))</f>
        <v/>
      </c>
      <c r="Q433" s="161" t="str">
        <f ca="1">IF(raw_exchange_data!$A432="","",TEXT(OFFSET(raw_exchange_data!$A432,0,MATCH(Q$2,raw_exchange_data!$1:$1,0)-1),""))</f>
        <v/>
      </c>
      <c r="R433" s="162" t="str">
        <f ca="1">IF(raw_exchange_data!$A432="","",OFFSET(raw_exchange_data!$A432,0,MATCH(R$2,raw_exchange_data!$1:$1,0)-1))</f>
        <v/>
      </c>
      <c r="S433" s="190" t="str">
        <f ca="1">IF(raw_exchange_data!$A432="","",OFFSET(raw_exchange_data!$A432,0,MATCH(S$2,raw_exchange_data!$1:$1,0)-1))</f>
        <v/>
      </c>
      <c r="W433" t="str">
        <f t="shared" si="33"/>
        <v>GALAXY</v>
      </c>
      <c r="X433" t="str">
        <f t="shared" si="34"/>
        <v>USD</v>
      </c>
      <c r="Y433" s="42">
        <f t="shared" si="35"/>
        <v>-42800000</v>
      </c>
      <c r="Z433" s="42">
        <f t="shared" ca="1" si="36"/>
        <v>0</v>
      </c>
    </row>
    <row r="434" spans="1:26" x14ac:dyDescent="0.25">
      <c r="A434" t="str">
        <f>IF(Summary_Exchange_Balances_00UTC!$B433="","",Summary_Exchange_Balances_00UTC!$N433)</f>
        <v>GALAXY</v>
      </c>
      <c r="B434" t="str">
        <f>IF(Summary_Exchange_Balances_00UTC!$B433="","",Summary_Exchange_Balances_00UTC!$B433)</f>
        <v>LEND-GACM</v>
      </c>
      <c r="C434" t="str">
        <f>IF(Summary_Exchange_Balances_00UTC!$B433="","",Summary_Exchange_Balances_00UTC!$E433)</f>
        <v>USDC</v>
      </c>
      <c r="E434" s="52">
        <f>IF(Summary_Exchange_Balances_00UTC!$B433="","",Summary_Exchange_Balances_00UTC!$C433)</f>
        <v>-89706000</v>
      </c>
      <c r="G434" s="52" t="e">
        <f ca="1">IF(Summary_Exchange_Balances_00UTC!$B433="","",VLOOKUP(IF(ISERROR(SEARCH(" ", $B434)),UPPER($B434&amp;$C434&amp;IF(OR(NOT(ISERROR(SEARCH("trade",$D434))),NOT(ISERROR(SEARCH("balance",$D434)))),"",$D434)),UPPER(LEFT($B434, SEARCH(" ",$B434)-1)&amp;$C434&amp;IF(OR(NOT(ISERROR(SEARCH("trade",$D434))),NOT(ISERROR(SEARCH("balance",$D434)))),"",$D434))),$L:$T,MATCH("balance",$L$2:$S$2,0),FALSE))</f>
        <v>#N/A</v>
      </c>
      <c r="H434" s="35" t="e">
        <f ca="1">IF(Summary_Exchange_Balances_00UTC!$B433="","",(G434-E434)/E434)</f>
        <v>#N/A</v>
      </c>
      <c r="I434" s="165">
        <f ca="1">IF(Summary_Exchange_Balances_00UTC!$B433="","",IF(ISERROR($G434),$E434,$G434))</f>
        <v>-89706000</v>
      </c>
      <c r="L434" t="str">
        <f t="shared" ca="1" si="32"/>
        <v/>
      </c>
      <c r="N434" s="161" t="str">
        <f ca="1">IF(raw_exchange_data!$A433="","",OFFSET(raw_exchange_data!$A433,0,MATCH(N$2,raw_exchange_data!$1:$1,0)-1))</f>
        <v/>
      </c>
      <c r="O434" s="161" t="str">
        <f ca="1">IF(raw_exchange_data!$A433="","",OFFSET(raw_exchange_data!$A433,0,MATCH(O$2,raw_exchange_data!$1:$1,0)-1))</f>
        <v/>
      </c>
      <c r="P434" s="161" t="str">
        <f ca="1">IF(raw_exchange_data!$A433="","",OFFSET(raw_exchange_data!$A433,0,MATCH(P$2,raw_exchange_data!$1:$1,0)-1))</f>
        <v/>
      </c>
      <c r="Q434" s="161" t="str">
        <f ca="1">IF(raw_exchange_data!$A433="","",TEXT(OFFSET(raw_exchange_data!$A433,0,MATCH(Q$2,raw_exchange_data!$1:$1,0)-1),""))</f>
        <v/>
      </c>
      <c r="R434" s="162" t="str">
        <f ca="1">IF(raw_exchange_data!$A433="","",OFFSET(raw_exchange_data!$A433,0,MATCH(R$2,raw_exchange_data!$1:$1,0)-1))</f>
        <v/>
      </c>
      <c r="S434" s="190" t="str">
        <f ca="1">IF(raw_exchange_data!$A433="","",OFFSET(raw_exchange_data!$A433,0,MATCH(S$2,raw_exchange_data!$1:$1,0)-1))</f>
        <v/>
      </c>
      <c r="W434" t="str">
        <f t="shared" si="33"/>
        <v>GALAXY</v>
      </c>
      <c r="X434" t="str">
        <f t="shared" si="34"/>
        <v>USDC</v>
      </c>
      <c r="Y434" s="42">
        <f t="shared" si="35"/>
        <v>-89706000</v>
      </c>
      <c r="Z434" s="42">
        <f t="shared" ca="1" si="36"/>
        <v>0</v>
      </c>
    </row>
    <row r="435" spans="1:26" x14ac:dyDescent="0.25">
      <c r="A435" t="str">
        <f>IF(Summary_Exchange_Balances_00UTC!$B434="","",Summary_Exchange_Balances_00UTC!$N434)</f>
        <v>GALAXY</v>
      </c>
      <c r="B435" t="str">
        <f>IF(Summary_Exchange_Balances_00UTC!$B434="","",Summary_Exchange_Balances_00UTC!$B434)</f>
        <v>LEND-GACM</v>
      </c>
      <c r="C435" t="str">
        <f>IF(Summary_Exchange_Balances_00UTC!$B434="","",Summary_Exchange_Balances_00UTC!$E434)</f>
        <v>ZIL</v>
      </c>
      <c r="E435" s="52">
        <f>IF(Summary_Exchange_Balances_00UTC!$B434="","",Summary_Exchange_Balances_00UTC!$C434)</f>
        <v>-20000000</v>
      </c>
      <c r="G435" s="52" t="e">
        <f ca="1">IF(Summary_Exchange_Balances_00UTC!$B434="","",VLOOKUP(IF(ISERROR(SEARCH(" ", $B435)),UPPER($B435&amp;$C435&amp;IF(OR(NOT(ISERROR(SEARCH("trade",$D435))),NOT(ISERROR(SEARCH("balance",$D435)))),"",$D435)),UPPER(LEFT($B435, SEARCH(" ",$B435)-1)&amp;$C435&amp;IF(OR(NOT(ISERROR(SEARCH("trade",$D435))),NOT(ISERROR(SEARCH("balance",$D435)))),"",$D435))),$L:$T,MATCH("balance",$L$2:$S$2,0),FALSE))</f>
        <v>#N/A</v>
      </c>
      <c r="H435" s="35" t="e">
        <f ca="1">IF(Summary_Exchange_Balances_00UTC!$B434="","",(G435-E435)/E435)</f>
        <v>#N/A</v>
      </c>
      <c r="I435" s="165">
        <f ca="1">IF(Summary_Exchange_Balances_00UTC!$B434="","",IF(ISERROR($G435),$E435,$G435))</f>
        <v>-20000000</v>
      </c>
      <c r="L435" t="str">
        <f t="shared" ca="1" si="32"/>
        <v/>
      </c>
      <c r="N435" s="161" t="str">
        <f ca="1">IF(raw_exchange_data!$A434="","",OFFSET(raw_exchange_data!$A434,0,MATCH(N$2,raw_exchange_data!$1:$1,0)-1))</f>
        <v/>
      </c>
      <c r="O435" s="161" t="str">
        <f ca="1">IF(raw_exchange_data!$A434="","",OFFSET(raw_exchange_data!$A434,0,MATCH(O$2,raw_exchange_data!$1:$1,0)-1))</f>
        <v/>
      </c>
      <c r="P435" s="161" t="str">
        <f ca="1">IF(raw_exchange_data!$A434="","",OFFSET(raw_exchange_data!$A434,0,MATCH(P$2,raw_exchange_data!$1:$1,0)-1))</f>
        <v/>
      </c>
      <c r="Q435" s="161" t="str">
        <f ca="1">IF(raw_exchange_data!$A434="","",TEXT(OFFSET(raw_exchange_data!$A434,0,MATCH(Q$2,raw_exchange_data!$1:$1,0)-1),""))</f>
        <v/>
      </c>
      <c r="R435" s="162" t="str">
        <f ca="1">IF(raw_exchange_data!$A434="","",OFFSET(raw_exchange_data!$A434,0,MATCH(R$2,raw_exchange_data!$1:$1,0)-1))</f>
        <v/>
      </c>
      <c r="S435" s="190" t="str">
        <f ca="1">IF(raw_exchange_data!$A434="","",OFFSET(raw_exchange_data!$A434,0,MATCH(S$2,raw_exchange_data!$1:$1,0)-1))</f>
        <v/>
      </c>
      <c r="W435" t="str">
        <f t="shared" si="33"/>
        <v>GALAXY</v>
      </c>
      <c r="X435" t="str">
        <f t="shared" si="34"/>
        <v>ZIL</v>
      </c>
      <c r="Y435" s="42">
        <f t="shared" si="35"/>
        <v>-20000000</v>
      </c>
      <c r="Z435" s="42">
        <f t="shared" ca="1" si="36"/>
        <v>0</v>
      </c>
    </row>
    <row r="436" spans="1:26" x14ac:dyDescent="0.25">
      <c r="A436" t="str">
        <f>IF(Summary_Exchange_Balances_00UTC!$B435="","",Summary_Exchange_Balances_00UTC!$N435)</f>
        <v>HUBI</v>
      </c>
      <c r="B436" t="str">
        <f>IF(Summary_Exchange_Balances_00UTC!$B435="","",Summary_Exchange_Balances_00UTC!$B435)</f>
        <v>LEND-HUBI</v>
      </c>
      <c r="C436" t="str">
        <f>IF(Summary_Exchange_Balances_00UTC!$B435="","",Summary_Exchange_Balances_00UTC!$E435)</f>
        <v>BCH</v>
      </c>
      <c r="E436" s="52">
        <f>IF(Summary_Exchange_Balances_00UTC!$B435="","",Summary_Exchange_Balances_00UTC!$C435)</f>
        <v>-5000</v>
      </c>
      <c r="G436" s="52" t="e">
        <f ca="1">IF(Summary_Exchange_Balances_00UTC!$B435="","",VLOOKUP(IF(ISERROR(SEARCH(" ", $B436)),UPPER($B436&amp;$C436&amp;IF(OR(NOT(ISERROR(SEARCH("trade",$D436))),NOT(ISERROR(SEARCH("balance",$D436)))),"",$D436)),UPPER(LEFT($B436, SEARCH(" ",$B436)-1)&amp;$C436&amp;IF(OR(NOT(ISERROR(SEARCH("trade",$D436))),NOT(ISERROR(SEARCH("balance",$D436)))),"",$D436))),$L:$T,MATCH("balance",$L$2:$S$2,0),FALSE))</f>
        <v>#N/A</v>
      </c>
      <c r="H436" s="35" t="e">
        <f ca="1">IF(Summary_Exchange_Balances_00UTC!$B435="","",(G436-E436)/E436)</f>
        <v>#N/A</v>
      </c>
      <c r="I436" s="165">
        <f ca="1">IF(Summary_Exchange_Balances_00UTC!$B435="","",IF(ISERROR($G436),$E436,$G436))</f>
        <v>-5000</v>
      </c>
      <c r="L436" t="str">
        <f t="shared" ca="1" si="32"/>
        <v/>
      </c>
      <c r="N436" s="161" t="str">
        <f ca="1">IF(raw_exchange_data!$A435="","",OFFSET(raw_exchange_data!$A435,0,MATCH(N$2,raw_exchange_data!$1:$1,0)-1))</f>
        <v/>
      </c>
      <c r="O436" s="161" t="str">
        <f ca="1">IF(raw_exchange_data!$A435="","",OFFSET(raw_exchange_data!$A435,0,MATCH(O$2,raw_exchange_data!$1:$1,0)-1))</f>
        <v/>
      </c>
      <c r="P436" s="161" t="str">
        <f ca="1">IF(raw_exchange_data!$A435="","",OFFSET(raw_exchange_data!$A435,0,MATCH(P$2,raw_exchange_data!$1:$1,0)-1))</f>
        <v/>
      </c>
      <c r="Q436" s="161" t="str">
        <f ca="1">IF(raw_exchange_data!$A435="","",TEXT(OFFSET(raw_exchange_data!$A435,0,MATCH(Q$2,raw_exchange_data!$1:$1,0)-1),""))</f>
        <v/>
      </c>
      <c r="R436" s="162" t="str">
        <f ca="1">IF(raw_exchange_data!$A435="","",OFFSET(raw_exchange_data!$A435,0,MATCH(R$2,raw_exchange_data!$1:$1,0)-1))</f>
        <v/>
      </c>
      <c r="S436" s="190" t="str">
        <f ca="1">IF(raw_exchange_data!$A435="","",OFFSET(raw_exchange_data!$A435,0,MATCH(S$2,raw_exchange_data!$1:$1,0)-1))</f>
        <v/>
      </c>
      <c r="W436" t="str">
        <f t="shared" si="33"/>
        <v>HUBI</v>
      </c>
      <c r="X436" t="str">
        <f t="shared" si="34"/>
        <v>BCH</v>
      </c>
      <c r="Y436" s="42">
        <f t="shared" si="35"/>
        <v>-5000</v>
      </c>
      <c r="Z436" s="42">
        <f t="shared" ca="1" si="36"/>
        <v>0</v>
      </c>
    </row>
    <row r="437" spans="1:26" x14ac:dyDescent="0.25">
      <c r="A437" t="str">
        <f>IF(Summary_Exchange_Balances_00UTC!$B436="","",Summary_Exchange_Balances_00UTC!$N436)</f>
        <v>HUBI</v>
      </c>
      <c r="B437" t="str">
        <f>IF(Summary_Exchange_Balances_00UTC!$B436="","",Summary_Exchange_Balances_00UTC!$B436)</f>
        <v>LEND-HUBI</v>
      </c>
      <c r="C437" t="str">
        <f>IF(Summary_Exchange_Balances_00UTC!$B436="","",Summary_Exchange_Balances_00UTC!$E436)</f>
        <v>DOT</v>
      </c>
      <c r="E437" s="52">
        <f>IF(Summary_Exchange_Balances_00UTC!$B436="","",Summary_Exchange_Balances_00UTC!$C436)</f>
        <v>-40000</v>
      </c>
      <c r="G437" s="52" t="e">
        <f ca="1">IF(Summary_Exchange_Balances_00UTC!$B436="","",VLOOKUP(IF(ISERROR(SEARCH(" ", $B437)),UPPER($B437&amp;$C437&amp;IF(OR(NOT(ISERROR(SEARCH("trade",$D437))),NOT(ISERROR(SEARCH("balance",$D437)))),"",$D437)),UPPER(LEFT($B437, SEARCH(" ",$B437)-1)&amp;$C437&amp;IF(OR(NOT(ISERROR(SEARCH("trade",$D437))),NOT(ISERROR(SEARCH("balance",$D437)))),"",$D437))),$L:$T,MATCH("balance",$L$2:$S$2,0),FALSE))</f>
        <v>#N/A</v>
      </c>
      <c r="H437" s="35" t="e">
        <f ca="1">IF(Summary_Exchange_Balances_00UTC!$B436="","",(G437-E437)/E437)</f>
        <v>#N/A</v>
      </c>
      <c r="I437" s="165">
        <f ca="1">IF(Summary_Exchange_Balances_00UTC!$B436="","",IF(ISERROR($G437),$E437,$G437))</f>
        <v>-40000</v>
      </c>
      <c r="L437" t="str">
        <f t="shared" ca="1" si="32"/>
        <v/>
      </c>
      <c r="N437" s="161" t="str">
        <f ca="1">IF(raw_exchange_data!$A436="","",OFFSET(raw_exchange_data!$A436,0,MATCH(N$2,raw_exchange_data!$1:$1,0)-1))</f>
        <v/>
      </c>
      <c r="O437" s="161" t="str">
        <f ca="1">IF(raw_exchange_data!$A436="","",OFFSET(raw_exchange_data!$A436,0,MATCH(O$2,raw_exchange_data!$1:$1,0)-1))</f>
        <v/>
      </c>
      <c r="P437" s="161" t="str">
        <f ca="1">IF(raw_exchange_data!$A436="","",OFFSET(raw_exchange_data!$A436,0,MATCH(P$2,raw_exchange_data!$1:$1,0)-1))</f>
        <v/>
      </c>
      <c r="Q437" s="161" t="str">
        <f ca="1">IF(raw_exchange_data!$A436="","",TEXT(OFFSET(raw_exchange_data!$A436,0,MATCH(Q$2,raw_exchange_data!$1:$1,0)-1),""))</f>
        <v/>
      </c>
      <c r="R437" s="162" t="str">
        <f ca="1">IF(raw_exchange_data!$A436="","",OFFSET(raw_exchange_data!$A436,0,MATCH(R$2,raw_exchange_data!$1:$1,0)-1))</f>
        <v/>
      </c>
      <c r="S437" s="190" t="str">
        <f ca="1">IF(raw_exchange_data!$A436="","",OFFSET(raw_exchange_data!$A436,0,MATCH(S$2,raw_exchange_data!$1:$1,0)-1))</f>
        <v/>
      </c>
      <c r="W437" t="str">
        <f t="shared" si="33"/>
        <v>HUBI</v>
      </c>
      <c r="X437" t="str">
        <f t="shared" si="34"/>
        <v>DOT</v>
      </c>
      <c r="Y437" s="42">
        <f t="shared" si="35"/>
        <v>-40000</v>
      </c>
      <c r="Z437" s="42">
        <f t="shared" ca="1" si="36"/>
        <v>0</v>
      </c>
    </row>
    <row r="438" spans="1:26" x14ac:dyDescent="0.25">
      <c r="A438" t="str">
        <f>IF(Summary_Exchange_Balances_00UTC!$B437="","",Summary_Exchange_Balances_00UTC!$N437)</f>
        <v>HUBI</v>
      </c>
      <c r="B438" t="str">
        <f>IF(Summary_Exchange_Balances_00UTC!$B437="","",Summary_Exchange_Balances_00UTC!$B437)</f>
        <v>LEND-HUBI</v>
      </c>
      <c r="C438" t="str">
        <f>IF(Summary_Exchange_Balances_00UTC!$B437="","",Summary_Exchange_Balances_00UTC!$E437)</f>
        <v>EOS</v>
      </c>
      <c r="E438" s="52">
        <f>IF(Summary_Exchange_Balances_00UTC!$B437="","",Summary_Exchange_Balances_00UTC!$C437)</f>
        <v>-160000</v>
      </c>
      <c r="G438" s="52" t="e">
        <f ca="1">IF(Summary_Exchange_Balances_00UTC!$B437="","",VLOOKUP(IF(ISERROR(SEARCH(" ", $B438)),UPPER($B438&amp;$C438&amp;IF(OR(NOT(ISERROR(SEARCH("trade",$D438))),NOT(ISERROR(SEARCH("balance",$D438)))),"",$D438)),UPPER(LEFT($B438, SEARCH(" ",$B438)-1)&amp;$C438&amp;IF(OR(NOT(ISERROR(SEARCH("trade",$D438))),NOT(ISERROR(SEARCH("balance",$D438)))),"",$D438))),$L:$T,MATCH("balance",$L$2:$S$2,0),FALSE))</f>
        <v>#N/A</v>
      </c>
      <c r="H438" s="35" t="e">
        <f ca="1">IF(Summary_Exchange_Balances_00UTC!$B437="","",(G438-E438)/E438)</f>
        <v>#N/A</v>
      </c>
      <c r="I438" s="165">
        <f ca="1">IF(Summary_Exchange_Balances_00UTC!$B437="","",IF(ISERROR($G438),$E438,$G438))</f>
        <v>-160000</v>
      </c>
      <c r="L438" t="str">
        <f t="shared" ca="1" si="32"/>
        <v/>
      </c>
      <c r="N438" s="161" t="str">
        <f ca="1">IF(raw_exchange_data!$A437="","",OFFSET(raw_exchange_data!$A437,0,MATCH(N$2,raw_exchange_data!$1:$1,0)-1))</f>
        <v/>
      </c>
      <c r="O438" s="161" t="str">
        <f ca="1">IF(raw_exchange_data!$A437="","",OFFSET(raw_exchange_data!$A437,0,MATCH(O$2,raw_exchange_data!$1:$1,0)-1))</f>
        <v/>
      </c>
      <c r="P438" s="161" t="str">
        <f ca="1">IF(raw_exchange_data!$A437="","",OFFSET(raw_exchange_data!$A437,0,MATCH(P$2,raw_exchange_data!$1:$1,0)-1))</f>
        <v/>
      </c>
      <c r="Q438" s="161" t="str">
        <f ca="1">IF(raw_exchange_data!$A437="","",TEXT(OFFSET(raw_exchange_data!$A437,0,MATCH(Q$2,raw_exchange_data!$1:$1,0)-1),""))</f>
        <v/>
      </c>
      <c r="R438" s="162" t="str">
        <f ca="1">IF(raw_exchange_data!$A437="","",OFFSET(raw_exchange_data!$A437,0,MATCH(R$2,raw_exchange_data!$1:$1,0)-1))</f>
        <v/>
      </c>
      <c r="S438" s="190" t="str">
        <f ca="1">IF(raw_exchange_data!$A437="","",OFFSET(raw_exchange_data!$A437,0,MATCH(S$2,raw_exchange_data!$1:$1,0)-1))</f>
        <v/>
      </c>
      <c r="W438" t="str">
        <f t="shared" si="33"/>
        <v>HUBI</v>
      </c>
      <c r="X438" t="str">
        <f t="shared" si="34"/>
        <v>EOS</v>
      </c>
      <c r="Y438" s="42">
        <f t="shared" si="35"/>
        <v>-160000</v>
      </c>
      <c r="Z438" s="42">
        <f t="shared" ca="1" si="36"/>
        <v>0</v>
      </c>
    </row>
    <row r="439" spans="1:26" x14ac:dyDescent="0.25">
      <c r="A439" t="str">
        <f>IF(Summary_Exchange_Balances_00UTC!$B438="","",Summary_Exchange_Balances_00UTC!$N438)</f>
        <v>HUBI</v>
      </c>
      <c r="B439" t="str">
        <f>IF(Summary_Exchange_Balances_00UTC!$B438="","",Summary_Exchange_Balances_00UTC!$B438)</f>
        <v>LEND-HUBI</v>
      </c>
      <c r="C439" t="str">
        <f>IF(Summary_Exchange_Balances_00UTC!$B438="","",Summary_Exchange_Balances_00UTC!$E438)</f>
        <v>ETC</v>
      </c>
      <c r="E439" s="52">
        <f>IF(Summary_Exchange_Balances_00UTC!$B438="","",Summary_Exchange_Balances_00UTC!$C438)</f>
        <v>-108000</v>
      </c>
      <c r="G439" s="52" t="e">
        <f ca="1">IF(Summary_Exchange_Balances_00UTC!$B438="","",VLOOKUP(IF(ISERROR(SEARCH(" ", $B439)),UPPER($B439&amp;$C439&amp;IF(OR(NOT(ISERROR(SEARCH("trade",$D439))),NOT(ISERROR(SEARCH("balance",$D439)))),"",$D439)),UPPER(LEFT($B439, SEARCH(" ",$B439)-1)&amp;$C439&amp;IF(OR(NOT(ISERROR(SEARCH("trade",$D439))),NOT(ISERROR(SEARCH("balance",$D439)))),"",$D439))),$L:$T,MATCH("balance",$L$2:$S$2,0),FALSE))</f>
        <v>#N/A</v>
      </c>
      <c r="H439" s="35" t="e">
        <f ca="1">IF(Summary_Exchange_Balances_00UTC!$B438="","",(G439-E439)/E439)</f>
        <v>#N/A</v>
      </c>
      <c r="I439" s="165">
        <f ca="1">IF(Summary_Exchange_Balances_00UTC!$B438="","",IF(ISERROR($G439),$E439,$G439))</f>
        <v>-108000</v>
      </c>
      <c r="L439" t="str">
        <f t="shared" ca="1" si="32"/>
        <v/>
      </c>
      <c r="N439" s="161" t="str">
        <f ca="1">IF(raw_exchange_data!$A438="","",OFFSET(raw_exchange_data!$A438,0,MATCH(N$2,raw_exchange_data!$1:$1,0)-1))</f>
        <v/>
      </c>
      <c r="O439" s="161" t="str">
        <f ca="1">IF(raw_exchange_data!$A438="","",OFFSET(raw_exchange_data!$A438,0,MATCH(O$2,raw_exchange_data!$1:$1,0)-1))</f>
        <v/>
      </c>
      <c r="P439" s="161" t="str">
        <f ca="1">IF(raw_exchange_data!$A438="","",OFFSET(raw_exchange_data!$A438,0,MATCH(P$2,raw_exchange_data!$1:$1,0)-1))</f>
        <v/>
      </c>
      <c r="Q439" s="161" t="str">
        <f ca="1">IF(raw_exchange_data!$A438="","",TEXT(OFFSET(raw_exchange_data!$A438,0,MATCH(Q$2,raw_exchange_data!$1:$1,0)-1),""))</f>
        <v/>
      </c>
      <c r="R439" s="162" t="str">
        <f ca="1">IF(raw_exchange_data!$A438="","",OFFSET(raw_exchange_data!$A438,0,MATCH(R$2,raw_exchange_data!$1:$1,0)-1))</f>
        <v/>
      </c>
      <c r="S439" s="190" t="str">
        <f ca="1">IF(raw_exchange_data!$A438="","",OFFSET(raw_exchange_data!$A438,0,MATCH(S$2,raw_exchange_data!$1:$1,0)-1))</f>
        <v/>
      </c>
      <c r="W439" t="str">
        <f t="shared" si="33"/>
        <v>HUBI</v>
      </c>
      <c r="X439" t="str">
        <f t="shared" si="34"/>
        <v>ETC</v>
      </c>
      <c r="Y439" s="42">
        <f t="shared" si="35"/>
        <v>-108000</v>
      </c>
      <c r="Z439" s="42">
        <f t="shared" ca="1" si="36"/>
        <v>0</v>
      </c>
    </row>
    <row r="440" spans="1:26" x14ac:dyDescent="0.25">
      <c r="A440" t="str">
        <f>IF(Summary_Exchange_Balances_00UTC!$B439="","",Summary_Exchange_Balances_00UTC!$N439)</f>
        <v>HUBI</v>
      </c>
      <c r="B440" t="str">
        <f>IF(Summary_Exchange_Balances_00UTC!$B439="","",Summary_Exchange_Balances_00UTC!$B439)</f>
        <v>LEND-HUBI</v>
      </c>
      <c r="C440" t="str">
        <f>IF(Summary_Exchange_Balances_00UTC!$B439="","",Summary_Exchange_Balances_00UTC!$E439)</f>
        <v>ETH</v>
      </c>
      <c r="E440" s="52">
        <f>IF(Summary_Exchange_Balances_00UTC!$B439="","",Summary_Exchange_Balances_00UTC!$C439)</f>
        <v>-4600</v>
      </c>
      <c r="G440" s="52" t="e">
        <f ca="1">IF(Summary_Exchange_Balances_00UTC!$B439="","",VLOOKUP(IF(ISERROR(SEARCH(" ", $B440)),UPPER($B440&amp;$C440&amp;IF(OR(NOT(ISERROR(SEARCH("trade",$D440))),NOT(ISERROR(SEARCH("balance",$D440)))),"",$D440)),UPPER(LEFT($B440, SEARCH(" ",$B440)-1)&amp;$C440&amp;IF(OR(NOT(ISERROR(SEARCH("trade",$D440))),NOT(ISERROR(SEARCH("balance",$D440)))),"",$D440))),$L:$T,MATCH("balance",$L$2:$S$2,0),FALSE))</f>
        <v>#N/A</v>
      </c>
      <c r="H440" s="35" t="e">
        <f ca="1">IF(Summary_Exchange_Balances_00UTC!$B439="","",(G440-E440)/E440)</f>
        <v>#N/A</v>
      </c>
      <c r="I440" s="165">
        <f ca="1">IF(Summary_Exchange_Balances_00UTC!$B439="","",IF(ISERROR($G440),$E440,$G440))</f>
        <v>-4600</v>
      </c>
      <c r="L440" t="str">
        <f t="shared" ca="1" si="32"/>
        <v/>
      </c>
      <c r="N440" s="161" t="str">
        <f ca="1">IF(raw_exchange_data!$A439="","",OFFSET(raw_exchange_data!$A439,0,MATCH(N$2,raw_exchange_data!$1:$1,0)-1))</f>
        <v/>
      </c>
      <c r="O440" s="161" t="str">
        <f ca="1">IF(raw_exchange_data!$A439="","",OFFSET(raw_exchange_data!$A439,0,MATCH(O$2,raw_exchange_data!$1:$1,0)-1))</f>
        <v/>
      </c>
      <c r="P440" s="161" t="str">
        <f ca="1">IF(raw_exchange_data!$A439="","",OFFSET(raw_exchange_data!$A439,0,MATCH(P$2,raw_exchange_data!$1:$1,0)-1))</f>
        <v/>
      </c>
      <c r="Q440" s="161" t="str">
        <f ca="1">IF(raw_exchange_data!$A439="","",TEXT(OFFSET(raw_exchange_data!$A439,0,MATCH(Q$2,raw_exchange_data!$1:$1,0)-1),""))</f>
        <v/>
      </c>
      <c r="R440" s="162" t="str">
        <f ca="1">IF(raw_exchange_data!$A439="","",OFFSET(raw_exchange_data!$A439,0,MATCH(R$2,raw_exchange_data!$1:$1,0)-1))</f>
        <v/>
      </c>
      <c r="S440" s="190" t="str">
        <f ca="1">IF(raw_exchange_data!$A439="","",OFFSET(raw_exchange_data!$A439,0,MATCH(S$2,raw_exchange_data!$1:$1,0)-1))</f>
        <v/>
      </c>
      <c r="W440" t="str">
        <f t="shared" si="33"/>
        <v>HUBI</v>
      </c>
      <c r="X440" t="str">
        <f t="shared" si="34"/>
        <v>ETH</v>
      </c>
      <c r="Y440" s="42">
        <f t="shared" si="35"/>
        <v>-4600</v>
      </c>
      <c r="Z440" s="42">
        <f t="shared" ca="1" si="36"/>
        <v>0</v>
      </c>
    </row>
    <row r="441" spans="1:26" x14ac:dyDescent="0.25">
      <c r="A441" t="str">
        <f>IF(Summary_Exchange_Balances_00UTC!$B440="","",Summary_Exchange_Balances_00UTC!$N440)</f>
        <v>HUBI</v>
      </c>
      <c r="B441" t="str">
        <f>IF(Summary_Exchange_Balances_00UTC!$B440="","",Summary_Exchange_Balances_00UTC!$B440)</f>
        <v>LEND-HUBI</v>
      </c>
      <c r="C441" t="str">
        <f>IF(Summary_Exchange_Balances_00UTC!$B440="","",Summary_Exchange_Balances_00UTC!$E440)</f>
        <v>LINK</v>
      </c>
      <c r="E441" s="52">
        <f>IF(Summary_Exchange_Balances_00UTC!$B440="","",Summary_Exchange_Balances_00UTC!$C440)</f>
        <v>-17000</v>
      </c>
      <c r="G441" s="52" t="e">
        <f ca="1">IF(Summary_Exchange_Balances_00UTC!$B440="","",VLOOKUP(IF(ISERROR(SEARCH(" ", $B441)),UPPER($B441&amp;$C441&amp;IF(OR(NOT(ISERROR(SEARCH("trade",$D441))),NOT(ISERROR(SEARCH("balance",$D441)))),"",$D441)),UPPER(LEFT($B441, SEARCH(" ",$B441)-1)&amp;$C441&amp;IF(OR(NOT(ISERROR(SEARCH("trade",$D441))),NOT(ISERROR(SEARCH("balance",$D441)))),"",$D441))),$L:$T,MATCH("balance",$L$2:$S$2,0),FALSE))</f>
        <v>#N/A</v>
      </c>
      <c r="H441" s="35" t="e">
        <f ca="1">IF(Summary_Exchange_Balances_00UTC!$B440="","",(G441-E441)/E441)</f>
        <v>#N/A</v>
      </c>
      <c r="I441" s="165">
        <f ca="1">IF(Summary_Exchange_Balances_00UTC!$B440="","",IF(ISERROR($G441),$E441,$G441))</f>
        <v>-17000</v>
      </c>
      <c r="L441" t="str">
        <f t="shared" ca="1" si="32"/>
        <v/>
      </c>
      <c r="N441" s="161" t="str">
        <f ca="1">IF(raw_exchange_data!$A440="","",OFFSET(raw_exchange_data!$A440,0,MATCH(N$2,raw_exchange_data!$1:$1,0)-1))</f>
        <v/>
      </c>
      <c r="O441" s="161" t="str">
        <f ca="1">IF(raw_exchange_data!$A440="","",OFFSET(raw_exchange_data!$A440,0,MATCH(O$2,raw_exchange_data!$1:$1,0)-1))</f>
        <v/>
      </c>
      <c r="P441" s="161" t="str">
        <f ca="1">IF(raw_exchange_data!$A440="","",OFFSET(raw_exchange_data!$A440,0,MATCH(P$2,raw_exchange_data!$1:$1,0)-1))</f>
        <v/>
      </c>
      <c r="Q441" s="161" t="str">
        <f ca="1">IF(raw_exchange_data!$A440="","",TEXT(OFFSET(raw_exchange_data!$A440,0,MATCH(Q$2,raw_exchange_data!$1:$1,0)-1),""))</f>
        <v/>
      </c>
      <c r="R441" s="162" t="str">
        <f ca="1">IF(raw_exchange_data!$A440="","",OFFSET(raw_exchange_data!$A440,0,MATCH(R$2,raw_exchange_data!$1:$1,0)-1))</f>
        <v/>
      </c>
      <c r="S441" s="190" t="str">
        <f ca="1">IF(raw_exchange_data!$A440="","",OFFSET(raw_exchange_data!$A440,0,MATCH(S$2,raw_exchange_data!$1:$1,0)-1))</f>
        <v/>
      </c>
      <c r="W441" t="str">
        <f t="shared" si="33"/>
        <v>HUBI</v>
      </c>
      <c r="X441" t="str">
        <f t="shared" si="34"/>
        <v>LINK</v>
      </c>
      <c r="Y441" s="42">
        <f t="shared" si="35"/>
        <v>-17000</v>
      </c>
      <c r="Z441" s="42">
        <f t="shared" ca="1" si="36"/>
        <v>0</v>
      </c>
    </row>
    <row r="442" spans="1:26" x14ac:dyDescent="0.25">
      <c r="A442" t="str">
        <f>IF(Summary_Exchange_Balances_00UTC!$B441="","",Summary_Exchange_Balances_00UTC!$N441)</f>
        <v>HUBI</v>
      </c>
      <c r="B442" t="str">
        <f>IF(Summary_Exchange_Balances_00UTC!$B441="","",Summary_Exchange_Balances_00UTC!$B441)</f>
        <v>LEND-HUBI</v>
      </c>
      <c r="C442" t="str">
        <f>IF(Summary_Exchange_Balances_00UTC!$B441="","",Summary_Exchange_Balances_00UTC!$E441)</f>
        <v>LTC</v>
      </c>
      <c r="E442" s="52">
        <f>IF(Summary_Exchange_Balances_00UTC!$B441="","",Summary_Exchange_Balances_00UTC!$C441)</f>
        <v>-11800</v>
      </c>
      <c r="G442" s="52" t="e">
        <f ca="1">IF(Summary_Exchange_Balances_00UTC!$B441="","",VLOOKUP(IF(ISERROR(SEARCH(" ", $B442)),UPPER($B442&amp;$C442&amp;IF(OR(NOT(ISERROR(SEARCH("trade",$D442))),NOT(ISERROR(SEARCH("balance",$D442)))),"",$D442)),UPPER(LEFT($B442, SEARCH(" ",$B442)-1)&amp;$C442&amp;IF(OR(NOT(ISERROR(SEARCH("trade",$D442))),NOT(ISERROR(SEARCH("balance",$D442)))),"",$D442))),$L:$T,MATCH("balance",$L$2:$S$2,0),FALSE))</f>
        <v>#N/A</v>
      </c>
      <c r="H442" s="35" t="e">
        <f ca="1">IF(Summary_Exchange_Balances_00UTC!$B441="","",(G442-E442)/E442)</f>
        <v>#N/A</v>
      </c>
      <c r="I442" s="165">
        <f ca="1">IF(Summary_Exchange_Balances_00UTC!$B441="","",IF(ISERROR($G442),$E442,$G442))</f>
        <v>-11800</v>
      </c>
      <c r="L442" t="str">
        <f t="shared" ca="1" si="32"/>
        <v/>
      </c>
      <c r="N442" s="161" t="str">
        <f ca="1">IF(raw_exchange_data!$A441="","",OFFSET(raw_exchange_data!$A441,0,MATCH(N$2,raw_exchange_data!$1:$1,0)-1))</f>
        <v/>
      </c>
      <c r="O442" s="161" t="str">
        <f ca="1">IF(raw_exchange_data!$A441="","",OFFSET(raw_exchange_data!$A441,0,MATCH(O$2,raw_exchange_data!$1:$1,0)-1))</f>
        <v/>
      </c>
      <c r="P442" s="161" t="str">
        <f ca="1">IF(raw_exchange_data!$A441="","",OFFSET(raw_exchange_data!$A441,0,MATCH(P$2,raw_exchange_data!$1:$1,0)-1))</f>
        <v/>
      </c>
      <c r="Q442" s="161" t="str">
        <f ca="1">IF(raw_exchange_data!$A441="","",TEXT(OFFSET(raw_exchange_data!$A441,0,MATCH(Q$2,raw_exchange_data!$1:$1,0)-1),""))</f>
        <v/>
      </c>
      <c r="R442" s="162" t="str">
        <f ca="1">IF(raw_exchange_data!$A441="","",OFFSET(raw_exchange_data!$A441,0,MATCH(R$2,raw_exchange_data!$1:$1,0)-1))</f>
        <v/>
      </c>
      <c r="S442" s="190" t="str">
        <f ca="1">IF(raw_exchange_data!$A441="","",OFFSET(raw_exchange_data!$A441,0,MATCH(S$2,raw_exchange_data!$1:$1,0)-1))</f>
        <v/>
      </c>
      <c r="W442" t="str">
        <f t="shared" si="33"/>
        <v>HUBI</v>
      </c>
      <c r="X442" t="str">
        <f t="shared" si="34"/>
        <v>LTC</v>
      </c>
      <c r="Y442" s="42">
        <f t="shared" si="35"/>
        <v>-11800</v>
      </c>
      <c r="Z442" s="42">
        <f t="shared" ca="1" si="36"/>
        <v>0</v>
      </c>
    </row>
    <row r="443" spans="1:26" x14ac:dyDescent="0.25">
      <c r="A443" t="str">
        <f>IF(Summary_Exchange_Balances_00UTC!$B442="","",Summary_Exchange_Balances_00UTC!$N442)</f>
        <v>ORCHID</v>
      </c>
      <c r="B443" t="str">
        <f>IF(Summary_Exchange_Balances_00UTC!$B442="","",Summary_Exchange_Balances_00UTC!$B442)</f>
        <v>LEND-OXTF</v>
      </c>
      <c r="C443" t="str">
        <f>IF(Summary_Exchange_Balances_00UTC!$B442="","",Summary_Exchange_Balances_00UTC!$E442)</f>
        <v>OXT</v>
      </c>
      <c r="E443" s="52">
        <f>IF(Summary_Exchange_Balances_00UTC!$B442="","",Summary_Exchange_Balances_00UTC!$C442)</f>
        <v>-2600208</v>
      </c>
      <c r="G443" s="52" t="e">
        <f ca="1">IF(Summary_Exchange_Balances_00UTC!$B442="","",VLOOKUP(IF(ISERROR(SEARCH(" ", $B443)),UPPER($B443&amp;$C443&amp;IF(OR(NOT(ISERROR(SEARCH("trade",$D443))),NOT(ISERROR(SEARCH("balance",$D443)))),"",$D443)),UPPER(LEFT($B443, SEARCH(" ",$B443)-1)&amp;$C443&amp;IF(OR(NOT(ISERROR(SEARCH("trade",$D443))),NOT(ISERROR(SEARCH("balance",$D443)))),"",$D443))),$L:$T,MATCH("balance",$L$2:$S$2,0),FALSE))</f>
        <v>#N/A</v>
      </c>
      <c r="H443" s="35" t="e">
        <f ca="1">IF(Summary_Exchange_Balances_00UTC!$B442="","",(G443-E443)/E443)</f>
        <v>#N/A</v>
      </c>
      <c r="I443" s="165">
        <f ca="1">IF(Summary_Exchange_Balances_00UTC!$B442="","",IF(ISERROR($G443),$E443,$G443))</f>
        <v>-2600208</v>
      </c>
      <c r="L443" t="str">
        <f t="shared" ca="1" si="32"/>
        <v/>
      </c>
      <c r="N443" s="161" t="str">
        <f ca="1">IF(raw_exchange_data!$A442="","",OFFSET(raw_exchange_data!$A442,0,MATCH(N$2,raw_exchange_data!$1:$1,0)-1))</f>
        <v/>
      </c>
      <c r="O443" s="161" t="str">
        <f ca="1">IF(raw_exchange_data!$A442="","",OFFSET(raw_exchange_data!$A442,0,MATCH(O$2,raw_exchange_data!$1:$1,0)-1))</f>
        <v/>
      </c>
      <c r="P443" s="161" t="str">
        <f ca="1">IF(raw_exchange_data!$A442="","",OFFSET(raw_exchange_data!$A442,0,MATCH(P$2,raw_exchange_data!$1:$1,0)-1))</f>
        <v/>
      </c>
      <c r="Q443" s="161" t="str">
        <f ca="1">IF(raw_exchange_data!$A442="","",TEXT(OFFSET(raw_exchange_data!$A442,0,MATCH(Q$2,raw_exchange_data!$1:$1,0)-1),""))</f>
        <v/>
      </c>
      <c r="R443" s="162" t="str">
        <f ca="1">IF(raw_exchange_data!$A442="","",OFFSET(raw_exchange_data!$A442,0,MATCH(R$2,raw_exchange_data!$1:$1,0)-1))</f>
        <v/>
      </c>
      <c r="S443" s="190" t="str">
        <f ca="1">IF(raw_exchange_data!$A442="","",OFFSET(raw_exchange_data!$A442,0,MATCH(S$2,raw_exchange_data!$1:$1,0)-1))</f>
        <v/>
      </c>
      <c r="W443" t="str">
        <f t="shared" si="33"/>
        <v>ORCHID</v>
      </c>
      <c r="X443" t="str">
        <f t="shared" si="34"/>
        <v>OXT</v>
      </c>
      <c r="Y443" s="42">
        <f t="shared" si="35"/>
        <v>-2600208</v>
      </c>
      <c r="Z443" s="42">
        <f t="shared" ca="1" si="36"/>
        <v>0</v>
      </c>
    </row>
    <row r="444" spans="1:26" x14ac:dyDescent="0.25">
      <c r="A444" t="str">
        <f>IF(Summary_Exchange_Balances_00UTC!$B443="","",Summary_Exchange_Balances_00UTC!$N443)</f>
        <v>ORCHID</v>
      </c>
      <c r="B444" t="str">
        <f>IF(Summary_Exchange_Balances_00UTC!$B443="","",Summary_Exchange_Balances_00UTC!$B443)</f>
        <v>LEND-OXTF</v>
      </c>
      <c r="C444" t="str">
        <f>IF(Summary_Exchange_Balances_00UTC!$B443="","",Summary_Exchange_Balances_00UTC!$E443)</f>
        <v>USDC</v>
      </c>
      <c r="E444" s="52">
        <f>IF(Summary_Exchange_Balances_00UTC!$B443="","",Summary_Exchange_Balances_00UTC!$C443)</f>
        <v>-1000000</v>
      </c>
      <c r="G444" s="52" t="e">
        <f ca="1">IF(Summary_Exchange_Balances_00UTC!$B443="","",VLOOKUP(IF(ISERROR(SEARCH(" ", $B444)),UPPER($B444&amp;$C444&amp;IF(OR(NOT(ISERROR(SEARCH("trade",$D444))),NOT(ISERROR(SEARCH("balance",$D444)))),"",$D444)),UPPER(LEFT($B444, SEARCH(" ",$B444)-1)&amp;$C444&amp;IF(OR(NOT(ISERROR(SEARCH("trade",$D444))),NOT(ISERROR(SEARCH("balance",$D444)))),"",$D444))),$L:$T,MATCH("balance",$L$2:$S$2,0),FALSE))</f>
        <v>#N/A</v>
      </c>
      <c r="H444" s="35" t="e">
        <f ca="1">IF(Summary_Exchange_Balances_00UTC!$B443="","",(G444-E444)/E444)</f>
        <v>#N/A</v>
      </c>
      <c r="I444" s="165">
        <f ca="1">IF(Summary_Exchange_Balances_00UTC!$B443="","",IF(ISERROR($G444),$E444,$G444))</f>
        <v>-1000000</v>
      </c>
      <c r="L444" t="str">
        <f t="shared" ca="1" si="32"/>
        <v/>
      </c>
      <c r="N444" s="161" t="str">
        <f ca="1">IF(raw_exchange_data!$A443="","",OFFSET(raw_exchange_data!$A443,0,MATCH(N$2,raw_exchange_data!$1:$1,0)-1))</f>
        <v/>
      </c>
      <c r="O444" s="161" t="str">
        <f ca="1">IF(raw_exchange_data!$A443="","",OFFSET(raw_exchange_data!$A443,0,MATCH(O$2,raw_exchange_data!$1:$1,0)-1))</f>
        <v/>
      </c>
      <c r="P444" s="161" t="str">
        <f ca="1">IF(raw_exchange_data!$A443="","",OFFSET(raw_exchange_data!$A443,0,MATCH(P$2,raw_exchange_data!$1:$1,0)-1))</f>
        <v/>
      </c>
      <c r="Q444" s="161" t="str">
        <f ca="1">IF(raw_exchange_data!$A443="","",TEXT(OFFSET(raw_exchange_data!$A443,0,MATCH(Q$2,raw_exchange_data!$1:$1,0)-1),""))</f>
        <v/>
      </c>
      <c r="R444" s="162" t="str">
        <f ca="1">IF(raw_exchange_data!$A443="","",OFFSET(raw_exchange_data!$A443,0,MATCH(R$2,raw_exchange_data!$1:$1,0)-1))</f>
        <v/>
      </c>
      <c r="S444" s="190" t="str">
        <f ca="1">IF(raw_exchange_data!$A443="","",OFFSET(raw_exchange_data!$A443,0,MATCH(S$2,raw_exchange_data!$1:$1,0)-1))</f>
        <v/>
      </c>
      <c r="W444" t="str">
        <f t="shared" si="33"/>
        <v>ORCHID</v>
      </c>
      <c r="X444" t="str">
        <f t="shared" si="34"/>
        <v>USDC</v>
      </c>
      <c r="Y444" s="42">
        <f t="shared" si="35"/>
        <v>-1000000</v>
      </c>
      <c r="Z444" s="42">
        <f t="shared" ca="1" si="36"/>
        <v>0</v>
      </c>
    </row>
    <row r="445" spans="1:26" x14ac:dyDescent="0.25">
      <c r="A445" t="str">
        <f>IF(Summary_Exchange_Balances_00UTC!$B444="","",Summary_Exchange_Balances_00UTC!$N444)</f>
        <v>RIPPLE</v>
      </c>
      <c r="B445" t="str">
        <f>IF(Summary_Exchange_Balances_00UTC!$B444="","",Summary_Exchange_Balances_00UTC!$B444)</f>
        <v>LEND-XRPF</v>
      </c>
      <c r="C445" t="str">
        <f>IF(Summary_Exchange_Balances_00UTC!$B444="","",Summary_Exchange_Balances_00UTC!$E444)</f>
        <v>XRP</v>
      </c>
      <c r="E445" s="52">
        <f>IF(Summary_Exchange_Balances_00UTC!$B444="","",Summary_Exchange_Balances_00UTC!$C444)</f>
        <v>-201.17</v>
      </c>
      <c r="G445" s="52" t="e">
        <f ca="1">IF(Summary_Exchange_Balances_00UTC!$B444="","",VLOOKUP(IF(ISERROR(SEARCH(" ", $B445)),UPPER($B445&amp;$C445&amp;IF(OR(NOT(ISERROR(SEARCH("trade",$D445))),NOT(ISERROR(SEARCH("balance",$D445)))),"",$D445)),UPPER(LEFT($B445, SEARCH(" ",$B445)-1)&amp;$C445&amp;IF(OR(NOT(ISERROR(SEARCH("trade",$D445))),NOT(ISERROR(SEARCH("balance",$D445)))),"",$D445))),$L:$T,MATCH("balance",$L$2:$S$2,0),FALSE))</f>
        <v>#N/A</v>
      </c>
      <c r="H445" s="35" t="e">
        <f ca="1">IF(Summary_Exchange_Balances_00UTC!$B444="","",(G445-E445)/E445)</f>
        <v>#N/A</v>
      </c>
      <c r="I445" s="165">
        <f ca="1">IF(Summary_Exchange_Balances_00UTC!$B444="","",IF(ISERROR($G445),$E445,$G445))</f>
        <v>-201.17</v>
      </c>
      <c r="L445" t="str">
        <f t="shared" ca="1" si="32"/>
        <v/>
      </c>
      <c r="N445" s="161" t="str">
        <f ca="1">IF(raw_exchange_data!$A444="","",OFFSET(raw_exchange_data!$A444,0,MATCH(N$2,raw_exchange_data!$1:$1,0)-1))</f>
        <v/>
      </c>
      <c r="O445" s="161" t="str">
        <f ca="1">IF(raw_exchange_data!$A444="","",OFFSET(raw_exchange_data!$A444,0,MATCH(O$2,raw_exchange_data!$1:$1,0)-1))</f>
        <v/>
      </c>
      <c r="P445" s="161" t="str">
        <f ca="1">IF(raw_exchange_data!$A444="","",OFFSET(raw_exchange_data!$A444,0,MATCH(P$2,raw_exchange_data!$1:$1,0)-1))</f>
        <v/>
      </c>
      <c r="Q445" s="161" t="str">
        <f ca="1">IF(raw_exchange_data!$A444="","",TEXT(OFFSET(raw_exchange_data!$A444,0,MATCH(Q$2,raw_exchange_data!$1:$1,0)-1),""))</f>
        <v/>
      </c>
      <c r="R445" s="162" t="str">
        <f ca="1">IF(raw_exchange_data!$A444="","",OFFSET(raw_exchange_data!$A444,0,MATCH(R$2,raw_exchange_data!$1:$1,0)-1))</f>
        <v/>
      </c>
      <c r="S445" s="190" t="str">
        <f ca="1">IF(raw_exchange_data!$A444="","",OFFSET(raw_exchange_data!$A444,0,MATCH(S$2,raw_exchange_data!$1:$1,0)-1))</f>
        <v/>
      </c>
      <c r="W445" t="str">
        <f t="shared" si="33"/>
        <v>RIPPLE</v>
      </c>
      <c r="X445" t="str">
        <f t="shared" si="34"/>
        <v>XRP</v>
      </c>
      <c r="Y445" s="42">
        <f t="shared" si="35"/>
        <v>-201.17</v>
      </c>
      <c r="Z445" s="42">
        <f t="shared" ca="1" si="36"/>
        <v>0</v>
      </c>
    </row>
    <row r="446" spans="1:26" x14ac:dyDescent="0.25">
      <c r="A446" t="str">
        <f>IF(Summary_Exchange_Balances_00UTC!$B445="","",Summary_Exchange_Balances_00UTC!$N445)</f>
        <v>OKEX</v>
      </c>
      <c r="B446" t="str">
        <f>IF(Summary_Exchange_Balances_00UTC!$B445="","",Summary_Exchange_Balances_00UTC!$B445)</f>
        <v>OKEX-2-M Margin Loan</v>
      </c>
      <c r="C446" t="str">
        <f>IF(Summary_Exchange_Balances_00UTC!$B445="","",Summary_Exchange_Balances_00UTC!$E445)</f>
        <v>BCH</v>
      </c>
      <c r="E446" s="52">
        <f>IF(Summary_Exchange_Balances_00UTC!$B445="","",Summary_Exchange_Balances_00UTC!$C445)</f>
        <v>-12.89958137</v>
      </c>
      <c r="G446" s="52">
        <f ca="1">IF(Summary_Exchange_Balances_00UTC!$B445="","",VLOOKUP(IF(ISERROR(SEARCH(" ", $B446)),UPPER($B446&amp;$C446&amp;IF(OR(NOT(ISERROR(SEARCH("trade",$D446))),NOT(ISERROR(SEARCH("balance",$D446)))),"",$D446)),UPPER(LEFT($B446, SEARCH(" ",$B446)-1)&amp;$C446&amp;IF(OR(NOT(ISERROR(SEARCH("trade",$D446))),NOT(ISERROR(SEARCH("balance",$D446)))),"",$D446))),$L:$T,MATCH("balance",$L$2:$S$2,0),FALSE))</f>
        <v>-3.1000869804345399</v>
      </c>
      <c r="H446" s="35">
        <f ca="1">IF(Summary_Exchange_Balances_00UTC!$B445="","",(G446-E446)/E446)</f>
        <v>-0.75967538081163788</v>
      </c>
      <c r="I446" s="165">
        <f ca="1">IF(Summary_Exchange_Balances_00UTC!$B445="","",IF(ISERROR($G446),$E446,$G446))</f>
        <v>-3.1000869804345399</v>
      </c>
      <c r="L446" t="str">
        <f t="shared" ca="1" si="32"/>
        <v/>
      </c>
      <c r="N446" s="161" t="str">
        <f ca="1">IF(raw_exchange_data!$A445="","",OFFSET(raw_exchange_data!$A445,0,MATCH(N$2,raw_exchange_data!$1:$1,0)-1))</f>
        <v/>
      </c>
      <c r="O446" s="161" t="str">
        <f ca="1">IF(raw_exchange_data!$A445="","",OFFSET(raw_exchange_data!$A445,0,MATCH(O$2,raw_exchange_data!$1:$1,0)-1))</f>
        <v/>
      </c>
      <c r="P446" s="161" t="str">
        <f ca="1">IF(raw_exchange_data!$A445="","",OFFSET(raw_exchange_data!$A445,0,MATCH(P$2,raw_exchange_data!$1:$1,0)-1))</f>
        <v/>
      </c>
      <c r="Q446" s="161" t="str">
        <f ca="1">IF(raw_exchange_data!$A445="","",TEXT(OFFSET(raw_exchange_data!$A445,0,MATCH(Q$2,raw_exchange_data!$1:$1,0)-1),""))</f>
        <v/>
      </c>
      <c r="R446" s="162" t="str">
        <f ca="1">IF(raw_exchange_data!$A445="","",OFFSET(raw_exchange_data!$A445,0,MATCH(R$2,raw_exchange_data!$1:$1,0)-1))</f>
        <v/>
      </c>
      <c r="S446" s="190" t="str">
        <f ca="1">IF(raw_exchange_data!$A445="","",OFFSET(raw_exchange_data!$A445,0,MATCH(S$2,raw_exchange_data!$1:$1,0)-1))</f>
        <v/>
      </c>
      <c r="W446" t="str">
        <f t="shared" si="33"/>
        <v>OKEX</v>
      </c>
      <c r="X446" t="str">
        <f t="shared" si="34"/>
        <v>BCH</v>
      </c>
      <c r="Y446" s="42">
        <f t="shared" si="35"/>
        <v>-12.89958137</v>
      </c>
      <c r="Z446" s="42">
        <f t="shared" ca="1" si="36"/>
        <v>-3.1000869804345399</v>
      </c>
    </row>
    <row r="447" spans="1:26" x14ac:dyDescent="0.25">
      <c r="A447" t="str">
        <f>IF(Summary_Exchange_Balances_00UTC!$B446="","",Summary_Exchange_Balances_00UTC!$N446)</f>
        <v>OKEX</v>
      </c>
      <c r="B447" t="str">
        <f>IF(Summary_Exchange_Balances_00UTC!$B446="","",Summary_Exchange_Balances_00UTC!$B446)</f>
        <v>OKEX-2-M Margin Loan</v>
      </c>
      <c r="C447" t="str">
        <f>IF(Summary_Exchange_Balances_00UTC!$B446="","",Summary_Exchange_Balances_00UTC!$E446)</f>
        <v>EOS</v>
      </c>
      <c r="E447" s="52">
        <f>IF(Summary_Exchange_Balances_00UTC!$B446="","",Summary_Exchange_Balances_00UTC!$C446)</f>
        <v>-22178.1698817</v>
      </c>
      <c r="G447" s="52">
        <f ca="1">IF(Summary_Exchange_Balances_00UTC!$B446="","",VLOOKUP(IF(ISERROR(SEARCH(" ", $B447)),UPPER($B447&amp;$C447&amp;IF(OR(NOT(ISERROR(SEARCH("trade",$D447))),NOT(ISERROR(SEARCH("balance",$D447)))),"",$D447)),UPPER(LEFT($B447, SEARCH(" ",$B447)-1)&amp;$C447&amp;IF(OR(NOT(ISERROR(SEARCH("trade",$D447))),NOT(ISERROR(SEARCH("balance",$D447)))),"",$D447))),$L:$T,MATCH("balance",$L$2:$S$2,0),FALSE))</f>
        <v>-36379.531990191201</v>
      </c>
      <c r="H447" s="35">
        <f ca="1">IF(Summary_Exchange_Balances_00UTC!$B446="","",(G447-E447)/E447)</f>
        <v>0.64033065777033538</v>
      </c>
      <c r="I447" s="165">
        <f ca="1">IF(Summary_Exchange_Balances_00UTC!$B446="","",IF(ISERROR($G447),$E447,$G447))</f>
        <v>-36379.531990191201</v>
      </c>
      <c r="L447" t="str">
        <f t="shared" ca="1" si="32"/>
        <v/>
      </c>
      <c r="N447" s="161" t="str">
        <f ca="1">IF(raw_exchange_data!$A446="","",OFFSET(raw_exchange_data!$A446,0,MATCH(N$2,raw_exchange_data!$1:$1,0)-1))</f>
        <v/>
      </c>
      <c r="O447" s="161" t="str">
        <f ca="1">IF(raw_exchange_data!$A446="","",OFFSET(raw_exchange_data!$A446,0,MATCH(O$2,raw_exchange_data!$1:$1,0)-1))</f>
        <v/>
      </c>
      <c r="P447" s="161" t="str">
        <f ca="1">IF(raw_exchange_data!$A446="","",OFFSET(raw_exchange_data!$A446,0,MATCH(P$2,raw_exchange_data!$1:$1,0)-1))</f>
        <v/>
      </c>
      <c r="Q447" s="161" t="str">
        <f ca="1">IF(raw_exchange_data!$A446="","",TEXT(OFFSET(raw_exchange_data!$A446,0,MATCH(Q$2,raw_exchange_data!$1:$1,0)-1),""))</f>
        <v/>
      </c>
      <c r="R447" s="162" t="str">
        <f ca="1">IF(raw_exchange_data!$A446="","",OFFSET(raw_exchange_data!$A446,0,MATCH(R$2,raw_exchange_data!$1:$1,0)-1))</f>
        <v/>
      </c>
      <c r="S447" s="190" t="str">
        <f ca="1">IF(raw_exchange_data!$A446="","",OFFSET(raw_exchange_data!$A446,0,MATCH(S$2,raw_exchange_data!$1:$1,0)-1))</f>
        <v/>
      </c>
      <c r="W447" t="str">
        <f t="shared" si="33"/>
        <v>OKEX</v>
      </c>
      <c r="X447" t="str">
        <f t="shared" si="34"/>
        <v>EOS</v>
      </c>
      <c r="Y447" s="42">
        <f t="shared" si="35"/>
        <v>-22178.1698817</v>
      </c>
      <c r="Z447" s="42">
        <f t="shared" ca="1" si="36"/>
        <v>-36379.531990191201</v>
      </c>
    </row>
    <row r="448" spans="1:26" x14ac:dyDescent="0.25">
      <c r="A448" t="str">
        <f>IF(Summary_Exchange_Balances_00UTC!$B447="","",Summary_Exchange_Balances_00UTC!$N447)</f>
        <v>OKEX</v>
      </c>
      <c r="B448" t="str">
        <f>IF(Summary_Exchange_Balances_00UTC!$B447="","",Summary_Exchange_Balances_00UTC!$B447)</f>
        <v>OKEX-2-M Margin Loan</v>
      </c>
      <c r="C448" t="str">
        <f>IF(Summary_Exchange_Balances_00UTC!$B447="","",Summary_Exchange_Balances_00UTC!$E447)</f>
        <v>FIL</v>
      </c>
      <c r="E448" s="52">
        <f>IF(Summary_Exchange_Balances_00UTC!$B447="","",Summary_Exchange_Balances_00UTC!$C447)</f>
        <v>-3.6961340000000002E-2</v>
      </c>
      <c r="G448" s="52">
        <f ca="1">IF(Summary_Exchange_Balances_00UTC!$B447="","",VLOOKUP(IF(ISERROR(SEARCH(" ", $B448)),UPPER($B448&amp;$C448&amp;IF(OR(NOT(ISERROR(SEARCH("trade",$D448))),NOT(ISERROR(SEARCH("balance",$D448)))),"",$D448)),UPPER(LEFT($B448, SEARCH(" ",$B448)-1)&amp;$C448&amp;IF(OR(NOT(ISERROR(SEARCH("trade",$D448))),NOT(ISERROR(SEARCH("balance",$D448)))),"",$D448))),$L:$T,MATCH("balance",$L$2:$S$2,0),FALSE))</f>
        <v>-3.6960239470788601E-2</v>
      </c>
      <c r="H448" s="35">
        <f ca="1">IF(Summary_Exchange_Balances_00UTC!$B447="","",(G448-E448)/E448)</f>
        <v>-2.9775143742104654E-5</v>
      </c>
      <c r="I448" s="165">
        <f ca="1">IF(Summary_Exchange_Balances_00UTC!$B447="","",IF(ISERROR($G448),$E448,$G448))</f>
        <v>-3.6960239470788601E-2</v>
      </c>
      <c r="L448" t="str">
        <f t="shared" ca="1" si="32"/>
        <v/>
      </c>
      <c r="N448" s="161" t="str">
        <f ca="1">IF(raw_exchange_data!$A447="","",OFFSET(raw_exchange_data!$A447,0,MATCH(N$2,raw_exchange_data!$1:$1,0)-1))</f>
        <v/>
      </c>
      <c r="O448" s="161" t="str">
        <f ca="1">IF(raw_exchange_data!$A447="","",OFFSET(raw_exchange_data!$A447,0,MATCH(O$2,raw_exchange_data!$1:$1,0)-1))</f>
        <v/>
      </c>
      <c r="P448" s="161" t="str">
        <f ca="1">IF(raw_exchange_data!$A447="","",OFFSET(raw_exchange_data!$A447,0,MATCH(P$2,raw_exchange_data!$1:$1,0)-1))</f>
        <v/>
      </c>
      <c r="Q448" s="161" t="str">
        <f ca="1">IF(raw_exchange_data!$A447="","",TEXT(OFFSET(raw_exchange_data!$A447,0,MATCH(Q$2,raw_exchange_data!$1:$1,0)-1),""))</f>
        <v/>
      </c>
      <c r="R448" s="162" t="str">
        <f ca="1">IF(raw_exchange_data!$A447="","",OFFSET(raw_exchange_data!$A447,0,MATCH(R$2,raw_exchange_data!$1:$1,0)-1))</f>
        <v/>
      </c>
      <c r="S448" s="190" t="str">
        <f ca="1">IF(raw_exchange_data!$A447="","",OFFSET(raw_exchange_data!$A447,0,MATCH(S$2,raw_exchange_data!$1:$1,0)-1))</f>
        <v/>
      </c>
      <c r="W448" t="str">
        <f t="shared" si="33"/>
        <v>OKEX</v>
      </c>
      <c r="X448" t="str">
        <f t="shared" si="34"/>
        <v>FIL</v>
      </c>
      <c r="Y448" s="42">
        <f t="shared" si="35"/>
        <v>-3.6961340000000002E-2</v>
      </c>
      <c r="Z448" s="42">
        <f t="shared" ca="1" si="36"/>
        <v>-3.6960239470788601E-2</v>
      </c>
    </row>
    <row r="449" spans="1:26" x14ac:dyDescent="0.25">
      <c r="A449" t="str">
        <f>IF(Summary_Exchange_Balances_00UTC!$B448="","",Summary_Exchange_Balances_00UTC!$N448)</f>
        <v>OKEX</v>
      </c>
      <c r="B449" t="str">
        <f>IF(Summary_Exchange_Balances_00UTC!$B448="","",Summary_Exchange_Balances_00UTC!$B448)</f>
        <v>OKEX-2-M Margin Loan</v>
      </c>
      <c r="C449" t="str">
        <f>IF(Summary_Exchange_Balances_00UTC!$B448="","",Summary_Exchange_Balances_00UTC!$E448)</f>
        <v>LTC</v>
      </c>
      <c r="E449" s="52">
        <f>IF(Summary_Exchange_Balances_00UTC!$B448="","",Summary_Exchange_Balances_00UTC!$C448)</f>
        <v>-304.03511947999999</v>
      </c>
      <c r="G449" s="52">
        <f ca="1">IF(Summary_Exchange_Balances_00UTC!$B448="","",VLOOKUP(IF(ISERROR(SEARCH(" ", $B449)),UPPER($B449&amp;$C449&amp;IF(OR(NOT(ISERROR(SEARCH("trade",$D449))),NOT(ISERROR(SEARCH("balance",$D449)))),"",$D449)),UPPER(LEFT($B449, SEARCH(" ",$B449)-1)&amp;$C449&amp;IF(OR(NOT(ISERROR(SEARCH("trade",$D449))),NOT(ISERROR(SEARCH("balance",$D449)))),"",$D449))),$L:$T,MATCH("balance",$L$2:$S$2,0),FALSE))</f>
        <v>-330.29248286191199</v>
      </c>
      <c r="H449" s="35">
        <f ca="1">IF(Summary_Exchange_Balances_00UTC!$B448="","",(G449-E449)/E449)</f>
        <v>8.6362928818291537E-2</v>
      </c>
      <c r="I449" s="165">
        <f ca="1">IF(Summary_Exchange_Balances_00UTC!$B448="","",IF(ISERROR($G449),$E449,$G449))</f>
        <v>-330.29248286191199</v>
      </c>
      <c r="L449" t="str">
        <f t="shared" ca="1" si="32"/>
        <v/>
      </c>
      <c r="N449" s="161" t="str">
        <f ca="1">IF(raw_exchange_data!$A448="","",OFFSET(raw_exchange_data!$A448,0,MATCH(N$2,raw_exchange_data!$1:$1,0)-1))</f>
        <v/>
      </c>
      <c r="O449" s="161" t="str">
        <f ca="1">IF(raw_exchange_data!$A448="","",OFFSET(raw_exchange_data!$A448,0,MATCH(O$2,raw_exchange_data!$1:$1,0)-1))</f>
        <v/>
      </c>
      <c r="P449" s="161" t="str">
        <f ca="1">IF(raw_exchange_data!$A448="","",OFFSET(raw_exchange_data!$A448,0,MATCH(P$2,raw_exchange_data!$1:$1,0)-1))</f>
        <v/>
      </c>
      <c r="Q449" s="161" t="str">
        <f ca="1">IF(raw_exchange_data!$A448="","",TEXT(OFFSET(raw_exchange_data!$A448,0,MATCH(Q$2,raw_exchange_data!$1:$1,0)-1),""))</f>
        <v/>
      </c>
      <c r="R449" s="162" t="str">
        <f ca="1">IF(raw_exchange_data!$A448="","",OFFSET(raw_exchange_data!$A448,0,MATCH(R$2,raw_exchange_data!$1:$1,0)-1))</f>
        <v/>
      </c>
      <c r="S449" s="190" t="str">
        <f ca="1">IF(raw_exchange_data!$A448="","",OFFSET(raw_exchange_data!$A448,0,MATCH(S$2,raw_exchange_data!$1:$1,0)-1))</f>
        <v/>
      </c>
      <c r="W449" t="str">
        <f t="shared" si="33"/>
        <v>OKEX</v>
      </c>
      <c r="X449" t="str">
        <f t="shared" si="34"/>
        <v>LTC</v>
      </c>
      <c r="Y449" s="42">
        <f t="shared" si="35"/>
        <v>-304.03511947999999</v>
      </c>
      <c r="Z449" s="42">
        <f t="shared" ca="1" si="36"/>
        <v>-330.29248286191199</v>
      </c>
    </row>
    <row r="450" spans="1:26" x14ac:dyDescent="0.25">
      <c r="A450" t="str">
        <f>IF(Summary_Exchange_Balances_00UTC!$B449="","",Summary_Exchange_Balances_00UTC!$N449)</f>
        <v>OKEX</v>
      </c>
      <c r="B450" t="str">
        <f>IF(Summary_Exchange_Balances_00UTC!$B449="","",Summary_Exchange_Balances_00UTC!$B449)</f>
        <v>OKEX-2-M Margin Loan</v>
      </c>
      <c r="C450" t="str">
        <f>IF(Summary_Exchange_Balances_00UTC!$B449="","",Summary_Exchange_Balances_00UTC!$E449)</f>
        <v>XRP</v>
      </c>
      <c r="E450" s="52">
        <f>IF(Summary_Exchange_Balances_00UTC!$B449="","",Summary_Exchange_Balances_00UTC!$C449)</f>
        <v>-1352.6511590499999</v>
      </c>
      <c r="G450" s="52">
        <f ca="1">IF(Summary_Exchange_Balances_00UTC!$B449="","",VLOOKUP(IF(ISERROR(SEARCH(" ", $B450)),UPPER($B450&amp;$C450&amp;IF(OR(NOT(ISERROR(SEARCH("trade",$D450))),NOT(ISERROR(SEARCH("balance",$D450)))),"",$D450)),UPPER(LEFT($B450, SEARCH(" ",$B450)-1)&amp;$C450&amp;IF(OR(NOT(ISERROR(SEARCH("trade",$D450))),NOT(ISERROR(SEARCH("balance",$D450)))),"",$D450))),$L:$T,MATCH("balance",$L$2:$S$2,0),FALSE))</f>
        <v>-2045.72899234806</v>
      </c>
      <c r="H450" s="35">
        <f ca="1">IF(Summary_Exchange_Balances_00UTC!$B449="","",(G450-E450)/E450)</f>
        <v>0.5123847554197386</v>
      </c>
      <c r="I450" s="165">
        <f ca="1">IF(Summary_Exchange_Balances_00UTC!$B449="","",IF(ISERROR($G450),$E450,$G450))</f>
        <v>-2045.72899234806</v>
      </c>
      <c r="L450" t="str">
        <f t="shared" ca="1" si="32"/>
        <v/>
      </c>
      <c r="N450" s="161" t="str">
        <f ca="1">IF(raw_exchange_data!$A449="","",OFFSET(raw_exchange_data!$A449,0,MATCH(N$2,raw_exchange_data!$1:$1,0)-1))</f>
        <v/>
      </c>
      <c r="O450" s="161" t="str">
        <f ca="1">IF(raw_exchange_data!$A449="","",OFFSET(raw_exchange_data!$A449,0,MATCH(O$2,raw_exchange_data!$1:$1,0)-1))</f>
        <v/>
      </c>
      <c r="P450" s="161" t="str">
        <f ca="1">IF(raw_exchange_data!$A449="","",OFFSET(raw_exchange_data!$A449,0,MATCH(P$2,raw_exchange_data!$1:$1,0)-1))</f>
        <v/>
      </c>
      <c r="Q450" s="161" t="str">
        <f ca="1">IF(raw_exchange_data!$A449="","",TEXT(OFFSET(raw_exchange_data!$A449,0,MATCH(Q$2,raw_exchange_data!$1:$1,0)-1),""))</f>
        <v/>
      </c>
      <c r="R450" s="162" t="str">
        <f ca="1">IF(raw_exchange_data!$A449="","",OFFSET(raw_exchange_data!$A449,0,MATCH(R$2,raw_exchange_data!$1:$1,0)-1))</f>
        <v/>
      </c>
      <c r="S450" s="190" t="str">
        <f ca="1">IF(raw_exchange_data!$A449="","",OFFSET(raw_exchange_data!$A449,0,MATCH(S$2,raw_exchange_data!$1:$1,0)-1))</f>
        <v/>
      </c>
      <c r="W450" t="str">
        <f t="shared" si="33"/>
        <v>OKEX</v>
      </c>
      <c r="X450" t="str">
        <f t="shared" si="34"/>
        <v>XRP</v>
      </c>
      <c r="Y450" s="42">
        <f t="shared" si="35"/>
        <v>-1352.6511590499999</v>
      </c>
      <c r="Z450" s="42">
        <f t="shared" ca="1" si="36"/>
        <v>-2045.72899234806</v>
      </c>
    </row>
    <row r="451" spans="1:26" x14ac:dyDescent="0.25">
      <c r="A451" t="str">
        <f>IF(Summary_Exchange_Balances_00UTC!$B450="","",Summary_Exchange_Balances_00UTC!$N450)</f>
        <v>WOOX</v>
      </c>
      <c r="B451" t="str">
        <f>IF(Summary_Exchange_Balances_00UTC!$B450="","",Summary_Exchange_Balances_00UTC!$B450)</f>
        <v>WOOX-1-M-E Margin Loan</v>
      </c>
      <c r="C451" t="str">
        <f>IF(Summary_Exchange_Balances_00UTC!$B450="","",Summary_Exchange_Balances_00UTC!$E450)</f>
        <v>USDT</v>
      </c>
      <c r="E451" s="52">
        <f>IF(Summary_Exchange_Balances_00UTC!$B450="","",Summary_Exchange_Balances_00UTC!$C450)</f>
        <v>-2376627.8714167802</v>
      </c>
      <c r="G451" s="52">
        <f ca="1">IF(Summary_Exchange_Balances_00UTC!$B450="","",VLOOKUP(IF(ISERROR(SEARCH(" ", $B451)),UPPER($B451&amp;$C451&amp;IF(OR(NOT(ISERROR(SEARCH("trade",$D451))),NOT(ISERROR(SEARCH("balance",$D451)))),"",$D451)),UPPER(LEFT($B451, SEARCH(" ",$B451)-1)&amp;$C451&amp;IF(OR(NOT(ISERROR(SEARCH("trade",$D451))),NOT(ISERROR(SEARCH("balance",$D451)))),"",$D451))),$L:$T,MATCH("balance",$L$2:$S$2,0),FALSE))</f>
        <v>754009.51596374996</v>
      </c>
      <c r="H451" s="35">
        <f ca="1">IF(Summary_Exchange_Balances_00UTC!$B450="","",(G451-E451)/E451)</f>
        <v>-1.3172602345668285</v>
      </c>
      <c r="I451" s="165">
        <f ca="1">IF(Summary_Exchange_Balances_00UTC!$B450="","",IF(ISERROR($G451),$E451,$G451))</f>
        <v>754009.51596374996</v>
      </c>
      <c r="L451" t="str">
        <f t="shared" ca="1" si="32"/>
        <v/>
      </c>
      <c r="N451" s="161" t="str">
        <f ca="1">IF(raw_exchange_data!$A450="","",OFFSET(raw_exchange_data!$A450,0,MATCH(N$2,raw_exchange_data!$1:$1,0)-1))</f>
        <v/>
      </c>
      <c r="O451" s="161" t="str">
        <f ca="1">IF(raw_exchange_data!$A450="","",OFFSET(raw_exchange_data!$A450,0,MATCH(O$2,raw_exchange_data!$1:$1,0)-1))</f>
        <v/>
      </c>
      <c r="P451" s="161" t="str">
        <f ca="1">IF(raw_exchange_data!$A450="","",OFFSET(raw_exchange_data!$A450,0,MATCH(P$2,raw_exchange_data!$1:$1,0)-1))</f>
        <v/>
      </c>
      <c r="Q451" s="161" t="str">
        <f ca="1">IF(raw_exchange_data!$A450="","",TEXT(OFFSET(raw_exchange_data!$A450,0,MATCH(Q$2,raw_exchange_data!$1:$1,0)-1),""))</f>
        <v/>
      </c>
      <c r="R451" s="162" t="str">
        <f ca="1">IF(raw_exchange_data!$A450="","",OFFSET(raw_exchange_data!$A450,0,MATCH(R$2,raw_exchange_data!$1:$1,0)-1))</f>
        <v/>
      </c>
      <c r="S451" s="190" t="str">
        <f ca="1">IF(raw_exchange_data!$A450="","",OFFSET(raw_exchange_data!$A450,0,MATCH(S$2,raw_exchange_data!$1:$1,0)-1))</f>
        <v/>
      </c>
      <c r="W451" t="str">
        <f t="shared" si="33"/>
        <v>WOOX</v>
      </c>
      <c r="X451" t="str">
        <f t="shared" si="34"/>
        <v>USDT</v>
      </c>
      <c r="Y451" s="42">
        <f t="shared" si="35"/>
        <v>-2376627.8714167802</v>
      </c>
      <c r="Z451" s="42">
        <f t="shared" ca="1" si="36"/>
        <v>754009.51596374996</v>
      </c>
    </row>
    <row r="452" spans="1:26" x14ac:dyDescent="0.25">
      <c r="A452" t="str">
        <f>IF(Summary_Exchange_Balances_00UTC!$B451="","",Summary_Exchange_Balances_00UTC!$N451)</f>
        <v>WEDBUSH</v>
      </c>
      <c r="B452" t="str">
        <f>IF(Summary_Exchange_Balances_00UTC!$B451="","",Summary_Exchange_Balances_00UTC!$B451)</f>
        <v>WEDBUSH</v>
      </c>
      <c r="C452" t="str">
        <f>IF(Summary_Exchange_Balances_00UTC!$B451="","",Summary_Exchange_Balances_00UTC!$E451)</f>
        <v>USD</v>
      </c>
      <c r="E452" s="52">
        <f>IF(Summary_Exchange_Balances_00UTC!$B451="","",Summary_Exchange_Balances_00UTC!$C451)</f>
        <v>79941.919999999998</v>
      </c>
      <c r="G452" s="52" t="e">
        <f ca="1">IF(Summary_Exchange_Balances_00UTC!$B451="","",VLOOKUP(IF(ISERROR(SEARCH(" ", $B452)),UPPER($B452&amp;$C452&amp;IF(OR(NOT(ISERROR(SEARCH("trade",$D452))),NOT(ISERROR(SEARCH("balance",$D452)))),"",$D452)),UPPER(LEFT($B452, SEARCH(" ",$B452)-1)&amp;$C452&amp;IF(OR(NOT(ISERROR(SEARCH("trade",$D452))),NOT(ISERROR(SEARCH("balance",$D452)))),"",$D452))),$L:$T,MATCH("balance",$L$2:$S$2,0),FALSE))</f>
        <v>#N/A</v>
      </c>
      <c r="H452" s="35" t="e">
        <f ca="1">IF(Summary_Exchange_Balances_00UTC!$B451="","",(G452-E452)/E452)</f>
        <v>#N/A</v>
      </c>
      <c r="I452" s="165">
        <f ca="1">IF(Summary_Exchange_Balances_00UTC!$B451="","",IF(ISERROR($G452),$E452,$G452))</f>
        <v>79941.919999999998</v>
      </c>
      <c r="L452" t="str">
        <f t="shared" ref="L452:L515" ca="1" si="37">UPPER($P452&amp;$N452&amp;IF(OR(NOT(ISERROR(SEARCH("trade",Q452))),NOT(ISERROR(SEARCH("balance",Q452)))),"",Q452))</f>
        <v/>
      </c>
      <c r="N452" s="161" t="str">
        <f ca="1">IF(raw_exchange_data!$A451="","",OFFSET(raw_exchange_data!$A451,0,MATCH(N$2,raw_exchange_data!$1:$1,0)-1))</f>
        <v/>
      </c>
      <c r="O452" s="161" t="str">
        <f ca="1">IF(raw_exchange_data!$A451="","",OFFSET(raw_exchange_data!$A451,0,MATCH(O$2,raw_exchange_data!$1:$1,0)-1))</f>
        <v/>
      </c>
      <c r="P452" s="161" t="str">
        <f ca="1">IF(raw_exchange_data!$A451="","",OFFSET(raw_exchange_data!$A451,0,MATCH(P$2,raw_exchange_data!$1:$1,0)-1))</f>
        <v/>
      </c>
      <c r="Q452" s="161" t="str">
        <f ca="1">IF(raw_exchange_data!$A451="","",TEXT(OFFSET(raw_exchange_data!$A451,0,MATCH(Q$2,raw_exchange_data!$1:$1,0)-1),""))</f>
        <v/>
      </c>
      <c r="R452" s="162" t="str">
        <f ca="1">IF(raw_exchange_data!$A451="","",OFFSET(raw_exchange_data!$A451,0,MATCH(R$2,raw_exchange_data!$1:$1,0)-1))</f>
        <v/>
      </c>
      <c r="S452" s="190" t="str">
        <f ca="1">IF(raw_exchange_data!$A451="","",OFFSET(raw_exchange_data!$A451,0,MATCH(S$2,raw_exchange_data!$1:$1,0)-1))</f>
        <v/>
      </c>
      <c r="W452" t="str">
        <f t="shared" ref="W452:W515" si="38">IF($A452="","",$A452)</f>
        <v>WEDBUSH</v>
      </c>
      <c r="X452" t="str">
        <f t="shared" ref="X452:X515" si="39">IF($A452="","",$C452)</f>
        <v>USD</v>
      </c>
      <c r="Y452" s="42">
        <f t="shared" ref="Y452:Y515" si="40">IF($A452="","",$E452)</f>
        <v>79941.919999999998</v>
      </c>
      <c r="Z452" s="42">
        <f t="shared" ref="Z452:Z515" ca="1" si="41">IF($A452="","",IF(ISERROR($G452),0,$G452))</f>
        <v>0</v>
      </c>
    </row>
    <row r="453" spans="1:26" x14ac:dyDescent="0.25">
      <c r="A453" t="str">
        <f>IF(Summary_Exchange_Balances_00UTC!$B452="","",Summary_Exchange_Balances_00UTC!$N452)</f>
        <v>CASH</v>
      </c>
      <c r="B453" t="str">
        <f>IF(Summary_Exchange_Balances_00UTC!$B452="","",Summary_Exchange_Balances_00UTC!$B452)</f>
        <v>CASH</v>
      </c>
      <c r="C453" t="str">
        <f>IF(Summary_Exchange_Balances_00UTC!$B452="","",Summary_Exchange_Balances_00UTC!$E452)</f>
        <v>USD</v>
      </c>
      <c r="E453" s="52">
        <f>IF(Summary_Exchange_Balances_00UTC!$B452="","",Summary_Exchange_Balances_00UTC!$C452)</f>
        <v>830007.48</v>
      </c>
      <c r="G453" s="52" t="e">
        <f ca="1">IF(Summary_Exchange_Balances_00UTC!$B452="","",VLOOKUP(IF(ISERROR(SEARCH(" ", $B453)),UPPER($B453&amp;$C453&amp;IF(OR(NOT(ISERROR(SEARCH("trade",$D453))),NOT(ISERROR(SEARCH("balance",$D453)))),"",$D453)),UPPER(LEFT($B453, SEARCH(" ",$B453)-1)&amp;$C453&amp;IF(OR(NOT(ISERROR(SEARCH("trade",$D453))),NOT(ISERROR(SEARCH("balance",$D453)))),"",$D453))),$L:$T,MATCH("balance",$L$2:$S$2,0),FALSE))</f>
        <v>#N/A</v>
      </c>
      <c r="H453" s="35" t="e">
        <f ca="1">IF(Summary_Exchange_Balances_00UTC!$B452="","",(G453-E453)/E453)</f>
        <v>#N/A</v>
      </c>
      <c r="I453" s="165">
        <f ca="1">IF(Summary_Exchange_Balances_00UTC!$B452="","",IF(ISERROR($G453),$E453,$G453))</f>
        <v>830007.48</v>
      </c>
      <c r="L453" t="str">
        <f t="shared" ca="1" si="37"/>
        <v/>
      </c>
      <c r="N453" s="161" t="str">
        <f ca="1">IF(raw_exchange_data!$A452="","",OFFSET(raw_exchange_data!$A452,0,MATCH(N$2,raw_exchange_data!$1:$1,0)-1))</f>
        <v/>
      </c>
      <c r="O453" s="161" t="str">
        <f ca="1">IF(raw_exchange_data!$A452="","",OFFSET(raw_exchange_data!$A452,0,MATCH(O$2,raw_exchange_data!$1:$1,0)-1))</f>
        <v/>
      </c>
      <c r="P453" s="161" t="str">
        <f ca="1">IF(raw_exchange_data!$A452="","",OFFSET(raw_exchange_data!$A452,0,MATCH(P$2,raw_exchange_data!$1:$1,0)-1))</f>
        <v/>
      </c>
      <c r="Q453" s="161" t="str">
        <f ca="1">IF(raw_exchange_data!$A452="","",TEXT(OFFSET(raw_exchange_data!$A452,0,MATCH(Q$2,raw_exchange_data!$1:$1,0)-1),""))</f>
        <v/>
      </c>
      <c r="R453" s="162" t="str">
        <f ca="1">IF(raw_exchange_data!$A452="","",OFFSET(raw_exchange_data!$A452,0,MATCH(R$2,raw_exchange_data!$1:$1,0)-1))</f>
        <v/>
      </c>
      <c r="S453" s="190" t="str">
        <f ca="1">IF(raw_exchange_data!$A452="","",OFFSET(raw_exchange_data!$A452,0,MATCH(S$2,raw_exchange_data!$1:$1,0)-1))</f>
        <v/>
      </c>
      <c r="W453" t="str">
        <f t="shared" si="38"/>
        <v>CASH</v>
      </c>
      <c r="X453" t="str">
        <f t="shared" si="39"/>
        <v>USD</v>
      </c>
      <c r="Y453" s="42">
        <f t="shared" si="40"/>
        <v>830007.48</v>
      </c>
      <c r="Z453" s="42">
        <f t="shared" ca="1" si="41"/>
        <v>0</v>
      </c>
    </row>
    <row r="454" spans="1:26" x14ac:dyDescent="0.25">
      <c r="A454" t="str">
        <f>IF(Summary_Exchange_Balances_00UTC!$B453="","",Summary_Exchange_Balances_00UTC!$N453)</f>
        <v>ED&amp;F</v>
      </c>
      <c r="B454" t="str">
        <f>IF(Summary_Exchange_Balances_00UTC!$B453="","",Summary_Exchange_Balances_00UTC!$B453)</f>
        <v>ED&amp;F Man Capital</v>
      </c>
      <c r="C454" t="str">
        <f>IF(Summary_Exchange_Balances_00UTC!$B453="","",Summary_Exchange_Balances_00UTC!$E453)</f>
        <v>USD</v>
      </c>
      <c r="E454" s="52">
        <f>IF(Summary_Exchange_Balances_00UTC!$B453="","",Summary_Exchange_Balances_00UTC!$C453)</f>
        <v>27324183.52</v>
      </c>
      <c r="G454" s="52" t="e">
        <f ca="1">IF(Summary_Exchange_Balances_00UTC!$B453="","",VLOOKUP(IF(ISERROR(SEARCH(" ", $B454)),UPPER($B454&amp;$C454&amp;IF(OR(NOT(ISERROR(SEARCH("trade",$D454))),NOT(ISERROR(SEARCH("balance",$D454)))),"",$D454)),UPPER(LEFT($B454, SEARCH(" ",$B454)-1)&amp;$C454&amp;IF(OR(NOT(ISERROR(SEARCH("trade",$D454))),NOT(ISERROR(SEARCH("balance",$D454)))),"",$D454))),$L:$T,MATCH("balance",$L$2:$S$2,0),FALSE))</f>
        <v>#N/A</v>
      </c>
      <c r="H454" s="35" t="e">
        <f ca="1">IF(Summary_Exchange_Balances_00UTC!$B453="","",(G454-E454)/E454)</f>
        <v>#N/A</v>
      </c>
      <c r="I454" s="165">
        <f ca="1">IF(Summary_Exchange_Balances_00UTC!$B453="","",IF(ISERROR($G454),$E454,$G454))</f>
        <v>27324183.52</v>
      </c>
      <c r="L454" t="str">
        <f t="shared" ca="1" si="37"/>
        <v/>
      </c>
      <c r="N454" s="161" t="str">
        <f ca="1">IF(raw_exchange_data!$A453="","",OFFSET(raw_exchange_data!$A453,0,MATCH(N$2,raw_exchange_data!$1:$1,0)-1))</f>
        <v/>
      </c>
      <c r="O454" s="161" t="str">
        <f ca="1">IF(raw_exchange_data!$A453="","",OFFSET(raw_exchange_data!$A453,0,MATCH(O$2,raw_exchange_data!$1:$1,0)-1))</f>
        <v/>
      </c>
      <c r="P454" s="161" t="str">
        <f ca="1">IF(raw_exchange_data!$A453="","",OFFSET(raw_exchange_data!$A453,0,MATCH(P$2,raw_exchange_data!$1:$1,0)-1))</f>
        <v/>
      </c>
      <c r="Q454" s="161" t="str">
        <f ca="1">IF(raw_exchange_data!$A453="","",TEXT(OFFSET(raw_exchange_data!$A453,0,MATCH(Q$2,raw_exchange_data!$1:$1,0)-1),""))</f>
        <v/>
      </c>
      <c r="R454" s="162" t="str">
        <f ca="1">IF(raw_exchange_data!$A453="","",OFFSET(raw_exchange_data!$A453,0,MATCH(R$2,raw_exchange_data!$1:$1,0)-1))</f>
        <v/>
      </c>
      <c r="S454" s="190" t="str">
        <f ca="1">IF(raw_exchange_data!$A453="","",OFFSET(raw_exchange_data!$A453,0,MATCH(S$2,raw_exchange_data!$1:$1,0)-1))</f>
        <v/>
      </c>
      <c r="W454" t="str">
        <f t="shared" si="38"/>
        <v>ED&amp;F</v>
      </c>
      <c r="X454" t="str">
        <f t="shared" si="39"/>
        <v>USD</v>
      </c>
      <c r="Y454" s="42">
        <f t="shared" si="40"/>
        <v>27324183.52</v>
      </c>
      <c r="Z454" s="42">
        <f t="shared" ca="1" si="41"/>
        <v>0</v>
      </c>
    </row>
    <row r="455" spans="1:26" x14ac:dyDescent="0.25">
      <c r="A455" t="str">
        <f>IF(Summary_Exchange_Balances_00UTC!$B454="","",Summary_Exchange_Balances_00UTC!$N454)</f>
        <v/>
      </c>
      <c r="B455" t="str">
        <f>IF(Summary_Exchange_Balances_00UTC!$B454="","",Summary_Exchange_Balances_00UTC!$B454)</f>
        <v/>
      </c>
      <c r="C455" t="str">
        <f>IF(Summary_Exchange_Balances_00UTC!$B454="","",Summary_Exchange_Balances_00UTC!$E454)</f>
        <v/>
      </c>
      <c r="E455" s="52" t="str">
        <f>IF(Summary_Exchange_Balances_00UTC!$B454="","",Summary_Exchange_Balances_00UTC!$C454)</f>
        <v/>
      </c>
      <c r="G455" s="52" t="str">
        <f>IF(Summary_Exchange_Balances_00UTC!$B454="","",VLOOKUP(IF(ISERROR(SEARCH(" ", $B455)),UPPER($B455&amp;$C455&amp;IF(OR(NOT(ISERROR(SEARCH("trade",$D455))),NOT(ISERROR(SEARCH("balance",$D455)))),"",$D455)),UPPER(LEFT($B455, SEARCH(" ",$B455)-1)&amp;$C455&amp;IF(OR(NOT(ISERROR(SEARCH("trade",$D455))),NOT(ISERROR(SEARCH("balance",$D455)))),"",$D455))),$L:$T,MATCH("balance",$L$2:$S$2,0),FALSE))</f>
        <v/>
      </c>
      <c r="H455" s="35" t="str">
        <f>IF(Summary_Exchange_Balances_00UTC!$B454="","",(G455-E455)/E455)</f>
        <v/>
      </c>
      <c r="I455" s="165" t="str">
        <f>IF(Summary_Exchange_Balances_00UTC!$B454="","",IF(ISERROR($G455),$E455,$G455))</f>
        <v/>
      </c>
      <c r="L455" t="str">
        <f t="shared" ca="1" si="37"/>
        <v/>
      </c>
      <c r="N455" s="161" t="str">
        <f ca="1">IF(raw_exchange_data!$A454="","",OFFSET(raw_exchange_data!$A454,0,MATCH(N$2,raw_exchange_data!$1:$1,0)-1))</f>
        <v/>
      </c>
      <c r="O455" s="161" t="str">
        <f ca="1">IF(raw_exchange_data!$A454="","",OFFSET(raw_exchange_data!$A454,0,MATCH(O$2,raw_exchange_data!$1:$1,0)-1))</f>
        <v/>
      </c>
      <c r="P455" s="161" t="str">
        <f ca="1">IF(raw_exchange_data!$A454="","",OFFSET(raw_exchange_data!$A454,0,MATCH(P$2,raw_exchange_data!$1:$1,0)-1))</f>
        <v/>
      </c>
      <c r="Q455" s="161" t="str">
        <f ca="1">IF(raw_exchange_data!$A454="","",TEXT(OFFSET(raw_exchange_data!$A454,0,MATCH(Q$2,raw_exchange_data!$1:$1,0)-1),""))</f>
        <v/>
      </c>
      <c r="R455" s="162" t="str">
        <f ca="1">IF(raw_exchange_data!$A454="","",OFFSET(raw_exchange_data!$A454,0,MATCH(R$2,raw_exchange_data!$1:$1,0)-1))</f>
        <v/>
      </c>
      <c r="S455" s="190" t="str">
        <f ca="1">IF(raw_exchange_data!$A454="","",OFFSET(raw_exchange_data!$A454,0,MATCH(S$2,raw_exchange_data!$1:$1,0)-1))</f>
        <v/>
      </c>
      <c r="W455" t="str">
        <f t="shared" si="38"/>
        <v/>
      </c>
      <c r="X455" t="str">
        <f t="shared" si="39"/>
        <v/>
      </c>
      <c r="Y455" s="42" t="str">
        <f t="shared" si="40"/>
        <v/>
      </c>
      <c r="Z455" s="42" t="str">
        <f t="shared" si="41"/>
        <v/>
      </c>
    </row>
    <row r="456" spans="1:26" x14ac:dyDescent="0.25">
      <c r="A456" t="str">
        <f>IF(Summary_Exchange_Balances_00UTC!$B455="","",Summary_Exchange_Balances_00UTC!$N455)</f>
        <v/>
      </c>
      <c r="B456" t="str">
        <f>IF(Summary_Exchange_Balances_00UTC!$B455="","",Summary_Exchange_Balances_00UTC!$B455)</f>
        <v/>
      </c>
      <c r="C456" t="str">
        <f>IF(Summary_Exchange_Balances_00UTC!$B455="","",Summary_Exchange_Balances_00UTC!$E455)</f>
        <v/>
      </c>
      <c r="E456" s="52" t="str">
        <f>IF(Summary_Exchange_Balances_00UTC!$B455="","",Summary_Exchange_Balances_00UTC!$C455)</f>
        <v/>
      </c>
      <c r="G456" s="52" t="str">
        <f>IF(Summary_Exchange_Balances_00UTC!$B455="","",VLOOKUP(IF(ISERROR(SEARCH(" ", $B456)),UPPER($B456&amp;$C456&amp;IF(OR(NOT(ISERROR(SEARCH("trade",$D456))),NOT(ISERROR(SEARCH("balance",$D456)))),"",$D456)),UPPER(LEFT($B456, SEARCH(" ",$B456)-1)&amp;$C456&amp;IF(OR(NOT(ISERROR(SEARCH("trade",$D456))),NOT(ISERROR(SEARCH("balance",$D456)))),"",$D456))),$L:$T,MATCH("balance",$L$2:$S$2,0),FALSE))</f>
        <v/>
      </c>
      <c r="H456" s="35" t="str">
        <f>IF(Summary_Exchange_Balances_00UTC!$B455="","",(G456-E456)/E456)</f>
        <v/>
      </c>
      <c r="I456" s="165" t="str">
        <f>IF(Summary_Exchange_Balances_00UTC!$B455="","",IF(ISERROR($G456),$E456,$G456))</f>
        <v/>
      </c>
      <c r="L456" t="str">
        <f t="shared" ca="1" si="37"/>
        <v/>
      </c>
      <c r="N456" s="161" t="str">
        <f ca="1">IF(raw_exchange_data!$A455="","",OFFSET(raw_exchange_data!$A455,0,MATCH(N$2,raw_exchange_data!$1:$1,0)-1))</f>
        <v/>
      </c>
      <c r="O456" s="161" t="str">
        <f ca="1">IF(raw_exchange_data!$A455="","",OFFSET(raw_exchange_data!$A455,0,MATCH(O$2,raw_exchange_data!$1:$1,0)-1))</f>
        <v/>
      </c>
      <c r="P456" s="161" t="str">
        <f ca="1">IF(raw_exchange_data!$A455="","",OFFSET(raw_exchange_data!$A455,0,MATCH(P$2,raw_exchange_data!$1:$1,0)-1))</f>
        <v/>
      </c>
      <c r="Q456" s="161" t="str">
        <f ca="1">IF(raw_exchange_data!$A455="","",TEXT(OFFSET(raw_exchange_data!$A455,0,MATCH(Q$2,raw_exchange_data!$1:$1,0)-1),""))</f>
        <v/>
      </c>
      <c r="R456" s="162" t="str">
        <f ca="1">IF(raw_exchange_data!$A455="","",OFFSET(raw_exchange_data!$A455,0,MATCH(R$2,raw_exchange_data!$1:$1,0)-1))</f>
        <v/>
      </c>
      <c r="S456" s="190" t="str">
        <f ca="1">IF(raw_exchange_data!$A455="","",OFFSET(raw_exchange_data!$A455,0,MATCH(S$2,raw_exchange_data!$1:$1,0)-1))</f>
        <v/>
      </c>
      <c r="W456" t="str">
        <f t="shared" si="38"/>
        <v/>
      </c>
      <c r="X456" t="str">
        <f t="shared" si="39"/>
        <v/>
      </c>
      <c r="Y456" s="42" t="str">
        <f t="shared" si="40"/>
        <v/>
      </c>
      <c r="Z456" s="42" t="str">
        <f t="shared" si="41"/>
        <v/>
      </c>
    </row>
    <row r="457" spans="1:26" x14ac:dyDescent="0.25">
      <c r="A457" t="str">
        <f>IF(Summary_Exchange_Balances_00UTC!$B456="","",Summary_Exchange_Balances_00UTC!$N456)</f>
        <v/>
      </c>
      <c r="B457" t="str">
        <f>IF(Summary_Exchange_Balances_00UTC!$B456="","",Summary_Exchange_Balances_00UTC!$B456)</f>
        <v/>
      </c>
      <c r="C457" t="str">
        <f>IF(Summary_Exchange_Balances_00UTC!$B456="","",Summary_Exchange_Balances_00UTC!$E456)</f>
        <v/>
      </c>
      <c r="E457" s="52" t="str">
        <f>IF(Summary_Exchange_Balances_00UTC!$B456="","",Summary_Exchange_Balances_00UTC!$C456)</f>
        <v/>
      </c>
      <c r="G457" s="52" t="str">
        <f>IF(Summary_Exchange_Balances_00UTC!$B456="","",VLOOKUP(IF(ISERROR(SEARCH(" ", $B457)),UPPER($B457&amp;$C457&amp;IF(OR(NOT(ISERROR(SEARCH("trade",$D457))),NOT(ISERROR(SEARCH("balance",$D457)))),"",$D457)),UPPER(LEFT($B457, SEARCH(" ",$B457)-1)&amp;$C457&amp;IF(OR(NOT(ISERROR(SEARCH("trade",$D457))),NOT(ISERROR(SEARCH("balance",$D457)))),"",$D457))),$L:$T,MATCH("balance",$L$2:$S$2,0),FALSE))</f>
        <v/>
      </c>
      <c r="H457" s="35" t="str">
        <f>IF(Summary_Exchange_Balances_00UTC!$B456="","",(G457-E457)/E457)</f>
        <v/>
      </c>
      <c r="I457" s="165" t="str">
        <f>IF(Summary_Exchange_Balances_00UTC!$B456="","",IF(ISERROR($G457),$E457,$G457))</f>
        <v/>
      </c>
      <c r="L457" t="str">
        <f t="shared" ca="1" si="37"/>
        <v/>
      </c>
      <c r="N457" s="161" t="str">
        <f ca="1">IF(raw_exchange_data!$A456="","",OFFSET(raw_exchange_data!$A456,0,MATCH(N$2,raw_exchange_data!$1:$1,0)-1))</f>
        <v/>
      </c>
      <c r="O457" s="161" t="str">
        <f ca="1">IF(raw_exchange_data!$A456="","",OFFSET(raw_exchange_data!$A456,0,MATCH(O$2,raw_exchange_data!$1:$1,0)-1))</f>
        <v/>
      </c>
      <c r="P457" s="161" t="str">
        <f ca="1">IF(raw_exchange_data!$A456="","",OFFSET(raw_exchange_data!$A456,0,MATCH(P$2,raw_exchange_data!$1:$1,0)-1))</f>
        <v/>
      </c>
      <c r="Q457" s="161" t="str">
        <f ca="1">IF(raw_exchange_data!$A456="","",TEXT(OFFSET(raw_exchange_data!$A456,0,MATCH(Q$2,raw_exchange_data!$1:$1,0)-1),""))</f>
        <v/>
      </c>
      <c r="R457" s="162" t="str">
        <f ca="1">IF(raw_exchange_data!$A456="","",OFFSET(raw_exchange_data!$A456,0,MATCH(R$2,raw_exchange_data!$1:$1,0)-1))</f>
        <v/>
      </c>
      <c r="S457" s="190" t="str">
        <f ca="1">IF(raw_exchange_data!$A456="","",OFFSET(raw_exchange_data!$A456,0,MATCH(S$2,raw_exchange_data!$1:$1,0)-1))</f>
        <v/>
      </c>
      <c r="W457" t="str">
        <f t="shared" si="38"/>
        <v/>
      </c>
      <c r="X457" t="str">
        <f t="shared" si="39"/>
        <v/>
      </c>
      <c r="Y457" s="42" t="str">
        <f t="shared" si="40"/>
        <v/>
      </c>
      <c r="Z457" s="42" t="str">
        <f t="shared" si="41"/>
        <v/>
      </c>
    </row>
    <row r="458" spans="1:26" x14ac:dyDescent="0.25">
      <c r="A458" t="str">
        <f>IF(Summary_Exchange_Balances_00UTC!$B457="","",Summary_Exchange_Balances_00UTC!$N457)</f>
        <v/>
      </c>
      <c r="B458" t="str">
        <f>IF(Summary_Exchange_Balances_00UTC!$B457="","",Summary_Exchange_Balances_00UTC!$B457)</f>
        <v/>
      </c>
      <c r="C458" t="str">
        <f>IF(Summary_Exchange_Balances_00UTC!$B457="","",Summary_Exchange_Balances_00UTC!$E457)</f>
        <v/>
      </c>
      <c r="E458" s="52" t="str">
        <f>IF(Summary_Exchange_Balances_00UTC!$B457="","",Summary_Exchange_Balances_00UTC!$C457)</f>
        <v/>
      </c>
      <c r="G458" s="52" t="str">
        <f>IF(Summary_Exchange_Balances_00UTC!$B457="","",VLOOKUP(IF(ISERROR(SEARCH(" ", $B458)),UPPER($B458&amp;$C458&amp;IF(OR(NOT(ISERROR(SEARCH("trade",$D458))),NOT(ISERROR(SEARCH("balance",$D458)))),"",$D458)),UPPER(LEFT($B458, SEARCH(" ",$B458)-1)&amp;$C458&amp;IF(OR(NOT(ISERROR(SEARCH("trade",$D458))),NOT(ISERROR(SEARCH("balance",$D458)))),"",$D458))),$L:$T,MATCH("balance",$L$2:$S$2,0),FALSE))</f>
        <v/>
      </c>
      <c r="H458" s="35" t="str">
        <f>IF(Summary_Exchange_Balances_00UTC!$B457="","",(G458-E458)/E458)</f>
        <v/>
      </c>
      <c r="I458" s="165" t="str">
        <f>IF(Summary_Exchange_Balances_00UTC!$B457="","",IF(ISERROR($G458),$E458,$G458))</f>
        <v/>
      </c>
      <c r="L458" t="str">
        <f t="shared" ca="1" si="37"/>
        <v/>
      </c>
      <c r="N458" s="161" t="str">
        <f ca="1">IF(raw_exchange_data!$A457="","",OFFSET(raw_exchange_data!$A457,0,MATCH(N$2,raw_exchange_data!$1:$1,0)-1))</f>
        <v/>
      </c>
      <c r="O458" s="161" t="str">
        <f ca="1">IF(raw_exchange_data!$A457="","",OFFSET(raw_exchange_data!$A457,0,MATCH(O$2,raw_exchange_data!$1:$1,0)-1))</f>
        <v/>
      </c>
      <c r="P458" s="161" t="str">
        <f ca="1">IF(raw_exchange_data!$A457="","",OFFSET(raw_exchange_data!$A457,0,MATCH(P$2,raw_exchange_data!$1:$1,0)-1))</f>
        <v/>
      </c>
      <c r="Q458" s="161" t="str">
        <f ca="1">IF(raw_exchange_data!$A457="","",TEXT(OFFSET(raw_exchange_data!$A457,0,MATCH(Q$2,raw_exchange_data!$1:$1,0)-1),""))</f>
        <v/>
      </c>
      <c r="R458" s="162" t="str">
        <f ca="1">IF(raw_exchange_data!$A457="","",OFFSET(raw_exchange_data!$A457,0,MATCH(R$2,raw_exchange_data!$1:$1,0)-1))</f>
        <v/>
      </c>
      <c r="S458" s="190" t="str">
        <f ca="1">IF(raw_exchange_data!$A457="","",OFFSET(raw_exchange_data!$A457,0,MATCH(S$2,raw_exchange_data!$1:$1,0)-1))</f>
        <v/>
      </c>
      <c r="W458" t="str">
        <f t="shared" si="38"/>
        <v/>
      </c>
      <c r="X458" t="str">
        <f t="shared" si="39"/>
        <v/>
      </c>
      <c r="Y458" s="42" t="str">
        <f t="shared" si="40"/>
        <v/>
      </c>
      <c r="Z458" s="42" t="str">
        <f t="shared" si="41"/>
        <v/>
      </c>
    </row>
    <row r="459" spans="1:26" x14ac:dyDescent="0.25">
      <c r="A459" t="str">
        <f>IF(Summary_Exchange_Balances_00UTC!$B458="","",Summary_Exchange_Balances_00UTC!$N458)</f>
        <v/>
      </c>
      <c r="B459" t="str">
        <f>IF(Summary_Exchange_Balances_00UTC!$B458="","",Summary_Exchange_Balances_00UTC!$B458)</f>
        <v/>
      </c>
      <c r="C459" t="str">
        <f>IF(Summary_Exchange_Balances_00UTC!$B458="","",Summary_Exchange_Balances_00UTC!$E458)</f>
        <v/>
      </c>
      <c r="E459" s="52" t="str">
        <f>IF(Summary_Exchange_Balances_00UTC!$B458="","",Summary_Exchange_Balances_00UTC!$C458)</f>
        <v/>
      </c>
      <c r="G459" s="52" t="str">
        <f>IF(Summary_Exchange_Balances_00UTC!$B458="","",VLOOKUP(IF(ISERROR(SEARCH(" ", $B459)),UPPER($B459&amp;$C459&amp;IF(OR(NOT(ISERROR(SEARCH("trade",$D459))),NOT(ISERROR(SEARCH("balance",$D459)))),"",$D459)),UPPER(LEFT($B459, SEARCH(" ",$B459)-1)&amp;$C459&amp;IF(OR(NOT(ISERROR(SEARCH("trade",$D459))),NOT(ISERROR(SEARCH("balance",$D459)))),"",$D459))),$L:$T,MATCH("balance",$L$2:$S$2,0),FALSE))</f>
        <v/>
      </c>
      <c r="H459" s="35" t="str">
        <f>IF(Summary_Exchange_Balances_00UTC!$B458="","",(G459-E459)/E459)</f>
        <v/>
      </c>
      <c r="I459" s="165" t="str">
        <f>IF(Summary_Exchange_Balances_00UTC!$B458="","",IF(ISERROR($G459),$E459,$G459))</f>
        <v/>
      </c>
      <c r="L459" t="str">
        <f t="shared" ca="1" si="37"/>
        <v/>
      </c>
      <c r="N459" s="161" t="str">
        <f ca="1">IF(raw_exchange_data!$A458="","",OFFSET(raw_exchange_data!$A458,0,MATCH(N$2,raw_exchange_data!$1:$1,0)-1))</f>
        <v/>
      </c>
      <c r="O459" s="161" t="str">
        <f ca="1">IF(raw_exchange_data!$A458="","",OFFSET(raw_exchange_data!$A458,0,MATCH(O$2,raw_exchange_data!$1:$1,0)-1))</f>
        <v/>
      </c>
      <c r="P459" s="161" t="str">
        <f ca="1">IF(raw_exchange_data!$A458="","",OFFSET(raw_exchange_data!$A458,0,MATCH(P$2,raw_exchange_data!$1:$1,0)-1))</f>
        <v/>
      </c>
      <c r="Q459" s="161" t="str">
        <f ca="1">IF(raw_exchange_data!$A458="","",TEXT(OFFSET(raw_exchange_data!$A458,0,MATCH(Q$2,raw_exchange_data!$1:$1,0)-1),""))</f>
        <v/>
      </c>
      <c r="R459" s="162" t="str">
        <f ca="1">IF(raw_exchange_data!$A458="","",OFFSET(raw_exchange_data!$A458,0,MATCH(R$2,raw_exchange_data!$1:$1,0)-1))</f>
        <v/>
      </c>
      <c r="S459" s="190" t="str">
        <f ca="1">IF(raw_exchange_data!$A458="","",OFFSET(raw_exchange_data!$A458,0,MATCH(S$2,raw_exchange_data!$1:$1,0)-1))</f>
        <v/>
      </c>
      <c r="W459" t="str">
        <f t="shared" si="38"/>
        <v/>
      </c>
      <c r="X459" t="str">
        <f t="shared" si="39"/>
        <v/>
      </c>
      <c r="Y459" s="42" t="str">
        <f t="shared" si="40"/>
        <v/>
      </c>
      <c r="Z459" s="42" t="str">
        <f t="shared" si="41"/>
        <v/>
      </c>
    </row>
    <row r="460" spans="1:26" x14ac:dyDescent="0.25">
      <c r="A460" t="str">
        <f>IF(Summary_Exchange_Balances_00UTC!$B459="","",Summary_Exchange_Balances_00UTC!$N459)</f>
        <v/>
      </c>
      <c r="B460" t="str">
        <f>IF(Summary_Exchange_Balances_00UTC!$B459="","",Summary_Exchange_Balances_00UTC!$B459)</f>
        <v/>
      </c>
      <c r="C460" t="str">
        <f>IF(Summary_Exchange_Balances_00UTC!$B459="","",Summary_Exchange_Balances_00UTC!$E459)</f>
        <v/>
      </c>
      <c r="E460" s="52" t="str">
        <f>IF(Summary_Exchange_Balances_00UTC!$B459="","",Summary_Exchange_Balances_00UTC!$C459)</f>
        <v/>
      </c>
      <c r="G460" s="52" t="str">
        <f>IF(Summary_Exchange_Balances_00UTC!$B459="","",VLOOKUP(IF(ISERROR(SEARCH(" ", $B460)),UPPER($B460&amp;$C460&amp;IF(OR(NOT(ISERROR(SEARCH("trade",$D460))),NOT(ISERROR(SEARCH("balance",$D460)))),"",$D460)),UPPER(LEFT($B460, SEARCH(" ",$B460)-1)&amp;$C460&amp;IF(OR(NOT(ISERROR(SEARCH("trade",$D460))),NOT(ISERROR(SEARCH("balance",$D460)))),"",$D460))),$L:$T,MATCH("balance",$L$2:$S$2,0),FALSE))</f>
        <v/>
      </c>
      <c r="H460" s="35" t="str">
        <f>IF(Summary_Exchange_Balances_00UTC!$B459="","",(G460-E460)/E460)</f>
        <v/>
      </c>
      <c r="I460" s="165" t="str">
        <f>IF(Summary_Exchange_Balances_00UTC!$B459="","",IF(ISERROR($G460),$E460,$G460))</f>
        <v/>
      </c>
      <c r="L460" t="str">
        <f t="shared" ca="1" si="37"/>
        <v/>
      </c>
      <c r="N460" s="161" t="str">
        <f ca="1">IF(raw_exchange_data!$A459="","",OFFSET(raw_exchange_data!$A459,0,MATCH(N$2,raw_exchange_data!$1:$1,0)-1))</f>
        <v/>
      </c>
      <c r="O460" s="161" t="str">
        <f ca="1">IF(raw_exchange_data!$A459="","",OFFSET(raw_exchange_data!$A459,0,MATCH(O$2,raw_exchange_data!$1:$1,0)-1))</f>
        <v/>
      </c>
      <c r="P460" s="161" t="str">
        <f ca="1">IF(raw_exchange_data!$A459="","",OFFSET(raw_exchange_data!$A459,0,MATCH(P$2,raw_exchange_data!$1:$1,0)-1))</f>
        <v/>
      </c>
      <c r="Q460" s="161" t="str">
        <f ca="1">IF(raw_exchange_data!$A459="","",TEXT(OFFSET(raw_exchange_data!$A459,0,MATCH(Q$2,raw_exchange_data!$1:$1,0)-1),""))</f>
        <v/>
      </c>
      <c r="R460" s="162" t="str">
        <f ca="1">IF(raw_exchange_data!$A459="","",OFFSET(raw_exchange_data!$A459,0,MATCH(R$2,raw_exchange_data!$1:$1,0)-1))</f>
        <v/>
      </c>
      <c r="S460" s="190" t="str">
        <f ca="1">IF(raw_exchange_data!$A459="","",OFFSET(raw_exchange_data!$A459,0,MATCH(S$2,raw_exchange_data!$1:$1,0)-1))</f>
        <v/>
      </c>
      <c r="W460" t="str">
        <f t="shared" si="38"/>
        <v/>
      </c>
      <c r="X460" t="str">
        <f t="shared" si="39"/>
        <v/>
      </c>
      <c r="Y460" s="42" t="str">
        <f t="shared" si="40"/>
        <v/>
      </c>
      <c r="Z460" s="42" t="str">
        <f t="shared" si="41"/>
        <v/>
      </c>
    </row>
    <row r="461" spans="1:26" x14ac:dyDescent="0.25">
      <c r="A461" t="str">
        <f>IF(Summary_Exchange_Balances_00UTC!$B460="","",Summary_Exchange_Balances_00UTC!$N460)</f>
        <v/>
      </c>
      <c r="B461" t="str">
        <f>IF(Summary_Exchange_Balances_00UTC!$B460="","",Summary_Exchange_Balances_00UTC!$B460)</f>
        <v/>
      </c>
      <c r="C461" t="str">
        <f>IF(Summary_Exchange_Balances_00UTC!$B460="","",Summary_Exchange_Balances_00UTC!$E460)</f>
        <v/>
      </c>
      <c r="E461" s="52" t="str">
        <f>IF(Summary_Exchange_Balances_00UTC!$B460="","",Summary_Exchange_Balances_00UTC!$C460)</f>
        <v/>
      </c>
      <c r="G461" s="52" t="str">
        <f>IF(Summary_Exchange_Balances_00UTC!$B460="","",VLOOKUP(IF(ISERROR(SEARCH(" ", $B461)),UPPER($B461&amp;$C461&amp;IF(OR(NOT(ISERROR(SEARCH("trade",$D461))),NOT(ISERROR(SEARCH("balance",$D461)))),"",$D461)),UPPER(LEFT($B461, SEARCH(" ",$B461)-1)&amp;$C461&amp;IF(OR(NOT(ISERROR(SEARCH("trade",$D461))),NOT(ISERROR(SEARCH("balance",$D461)))),"",$D461))),$L:$T,MATCH("balance",$L$2:$S$2,0),FALSE))</f>
        <v/>
      </c>
      <c r="H461" s="35" t="str">
        <f>IF(Summary_Exchange_Balances_00UTC!$B460="","",(G461-E461)/E461)</f>
        <v/>
      </c>
      <c r="I461" s="165" t="str">
        <f>IF(Summary_Exchange_Balances_00UTC!$B460="","",IF(ISERROR($G461),$E461,$G461))</f>
        <v/>
      </c>
      <c r="L461" t="str">
        <f t="shared" ca="1" si="37"/>
        <v/>
      </c>
      <c r="N461" s="161" t="str">
        <f ca="1">IF(raw_exchange_data!$A460="","",OFFSET(raw_exchange_data!$A460,0,MATCH(N$2,raw_exchange_data!$1:$1,0)-1))</f>
        <v/>
      </c>
      <c r="O461" s="161" t="str">
        <f ca="1">IF(raw_exchange_data!$A460="","",OFFSET(raw_exchange_data!$A460,0,MATCH(O$2,raw_exchange_data!$1:$1,0)-1))</f>
        <v/>
      </c>
      <c r="P461" s="161" t="str">
        <f ca="1">IF(raw_exchange_data!$A460="","",OFFSET(raw_exchange_data!$A460,0,MATCH(P$2,raw_exchange_data!$1:$1,0)-1))</f>
        <v/>
      </c>
      <c r="Q461" s="161" t="str">
        <f ca="1">IF(raw_exchange_data!$A460="","",TEXT(OFFSET(raw_exchange_data!$A460,0,MATCH(Q$2,raw_exchange_data!$1:$1,0)-1),""))</f>
        <v/>
      </c>
      <c r="R461" s="162" t="str">
        <f ca="1">IF(raw_exchange_data!$A460="","",OFFSET(raw_exchange_data!$A460,0,MATCH(R$2,raw_exchange_data!$1:$1,0)-1))</f>
        <v/>
      </c>
      <c r="S461" s="190" t="str">
        <f ca="1">IF(raw_exchange_data!$A460="","",OFFSET(raw_exchange_data!$A460,0,MATCH(S$2,raw_exchange_data!$1:$1,0)-1))</f>
        <v/>
      </c>
      <c r="W461" t="str">
        <f t="shared" si="38"/>
        <v/>
      </c>
      <c r="X461" t="str">
        <f t="shared" si="39"/>
        <v/>
      </c>
      <c r="Y461" s="42" t="str">
        <f t="shared" si="40"/>
        <v/>
      </c>
      <c r="Z461" s="42" t="str">
        <f t="shared" si="41"/>
        <v/>
      </c>
    </row>
    <row r="462" spans="1:26" x14ac:dyDescent="0.25">
      <c r="A462" t="str">
        <f>IF(Summary_Exchange_Balances_00UTC!$B461="","",Summary_Exchange_Balances_00UTC!$N461)</f>
        <v/>
      </c>
      <c r="B462" t="str">
        <f>IF(Summary_Exchange_Balances_00UTC!$B461="","",Summary_Exchange_Balances_00UTC!$B461)</f>
        <v/>
      </c>
      <c r="C462" t="str">
        <f>IF(Summary_Exchange_Balances_00UTC!$B461="","",Summary_Exchange_Balances_00UTC!$E461)</f>
        <v/>
      </c>
      <c r="E462" s="52" t="str">
        <f>IF(Summary_Exchange_Balances_00UTC!$B461="","",Summary_Exchange_Balances_00UTC!$C461)</f>
        <v/>
      </c>
      <c r="G462" s="52" t="str">
        <f>IF(Summary_Exchange_Balances_00UTC!$B461="","",VLOOKUP(IF(ISERROR(SEARCH(" ", $B462)),UPPER($B462&amp;$C462&amp;IF(OR(NOT(ISERROR(SEARCH("trade",$D462))),NOT(ISERROR(SEARCH("balance",$D462)))),"",$D462)),UPPER(LEFT($B462, SEARCH(" ",$B462)-1)&amp;$C462&amp;IF(OR(NOT(ISERROR(SEARCH("trade",$D462))),NOT(ISERROR(SEARCH("balance",$D462)))),"",$D462))),$L:$T,MATCH("balance",$L$2:$S$2,0),FALSE))</f>
        <v/>
      </c>
      <c r="H462" s="35" t="str">
        <f>IF(Summary_Exchange_Balances_00UTC!$B461="","",(G462-E462)/E462)</f>
        <v/>
      </c>
      <c r="I462" s="165" t="str">
        <f>IF(Summary_Exchange_Balances_00UTC!$B461="","",IF(ISERROR($G462),$E462,$G462))</f>
        <v/>
      </c>
      <c r="L462" t="str">
        <f t="shared" ca="1" si="37"/>
        <v/>
      </c>
      <c r="N462" s="161" t="str">
        <f ca="1">IF(raw_exchange_data!$A461="","",OFFSET(raw_exchange_data!$A461,0,MATCH(N$2,raw_exchange_data!$1:$1,0)-1))</f>
        <v/>
      </c>
      <c r="O462" s="161" t="str">
        <f ca="1">IF(raw_exchange_data!$A461="","",OFFSET(raw_exchange_data!$A461,0,MATCH(O$2,raw_exchange_data!$1:$1,0)-1))</f>
        <v/>
      </c>
      <c r="P462" s="161" t="str">
        <f ca="1">IF(raw_exchange_data!$A461="","",OFFSET(raw_exchange_data!$A461,0,MATCH(P$2,raw_exchange_data!$1:$1,0)-1))</f>
        <v/>
      </c>
      <c r="Q462" s="161" t="str">
        <f ca="1">IF(raw_exchange_data!$A461="","",TEXT(OFFSET(raw_exchange_data!$A461,0,MATCH(Q$2,raw_exchange_data!$1:$1,0)-1),""))</f>
        <v/>
      </c>
      <c r="R462" s="162" t="str">
        <f ca="1">IF(raw_exchange_data!$A461="","",OFFSET(raw_exchange_data!$A461,0,MATCH(R$2,raw_exchange_data!$1:$1,0)-1))</f>
        <v/>
      </c>
      <c r="S462" s="190" t="str">
        <f ca="1">IF(raw_exchange_data!$A461="","",OFFSET(raw_exchange_data!$A461,0,MATCH(S$2,raw_exchange_data!$1:$1,0)-1))</f>
        <v/>
      </c>
      <c r="W462" t="str">
        <f t="shared" si="38"/>
        <v/>
      </c>
      <c r="X462" t="str">
        <f t="shared" si="39"/>
        <v/>
      </c>
      <c r="Y462" s="42" t="str">
        <f t="shared" si="40"/>
        <v/>
      </c>
      <c r="Z462" s="42" t="str">
        <f t="shared" si="41"/>
        <v/>
      </c>
    </row>
    <row r="463" spans="1:26" x14ac:dyDescent="0.25">
      <c r="A463" t="str">
        <f>IF(Summary_Exchange_Balances_00UTC!$B462="","",Summary_Exchange_Balances_00UTC!$N462)</f>
        <v/>
      </c>
      <c r="B463" t="str">
        <f>IF(Summary_Exchange_Balances_00UTC!$B462="","",Summary_Exchange_Balances_00UTC!$B462)</f>
        <v/>
      </c>
      <c r="C463" t="str">
        <f>IF(Summary_Exchange_Balances_00UTC!$B462="","",Summary_Exchange_Balances_00UTC!$E462)</f>
        <v/>
      </c>
      <c r="E463" s="52" t="str">
        <f>IF(Summary_Exchange_Balances_00UTC!$B462="","",Summary_Exchange_Balances_00UTC!$C462)</f>
        <v/>
      </c>
      <c r="G463" s="52" t="str">
        <f>IF(Summary_Exchange_Balances_00UTC!$B462="","",VLOOKUP(IF(ISERROR(SEARCH(" ", $B463)),UPPER($B463&amp;$C463&amp;IF(OR(NOT(ISERROR(SEARCH("trade",$D463))),NOT(ISERROR(SEARCH("balance",$D463)))),"",$D463)),UPPER(LEFT($B463, SEARCH(" ",$B463)-1)&amp;$C463&amp;IF(OR(NOT(ISERROR(SEARCH("trade",$D463))),NOT(ISERROR(SEARCH("balance",$D463)))),"",$D463))),$L:$T,MATCH("balance",$L$2:$S$2,0),FALSE))</f>
        <v/>
      </c>
      <c r="H463" s="35" t="str">
        <f>IF(Summary_Exchange_Balances_00UTC!$B462="","",(G463-E463)/E463)</f>
        <v/>
      </c>
      <c r="I463" s="165" t="str">
        <f>IF(Summary_Exchange_Balances_00UTC!$B462="","",IF(ISERROR($G463),$E463,$G463))</f>
        <v/>
      </c>
      <c r="L463" t="str">
        <f t="shared" ca="1" si="37"/>
        <v/>
      </c>
      <c r="N463" s="161" t="str">
        <f ca="1">IF(raw_exchange_data!$A462="","",OFFSET(raw_exchange_data!$A462,0,MATCH(N$2,raw_exchange_data!$1:$1,0)-1))</f>
        <v/>
      </c>
      <c r="O463" s="161" t="str">
        <f ca="1">IF(raw_exchange_data!$A462="","",OFFSET(raw_exchange_data!$A462,0,MATCH(O$2,raw_exchange_data!$1:$1,0)-1))</f>
        <v/>
      </c>
      <c r="P463" s="161" t="str">
        <f ca="1">IF(raw_exchange_data!$A462="","",OFFSET(raw_exchange_data!$A462,0,MATCH(P$2,raw_exchange_data!$1:$1,0)-1))</f>
        <v/>
      </c>
      <c r="Q463" s="161" t="str">
        <f ca="1">IF(raw_exchange_data!$A462="","",TEXT(OFFSET(raw_exchange_data!$A462,0,MATCH(Q$2,raw_exchange_data!$1:$1,0)-1),""))</f>
        <v/>
      </c>
      <c r="R463" s="162" t="str">
        <f ca="1">IF(raw_exchange_data!$A462="","",OFFSET(raw_exchange_data!$A462,0,MATCH(R$2,raw_exchange_data!$1:$1,0)-1))</f>
        <v/>
      </c>
      <c r="S463" s="190" t="str">
        <f ca="1">IF(raw_exchange_data!$A462="","",OFFSET(raw_exchange_data!$A462,0,MATCH(S$2,raw_exchange_data!$1:$1,0)-1))</f>
        <v/>
      </c>
      <c r="W463" t="str">
        <f t="shared" si="38"/>
        <v/>
      </c>
      <c r="X463" t="str">
        <f t="shared" si="39"/>
        <v/>
      </c>
      <c r="Y463" s="42" t="str">
        <f t="shared" si="40"/>
        <v/>
      </c>
      <c r="Z463" s="42" t="str">
        <f t="shared" si="41"/>
        <v/>
      </c>
    </row>
    <row r="464" spans="1:26" x14ac:dyDescent="0.25">
      <c r="A464" t="str">
        <f>IF(Summary_Exchange_Balances_00UTC!$B463="","",Summary_Exchange_Balances_00UTC!$N463)</f>
        <v/>
      </c>
      <c r="B464" t="str">
        <f>IF(Summary_Exchange_Balances_00UTC!$B463="","",Summary_Exchange_Balances_00UTC!$B463)</f>
        <v/>
      </c>
      <c r="C464" t="str">
        <f>IF(Summary_Exchange_Balances_00UTC!$B463="","",Summary_Exchange_Balances_00UTC!$E463)</f>
        <v/>
      </c>
      <c r="E464" s="52" t="str">
        <f>IF(Summary_Exchange_Balances_00UTC!$B463="","",Summary_Exchange_Balances_00UTC!$C463)</f>
        <v/>
      </c>
      <c r="G464" s="52" t="str">
        <f>IF(Summary_Exchange_Balances_00UTC!$B463="","",VLOOKUP(IF(ISERROR(SEARCH(" ", $B464)),UPPER($B464&amp;$C464&amp;IF(OR(NOT(ISERROR(SEARCH("trade",$D464))),NOT(ISERROR(SEARCH("balance",$D464)))),"",$D464)),UPPER(LEFT($B464, SEARCH(" ",$B464)-1)&amp;$C464&amp;IF(OR(NOT(ISERROR(SEARCH("trade",$D464))),NOT(ISERROR(SEARCH("balance",$D464)))),"",$D464))),$L:$T,MATCH("balance",$L$2:$S$2,0),FALSE))</f>
        <v/>
      </c>
      <c r="H464" s="35" t="str">
        <f>IF(Summary_Exchange_Balances_00UTC!$B463="","",(G464-E464)/E464)</f>
        <v/>
      </c>
      <c r="I464" s="165" t="str">
        <f>IF(Summary_Exchange_Balances_00UTC!$B463="","",IF(ISERROR($G464),$E464,$G464))</f>
        <v/>
      </c>
      <c r="L464" t="str">
        <f t="shared" ca="1" si="37"/>
        <v/>
      </c>
      <c r="N464" s="161" t="str">
        <f ca="1">IF(raw_exchange_data!$A463="","",OFFSET(raw_exchange_data!$A463,0,MATCH(N$2,raw_exchange_data!$1:$1,0)-1))</f>
        <v/>
      </c>
      <c r="O464" s="161" t="str">
        <f ca="1">IF(raw_exchange_data!$A463="","",OFFSET(raw_exchange_data!$A463,0,MATCH(O$2,raw_exchange_data!$1:$1,0)-1))</f>
        <v/>
      </c>
      <c r="P464" s="161" t="str">
        <f ca="1">IF(raw_exchange_data!$A463="","",OFFSET(raw_exchange_data!$A463,0,MATCH(P$2,raw_exchange_data!$1:$1,0)-1))</f>
        <v/>
      </c>
      <c r="Q464" s="161" t="str">
        <f ca="1">IF(raw_exchange_data!$A463="","",TEXT(OFFSET(raw_exchange_data!$A463,0,MATCH(Q$2,raw_exchange_data!$1:$1,0)-1),""))</f>
        <v/>
      </c>
      <c r="R464" s="162" t="str">
        <f ca="1">IF(raw_exchange_data!$A463="","",OFFSET(raw_exchange_data!$A463,0,MATCH(R$2,raw_exchange_data!$1:$1,0)-1))</f>
        <v/>
      </c>
      <c r="S464" s="190" t="str">
        <f ca="1">IF(raw_exchange_data!$A463="","",OFFSET(raw_exchange_data!$A463,0,MATCH(S$2,raw_exchange_data!$1:$1,0)-1))</f>
        <v/>
      </c>
      <c r="W464" t="str">
        <f t="shared" si="38"/>
        <v/>
      </c>
      <c r="X464" t="str">
        <f t="shared" si="39"/>
        <v/>
      </c>
      <c r="Y464" s="42" t="str">
        <f t="shared" si="40"/>
        <v/>
      </c>
      <c r="Z464" s="42" t="str">
        <f t="shared" si="41"/>
        <v/>
      </c>
    </row>
    <row r="465" spans="1:26" x14ac:dyDescent="0.25">
      <c r="A465" t="str">
        <f>IF(Summary_Exchange_Balances_00UTC!$B464="","",Summary_Exchange_Balances_00UTC!$N464)</f>
        <v/>
      </c>
      <c r="B465" t="str">
        <f>IF(Summary_Exchange_Balances_00UTC!$B464="","",Summary_Exchange_Balances_00UTC!$B464)</f>
        <v/>
      </c>
      <c r="C465" t="str">
        <f>IF(Summary_Exchange_Balances_00UTC!$B464="","",Summary_Exchange_Balances_00UTC!$E464)</f>
        <v/>
      </c>
      <c r="E465" s="52" t="str">
        <f>IF(Summary_Exchange_Balances_00UTC!$B464="","",Summary_Exchange_Balances_00UTC!$C464)</f>
        <v/>
      </c>
      <c r="G465" s="52" t="str">
        <f>IF(Summary_Exchange_Balances_00UTC!$B464="","",VLOOKUP(IF(ISERROR(SEARCH(" ", $B465)),UPPER($B465&amp;$C465&amp;IF(OR(NOT(ISERROR(SEARCH("trade",$D465))),NOT(ISERROR(SEARCH("balance",$D465)))),"",$D465)),UPPER(LEFT($B465, SEARCH(" ",$B465)-1)&amp;$C465&amp;IF(OR(NOT(ISERROR(SEARCH("trade",$D465))),NOT(ISERROR(SEARCH("balance",$D465)))),"",$D465))),$L:$T,MATCH("balance",$L$2:$S$2,0),FALSE))</f>
        <v/>
      </c>
      <c r="H465" s="35" t="str">
        <f>IF(Summary_Exchange_Balances_00UTC!$B464="","",(G465-E465)/E465)</f>
        <v/>
      </c>
      <c r="I465" s="165" t="str">
        <f>IF(Summary_Exchange_Balances_00UTC!$B464="","",IF(ISERROR($G465),$E465,$G465))</f>
        <v/>
      </c>
      <c r="L465" t="str">
        <f t="shared" ca="1" si="37"/>
        <v/>
      </c>
      <c r="N465" s="161" t="str">
        <f ca="1">IF(raw_exchange_data!$A464="","",OFFSET(raw_exchange_data!$A464,0,MATCH(N$2,raw_exchange_data!$1:$1,0)-1))</f>
        <v/>
      </c>
      <c r="O465" s="161" t="str">
        <f ca="1">IF(raw_exchange_data!$A464="","",OFFSET(raw_exchange_data!$A464,0,MATCH(O$2,raw_exchange_data!$1:$1,0)-1))</f>
        <v/>
      </c>
      <c r="P465" s="161" t="str">
        <f ca="1">IF(raw_exchange_data!$A464="","",OFFSET(raw_exchange_data!$A464,0,MATCH(P$2,raw_exchange_data!$1:$1,0)-1))</f>
        <v/>
      </c>
      <c r="Q465" s="161" t="str">
        <f ca="1">IF(raw_exchange_data!$A464="","",TEXT(OFFSET(raw_exchange_data!$A464,0,MATCH(Q$2,raw_exchange_data!$1:$1,0)-1),""))</f>
        <v/>
      </c>
      <c r="R465" s="162" t="str">
        <f ca="1">IF(raw_exchange_data!$A464="","",OFFSET(raw_exchange_data!$A464,0,MATCH(R$2,raw_exchange_data!$1:$1,0)-1))</f>
        <v/>
      </c>
      <c r="S465" s="190" t="str">
        <f ca="1">IF(raw_exchange_data!$A464="","",OFFSET(raw_exchange_data!$A464,0,MATCH(S$2,raw_exchange_data!$1:$1,0)-1))</f>
        <v/>
      </c>
      <c r="W465" t="str">
        <f t="shared" si="38"/>
        <v/>
      </c>
      <c r="X465" t="str">
        <f t="shared" si="39"/>
        <v/>
      </c>
      <c r="Y465" s="42" t="str">
        <f t="shared" si="40"/>
        <v/>
      </c>
      <c r="Z465" s="42" t="str">
        <f t="shared" si="41"/>
        <v/>
      </c>
    </row>
    <row r="466" spans="1:26" x14ac:dyDescent="0.25">
      <c r="A466" t="str">
        <f>IF(Summary_Exchange_Balances_00UTC!$B465="","",Summary_Exchange_Balances_00UTC!$N465)</f>
        <v/>
      </c>
      <c r="B466" t="str">
        <f>IF(Summary_Exchange_Balances_00UTC!$B465="","",Summary_Exchange_Balances_00UTC!$B465)</f>
        <v/>
      </c>
      <c r="C466" t="str">
        <f>IF(Summary_Exchange_Balances_00UTC!$B465="","",Summary_Exchange_Balances_00UTC!$E465)</f>
        <v/>
      </c>
      <c r="E466" s="52" t="str">
        <f>IF(Summary_Exchange_Balances_00UTC!$B465="","",Summary_Exchange_Balances_00UTC!$C465)</f>
        <v/>
      </c>
      <c r="G466" s="52" t="str">
        <f>IF(Summary_Exchange_Balances_00UTC!$B465="","",VLOOKUP(IF(ISERROR(SEARCH(" ", $B466)),UPPER($B466&amp;$C466&amp;IF(OR(NOT(ISERROR(SEARCH("trade",$D466))),NOT(ISERROR(SEARCH("balance",$D466)))),"",$D466)),UPPER(LEFT($B466, SEARCH(" ",$B466)-1)&amp;$C466&amp;IF(OR(NOT(ISERROR(SEARCH("trade",$D466))),NOT(ISERROR(SEARCH("balance",$D466)))),"",$D466))),$L:$T,MATCH("balance",$L$2:$S$2,0),FALSE))</f>
        <v/>
      </c>
      <c r="H466" s="35" t="str">
        <f>IF(Summary_Exchange_Balances_00UTC!$B465="","",(G466-E466)/E466)</f>
        <v/>
      </c>
      <c r="I466" s="165" t="str">
        <f>IF(Summary_Exchange_Balances_00UTC!$B465="","",IF(ISERROR($G466),$E466,$G466))</f>
        <v/>
      </c>
      <c r="L466" t="str">
        <f t="shared" ca="1" si="37"/>
        <v/>
      </c>
      <c r="N466" s="161" t="str">
        <f ca="1">IF(raw_exchange_data!$A465="","",OFFSET(raw_exchange_data!$A465,0,MATCH(N$2,raw_exchange_data!$1:$1,0)-1))</f>
        <v/>
      </c>
      <c r="O466" s="161" t="str">
        <f ca="1">IF(raw_exchange_data!$A465="","",OFFSET(raw_exchange_data!$A465,0,MATCH(O$2,raw_exchange_data!$1:$1,0)-1))</f>
        <v/>
      </c>
      <c r="P466" s="161" t="str">
        <f ca="1">IF(raw_exchange_data!$A465="","",OFFSET(raw_exchange_data!$A465,0,MATCH(P$2,raw_exchange_data!$1:$1,0)-1))</f>
        <v/>
      </c>
      <c r="Q466" s="161" t="str">
        <f ca="1">IF(raw_exchange_data!$A465="","",TEXT(OFFSET(raw_exchange_data!$A465,0,MATCH(Q$2,raw_exchange_data!$1:$1,0)-1),""))</f>
        <v/>
      </c>
      <c r="R466" s="162" t="str">
        <f ca="1">IF(raw_exchange_data!$A465="","",OFFSET(raw_exchange_data!$A465,0,MATCH(R$2,raw_exchange_data!$1:$1,0)-1))</f>
        <v/>
      </c>
      <c r="S466" s="190" t="str">
        <f ca="1">IF(raw_exchange_data!$A465="","",OFFSET(raw_exchange_data!$A465,0,MATCH(S$2,raw_exchange_data!$1:$1,0)-1))</f>
        <v/>
      </c>
      <c r="W466" t="str">
        <f t="shared" si="38"/>
        <v/>
      </c>
      <c r="X466" t="str">
        <f t="shared" si="39"/>
        <v/>
      </c>
      <c r="Y466" s="42" t="str">
        <f t="shared" si="40"/>
        <v/>
      </c>
      <c r="Z466" s="42" t="str">
        <f t="shared" si="41"/>
        <v/>
      </c>
    </row>
    <row r="467" spans="1:26" x14ac:dyDescent="0.25">
      <c r="A467" t="str">
        <f>IF(Summary_Exchange_Balances_00UTC!$B466="","",Summary_Exchange_Balances_00UTC!$N466)</f>
        <v/>
      </c>
      <c r="B467" t="str">
        <f>IF(Summary_Exchange_Balances_00UTC!$B466="","",Summary_Exchange_Balances_00UTC!$B466)</f>
        <v/>
      </c>
      <c r="C467" t="str">
        <f>IF(Summary_Exchange_Balances_00UTC!$B466="","",Summary_Exchange_Balances_00UTC!$E466)</f>
        <v/>
      </c>
      <c r="E467" s="52" t="str">
        <f>IF(Summary_Exchange_Balances_00UTC!$B466="","",Summary_Exchange_Balances_00UTC!$C466)</f>
        <v/>
      </c>
      <c r="G467" s="52" t="str">
        <f>IF(Summary_Exchange_Balances_00UTC!$B466="","",VLOOKUP(IF(ISERROR(SEARCH(" ", $B467)),UPPER($B467&amp;$C467&amp;IF(OR(NOT(ISERROR(SEARCH("trade",$D467))),NOT(ISERROR(SEARCH("balance",$D467)))),"",$D467)),UPPER(LEFT($B467, SEARCH(" ",$B467)-1)&amp;$C467&amp;IF(OR(NOT(ISERROR(SEARCH("trade",$D467))),NOT(ISERROR(SEARCH("balance",$D467)))),"",$D467))),$L:$T,MATCH("balance",$L$2:$S$2,0),FALSE))</f>
        <v/>
      </c>
      <c r="H467" s="35" t="str">
        <f>IF(Summary_Exchange_Balances_00UTC!$B466="","",(G467-E467)/E467)</f>
        <v/>
      </c>
      <c r="I467" s="165" t="str">
        <f>IF(Summary_Exchange_Balances_00UTC!$B466="","",IF(ISERROR($G467),$E467,$G467))</f>
        <v/>
      </c>
      <c r="L467" t="str">
        <f t="shared" ca="1" si="37"/>
        <v/>
      </c>
      <c r="N467" s="161" t="str">
        <f ca="1">IF(raw_exchange_data!$A466="","",OFFSET(raw_exchange_data!$A466,0,MATCH(N$2,raw_exchange_data!$1:$1,0)-1))</f>
        <v/>
      </c>
      <c r="O467" s="161" t="str">
        <f ca="1">IF(raw_exchange_data!$A466="","",OFFSET(raw_exchange_data!$A466,0,MATCH(O$2,raw_exchange_data!$1:$1,0)-1))</f>
        <v/>
      </c>
      <c r="P467" s="161" t="str">
        <f ca="1">IF(raw_exchange_data!$A466="","",OFFSET(raw_exchange_data!$A466,0,MATCH(P$2,raw_exchange_data!$1:$1,0)-1))</f>
        <v/>
      </c>
      <c r="Q467" s="161" t="str">
        <f ca="1">IF(raw_exchange_data!$A466="","",TEXT(OFFSET(raw_exchange_data!$A466,0,MATCH(Q$2,raw_exchange_data!$1:$1,0)-1),""))</f>
        <v/>
      </c>
      <c r="R467" s="162" t="str">
        <f ca="1">IF(raw_exchange_data!$A466="","",OFFSET(raw_exchange_data!$A466,0,MATCH(R$2,raw_exchange_data!$1:$1,0)-1))</f>
        <v/>
      </c>
      <c r="S467" s="190" t="str">
        <f ca="1">IF(raw_exchange_data!$A466="","",OFFSET(raw_exchange_data!$A466,0,MATCH(S$2,raw_exchange_data!$1:$1,0)-1))</f>
        <v/>
      </c>
      <c r="W467" t="str">
        <f t="shared" si="38"/>
        <v/>
      </c>
      <c r="X467" t="str">
        <f t="shared" si="39"/>
        <v/>
      </c>
      <c r="Y467" s="42" t="str">
        <f t="shared" si="40"/>
        <v/>
      </c>
      <c r="Z467" s="42" t="str">
        <f t="shared" si="41"/>
        <v/>
      </c>
    </row>
    <row r="468" spans="1:26" x14ac:dyDescent="0.25">
      <c r="A468" t="str">
        <f>IF(Summary_Exchange_Balances_00UTC!$B467="","",Summary_Exchange_Balances_00UTC!$N467)</f>
        <v/>
      </c>
      <c r="B468" t="str">
        <f>IF(Summary_Exchange_Balances_00UTC!$B467="","",Summary_Exchange_Balances_00UTC!$B467)</f>
        <v/>
      </c>
      <c r="C468" t="str">
        <f>IF(Summary_Exchange_Balances_00UTC!$B467="","",Summary_Exchange_Balances_00UTC!$E467)</f>
        <v/>
      </c>
      <c r="E468" s="52" t="str">
        <f>IF(Summary_Exchange_Balances_00UTC!$B467="","",Summary_Exchange_Balances_00UTC!$C467)</f>
        <v/>
      </c>
      <c r="G468" s="52" t="str">
        <f>IF(Summary_Exchange_Balances_00UTC!$B467="","",VLOOKUP(IF(ISERROR(SEARCH(" ", $B468)),UPPER($B468&amp;$C468&amp;IF(OR(NOT(ISERROR(SEARCH("trade",$D468))),NOT(ISERROR(SEARCH("balance",$D468)))),"",$D468)),UPPER(LEFT($B468, SEARCH(" ",$B468)-1)&amp;$C468&amp;IF(OR(NOT(ISERROR(SEARCH("trade",$D468))),NOT(ISERROR(SEARCH("balance",$D468)))),"",$D468))),$L:$T,MATCH("balance",$L$2:$S$2,0),FALSE))</f>
        <v/>
      </c>
      <c r="H468" s="35" t="str">
        <f>IF(Summary_Exchange_Balances_00UTC!$B467="","",(G468-E468)/E468)</f>
        <v/>
      </c>
      <c r="I468" s="165" t="str">
        <f>IF(Summary_Exchange_Balances_00UTC!$B467="","",IF(ISERROR($G468),$E468,$G468))</f>
        <v/>
      </c>
      <c r="L468" t="str">
        <f t="shared" ca="1" si="37"/>
        <v/>
      </c>
      <c r="N468" s="161" t="str">
        <f ca="1">IF(raw_exchange_data!$A467="","",OFFSET(raw_exchange_data!$A467,0,MATCH(N$2,raw_exchange_data!$1:$1,0)-1))</f>
        <v/>
      </c>
      <c r="O468" s="161" t="str">
        <f ca="1">IF(raw_exchange_data!$A467="","",OFFSET(raw_exchange_data!$A467,0,MATCH(O$2,raw_exchange_data!$1:$1,0)-1))</f>
        <v/>
      </c>
      <c r="P468" s="161" t="str">
        <f ca="1">IF(raw_exchange_data!$A467="","",OFFSET(raw_exchange_data!$A467,0,MATCH(P$2,raw_exchange_data!$1:$1,0)-1))</f>
        <v/>
      </c>
      <c r="Q468" s="161" t="str">
        <f ca="1">IF(raw_exchange_data!$A467="","",TEXT(OFFSET(raw_exchange_data!$A467,0,MATCH(Q$2,raw_exchange_data!$1:$1,0)-1),""))</f>
        <v/>
      </c>
      <c r="R468" s="162" t="str">
        <f ca="1">IF(raw_exchange_data!$A467="","",OFFSET(raw_exchange_data!$A467,0,MATCH(R$2,raw_exchange_data!$1:$1,0)-1))</f>
        <v/>
      </c>
      <c r="S468" s="190" t="str">
        <f ca="1">IF(raw_exchange_data!$A467="","",OFFSET(raw_exchange_data!$A467,0,MATCH(S$2,raw_exchange_data!$1:$1,0)-1))</f>
        <v/>
      </c>
      <c r="W468" t="str">
        <f t="shared" si="38"/>
        <v/>
      </c>
      <c r="X468" t="str">
        <f t="shared" si="39"/>
        <v/>
      </c>
      <c r="Y468" s="42" t="str">
        <f t="shared" si="40"/>
        <v/>
      </c>
      <c r="Z468" s="42" t="str">
        <f t="shared" si="41"/>
        <v/>
      </c>
    </row>
    <row r="469" spans="1:26" x14ac:dyDescent="0.25">
      <c r="A469" t="str">
        <f>IF(Summary_Exchange_Balances_00UTC!$B468="","",Summary_Exchange_Balances_00UTC!$N468)</f>
        <v/>
      </c>
      <c r="B469" t="str">
        <f>IF(Summary_Exchange_Balances_00UTC!$B468="","",Summary_Exchange_Balances_00UTC!$B468)</f>
        <v/>
      </c>
      <c r="C469" t="str">
        <f>IF(Summary_Exchange_Balances_00UTC!$B468="","",Summary_Exchange_Balances_00UTC!$E468)</f>
        <v/>
      </c>
      <c r="E469" s="52" t="str">
        <f>IF(Summary_Exchange_Balances_00UTC!$B468="","",Summary_Exchange_Balances_00UTC!$C468)</f>
        <v/>
      </c>
      <c r="G469" s="52" t="str">
        <f>IF(Summary_Exchange_Balances_00UTC!$B468="","",VLOOKUP(IF(ISERROR(SEARCH(" ", $B469)),UPPER($B469&amp;$C469&amp;IF(OR(NOT(ISERROR(SEARCH("trade",$D469))),NOT(ISERROR(SEARCH("balance",$D469)))),"",$D469)),UPPER(LEFT($B469, SEARCH(" ",$B469)-1)&amp;$C469&amp;IF(OR(NOT(ISERROR(SEARCH("trade",$D469))),NOT(ISERROR(SEARCH("balance",$D469)))),"",$D469))),$L:$T,MATCH("balance",$L$2:$S$2,0),FALSE))</f>
        <v/>
      </c>
      <c r="H469" s="35" t="str">
        <f>IF(Summary_Exchange_Balances_00UTC!$B468="","",(G469-E469)/E469)</f>
        <v/>
      </c>
      <c r="I469" s="165" t="str">
        <f>IF(Summary_Exchange_Balances_00UTC!$B468="","",IF(ISERROR($G469),$E469,$G469))</f>
        <v/>
      </c>
      <c r="L469" t="str">
        <f t="shared" ca="1" si="37"/>
        <v/>
      </c>
      <c r="N469" s="161" t="str">
        <f ca="1">IF(raw_exchange_data!$A468="","",OFFSET(raw_exchange_data!$A468,0,MATCH(N$2,raw_exchange_data!$1:$1,0)-1))</f>
        <v/>
      </c>
      <c r="O469" s="161" t="str">
        <f ca="1">IF(raw_exchange_data!$A468="","",OFFSET(raw_exchange_data!$A468,0,MATCH(O$2,raw_exchange_data!$1:$1,0)-1))</f>
        <v/>
      </c>
      <c r="P469" s="161" t="str">
        <f ca="1">IF(raw_exchange_data!$A468="","",OFFSET(raw_exchange_data!$A468,0,MATCH(P$2,raw_exchange_data!$1:$1,0)-1))</f>
        <v/>
      </c>
      <c r="Q469" s="161" t="str">
        <f ca="1">IF(raw_exchange_data!$A468="","",TEXT(OFFSET(raw_exchange_data!$A468,0,MATCH(Q$2,raw_exchange_data!$1:$1,0)-1),""))</f>
        <v/>
      </c>
      <c r="R469" s="162" t="str">
        <f ca="1">IF(raw_exchange_data!$A468="","",OFFSET(raw_exchange_data!$A468,0,MATCH(R$2,raw_exchange_data!$1:$1,0)-1))</f>
        <v/>
      </c>
      <c r="S469" s="190" t="str">
        <f ca="1">IF(raw_exchange_data!$A468="","",OFFSET(raw_exchange_data!$A468,0,MATCH(S$2,raw_exchange_data!$1:$1,0)-1))</f>
        <v/>
      </c>
      <c r="W469" t="str">
        <f t="shared" si="38"/>
        <v/>
      </c>
      <c r="X469" t="str">
        <f t="shared" si="39"/>
        <v/>
      </c>
      <c r="Y469" s="42" t="str">
        <f t="shared" si="40"/>
        <v/>
      </c>
      <c r="Z469" s="42" t="str">
        <f t="shared" si="41"/>
        <v/>
      </c>
    </row>
    <row r="470" spans="1:26" x14ac:dyDescent="0.25">
      <c r="A470" t="str">
        <f>IF(Summary_Exchange_Balances_00UTC!$B469="","",Summary_Exchange_Balances_00UTC!$N469)</f>
        <v/>
      </c>
      <c r="B470" t="str">
        <f>IF(Summary_Exchange_Balances_00UTC!$B469="","",Summary_Exchange_Balances_00UTC!$B469)</f>
        <v/>
      </c>
      <c r="C470" t="str">
        <f>IF(Summary_Exchange_Balances_00UTC!$B469="","",Summary_Exchange_Balances_00UTC!$E469)</f>
        <v/>
      </c>
      <c r="E470" s="52" t="str">
        <f>IF(Summary_Exchange_Balances_00UTC!$B469="","",Summary_Exchange_Balances_00UTC!$C469)</f>
        <v/>
      </c>
      <c r="G470" s="52" t="str">
        <f>IF(Summary_Exchange_Balances_00UTC!$B469="","",VLOOKUP(IF(ISERROR(SEARCH(" ", $B470)),UPPER($B470&amp;$C470&amp;IF(OR(NOT(ISERROR(SEARCH("trade",$D470))),NOT(ISERROR(SEARCH("balance",$D470)))),"",$D470)),UPPER(LEFT($B470, SEARCH(" ",$B470)-1)&amp;$C470&amp;IF(OR(NOT(ISERROR(SEARCH("trade",$D470))),NOT(ISERROR(SEARCH("balance",$D470)))),"",$D470))),$L:$T,MATCH("balance",$L$2:$S$2,0),FALSE))</f>
        <v/>
      </c>
      <c r="H470" s="35" t="str">
        <f>IF(Summary_Exchange_Balances_00UTC!$B469="","",(G470-E470)/E470)</f>
        <v/>
      </c>
      <c r="I470" s="165" t="str">
        <f>IF(Summary_Exchange_Balances_00UTC!$B469="","",IF(ISERROR($G470),$E470,$G470))</f>
        <v/>
      </c>
      <c r="L470" t="str">
        <f t="shared" ca="1" si="37"/>
        <v/>
      </c>
      <c r="N470" s="161" t="str">
        <f ca="1">IF(raw_exchange_data!$A469="","",OFFSET(raw_exchange_data!$A469,0,MATCH(N$2,raw_exchange_data!$1:$1,0)-1))</f>
        <v/>
      </c>
      <c r="O470" s="161" t="str">
        <f ca="1">IF(raw_exchange_data!$A469="","",OFFSET(raw_exchange_data!$A469,0,MATCH(O$2,raw_exchange_data!$1:$1,0)-1))</f>
        <v/>
      </c>
      <c r="P470" s="161" t="str">
        <f ca="1">IF(raw_exchange_data!$A469="","",OFFSET(raw_exchange_data!$A469,0,MATCH(P$2,raw_exchange_data!$1:$1,0)-1))</f>
        <v/>
      </c>
      <c r="Q470" s="161" t="str">
        <f ca="1">IF(raw_exchange_data!$A469="","",TEXT(OFFSET(raw_exchange_data!$A469,0,MATCH(Q$2,raw_exchange_data!$1:$1,0)-1),""))</f>
        <v/>
      </c>
      <c r="R470" s="162" t="str">
        <f ca="1">IF(raw_exchange_data!$A469="","",OFFSET(raw_exchange_data!$A469,0,MATCH(R$2,raw_exchange_data!$1:$1,0)-1))</f>
        <v/>
      </c>
      <c r="S470" s="190" t="str">
        <f ca="1">IF(raw_exchange_data!$A469="","",OFFSET(raw_exchange_data!$A469,0,MATCH(S$2,raw_exchange_data!$1:$1,0)-1))</f>
        <v/>
      </c>
      <c r="W470" t="str">
        <f t="shared" si="38"/>
        <v/>
      </c>
      <c r="X470" t="str">
        <f t="shared" si="39"/>
        <v/>
      </c>
      <c r="Y470" s="42" t="str">
        <f t="shared" si="40"/>
        <v/>
      </c>
      <c r="Z470" s="42" t="str">
        <f t="shared" si="41"/>
        <v/>
      </c>
    </row>
    <row r="471" spans="1:26" x14ac:dyDescent="0.25">
      <c r="A471" t="str">
        <f>IF(Summary_Exchange_Balances_00UTC!$B470="","",Summary_Exchange_Balances_00UTC!$N470)</f>
        <v/>
      </c>
      <c r="B471" t="str">
        <f>IF(Summary_Exchange_Balances_00UTC!$B470="","",Summary_Exchange_Balances_00UTC!$B470)</f>
        <v/>
      </c>
      <c r="C471" t="str">
        <f>IF(Summary_Exchange_Balances_00UTC!$B470="","",Summary_Exchange_Balances_00UTC!$E470)</f>
        <v/>
      </c>
      <c r="E471" s="52" t="str">
        <f>IF(Summary_Exchange_Balances_00UTC!$B470="","",Summary_Exchange_Balances_00UTC!$C470)</f>
        <v/>
      </c>
      <c r="G471" s="52" t="str">
        <f>IF(Summary_Exchange_Balances_00UTC!$B470="","",VLOOKUP(IF(ISERROR(SEARCH(" ", $B471)),UPPER($B471&amp;$C471&amp;IF(OR(NOT(ISERROR(SEARCH("trade",$D471))),NOT(ISERROR(SEARCH("balance",$D471)))),"",$D471)),UPPER(LEFT($B471, SEARCH(" ",$B471)-1)&amp;$C471&amp;IF(OR(NOT(ISERROR(SEARCH("trade",$D471))),NOT(ISERROR(SEARCH("balance",$D471)))),"",$D471))),$L:$T,MATCH("balance",$L$2:$S$2,0),FALSE))</f>
        <v/>
      </c>
      <c r="H471" s="35" t="str">
        <f>IF(Summary_Exchange_Balances_00UTC!$B470="","",(G471-E471)/E471)</f>
        <v/>
      </c>
      <c r="I471" s="165" t="str">
        <f>IF(Summary_Exchange_Balances_00UTC!$B470="","",IF(ISERROR($G471),$E471,$G471))</f>
        <v/>
      </c>
      <c r="L471" t="str">
        <f t="shared" ca="1" si="37"/>
        <v/>
      </c>
      <c r="N471" s="161" t="str">
        <f ca="1">IF(raw_exchange_data!$A470="","",OFFSET(raw_exchange_data!$A470,0,MATCH(N$2,raw_exchange_data!$1:$1,0)-1))</f>
        <v/>
      </c>
      <c r="O471" s="161" t="str">
        <f ca="1">IF(raw_exchange_data!$A470="","",OFFSET(raw_exchange_data!$A470,0,MATCH(O$2,raw_exchange_data!$1:$1,0)-1))</f>
        <v/>
      </c>
      <c r="P471" s="161" t="str">
        <f ca="1">IF(raw_exchange_data!$A470="","",OFFSET(raw_exchange_data!$A470,0,MATCH(P$2,raw_exchange_data!$1:$1,0)-1))</f>
        <v/>
      </c>
      <c r="Q471" s="161" t="str">
        <f ca="1">IF(raw_exchange_data!$A470="","",TEXT(OFFSET(raw_exchange_data!$A470,0,MATCH(Q$2,raw_exchange_data!$1:$1,0)-1),""))</f>
        <v/>
      </c>
      <c r="R471" s="162" t="str">
        <f ca="1">IF(raw_exchange_data!$A470="","",OFFSET(raw_exchange_data!$A470,0,MATCH(R$2,raw_exchange_data!$1:$1,0)-1))</f>
        <v/>
      </c>
      <c r="S471" s="190" t="str">
        <f ca="1">IF(raw_exchange_data!$A470="","",OFFSET(raw_exchange_data!$A470,0,MATCH(S$2,raw_exchange_data!$1:$1,0)-1))</f>
        <v/>
      </c>
      <c r="W471" t="str">
        <f t="shared" si="38"/>
        <v/>
      </c>
      <c r="X471" t="str">
        <f t="shared" si="39"/>
        <v/>
      </c>
      <c r="Y471" s="42" t="str">
        <f t="shared" si="40"/>
        <v/>
      </c>
      <c r="Z471" s="42" t="str">
        <f t="shared" si="41"/>
        <v/>
      </c>
    </row>
    <row r="472" spans="1:26" x14ac:dyDescent="0.25">
      <c r="A472" t="str">
        <f>IF(Summary_Exchange_Balances_00UTC!$B471="","",Summary_Exchange_Balances_00UTC!$N471)</f>
        <v/>
      </c>
      <c r="B472" t="str">
        <f>IF(Summary_Exchange_Balances_00UTC!$B471="","",Summary_Exchange_Balances_00UTC!$B471)</f>
        <v/>
      </c>
      <c r="C472" t="str">
        <f>IF(Summary_Exchange_Balances_00UTC!$B471="","",Summary_Exchange_Balances_00UTC!$E471)</f>
        <v/>
      </c>
      <c r="E472" s="52" t="str">
        <f>IF(Summary_Exchange_Balances_00UTC!$B471="","",Summary_Exchange_Balances_00UTC!$C471)</f>
        <v/>
      </c>
      <c r="G472" s="52" t="str">
        <f>IF(Summary_Exchange_Balances_00UTC!$B471="","",VLOOKUP(IF(ISERROR(SEARCH(" ", $B472)),UPPER($B472&amp;$C472&amp;IF(OR(NOT(ISERROR(SEARCH("trade",$D472))),NOT(ISERROR(SEARCH("balance",$D472)))),"",$D472)),UPPER(LEFT($B472, SEARCH(" ",$B472)-1)&amp;$C472&amp;IF(OR(NOT(ISERROR(SEARCH("trade",$D472))),NOT(ISERROR(SEARCH("balance",$D472)))),"",$D472))),$L:$T,MATCH("balance",$L$2:$S$2,0),FALSE))</f>
        <v/>
      </c>
      <c r="H472" s="35" t="str">
        <f>IF(Summary_Exchange_Balances_00UTC!$B471="","",(G472-E472)/E472)</f>
        <v/>
      </c>
      <c r="I472" s="165" t="str">
        <f>IF(Summary_Exchange_Balances_00UTC!$B471="","",IF(ISERROR($G472),$E472,$G472))</f>
        <v/>
      </c>
      <c r="L472" t="str">
        <f t="shared" ca="1" si="37"/>
        <v/>
      </c>
      <c r="N472" s="161" t="str">
        <f ca="1">IF(raw_exchange_data!$A471="","",OFFSET(raw_exchange_data!$A471,0,MATCH(N$2,raw_exchange_data!$1:$1,0)-1))</f>
        <v/>
      </c>
      <c r="O472" s="161" t="str">
        <f ca="1">IF(raw_exchange_data!$A471="","",OFFSET(raw_exchange_data!$A471,0,MATCH(O$2,raw_exchange_data!$1:$1,0)-1))</f>
        <v/>
      </c>
      <c r="P472" s="161" t="str">
        <f ca="1">IF(raw_exchange_data!$A471="","",OFFSET(raw_exchange_data!$A471,0,MATCH(P$2,raw_exchange_data!$1:$1,0)-1))</f>
        <v/>
      </c>
      <c r="Q472" s="161" t="str">
        <f ca="1">IF(raw_exchange_data!$A471="","",TEXT(OFFSET(raw_exchange_data!$A471,0,MATCH(Q$2,raw_exchange_data!$1:$1,0)-1),""))</f>
        <v/>
      </c>
      <c r="R472" s="162" t="str">
        <f ca="1">IF(raw_exchange_data!$A471="","",OFFSET(raw_exchange_data!$A471,0,MATCH(R$2,raw_exchange_data!$1:$1,0)-1))</f>
        <v/>
      </c>
      <c r="S472" s="190" t="str">
        <f ca="1">IF(raw_exchange_data!$A471="","",OFFSET(raw_exchange_data!$A471,0,MATCH(S$2,raw_exchange_data!$1:$1,0)-1))</f>
        <v/>
      </c>
      <c r="W472" t="str">
        <f t="shared" si="38"/>
        <v/>
      </c>
      <c r="X472" t="str">
        <f t="shared" si="39"/>
        <v/>
      </c>
      <c r="Y472" s="42" t="str">
        <f t="shared" si="40"/>
        <v/>
      </c>
      <c r="Z472" s="42" t="str">
        <f t="shared" si="41"/>
        <v/>
      </c>
    </row>
    <row r="473" spans="1:26" x14ac:dyDescent="0.25">
      <c r="A473" t="str">
        <f>IF(Summary_Exchange_Balances_00UTC!$B472="","",Summary_Exchange_Balances_00UTC!$N472)</f>
        <v/>
      </c>
      <c r="B473" t="str">
        <f>IF(Summary_Exchange_Balances_00UTC!$B472="","",Summary_Exchange_Balances_00UTC!$B472)</f>
        <v/>
      </c>
      <c r="C473" t="str">
        <f>IF(Summary_Exchange_Balances_00UTC!$B472="","",Summary_Exchange_Balances_00UTC!$E472)</f>
        <v/>
      </c>
      <c r="E473" s="52" t="str">
        <f>IF(Summary_Exchange_Balances_00UTC!$B472="","",Summary_Exchange_Balances_00UTC!$C472)</f>
        <v/>
      </c>
      <c r="G473" s="52" t="str">
        <f>IF(Summary_Exchange_Balances_00UTC!$B472="","",VLOOKUP(IF(ISERROR(SEARCH(" ", $B473)),UPPER($B473&amp;$C473&amp;IF(OR(NOT(ISERROR(SEARCH("trade",$D473))),NOT(ISERROR(SEARCH("balance",$D473)))),"",$D473)),UPPER(LEFT($B473, SEARCH(" ",$B473)-1)&amp;$C473&amp;IF(OR(NOT(ISERROR(SEARCH("trade",$D473))),NOT(ISERROR(SEARCH("balance",$D473)))),"",$D473))),$L:$T,MATCH("balance",$L$2:$S$2,0),FALSE))</f>
        <v/>
      </c>
      <c r="H473" s="35" t="str">
        <f>IF(Summary_Exchange_Balances_00UTC!$B472="","",(G473-E473)/E473)</f>
        <v/>
      </c>
      <c r="I473" s="165" t="str">
        <f>IF(Summary_Exchange_Balances_00UTC!$B472="","",IF(ISERROR($G473),$E473,$G473))</f>
        <v/>
      </c>
      <c r="L473" t="str">
        <f t="shared" ca="1" si="37"/>
        <v/>
      </c>
      <c r="N473" s="161" t="str">
        <f ca="1">IF(raw_exchange_data!$A472="","",OFFSET(raw_exchange_data!$A472,0,MATCH(N$2,raw_exchange_data!$1:$1,0)-1))</f>
        <v/>
      </c>
      <c r="O473" s="161" t="str">
        <f ca="1">IF(raw_exchange_data!$A472="","",OFFSET(raw_exchange_data!$A472,0,MATCH(O$2,raw_exchange_data!$1:$1,0)-1))</f>
        <v/>
      </c>
      <c r="P473" s="161" t="str">
        <f ca="1">IF(raw_exchange_data!$A472="","",OFFSET(raw_exchange_data!$A472,0,MATCH(P$2,raw_exchange_data!$1:$1,0)-1))</f>
        <v/>
      </c>
      <c r="Q473" s="161" t="str">
        <f ca="1">IF(raw_exchange_data!$A472="","",TEXT(OFFSET(raw_exchange_data!$A472,0,MATCH(Q$2,raw_exchange_data!$1:$1,0)-1),""))</f>
        <v/>
      </c>
      <c r="R473" s="162" t="str">
        <f ca="1">IF(raw_exchange_data!$A472="","",OFFSET(raw_exchange_data!$A472,0,MATCH(R$2,raw_exchange_data!$1:$1,0)-1))</f>
        <v/>
      </c>
      <c r="S473" s="190" t="str">
        <f ca="1">IF(raw_exchange_data!$A472="","",OFFSET(raw_exchange_data!$A472,0,MATCH(S$2,raw_exchange_data!$1:$1,0)-1))</f>
        <v/>
      </c>
      <c r="W473" t="str">
        <f t="shared" si="38"/>
        <v/>
      </c>
      <c r="X473" t="str">
        <f t="shared" si="39"/>
        <v/>
      </c>
      <c r="Y473" s="42" t="str">
        <f t="shared" si="40"/>
        <v/>
      </c>
      <c r="Z473" s="42" t="str">
        <f t="shared" si="41"/>
        <v/>
      </c>
    </row>
    <row r="474" spans="1:26" x14ac:dyDescent="0.25">
      <c r="A474" t="str">
        <f>IF(Summary_Exchange_Balances_00UTC!$B473="","",Summary_Exchange_Balances_00UTC!$N473)</f>
        <v/>
      </c>
      <c r="B474" t="str">
        <f>IF(Summary_Exchange_Balances_00UTC!$B473="","",Summary_Exchange_Balances_00UTC!$B473)</f>
        <v/>
      </c>
      <c r="C474" t="str">
        <f>IF(Summary_Exchange_Balances_00UTC!$B473="","",Summary_Exchange_Balances_00UTC!$E473)</f>
        <v/>
      </c>
      <c r="E474" s="52" t="str">
        <f>IF(Summary_Exchange_Balances_00UTC!$B473="","",Summary_Exchange_Balances_00UTC!$C473)</f>
        <v/>
      </c>
      <c r="G474" s="52" t="str">
        <f>IF(Summary_Exchange_Balances_00UTC!$B473="","",VLOOKUP(IF(ISERROR(SEARCH(" ", $B474)),UPPER($B474&amp;$C474&amp;IF(OR(NOT(ISERROR(SEARCH("trade",$D474))),NOT(ISERROR(SEARCH("balance",$D474)))),"",$D474)),UPPER(LEFT($B474, SEARCH(" ",$B474)-1)&amp;$C474&amp;IF(OR(NOT(ISERROR(SEARCH("trade",$D474))),NOT(ISERROR(SEARCH("balance",$D474)))),"",$D474))),$L:$T,MATCH("balance",$L$2:$S$2,0),FALSE))</f>
        <v/>
      </c>
      <c r="H474" s="35" t="str">
        <f>IF(Summary_Exchange_Balances_00UTC!$B473="","",(G474-E474)/E474)</f>
        <v/>
      </c>
      <c r="I474" s="165" t="str">
        <f>IF(Summary_Exchange_Balances_00UTC!$B473="","",IF(ISERROR($G474),$E474,$G474))</f>
        <v/>
      </c>
      <c r="L474" t="str">
        <f t="shared" ca="1" si="37"/>
        <v/>
      </c>
      <c r="N474" s="161" t="str">
        <f ca="1">IF(raw_exchange_data!$A473="","",OFFSET(raw_exchange_data!$A473,0,MATCH(N$2,raw_exchange_data!$1:$1,0)-1))</f>
        <v/>
      </c>
      <c r="O474" s="161" t="str">
        <f ca="1">IF(raw_exchange_data!$A473="","",OFFSET(raw_exchange_data!$A473,0,MATCH(O$2,raw_exchange_data!$1:$1,0)-1))</f>
        <v/>
      </c>
      <c r="P474" s="161" t="str">
        <f ca="1">IF(raw_exchange_data!$A473="","",OFFSET(raw_exchange_data!$A473,0,MATCH(P$2,raw_exchange_data!$1:$1,0)-1))</f>
        <v/>
      </c>
      <c r="Q474" s="161" t="str">
        <f ca="1">IF(raw_exchange_data!$A473="","",TEXT(OFFSET(raw_exchange_data!$A473,0,MATCH(Q$2,raw_exchange_data!$1:$1,0)-1),""))</f>
        <v/>
      </c>
      <c r="R474" s="162" t="str">
        <f ca="1">IF(raw_exchange_data!$A473="","",OFFSET(raw_exchange_data!$A473,0,MATCH(R$2,raw_exchange_data!$1:$1,0)-1))</f>
        <v/>
      </c>
      <c r="S474" s="190" t="str">
        <f ca="1">IF(raw_exchange_data!$A473="","",OFFSET(raw_exchange_data!$A473,0,MATCH(S$2,raw_exchange_data!$1:$1,0)-1))</f>
        <v/>
      </c>
      <c r="W474" t="str">
        <f t="shared" si="38"/>
        <v/>
      </c>
      <c r="X474" t="str">
        <f t="shared" si="39"/>
        <v/>
      </c>
      <c r="Y474" s="42" t="str">
        <f t="shared" si="40"/>
        <v/>
      </c>
      <c r="Z474" s="42" t="str">
        <f t="shared" si="41"/>
        <v/>
      </c>
    </row>
    <row r="475" spans="1:26" x14ac:dyDescent="0.25">
      <c r="A475" t="str">
        <f>IF(Summary_Exchange_Balances_00UTC!$B474="","",Summary_Exchange_Balances_00UTC!$N474)</f>
        <v/>
      </c>
      <c r="B475" t="str">
        <f>IF(Summary_Exchange_Balances_00UTC!$B474="","",Summary_Exchange_Balances_00UTC!$B474)</f>
        <v/>
      </c>
      <c r="C475" t="str">
        <f>IF(Summary_Exchange_Balances_00UTC!$B474="","",Summary_Exchange_Balances_00UTC!$E474)</f>
        <v/>
      </c>
      <c r="E475" s="52" t="str">
        <f>IF(Summary_Exchange_Balances_00UTC!$B474="","",Summary_Exchange_Balances_00UTC!$C474)</f>
        <v/>
      </c>
      <c r="G475" s="52" t="str">
        <f>IF(Summary_Exchange_Balances_00UTC!$B474="","",VLOOKUP(IF(ISERROR(SEARCH(" ", $B475)),UPPER($B475&amp;$C475&amp;IF(OR(NOT(ISERROR(SEARCH("trade",$D475))),NOT(ISERROR(SEARCH("balance",$D475)))),"",$D475)),UPPER(LEFT($B475, SEARCH(" ",$B475)-1)&amp;$C475&amp;IF(OR(NOT(ISERROR(SEARCH("trade",$D475))),NOT(ISERROR(SEARCH("balance",$D475)))),"",$D475))),$L:$T,MATCH("balance",$L$2:$S$2,0),FALSE))</f>
        <v/>
      </c>
      <c r="H475" s="35" t="str">
        <f>IF(Summary_Exchange_Balances_00UTC!$B474="","",(G475-E475)/E475)</f>
        <v/>
      </c>
      <c r="I475" s="165" t="str">
        <f>IF(Summary_Exchange_Balances_00UTC!$B474="","",IF(ISERROR($G475),$E475,$G475))</f>
        <v/>
      </c>
      <c r="L475" t="str">
        <f t="shared" ca="1" si="37"/>
        <v/>
      </c>
      <c r="N475" s="161" t="str">
        <f ca="1">IF(raw_exchange_data!$A474="","",OFFSET(raw_exchange_data!$A474,0,MATCH(N$2,raw_exchange_data!$1:$1,0)-1))</f>
        <v/>
      </c>
      <c r="O475" s="161" t="str">
        <f ca="1">IF(raw_exchange_data!$A474="","",OFFSET(raw_exchange_data!$A474,0,MATCH(O$2,raw_exchange_data!$1:$1,0)-1))</f>
        <v/>
      </c>
      <c r="P475" s="161" t="str">
        <f ca="1">IF(raw_exchange_data!$A474="","",OFFSET(raw_exchange_data!$A474,0,MATCH(P$2,raw_exchange_data!$1:$1,0)-1))</f>
        <v/>
      </c>
      <c r="Q475" s="161" t="str">
        <f ca="1">IF(raw_exchange_data!$A474="","",TEXT(OFFSET(raw_exchange_data!$A474,0,MATCH(Q$2,raw_exchange_data!$1:$1,0)-1),""))</f>
        <v/>
      </c>
      <c r="R475" s="162" t="str">
        <f ca="1">IF(raw_exchange_data!$A474="","",OFFSET(raw_exchange_data!$A474,0,MATCH(R$2,raw_exchange_data!$1:$1,0)-1))</f>
        <v/>
      </c>
      <c r="S475" s="190" t="str">
        <f ca="1">IF(raw_exchange_data!$A474="","",OFFSET(raw_exchange_data!$A474,0,MATCH(S$2,raw_exchange_data!$1:$1,0)-1))</f>
        <v/>
      </c>
      <c r="W475" t="str">
        <f t="shared" si="38"/>
        <v/>
      </c>
      <c r="X475" t="str">
        <f t="shared" si="39"/>
        <v/>
      </c>
      <c r="Y475" s="42" t="str">
        <f t="shared" si="40"/>
        <v/>
      </c>
      <c r="Z475" s="42" t="str">
        <f t="shared" si="41"/>
        <v/>
      </c>
    </row>
    <row r="476" spans="1:26" x14ac:dyDescent="0.25">
      <c r="A476" t="str">
        <f>IF(Summary_Exchange_Balances_00UTC!$B475="","",Summary_Exchange_Balances_00UTC!$N475)</f>
        <v/>
      </c>
      <c r="B476" t="str">
        <f>IF(Summary_Exchange_Balances_00UTC!$B475="","",Summary_Exchange_Balances_00UTC!$B475)</f>
        <v/>
      </c>
      <c r="C476" t="str">
        <f>IF(Summary_Exchange_Balances_00UTC!$B475="","",Summary_Exchange_Balances_00UTC!$E475)</f>
        <v/>
      </c>
      <c r="E476" s="52" t="str">
        <f>IF(Summary_Exchange_Balances_00UTC!$B475="","",Summary_Exchange_Balances_00UTC!$C475)</f>
        <v/>
      </c>
      <c r="G476" s="52" t="str">
        <f>IF(Summary_Exchange_Balances_00UTC!$B475="","",VLOOKUP(IF(ISERROR(SEARCH(" ", $B476)),UPPER($B476&amp;$C476&amp;IF(OR(NOT(ISERROR(SEARCH("trade",$D476))),NOT(ISERROR(SEARCH("balance",$D476)))),"",$D476)),UPPER(LEFT($B476, SEARCH(" ",$B476)-1)&amp;$C476&amp;IF(OR(NOT(ISERROR(SEARCH("trade",$D476))),NOT(ISERROR(SEARCH("balance",$D476)))),"",$D476))),$L:$T,MATCH("balance",$L$2:$S$2,0),FALSE))</f>
        <v/>
      </c>
      <c r="H476" s="35" t="str">
        <f>IF(Summary_Exchange_Balances_00UTC!$B475="","",(G476-E476)/E476)</f>
        <v/>
      </c>
      <c r="I476" s="165" t="str">
        <f>IF(Summary_Exchange_Balances_00UTC!$B475="","",IF(ISERROR($G476),$E476,$G476))</f>
        <v/>
      </c>
      <c r="L476" t="str">
        <f t="shared" ca="1" si="37"/>
        <v/>
      </c>
      <c r="N476" s="161" t="str">
        <f ca="1">IF(raw_exchange_data!$A475="","",OFFSET(raw_exchange_data!$A475,0,MATCH(N$2,raw_exchange_data!$1:$1,0)-1))</f>
        <v/>
      </c>
      <c r="O476" s="161" t="str">
        <f ca="1">IF(raw_exchange_data!$A475="","",OFFSET(raw_exchange_data!$A475,0,MATCH(O$2,raw_exchange_data!$1:$1,0)-1))</f>
        <v/>
      </c>
      <c r="P476" s="161" t="str">
        <f ca="1">IF(raw_exchange_data!$A475="","",OFFSET(raw_exchange_data!$A475,0,MATCH(P$2,raw_exchange_data!$1:$1,0)-1))</f>
        <v/>
      </c>
      <c r="Q476" s="161" t="str">
        <f ca="1">IF(raw_exchange_data!$A475="","",TEXT(OFFSET(raw_exchange_data!$A475,0,MATCH(Q$2,raw_exchange_data!$1:$1,0)-1),""))</f>
        <v/>
      </c>
      <c r="R476" s="162" t="str">
        <f ca="1">IF(raw_exchange_data!$A475="","",OFFSET(raw_exchange_data!$A475,0,MATCH(R$2,raw_exchange_data!$1:$1,0)-1))</f>
        <v/>
      </c>
      <c r="S476" s="190" t="str">
        <f ca="1">IF(raw_exchange_data!$A475="","",OFFSET(raw_exchange_data!$A475,0,MATCH(S$2,raw_exchange_data!$1:$1,0)-1))</f>
        <v/>
      </c>
      <c r="W476" t="str">
        <f t="shared" si="38"/>
        <v/>
      </c>
      <c r="X476" t="str">
        <f t="shared" si="39"/>
        <v/>
      </c>
      <c r="Y476" s="42" t="str">
        <f t="shared" si="40"/>
        <v/>
      </c>
      <c r="Z476" s="42" t="str">
        <f t="shared" si="41"/>
        <v/>
      </c>
    </row>
    <row r="477" spans="1:26" x14ac:dyDescent="0.25">
      <c r="A477" t="str">
        <f>IF(Summary_Exchange_Balances_00UTC!$B476="","",Summary_Exchange_Balances_00UTC!$N476)</f>
        <v/>
      </c>
      <c r="B477" t="str">
        <f>IF(Summary_Exchange_Balances_00UTC!$B476="","",Summary_Exchange_Balances_00UTC!$B476)</f>
        <v/>
      </c>
      <c r="C477" t="str">
        <f>IF(Summary_Exchange_Balances_00UTC!$B476="","",Summary_Exchange_Balances_00UTC!$E476)</f>
        <v/>
      </c>
      <c r="E477" s="52" t="str">
        <f>IF(Summary_Exchange_Balances_00UTC!$B476="","",Summary_Exchange_Balances_00UTC!$C476)</f>
        <v/>
      </c>
      <c r="G477" s="52" t="str">
        <f>IF(Summary_Exchange_Balances_00UTC!$B476="","",VLOOKUP(IF(ISERROR(SEARCH(" ", $B477)),UPPER($B477&amp;$C477&amp;IF(OR(NOT(ISERROR(SEARCH("trade",$D477))),NOT(ISERROR(SEARCH("balance",$D477)))),"",$D477)),UPPER(LEFT($B477, SEARCH(" ",$B477)-1)&amp;$C477&amp;IF(OR(NOT(ISERROR(SEARCH("trade",$D477))),NOT(ISERROR(SEARCH("balance",$D477)))),"",$D477))),$L:$T,MATCH("balance",$L$2:$S$2,0),FALSE))</f>
        <v/>
      </c>
      <c r="H477" s="35" t="str">
        <f>IF(Summary_Exchange_Balances_00UTC!$B476="","",(G477-E477)/E477)</f>
        <v/>
      </c>
      <c r="I477" s="165" t="str">
        <f>IF(Summary_Exchange_Balances_00UTC!$B476="","",IF(ISERROR($G477),$E477,$G477))</f>
        <v/>
      </c>
      <c r="L477" t="str">
        <f t="shared" ca="1" si="37"/>
        <v/>
      </c>
      <c r="N477" s="161" t="str">
        <f ca="1">IF(raw_exchange_data!$A476="","",OFFSET(raw_exchange_data!$A476,0,MATCH(N$2,raw_exchange_data!$1:$1,0)-1))</f>
        <v/>
      </c>
      <c r="O477" s="161" t="str">
        <f ca="1">IF(raw_exchange_data!$A476="","",OFFSET(raw_exchange_data!$A476,0,MATCH(O$2,raw_exchange_data!$1:$1,0)-1))</f>
        <v/>
      </c>
      <c r="P477" s="161" t="str">
        <f ca="1">IF(raw_exchange_data!$A476="","",OFFSET(raw_exchange_data!$A476,0,MATCH(P$2,raw_exchange_data!$1:$1,0)-1))</f>
        <v/>
      </c>
      <c r="Q477" s="161" t="str">
        <f ca="1">IF(raw_exchange_data!$A476="","",TEXT(OFFSET(raw_exchange_data!$A476,0,MATCH(Q$2,raw_exchange_data!$1:$1,0)-1),""))</f>
        <v/>
      </c>
      <c r="R477" s="162" t="str">
        <f ca="1">IF(raw_exchange_data!$A476="","",OFFSET(raw_exchange_data!$A476,0,MATCH(R$2,raw_exchange_data!$1:$1,0)-1))</f>
        <v/>
      </c>
      <c r="S477" s="190" t="str">
        <f ca="1">IF(raw_exchange_data!$A476="","",OFFSET(raw_exchange_data!$A476,0,MATCH(S$2,raw_exchange_data!$1:$1,0)-1))</f>
        <v/>
      </c>
      <c r="W477" t="str">
        <f t="shared" si="38"/>
        <v/>
      </c>
      <c r="X477" t="str">
        <f t="shared" si="39"/>
        <v/>
      </c>
      <c r="Y477" s="42" t="str">
        <f t="shared" si="40"/>
        <v/>
      </c>
      <c r="Z477" s="42" t="str">
        <f t="shared" si="41"/>
        <v/>
      </c>
    </row>
    <row r="478" spans="1:26" x14ac:dyDescent="0.25">
      <c r="A478" t="str">
        <f>IF(Summary_Exchange_Balances_00UTC!$B477="","",Summary_Exchange_Balances_00UTC!$N477)</f>
        <v/>
      </c>
      <c r="B478" t="str">
        <f>IF(Summary_Exchange_Balances_00UTC!$B477="","",Summary_Exchange_Balances_00UTC!$B477)</f>
        <v/>
      </c>
      <c r="C478" t="str">
        <f>IF(Summary_Exchange_Balances_00UTC!$B477="","",Summary_Exchange_Balances_00UTC!$E477)</f>
        <v/>
      </c>
      <c r="E478" s="52" t="str">
        <f>IF(Summary_Exchange_Balances_00UTC!$B477="","",Summary_Exchange_Balances_00UTC!$C477)</f>
        <v/>
      </c>
      <c r="G478" s="52" t="str">
        <f>IF(Summary_Exchange_Balances_00UTC!$B477="","",VLOOKUP(IF(ISERROR(SEARCH(" ", $B478)),UPPER($B478&amp;$C478&amp;IF(OR(NOT(ISERROR(SEARCH("trade",$D478))),NOT(ISERROR(SEARCH("balance",$D478)))),"",$D478)),UPPER(LEFT($B478, SEARCH(" ",$B478)-1)&amp;$C478&amp;IF(OR(NOT(ISERROR(SEARCH("trade",$D478))),NOT(ISERROR(SEARCH("balance",$D478)))),"",$D478))),$L:$T,MATCH("balance",$L$2:$S$2,0),FALSE))</f>
        <v/>
      </c>
      <c r="H478" s="35" t="str">
        <f>IF(Summary_Exchange_Balances_00UTC!$B477="","",(G478-E478)/E478)</f>
        <v/>
      </c>
      <c r="I478" s="165" t="str">
        <f>IF(Summary_Exchange_Balances_00UTC!$B477="","",IF(ISERROR($G478),$E478,$G478))</f>
        <v/>
      </c>
      <c r="L478" t="str">
        <f t="shared" ca="1" si="37"/>
        <v/>
      </c>
      <c r="N478" s="161" t="str">
        <f ca="1">IF(raw_exchange_data!$A477="","",OFFSET(raw_exchange_data!$A477,0,MATCH(N$2,raw_exchange_data!$1:$1,0)-1))</f>
        <v/>
      </c>
      <c r="O478" s="161" t="str">
        <f ca="1">IF(raw_exchange_data!$A477="","",OFFSET(raw_exchange_data!$A477,0,MATCH(O$2,raw_exchange_data!$1:$1,0)-1))</f>
        <v/>
      </c>
      <c r="P478" s="161" t="str">
        <f ca="1">IF(raw_exchange_data!$A477="","",OFFSET(raw_exchange_data!$A477,0,MATCH(P$2,raw_exchange_data!$1:$1,0)-1))</f>
        <v/>
      </c>
      <c r="Q478" s="161" t="str">
        <f ca="1">IF(raw_exchange_data!$A477="","",TEXT(OFFSET(raw_exchange_data!$A477,0,MATCH(Q$2,raw_exchange_data!$1:$1,0)-1),""))</f>
        <v/>
      </c>
      <c r="R478" s="162" t="str">
        <f ca="1">IF(raw_exchange_data!$A477="","",OFFSET(raw_exchange_data!$A477,0,MATCH(R$2,raw_exchange_data!$1:$1,0)-1))</f>
        <v/>
      </c>
      <c r="S478" s="190" t="str">
        <f ca="1">IF(raw_exchange_data!$A477="","",OFFSET(raw_exchange_data!$A477,0,MATCH(S$2,raw_exchange_data!$1:$1,0)-1))</f>
        <v/>
      </c>
      <c r="W478" t="str">
        <f t="shared" si="38"/>
        <v/>
      </c>
      <c r="X478" t="str">
        <f t="shared" si="39"/>
        <v/>
      </c>
      <c r="Y478" s="42" t="str">
        <f t="shared" si="40"/>
        <v/>
      </c>
      <c r="Z478" s="42" t="str">
        <f t="shared" si="41"/>
        <v/>
      </c>
    </row>
    <row r="479" spans="1:26" x14ac:dyDescent="0.25">
      <c r="A479" t="str">
        <f>IF(Summary_Exchange_Balances_00UTC!$B478="","",Summary_Exchange_Balances_00UTC!$N478)</f>
        <v/>
      </c>
      <c r="B479" t="str">
        <f>IF(Summary_Exchange_Balances_00UTC!$B478="","",Summary_Exchange_Balances_00UTC!$B478)</f>
        <v/>
      </c>
      <c r="C479" t="str">
        <f>IF(Summary_Exchange_Balances_00UTC!$B478="","",Summary_Exchange_Balances_00UTC!$E478)</f>
        <v/>
      </c>
      <c r="E479" s="52" t="str">
        <f>IF(Summary_Exchange_Balances_00UTC!$B478="","",Summary_Exchange_Balances_00UTC!$C478)</f>
        <v/>
      </c>
      <c r="G479" s="52" t="str">
        <f>IF(Summary_Exchange_Balances_00UTC!$B478="","",VLOOKUP(IF(ISERROR(SEARCH(" ", $B479)),UPPER($B479&amp;$C479&amp;IF(OR(NOT(ISERROR(SEARCH("trade",$D479))),NOT(ISERROR(SEARCH("balance",$D479)))),"",$D479)),UPPER(LEFT($B479, SEARCH(" ",$B479)-1)&amp;$C479&amp;IF(OR(NOT(ISERROR(SEARCH("trade",$D479))),NOT(ISERROR(SEARCH("balance",$D479)))),"",$D479))),$L:$T,MATCH("balance",$L$2:$S$2,0),FALSE))</f>
        <v/>
      </c>
      <c r="H479" s="35" t="str">
        <f>IF(Summary_Exchange_Balances_00UTC!$B478="","",(G479-E479)/E479)</f>
        <v/>
      </c>
      <c r="I479" s="165" t="str">
        <f>IF(Summary_Exchange_Balances_00UTC!$B478="","",IF(ISERROR($G479),$E479,$G479))</f>
        <v/>
      </c>
      <c r="L479" t="str">
        <f t="shared" ca="1" si="37"/>
        <v/>
      </c>
      <c r="N479" s="161" t="str">
        <f ca="1">IF(raw_exchange_data!$A478="","",OFFSET(raw_exchange_data!$A478,0,MATCH(N$2,raw_exchange_data!$1:$1,0)-1))</f>
        <v/>
      </c>
      <c r="O479" s="161" t="str">
        <f ca="1">IF(raw_exchange_data!$A478="","",OFFSET(raw_exchange_data!$A478,0,MATCH(O$2,raw_exchange_data!$1:$1,0)-1))</f>
        <v/>
      </c>
      <c r="P479" s="161" t="str">
        <f ca="1">IF(raw_exchange_data!$A478="","",OFFSET(raw_exchange_data!$A478,0,MATCH(P$2,raw_exchange_data!$1:$1,0)-1))</f>
        <v/>
      </c>
      <c r="Q479" s="161" t="str">
        <f ca="1">IF(raw_exchange_data!$A478="","",TEXT(OFFSET(raw_exchange_data!$A478,0,MATCH(Q$2,raw_exchange_data!$1:$1,0)-1),""))</f>
        <v/>
      </c>
      <c r="R479" s="162" t="str">
        <f ca="1">IF(raw_exchange_data!$A478="","",OFFSET(raw_exchange_data!$A478,0,MATCH(R$2,raw_exchange_data!$1:$1,0)-1))</f>
        <v/>
      </c>
      <c r="S479" s="190" t="str">
        <f ca="1">IF(raw_exchange_data!$A478="","",OFFSET(raw_exchange_data!$A478,0,MATCH(S$2,raw_exchange_data!$1:$1,0)-1))</f>
        <v/>
      </c>
      <c r="W479" t="str">
        <f t="shared" si="38"/>
        <v/>
      </c>
      <c r="X479" t="str">
        <f t="shared" si="39"/>
        <v/>
      </c>
      <c r="Y479" s="42" t="str">
        <f t="shared" si="40"/>
        <v/>
      </c>
      <c r="Z479" s="42" t="str">
        <f t="shared" si="41"/>
        <v/>
      </c>
    </row>
    <row r="480" spans="1:26" x14ac:dyDescent="0.25">
      <c r="A480" t="str">
        <f>IF(Summary_Exchange_Balances_00UTC!$B479="","",Summary_Exchange_Balances_00UTC!$N479)</f>
        <v/>
      </c>
      <c r="B480" t="str">
        <f>IF(Summary_Exchange_Balances_00UTC!$B479="","",Summary_Exchange_Balances_00UTC!$B479)</f>
        <v/>
      </c>
      <c r="C480" t="str">
        <f>IF(Summary_Exchange_Balances_00UTC!$B479="","",Summary_Exchange_Balances_00UTC!$E479)</f>
        <v/>
      </c>
      <c r="E480" s="52" t="str">
        <f>IF(Summary_Exchange_Balances_00UTC!$B479="","",Summary_Exchange_Balances_00UTC!$C479)</f>
        <v/>
      </c>
      <c r="G480" s="52" t="str">
        <f>IF(Summary_Exchange_Balances_00UTC!$B479="","",VLOOKUP(IF(ISERROR(SEARCH(" ", $B480)),UPPER($B480&amp;$C480&amp;IF(OR(NOT(ISERROR(SEARCH("trade",$D480))),NOT(ISERROR(SEARCH("balance",$D480)))),"",$D480)),UPPER(LEFT($B480, SEARCH(" ",$B480)-1)&amp;$C480&amp;IF(OR(NOT(ISERROR(SEARCH("trade",$D480))),NOT(ISERROR(SEARCH("balance",$D480)))),"",$D480))),$L:$T,MATCH("balance",$L$2:$S$2,0),FALSE))</f>
        <v/>
      </c>
      <c r="H480" s="35" t="str">
        <f>IF(Summary_Exchange_Balances_00UTC!$B479="","",(G480-E480)/E480)</f>
        <v/>
      </c>
      <c r="I480" s="165" t="str">
        <f>IF(Summary_Exchange_Balances_00UTC!$B479="","",IF(ISERROR($G480),$E480,$G480))</f>
        <v/>
      </c>
      <c r="L480" t="str">
        <f t="shared" ca="1" si="37"/>
        <v/>
      </c>
      <c r="N480" s="161" t="str">
        <f ca="1">IF(raw_exchange_data!$A479="","",OFFSET(raw_exchange_data!$A479,0,MATCH(N$2,raw_exchange_data!$1:$1,0)-1))</f>
        <v/>
      </c>
      <c r="O480" s="161" t="str">
        <f ca="1">IF(raw_exchange_data!$A479="","",OFFSET(raw_exchange_data!$A479,0,MATCH(O$2,raw_exchange_data!$1:$1,0)-1))</f>
        <v/>
      </c>
      <c r="P480" s="161" t="str">
        <f ca="1">IF(raw_exchange_data!$A479="","",OFFSET(raw_exchange_data!$A479,0,MATCH(P$2,raw_exchange_data!$1:$1,0)-1))</f>
        <v/>
      </c>
      <c r="Q480" s="161" t="str">
        <f ca="1">IF(raw_exchange_data!$A479="","",TEXT(OFFSET(raw_exchange_data!$A479,0,MATCH(Q$2,raw_exchange_data!$1:$1,0)-1),""))</f>
        <v/>
      </c>
      <c r="R480" s="162" t="str">
        <f ca="1">IF(raw_exchange_data!$A479="","",OFFSET(raw_exchange_data!$A479,0,MATCH(R$2,raw_exchange_data!$1:$1,0)-1))</f>
        <v/>
      </c>
      <c r="S480" s="190" t="str">
        <f ca="1">IF(raw_exchange_data!$A479="","",OFFSET(raw_exchange_data!$A479,0,MATCH(S$2,raw_exchange_data!$1:$1,0)-1))</f>
        <v/>
      </c>
      <c r="W480" t="str">
        <f t="shared" si="38"/>
        <v/>
      </c>
      <c r="X480" t="str">
        <f t="shared" si="39"/>
        <v/>
      </c>
      <c r="Y480" s="42" t="str">
        <f t="shared" si="40"/>
        <v/>
      </c>
      <c r="Z480" s="42" t="str">
        <f t="shared" si="41"/>
        <v/>
      </c>
    </row>
    <row r="481" spans="1:26" x14ac:dyDescent="0.25">
      <c r="A481" t="str">
        <f>IF(Summary_Exchange_Balances_00UTC!$B480="","",Summary_Exchange_Balances_00UTC!$N480)</f>
        <v/>
      </c>
      <c r="B481" t="str">
        <f>IF(Summary_Exchange_Balances_00UTC!$B480="","",Summary_Exchange_Balances_00UTC!$B480)</f>
        <v/>
      </c>
      <c r="C481" t="str">
        <f>IF(Summary_Exchange_Balances_00UTC!$B480="","",Summary_Exchange_Balances_00UTC!$E480)</f>
        <v/>
      </c>
      <c r="E481" s="52" t="str">
        <f>IF(Summary_Exchange_Balances_00UTC!$B480="","",Summary_Exchange_Balances_00UTC!$C480)</f>
        <v/>
      </c>
      <c r="G481" s="52" t="str">
        <f>IF(Summary_Exchange_Balances_00UTC!$B480="","",VLOOKUP(IF(ISERROR(SEARCH(" ", $B481)),UPPER($B481&amp;$C481&amp;IF(OR(NOT(ISERROR(SEARCH("trade",$D481))),NOT(ISERROR(SEARCH("balance",$D481)))),"",$D481)),UPPER(LEFT($B481, SEARCH(" ",$B481)-1)&amp;$C481&amp;IF(OR(NOT(ISERROR(SEARCH("trade",$D481))),NOT(ISERROR(SEARCH("balance",$D481)))),"",$D481))),$L:$T,MATCH("balance",$L$2:$S$2,0),FALSE))</f>
        <v/>
      </c>
      <c r="H481" s="35" t="str">
        <f>IF(Summary_Exchange_Balances_00UTC!$B480="","",(G481-E481)/E481)</f>
        <v/>
      </c>
      <c r="I481" s="165" t="str">
        <f>IF(Summary_Exchange_Balances_00UTC!$B480="","",IF(ISERROR($G481),$E481,$G481))</f>
        <v/>
      </c>
      <c r="L481" t="str">
        <f t="shared" ca="1" si="37"/>
        <v/>
      </c>
      <c r="N481" s="161" t="str">
        <f ca="1">IF(raw_exchange_data!$A480="","",OFFSET(raw_exchange_data!$A480,0,MATCH(N$2,raw_exchange_data!$1:$1,0)-1))</f>
        <v/>
      </c>
      <c r="O481" s="161" t="str">
        <f ca="1">IF(raw_exchange_data!$A480="","",OFFSET(raw_exchange_data!$A480,0,MATCH(O$2,raw_exchange_data!$1:$1,0)-1))</f>
        <v/>
      </c>
      <c r="P481" s="161" t="str">
        <f ca="1">IF(raw_exchange_data!$A480="","",OFFSET(raw_exchange_data!$A480,0,MATCH(P$2,raw_exchange_data!$1:$1,0)-1))</f>
        <v/>
      </c>
      <c r="Q481" s="161" t="str">
        <f ca="1">IF(raw_exchange_data!$A480="","",TEXT(OFFSET(raw_exchange_data!$A480,0,MATCH(Q$2,raw_exchange_data!$1:$1,0)-1),""))</f>
        <v/>
      </c>
      <c r="R481" s="162" t="str">
        <f ca="1">IF(raw_exchange_data!$A480="","",OFFSET(raw_exchange_data!$A480,0,MATCH(R$2,raw_exchange_data!$1:$1,0)-1))</f>
        <v/>
      </c>
      <c r="S481" s="190" t="str">
        <f ca="1">IF(raw_exchange_data!$A480="","",OFFSET(raw_exchange_data!$A480,0,MATCH(S$2,raw_exchange_data!$1:$1,0)-1))</f>
        <v/>
      </c>
      <c r="W481" t="str">
        <f t="shared" si="38"/>
        <v/>
      </c>
      <c r="X481" t="str">
        <f t="shared" si="39"/>
        <v/>
      </c>
      <c r="Y481" s="42" t="str">
        <f t="shared" si="40"/>
        <v/>
      </c>
      <c r="Z481" s="42" t="str">
        <f t="shared" si="41"/>
        <v/>
      </c>
    </row>
    <row r="482" spans="1:26" x14ac:dyDescent="0.25">
      <c r="A482" t="str">
        <f>IF(Summary_Exchange_Balances_00UTC!$B481="","",Summary_Exchange_Balances_00UTC!$N481)</f>
        <v/>
      </c>
      <c r="B482" t="str">
        <f>IF(Summary_Exchange_Balances_00UTC!$B481="","",Summary_Exchange_Balances_00UTC!$B481)</f>
        <v/>
      </c>
      <c r="C482" t="str">
        <f>IF(Summary_Exchange_Balances_00UTC!$B481="","",Summary_Exchange_Balances_00UTC!$E481)</f>
        <v/>
      </c>
      <c r="E482" s="52" t="str">
        <f>IF(Summary_Exchange_Balances_00UTC!$B481="","",Summary_Exchange_Balances_00UTC!$C481)</f>
        <v/>
      </c>
      <c r="G482" s="52" t="str">
        <f>IF(Summary_Exchange_Balances_00UTC!$B481="","",VLOOKUP(IF(ISERROR(SEARCH(" ", $B482)),UPPER($B482&amp;$C482&amp;IF(OR(NOT(ISERROR(SEARCH("trade",$D482))),NOT(ISERROR(SEARCH("balance",$D482)))),"",$D482)),UPPER(LEFT($B482, SEARCH(" ",$B482)-1)&amp;$C482&amp;IF(OR(NOT(ISERROR(SEARCH("trade",$D482))),NOT(ISERROR(SEARCH("balance",$D482)))),"",$D482))),$L:$T,MATCH("balance",$L$2:$S$2,0),FALSE))</f>
        <v/>
      </c>
      <c r="H482" s="35" t="str">
        <f>IF(Summary_Exchange_Balances_00UTC!$B481="","",(G482-E482)/E482)</f>
        <v/>
      </c>
      <c r="I482" s="165" t="str">
        <f>IF(Summary_Exchange_Balances_00UTC!$B481="","",IF(ISERROR($G482),$E482,$G482))</f>
        <v/>
      </c>
      <c r="L482" t="str">
        <f t="shared" ca="1" si="37"/>
        <v/>
      </c>
      <c r="N482" s="161" t="str">
        <f ca="1">IF(raw_exchange_data!$A481="","",OFFSET(raw_exchange_data!$A481,0,MATCH(N$2,raw_exchange_data!$1:$1,0)-1))</f>
        <v/>
      </c>
      <c r="O482" s="161" t="str">
        <f ca="1">IF(raw_exchange_data!$A481="","",OFFSET(raw_exchange_data!$A481,0,MATCH(O$2,raw_exchange_data!$1:$1,0)-1))</f>
        <v/>
      </c>
      <c r="P482" s="161" t="str">
        <f ca="1">IF(raw_exchange_data!$A481="","",OFFSET(raw_exchange_data!$A481,0,MATCH(P$2,raw_exchange_data!$1:$1,0)-1))</f>
        <v/>
      </c>
      <c r="Q482" s="161" t="str">
        <f ca="1">IF(raw_exchange_data!$A481="","",TEXT(OFFSET(raw_exchange_data!$A481,0,MATCH(Q$2,raw_exchange_data!$1:$1,0)-1),""))</f>
        <v/>
      </c>
      <c r="R482" s="162" t="str">
        <f ca="1">IF(raw_exchange_data!$A481="","",OFFSET(raw_exchange_data!$A481,0,MATCH(R$2,raw_exchange_data!$1:$1,0)-1))</f>
        <v/>
      </c>
      <c r="S482" s="190" t="str">
        <f ca="1">IF(raw_exchange_data!$A481="","",OFFSET(raw_exchange_data!$A481,0,MATCH(S$2,raw_exchange_data!$1:$1,0)-1))</f>
        <v/>
      </c>
      <c r="W482" t="str">
        <f t="shared" si="38"/>
        <v/>
      </c>
      <c r="X482" t="str">
        <f t="shared" si="39"/>
        <v/>
      </c>
      <c r="Y482" s="42" t="str">
        <f t="shared" si="40"/>
        <v/>
      </c>
      <c r="Z482" s="42" t="str">
        <f t="shared" si="41"/>
        <v/>
      </c>
    </row>
    <row r="483" spans="1:26" x14ac:dyDescent="0.25">
      <c r="A483" t="str">
        <f>IF(Summary_Exchange_Balances_00UTC!$B482="","",Summary_Exchange_Balances_00UTC!$N482)</f>
        <v/>
      </c>
      <c r="B483" t="str">
        <f>IF(Summary_Exchange_Balances_00UTC!$B482="","",Summary_Exchange_Balances_00UTC!$B482)</f>
        <v/>
      </c>
      <c r="C483" t="str">
        <f>IF(Summary_Exchange_Balances_00UTC!$B482="","",Summary_Exchange_Balances_00UTC!$E482)</f>
        <v/>
      </c>
      <c r="E483" s="52" t="str">
        <f>IF(Summary_Exchange_Balances_00UTC!$B482="","",Summary_Exchange_Balances_00UTC!$C482)</f>
        <v/>
      </c>
      <c r="G483" s="52" t="str">
        <f>IF(Summary_Exchange_Balances_00UTC!$B482="","",VLOOKUP(IF(ISERROR(SEARCH(" ", $B483)),UPPER($B483&amp;$C483&amp;IF(OR(NOT(ISERROR(SEARCH("trade",$D483))),NOT(ISERROR(SEARCH("balance",$D483)))),"",$D483)),UPPER(LEFT($B483, SEARCH(" ",$B483)-1)&amp;$C483&amp;IF(OR(NOT(ISERROR(SEARCH("trade",$D483))),NOT(ISERROR(SEARCH("balance",$D483)))),"",$D483))),$L:$T,MATCH("balance",$L$2:$S$2,0),FALSE))</f>
        <v/>
      </c>
      <c r="H483" s="35" t="str">
        <f>IF(Summary_Exchange_Balances_00UTC!$B482="","",(G483-E483)/E483)</f>
        <v/>
      </c>
      <c r="I483" s="165" t="str">
        <f>IF(Summary_Exchange_Balances_00UTC!$B482="","",IF(ISERROR($G483),$E483,$G483))</f>
        <v/>
      </c>
      <c r="L483" t="str">
        <f t="shared" ca="1" si="37"/>
        <v/>
      </c>
      <c r="N483" s="161" t="str">
        <f ca="1">IF(raw_exchange_data!$A482="","",OFFSET(raw_exchange_data!$A482,0,MATCH(N$2,raw_exchange_data!$1:$1,0)-1))</f>
        <v/>
      </c>
      <c r="O483" s="161" t="str">
        <f ca="1">IF(raw_exchange_data!$A482="","",OFFSET(raw_exchange_data!$A482,0,MATCH(O$2,raw_exchange_data!$1:$1,0)-1))</f>
        <v/>
      </c>
      <c r="P483" s="161" t="str">
        <f ca="1">IF(raw_exchange_data!$A482="","",OFFSET(raw_exchange_data!$A482,0,MATCH(P$2,raw_exchange_data!$1:$1,0)-1))</f>
        <v/>
      </c>
      <c r="Q483" s="161" t="str">
        <f ca="1">IF(raw_exchange_data!$A482="","",TEXT(OFFSET(raw_exchange_data!$A482,0,MATCH(Q$2,raw_exchange_data!$1:$1,0)-1),""))</f>
        <v/>
      </c>
      <c r="R483" s="162" t="str">
        <f ca="1">IF(raw_exchange_data!$A482="","",OFFSET(raw_exchange_data!$A482,0,MATCH(R$2,raw_exchange_data!$1:$1,0)-1))</f>
        <v/>
      </c>
      <c r="S483" s="190" t="str">
        <f ca="1">IF(raw_exchange_data!$A482="","",OFFSET(raw_exchange_data!$A482,0,MATCH(S$2,raw_exchange_data!$1:$1,0)-1))</f>
        <v/>
      </c>
      <c r="W483" t="str">
        <f t="shared" si="38"/>
        <v/>
      </c>
      <c r="X483" t="str">
        <f t="shared" si="39"/>
        <v/>
      </c>
      <c r="Y483" s="42" t="str">
        <f t="shared" si="40"/>
        <v/>
      </c>
      <c r="Z483" s="42" t="str">
        <f t="shared" si="41"/>
        <v/>
      </c>
    </row>
    <row r="484" spans="1:26" x14ac:dyDescent="0.25">
      <c r="A484" t="str">
        <f>IF(Summary_Exchange_Balances_00UTC!$B483="","",Summary_Exchange_Balances_00UTC!$N483)</f>
        <v/>
      </c>
      <c r="B484" t="str">
        <f>IF(Summary_Exchange_Balances_00UTC!$B483="","",Summary_Exchange_Balances_00UTC!$B483)</f>
        <v/>
      </c>
      <c r="C484" t="str">
        <f>IF(Summary_Exchange_Balances_00UTC!$B483="","",Summary_Exchange_Balances_00UTC!$E483)</f>
        <v/>
      </c>
      <c r="E484" s="52" t="str">
        <f>IF(Summary_Exchange_Balances_00UTC!$B483="","",Summary_Exchange_Balances_00UTC!$C483)</f>
        <v/>
      </c>
      <c r="G484" s="52" t="str">
        <f>IF(Summary_Exchange_Balances_00UTC!$B483="","",VLOOKUP(IF(ISERROR(SEARCH(" ", $B484)),UPPER($B484&amp;$C484&amp;IF(OR(NOT(ISERROR(SEARCH("trade",$D484))),NOT(ISERROR(SEARCH("balance",$D484)))),"",$D484)),UPPER(LEFT($B484, SEARCH(" ",$B484)-1)&amp;$C484&amp;IF(OR(NOT(ISERROR(SEARCH("trade",$D484))),NOT(ISERROR(SEARCH("balance",$D484)))),"",$D484))),$L:$T,MATCH("balance",$L$2:$S$2,0),FALSE))</f>
        <v/>
      </c>
      <c r="H484" s="35" t="str">
        <f>IF(Summary_Exchange_Balances_00UTC!$B483="","",(G484-E484)/E484)</f>
        <v/>
      </c>
      <c r="I484" s="165" t="str">
        <f>IF(Summary_Exchange_Balances_00UTC!$B483="","",IF(ISERROR($G484),$E484,$G484))</f>
        <v/>
      </c>
      <c r="L484" t="str">
        <f t="shared" ca="1" si="37"/>
        <v/>
      </c>
      <c r="N484" s="161" t="str">
        <f ca="1">IF(raw_exchange_data!$A483="","",OFFSET(raw_exchange_data!$A483,0,MATCH(N$2,raw_exchange_data!$1:$1,0)-1))</f>
        <v/>
      </c>
      <c r="O484" s="161" t="str">
        <f ca="1">IF(raw_exchange_data!$A483="","",OFFSET(raw_exchange_data!$A483,0,MATCH(O$2,raw_exchange_data!$1:$1,0)-1))</f>
        <v/>
      </c>
      <c r="P484" s="161" t="str">
        <f ca="1">IF(raw_exchange_data!$A483="","",OFFSET(raw_exchange_data!$A483,0,MATCH(P$2,raw_exchange_data!$1:$1,0)-1))</f>
        <v/>
      </c>
      <c r="Q484" s="161" t="str">
        <f ca="1">IF(raw_exchange_data!$A483="","",TEXT(OFFSET(raw_exchange_data!$A483,0,MATCH(Q$2,raw_exchange_data!$1:$1,0)-1),""))</f>
        <v/>
      </c>
      <c r="R484" s="162" t="str">
        <f ca="1">IF(raw_exchange_data!$A483="","",OFFSET(raw_exchange_data!$A483,0,MATCH(R$2,raw_exchange_data!$1:$1,0)-1))</f>
        <v/>
      </c>
      <c r="S484" s="190" t="str">
        <f ca="1">IF(raw_exchange_data!$A483="","",OFFSET(raw_exchange_data!$A483,0,MATCH(S$2,raw_exchange_data!$1:$1,0)-1))</f>
        <v/>
      </c>
      <c r="W484" t="str">
        <f t="shared" si="38"/>
        <v/>
      </c>
      <c r="X484" t="str">
        <f t="shared" si="39"/>
        <v/>
      </c>
      <c r="Y484" s="42" t="str">
        <f t="shared" si="40"/>
        <v/>
      </c>
      <c r="Z484" s="42" t="str">
        <f t="shared" si="41"/>
        <v/>
      </c>
    </row>
    <row r="485" spans="1:26" x14ac:dyDescent="0.25">
      <c r="A485" t="str">
        <f>IF(Summary_Exchange_Balances_00UTC!$B484="","",Summary_Exchange_Balances_00UTC!$N484)</f>
        <v/>
      </c>
      <c r="B485" t="str">
        <f>IF(Summary_Exchange_Balances_00UTC!$B484="","",Summary_Exchange_Balances_00UTC!$B484)</f>
        <v/>
      </c>
      <c r="C485" t="str">
        <f>IF(Summary_Exchange_Balances_00UTC!$B484="","",Summary_Exchange_Balances_00UTC!$E484)</f>
        <v/>
      </c>
      <c r="E485" s="52" t="str">
        <f>IF(Summary_Exchange_Balances_00UTC!$B484="","",Summary_Exchange_Balances_00UTC!$C484)</f>
        <v/>
      </c>
      <c r="G485" s="52" t="str">
        <f>IF(Summary_Exchange_Balances_00UTC!$B484="","",VLOOKUP(IF(ISERROR(SEARCH(" ", $B485)),UPPER($B485&amp;$C485&amp;IF(OR(NOT(ISERROR(SEARCH("trade",$D485))),NOT(ISERROR(SEARCH("balance",$D485)))),"",$D485)),UPPER(LEFT($B485, SEARCH(" ",$B485)-1)&amp;$C485&amp;IF(OR(NOT(ISERROR(SEARCH("trade",$D485))),NOT(ISERROR(SEARCH("balance",$D485)))),"",$D485))),$L:$T,MATCH("balance",$L$2:$S$2,0),FALSE))</f>
        <v/>
      </c>
      <c r="H485" s="35" t="str">
        <f>IF(Summary_Exchange_Balances_00UTC!$B484="","",(G485-E485)/E485)</f>
        <v/>
      </c>
      <c r="I485" s="165" t="str">
        <f>IF(Summary_Exchange_Balances_00UTC!$B484="","",IF(ISERROR($G485),$E485,$G485))</f>
        <v/>
      </c>
      <c r="L485" t="str">
        <f t="shared" ca="1" si="37"/>
        <v/>
      </c>
      <c r="N485" s="161" t="str">
        <f ca="1">IF(raw_exchange_data!$A484="","",OFFSET(raw_exchange_data!$A484,0,MATCH(N$2,raw_exchange_data!$1:$1,0)-1))</f>
        <v/>
      </c>
      <c r="O485" s="161" t="str">
        <f ca="1">IF(raw_exchange_data!$A484="","",OFFSET(raw_exchange_data!$A484,0,MATCH(O$2,raw_exchange_data!$1:$1,0)-1))</f>
        <v/>
      </c>
      <c r="P485" s="161" t="str">
        <f ca="1">IF(raw_exchange_data!$A484="","",OFFSET(raw_exchange_data!$A484,0,MATCH(P$2,raw_exchange_data!$1:$1,0)-1))</f>
        <v/>
      </c>
      <c r="Q485" s="161" t="str">
        <f ca="1">IF(raw_exchange_data!$A484="","",TEXT(OFFSET(raw_exchange_data!$A484,0,MATCH(Q$2,raw_exchange_data!$1:$1,0)-1),""))</f>
        <v/>
      </c>
      <c r="R485" s="162" t="str">
        <f ca="1">IF(raw_exchange_data!$A484="","",OFFSET(raw_exchange_data!$A484,0,MATCH(R$2,raw_exchange_data!$1:$1,0)-1))</f>
        <v/>
      </c>
      <c r="S485" s="190" t="str">
        <f ca="1">IF(raw_exchange_data!$A484="","",OFFSET(raw_exchange_data!$A484,0,MATCH(S$2,raw_exchange_data!$1:$1,0)-1))</f>
        <v/>
      </c>
      <c r="W485" t="str">
        <f t="shared" si="38"/>
        <v/>
      </c>
      <c r="X485" t="str">
        <f t="shared" si="39"/>
        <v/>
      </c>
      <c r="Y485" s="42" t="str">
        <f t="shared" si="40"/>
        <v/>
      </c>
      <c r="Z485" s="42" t="str">
        <f t="shared" si="41"/>
        <v/>
      </c>
    </row>
    <row r="486" spans="1:26" x14ac:dyDescent="0.25">
      <c r="A486" t="str">
        <f>IF(Summary_Exchange_Balances_00UTC!$B485="","",Summary_Exchange_Balances_00UTC!$N485)</f>
        <v/>
      </c>
      <c r="B486" t="str">
        <f>IF(Summary_Exchange_Balances_00UTC!$B485="","",Summary_Exchange_Balances_00UTC!$B485)</f>
        <v/>
      </c>
      <c r="C486" t="str">
        <f>IF(Summary_Exchange_Balances_00UTC!$B485="","",Summary_Exchange_Balances_00UTC!$E485)</f>
        <v/>
      </c>
      <c r="E486" s="52" t="str">
        <f>IF(Summary_Exchange_Balances_00UTC!$B485="","",Summary_Exchange_Balances_00UTC!$C485)</f>
        <v/>
      </c>
      <c r="G486" s="52" t="str">
        <f>IF(Summary_Exchange_Balances_00UTC!$B485="","",VLOOKUP(IF(ISERROR(SEARCH(" ", $B486)),UPPER($B486&amp;$C486&amp;IF(OR(NOT(ISERROR(SEARCH("trade",$D486))),NOT(ISERROR(SEARCH("balance",$D486)))),"",$D486)),UPPER(LEFT($B486, SEARCH(" ",$B486)-1)&amp;$C486&amp;IF(OR(NOT(ISERROR(SEARCH("trade",$D486))),NOT(ISERROR(SEARCH("balance",$D486)))),"",$D486))),$L:$T,MATCH("balance",$L$2:$S$2,0),FALSE))</f>
        <v/>
      </c>
      <c r="H486" s="35" t="str">
        <f>IF(Summary_Exchange_Balances_00UTC!$B485="","",(G486-E486)/E486)</f>
        <v/>
      </c>
      <c r="I486" s="165" t="str">
        <f>IF(Summary_Exchange_Balances_00UTC!$B485="","",IF(ISERROR($G486),$E486,$G486))</f>
        <v/>
      </c>
      <c r="L486" t="str">
        <f t="shared" ca="1" si="37"/>
        <v/>
      </c>
      <c r="N486" s="161" t="str">
        <f ca="1">IF(raw_exchange_data!$A485="","",OFFSET(raw_exchange_data!$A485,0,MATCH(N$2,raw_exchange_data!$1:$1,0)-1))</f>
        <v/>
      </c>
      <c r="O486" s="161" t="str">
        <f ca="1">IF(raw_exchange_data!$A485="","",OFFSET(raw_exchange_data!$A485,0,MATCH(O$2,raw_exchange_data!$1:$1,0)-1))</f>
        <v/>
      </c>
      <c r="P486" s="161" t="str">
        <f ca="1">IF(raw_exchange_data!$A485="","",OFFSET(raw_exchange_data!$A485,0,MATCH(P$2,raw_exchange_data!$1:$1,0)-1))</f>
        <v/>
      </c>
      <c r="Q486" s="161" t="str">
        <f ca="1">IF(raw_exchange_data!$A485="","",TEXT(OFFSET(raw_exchange_data!$A485,0,MATCH(Q$2,raw_exchange_data!$1:$1,0)-1),""))</f>
        <v/>
      </c>
      <c r="R486" s="162" t="str">
        <f ca="1">IF(raw_exchange_data!$A485="","",OFFSET(raw_exchange_data!$A485,0,MATCH(R$2,raw_exchange_data!$1:$1,0)-1))</f>
        <v/>
      </c>
      <c r="S486" s="190" t="str">
        <f ca="1">IF(raw_exchange_data!$A485="","",OFFSET(raw_exchange_data!$A485,0,MATCH(S$2,raw_exchange_data!$1:$1,0)-1))</f>
        <v/>
      </c>
      <c r="W486" t="str">
        <f t="shared" si="38"/>
        <v/>
      </c>
      <c r="X486" t="str">
        <f t="shared" si="39"/>
        <v/>
      </c>
      <c r="Y486" s="42" t="str">
        <f t="shared" si="40"/>
        <v/>
      </c>
      <c r="Z486" s="42" t="str">
        <f t="shared" si="41"/>
        <v/>
      </c>
    </row>
    <row r="487" spans="1:26" x14ac:dyDescent="0.25">
      <c r="A487" t="str">
        <f>IF(Summary_Exchange_Balances_00UTC!$B486="","",Summary_Exchange_Balances_00UTC!$N486)</f>
        <v/>
      </c>
      <c r="B487" t="str">
        <f>IF(Summary_Exchange_Balances_00UTC!$B486="","",Summary_Exchange_Balances_00UTC!$B486)</f>
        <v/>
      </c>
      <c r="C487" t="str">
        <f>IF(Summary_Exchange_Balances_00UTC!$B486="","",Summary_Exchange_Balances_00UTC!$E486)</f>
        <v/>
      </c>
      <c r="E487" s="52" t="str">
        <f>IF(Summary_Exchange_Balances_00UTC!$B486="","",Summary_Exchange_Balances_00UTC!$C486)</f>
        <v/>
      </c>
      <c r="G487" s="52" t="str">
        <f>IF(Summary_Exchange_Balances_00UTC!$B486="","",VLOOKUP(IF(ISERROR(SEARCH(" ", $B487)),UPPER($B487&amp;$C487&amp;IF(OR(NOT(ISERROR(SEARCH("trade",$D487))),NOT(ISERROR(SEARCH("balance",$D487)))),"",$D487)),UPPER(LEFT($B487, SEARCH(" ",$B487)-1)&amp;$C487&amp;IF(OR(NOT(ISERROR(SEARCH("trade",$D487))),NOT(ISERROR(SEARCH("balance",$D487)))),"",$D487))),$L:$T,MATCH("balance",$L$2:$S$2,0),FALSE))</f>
        <v/>
      </c>
      <c r="H487" s="35" t="str">
        <f>IF(Summary_Exchange_Balances_00UTC!$B486="","",(G487-E487)/E487)</f>
        <v/>
      </c>
      <c r="I487" s="165" t="str">
        <f>IF(Summary_Exchange_Balances_00UTC!$B486="","",IF(ISERROR($G487),$E487,$G487))</f>
        <v/>
      </c>
      <c r="L487" t="str">
        <f t="shared" ca="1" si="37"/>
        <v/>
      </c>
      <c r="N487" s="161" t="str">
        <f ca="1">IF(raw_exchange_data!$A486="","",OFFSET(raw_exchange_data!$A486,0,MATCH(N$2,raw_exchange_data!$1:$1,0)-1))</f>
        <v/>
      </c>
      <c r="O487" s="161" t="str">
        <f ca="1">IF(raw_exchange_data!$A486="","",OFFSET(raw_exchange_data!$A486,0,MATCH(O$2,raw_exchange_data!$1:$1,0)-1))</f>
        <v/>
      </c>
      <c r="P487" s="161" t="str">
        <f ca="1">IF(raw_exchange_data!$A486="","",OFFSET(raw_exchange_data!$A486,0,MATCH(P$2,raw_exchange_data!$1:$1,0)-1))</f>
        <v/>
      </c>
      <c r="Q487" s="161" t="str">
        <f ca="1">IF(raw_exchange_data!$A486="","",TEXT(OFFSET(raw_exchange_data!$A486,0,MATCH(Q$2,raw_exchange_data!$1:$1,0)-1),""))</f>
        <v/>
      </c>
      <c r="R487" s="162" t="str">
        <f ca="1">IF(raw_exchange_data!$A486="","",OFFSET(raw_exchange_data!$A486,0,MATCH(R$2,raw_exchange_data!$1:$1,0)-1))</f>
        <v/>
      </c>
      <c r="S487" s="190" t="str">
        <f ca="1">IF(raw_exchange_data!$A486="","",OFFSET(raw_exchange_data!$A486,0,MATCH(S$2,raw_exchange_data!$1:$1,0)-1))</f>
        <v/>
      </c>
      <c r="W487" t="str">
        <f t="shared" si="38"/>
        <v/>
      </c>
      <c r="X487" t="str">
        <f t="shared" si="39"/>
        <v/>
      </c>
      <c r="Y487" s="42" t="str">
        <f t="shared" si="40"/>
        <v/>
      </c>
      <c r="Z487" s="42" t="str">
        <f t="shared" si="41"/>
        <v/>
      </c>
    </row>
    <row r="488" spans="1:26" x14ac:dyDescent="0.25">
      <c r="A488" t="str">
        <f>IF(Summary_Exchange_Balances_00UTC!$B487="","",Summary_Exchange_Balances_00UTC!$N487)</f>
        <v/>
      </c>
      <c r="B488" t="str">
        <f>IF(Summary_Exchange_Balances_00UTC!$B487="","",Summary_Exchange_Balances_00UTC!$B487)</f>
        <v/>
      </c>
      <c r="C488" t="str">
        <f>IF(Summary_Exchange_Balances_00UTC!$B487="","",Summary_Exchange_Balances_00UTC!$E487)</f>
        <v/>
      </c>
      <c r="E488" s="52" t="str">
        <f>IF(Summary_Exchange_Balances_00UTC!$B487="","",Summary_Exchange_Balances_00UTC!$C487)</f>
        <v/>
      </c>
      <c r="G488" s="52" t="str">
        <f>IF(Summary_Exchange_Balances_00UTC!$B487="","",VLOOKUP(IF(ISERROR(SEARCH(" ", $B488)),UPPER($B488&amp;$C488&amp;IF(OR(NOT(ISERROR(SEARCH("trade",$D488))),NOT(ISERROR(SEARCH("balance",$D488)))),"",$D488)),UPPER(LEFT($B488, SEARCH(" ",$B488)-1)&amp;$C488&amp;IF(OR(NOT(ISERROR(SEARCH("trade",$D488))),NOT(ISERROR(SEARCH("balance",$D488)))),"",$D488))),$L:$T,MATCH("balance",$L$2:$S$2,0),FALSE))</f>
        <v/>
      </c>
      <c r="H488" s="35" t="str">
        <f>IF(Summary_Exchange_Balances_00UTC!$B487="","",(G488-E488)/E488)</f>
        <v/>
      </c>
      <c r="I488" s="165" t="str">
        <f>IF(Summary_Exchange_Balances_00UTC!$B487="","",IF(ISERROR($G488),$E488,$G488))</f>
        <v/>
      </c>
      <c r="L488" t="str">
        <f t="shared" ca="1" si="37"/>
        <v/>
      </c>
      <c r="N488" s="161" t="str">
        <f ca="1">IF(raw_exchange_data!$A487="","",OFFSET(raw_exchange_data!$A487,0,MATCH(N$2,raw_exchange_data!$1:$1,0)-1))</f>
        <v/>
      </c>
      <c r="O488" s="161" t="str">
        <f ca="1">IF(raw_exchange_data!$A487="","",OFFSET(raw_exchange_data!$A487,0,MATCH(O$2,raw_exchange_data!$1:$1,0)-1))</f>
        <v/>
      </c>
      <c r="P488" s="161" t="str">
        <f ca="1">IF(raw_exchange_data!$A487="","",OFFSET(raw_exchange_data!$A487,0,MATCH(P$2,raw_exchange_data!$1:$1,0)-1))</f>
        <v/>
      </c>
      <c r="Q488" s="161" t="str">
        <f ca="1">IF(raw_exchange_data!$A487="","",TEXT(OFFSET(raw_exchange_data!$A487,0,MATCH(Q$2,raw_exchange_data!$1:$1,0)-1),""))</f>
        <v/>
      </c>
      <c r="R488" s="162" t="str">
        <f ca="1">IF(raw_exchange_data!$A487="","",OFFSET(raw_exchange_data!$A487,0,MATCH(R$2,raw_exchange_data!$1:$1,0)-1))</f>
        <v/>
      </c>
      <c r="S488" s="190" t="str">
        <f ca="1">IF(raw_exchange_data!$A487="","",OFFSET(raw_exchange_data!$A487,0,MATCH(S$2,raw_exchange_data!$1:$1,0)-1))</f>
        <v/>
      </c>
      <c r="W488" t="str">
        <f t="shared" si="38"/>
        <v/>
      </c>
      <c r="X488" t="str">
        <f t="shared" si="39"/>
        <v/>
      </c>
      <c r="Y488" s="42" t="str">
        <f t="shared" si="40"/>
        <v/>
      </c>
      <c r="Z488" s="42" t="str">
        <f t="shared" si="41"/>
        <v/>
      </c>
    </row>
    <row r="489" spans="1:26" x14ac:dyDescent="0.25">
      <c r="A489" t="str">
        <f>IF(Summary_Exchange_Balances_00UTC!$B488="","",Summary_Exchange_Balances_00UTC!$N488)</f>
        <v/>
      </c>
      <c r="B489" t="str">
        <f>IF(Summary_Exchange_Balances_00UTC!$B488="","",Summary_Exchange_Balances_00UTC!$B488)</f>
        <v/>
      </c>
      <c r="C489" t="str">
        <f>IF(Summary_Exchange_Balances_00UTC!$B488="","",Summary_Exchange_Balances_00UTC!$E488)</f>
        <v/>
      </c>
      <c r="E489" s="52" t="str">
        <f>IF(Summary_Exchange_Balances_00UTC!$B488="","",Summary_Exchange_Balances_00UTC!$C488)</f>
        <v/>
      </c>
      <c r="G489" s="52" t="str">
        <f>IF(Summary_Exchange_Balances_00UTC!$B488="","",VLOOKUP(IF(ISERROR(SEARCH(" ", $B489)),UPPER($B489&amp;$C489&amp;IF(OR(NOT(ISERROR(SEARCH("trade",$D489))),NOT(ISERROR(SEARCH("balance",$D489)))),"",$D489)),UPPER(LEFT($B489, SEARCH(" ",$B489)-1)&amp;$C489&amp;IF(OR(NOT(ISERROR(SEARCH("trade",$D489))),NOT(ISERROR(SEARCH("balance",$D489)))),"",$D489))),$L:$T,MATCH("balance",$L$2:$S$2,0),FALSE))</f>
        <v/>
      </c>
      <c r="H489" s="35" t="str">
        <f>IF(Summary_Exchange_Balances_00UTC!$B488="","",(G489-E489)/E489)</f>
        <v/>
      </c>
      <c r="I489" s="165" t="str">
        <f>IF(Summary_Exchange_Balances_00UTC!$B488="","",IF(ISERROR($G489),$E489,$G489))</f>
        <v/>
      </c>
      <c r="L489" t="str">
        <f t="shared" ca="1" si="37"/>
        <v/>
      </c>
      <c r="N489" s="161" t="str">
        <f ca="1">IF(raw_exchange_data!$A488="","",OFFSET(raw_exchange_data!$A488,0,MATCH(N$2,raw_exchange_data!$1:$1,0)-1))</f>
        <v/>
      </c>
      <c r="O489" s="161" t="str">
        <f ca="1">IF(raw_exchange_data!$A488="","",OFFSET(raw_exchange_data!$A488,0,MATCH(O$2,raw_exchange_data!$1:$1,0)-1))</f>
        <v/>
      </c>
      <c r="P489" s="161" t="str">
        <f ca="1">IF(raw_exchange_data!$A488="","",OFFSET(raw_exchange_data!$A488,0,MATCH(P$2,raw_exchange_data!$1:$1,0)-1))</f>
        <v/>
      </c>
      <c r="Q489" s="161" t="str">
        <f ca="1">IF(raw_exchange_data!$A488="","",TEXT(OFFSET(raw_exchange_data!$A488,0,MATCH(Q$2,raw_exchange_data!$1:$1,0)-1),""))</f>
        <v/>
      </c>
      <c r="R489" s="162" t="str">
        <f ca="1">IF(raw_exchange_data!$A488="","",OFFSET(raw_exchange_data!$A488,0,MATCH(R$2,raw_exchange_data!$1:$1,0)-1))</f>
        <v/>
      </c>
      <c r="S489" s="190" t="str">
        <f ca="1">IF(raw_exchange_data!$A488="","",OFFSET(raw_exchange_data!$A488,0,MATCH(S$2,raw_exchange_data!$1:$1,0)-1))</f>
        <v/>
      </c>
      <c r="W489" t="str">
        <f t="shared" si="38"/>
        <v/>
      </c>
      <c r="X489" t="str">
        <f t="shared" si="39"/>
        <v/>
      </c>
      <c r="Y489" s="42" t="str">
        <f t="shared" si="40"/>
        <v/>
      </c>
      <c r="Z489" s="42" t="str">
        <f t="shared" si="41"/>
        <v/>
      </c>
    </row>
    <row r="490" spans="1:26" x14ac:dyDescent="0.25">
      <c r="A490" t="str">
        <f>IF(Summary_Exchange_Balances_00UTC!$B489="","",Summary_Exchange_Balances_00UTC!$N489)</f>
        <v/>
      </c>
      <c r="B490" t="str">
        <f>IF(Summary_Exchange_Balances_00UTC!$B489="","",Summary_Exchange_Balances_00UTC!$B489)</f>
        <v/>
      </c>
      <c r="C490" t="str">
        <f>IF(Summary_Exchange_Balances_00UTC!$B489="","",Summary_Exchange_Balances_00UTC!$E489)</f>
        <v/>
      </c>
      <c r="E490" s="52" t="str">
        <f>IF(Summary_Exchange_Balances_00UTC!$B489="","",Summary_Exchange_Balances_00UTC!$C489)</f>
        <v/>
      </c>
      <c r="G490" s="52" t="str">
        <f>IF(Summary_Exchange_Balances_00UTC!$B489="","",VLOOKUP(IF(ISERROR(SEARCH(" ", $B490)),UPPER($B490&amp;$C490&amp;IF(OR(NOT(ISERROR(SEARCH("trade",$D490))),NOT(ISERROR(SEARCH("balance",$D490)))),"",$D490)),UPPER(LEFT($B490, SEARCH(" ",$B490)-1)&amp;$C490&amp;IF(OR(NOT(ISERROR(SEARCH("trade",$D490))),NOT(ISERROR(SEARCH("balance",$D490)))),"",$D490))),$L:$T,MATCH("balance",$L$2:$S$2,0),FALSE))</f>
        <v/>
      </c>
      <c r="H490" s="35" t="str">
        <f>IF(Summary_Exchange_Balances_00UTC!$B489="","",(G490-E490)/E490)</f>
        <v/>
      </c>
      <c r="I490" s="165" t="str">
        <f>IF(Summary_Exchange_Balances_00UTC!$B489="","",IF(ISERROR($G490),$E490,$G490))</f>
        <v/>
      </c>
      <c r="L490" t="str">
        <f t="shared" ca="1" si="37"/>
        <v/>
      </c>
      <c r="N490" s="161" t="str">
        <f ca="1">IF(raw_exchange_data!$A489="","",OFFSET(raw_exchange_data!$A489,0,MATCH(N$2,raw_exchange_data!$1:$1,0)-1))</f>
        <v/>
      </c>
      <c r="O490" s="161" t="str">
        <f ca="1">IF(raw_exchange_data!$A489="","",OFFSET(raw_exchange_data!$A489,0,MATCH(O$2,raw_exchange_data!$1:$1,0)-1))</f>
        <v/>
      </c>
      <c r="P490" s="161" t="str">
        <f ca="1">IF(raw_exchange_data!$A489="","",OFFSET(raw_exchange_data!$A489,0,MATCH(P$2,raw_exchange_data!$1:$1,0)-1))</f>
        <v/>
      </c>
      <c r="Q490" s="161" t="str">
        <f ca="1">IF(raw_exchange_data!$A489="","",TEXT(OFFSET(raw_exchange_data!$A489,0,MATCH(Q$2,raw_exchange_data!$1:$1,0)-1),""))</f>
        <v/>
      </c>
      <c r="R490" s="162" t="str">
        <f ca="1">IF(raw_exchange_data!$A489="","",OFFSET(raw_exchange_data!$A489,0,MATCH(R$2,raw_exchange_data!$1:$1,0)-1))</f>
        <v/>
      </c>
      <c r="S490" s="190" t="str">
        <f ca="1">IF(raw_exchange_data!$A489="","",OFFSET(raw_exchange_data!$A489,0,MATCH(S$2,raw_exchange_data!$1:$1,0)-1))</f>
        <v/>
      </c>
      <c r="W490" t="str">
        <f t="shared" si="38"/>
        <v/>
      </c>
      <c r="X490" t="str">
        <f t="shared" si="39"/>
        <v/>
      </c>
      <c r="Y490" s="42" t="str">
        <f t="shared" si="40"/>
        <v/>
      </c>
      <c r="Z490" s="42" t="str">
        <f t="shared" si="41"/>
        <v/>
      </c>
    </row>
    <row r="491" spans="1:26" x14ac:dyDescent="0.25">
      <c r="A491" t="str">
        <f>IF(Summary_Exchange_Balances_00UTC!$B490="","",Summary_Exchange_Balances_00UTC!$N490)</f>
        <v/>
      </c>
      <c r="B491" t="str">
        <f>IF(Summary_Exchange_Balances_00UTC!$B490="","",Summary_Exchange_Balances_00UTC!$B490)</f>
        <v/>
      </c>
      <c r="C491" t="str">
        <f>IF(Summary_Exchange_Balances_00UTC!$B490="","",Summary_Exchange_Balances_00UTC!$E490)</f>
        <v/>
      </c>
      <c r="E491" s="52" t="str">
        <f>IF(Summary_Exchange_Balances_00UTC!$B490="","",Summary_Exchange_Balances_00UTC!$C490)</f>
        <v/>
      </c>
      <c r="G491" s="52" t="str">
        <f>IF(Summary_Exchange_Balances_00UTC!$B490="","",VLOOKUP(IF(ISERROR(SEARCH(" ", $B491)),UPPER($B491&amp;$C491&amp;IF(OR(NOT(ISERROR(SEARCH("trade",$D491))),NOT(ISERROR(SEARCH("balance",$D491)))),"",$D491)),UPPER(LEFT($B491, SEARCH(" ",$B491)-1)&amp;$C491&amp;IF(OR(NOT(ISERROR(SEARCH("trade",$D491))),NOT(ISERROR(SEARCH("balance",$D491)))),"",$D491))),$L:$T,MATCH("balance",$L$2:$S$2,0),FALSE))</f>
        <v/>
      </c>
      <c r="H491" s="35" t="str">
        <f>IF(Summary_Exchange_Balances_00UTC!$B490="","",(G491-E491)/E491)</f>
        <v/>
      </c>
      <c r="I491" s="165" t="str">
        <f>IF(Summary_Exchange_Balances_00UTC!$B490="","",IF(ISERROR($G491),$E491,$G491))</f>
        <v/>
      </c>
      <c r="L491" t="str">
        <f t="shared" ca="1" si="37"/>
        <v/>
      </c>
      <c r="N491" s="161" t="str">
        <f ca="1">IF(raw_exchange_data!$A490="","",OFFSET(raw_exchange_data!$A490,0,MATCH(N$2,raw_exchange_data!$1:$1,0)-1))</f>
        <v/>
      </c>
      <c r="O491" s="161" t="str">
        <f ca="1">IF(raw_exchange_data!$A490="","",OFFSET(raw_exchange_data!$A490,0,MATCH(O$2,raw_exchange_data!$1:$1,0)-1))</f>
        <v/>
      </c>
      <c r="P491" s="161" t="str">
        <f ca="1">IF(raw_exchange_data!$A490="","",OFFSET(raw_exchange_data!$A490,0,MATCH(P$2,raw_exchange_data!$1:$1,0)-1))</f>
        <v/>
      </c>
      <c r="Q491" s="161" t="str">
        <f ca="1">IF(raw_exchange_data!$A490="","",TEXT(OFFSET(raw_exchange_data!$A490,0,MATCH(Q$2,raw_exchange_data!$1:$1,0)-1),""))</f>
        <v/>
      </c>
      <c r="R491" s="162" t="str">
        <f ca="1">IF(raw_exchange_data!$A490="","",OFFSET(raw_exchange_data!$A490,0,MATCH(R$2,raw_exchange_data!$1:$1,0)-1))</f>
        <v/>
      </c>
      <c r="S491" s="190" t="str">
        <f ca="1">IF(raw_exchange_data!$A490="","",OFFSET(raw_exchange_data!$A490,0,MATCH(S$2,raw_exchange_data!$1:$1,0)-1))</f>
        <v/>
      </c>
      <c r="W491" t="str">
        <f t="shared" si="38"/>
        <v/>
      </c>
      <c r="X491" t="str">
        <f t="shared" si="39"/>
        <v/>
      </c>
      <c r="Y491" s="42" t="str">
        <f t="shared" si="40"/>
        <v/>
      </c>
      <c r="Z491" s="42" t="str">
        <f t="shared" si="41"/>
        <v/>
      </c>
    </row>
    <row r="492" spans="1:26" x14ac:dyDescent="0.25">
      <c r="A492" t="str">
        <f>IF(Summary_Exchange_Balances_00UTC!$B491="","",Summary_Exchange_Balances_00UTC!$N491)</f>
        <v/>
      </c>
      <c r="B492" t="str">
        <f>IF(Summary_Exchange_Balances_00UTC!$B491="","",Summary_Exchange_Balances_00UTC!$B491)</f>
        <v/>
      </c>
      <c r="C492" t="str">
        <f>IF(Summary_Exchange_Balances_00UTC!$B491="","",Summary_Exchange_Balances_00UTC!$E491)</f>
        <v/>
      </c>
      <c r="E492" s="52" t="str">
        <f>IF(Summary_Exchange_Balances_00UTC!$B491="","",Summary_Exchange_Balances_00UTC!$C491)</f>
        <v/>
      </c>
      <c r="G492" s="52" t="str">
        <f>IF(Summary_Exchange_Balances_00UTC!$B491="","",VLOOKUP(IF(ISERROR(SEARCH(" ", $B492)),UPPER($B492&amp;$C492&amp;IF(OR(NOT(ISERROR(SEARCH("trade",$D492))),NOT(ISERROR(SEARCH("balance",$D492)))),"",$D492)),UPPER(LEFT($B492, SEARCH(" ",$B492)-1)&amp;$C492&amp;IF(OR(NOT(ISERROR(SEARCH("trade",$D492))),NOT(ISERROR(SEARCH("balance",$D492)))),"",$D492))),$L:$T,MATCH("balance",$L$2:$S$2,0),FALSE))</f>
        <v/>
      </c>
      <c r="H492" s="35" t="str">
        <f>IF(Summary_Exchange_Balances_00UTC!$B491="","",(G492-E492)/E492)</f>
        <v/>
      </c>
      <c r="I492" s="165" t="str">
        <f>IF(Summary_Exchange_Balances_00UTC!$B491="","",IF(ISERROR($G492),$E492,$G492))</f>
        <v/>
      </c>
      <c r="L492" t="str">
        <f t="shared" ca="1" si="37"/>
        <v/>
      </c>
      <c r="N492" s="161" t="str">
        <f ca="1">IF(raw_exchange_data!$A491="","",OFFSET(raw_exchange_data!$A491,0,MATCH(N$2,raw_exchange_data!$1:$1,0)-1))</f>
        <v/>
      </c>
      <c r="O492" s="161" t="str">
        <f ca="1">IF(raw_exchange_data!$A491="","",OFFSET(raw_exchange_data!$A491,0,MATCH(O$2,raw_exchange_data!$1:$1,0)-1))</f>
        <v/>
      </c>
      <c r="P492" s="161" t="str">
        <f ca="1">IF(raw_exchange_data!$A491="","",OFFSET(raw_exchange_data!$A491,0,MATCH(P$2,raw_exchange_data!$1:$1,0)-1))</f>
        <v/>
      </c>
      <c r="Q492" s="161" t="str">
        <f ca="1">IF(raw_exchange_data!$A491="","",TEXT(OFFSET(raw_exchange_data!$A491,0,MATCH(Q$2,raw_exchange_data!$1:$1,0)-1),""))</f>
        <v/>
      </c>
      <c r="R492" s="162" t="str">
        <f ca="1">IF(raw_exchange_data!$A491="","",OFFSET(raw_exchange_data!$A491,0,MATCH(R$2,raw_exchange_data!$1:$1,0)-1))</f>
        <v/>
      </c>
      <c r="S492" s="190" t="str">
        <f ca="1">IF(raw_exchange_data!$A491="","",OFFSET(raw_exchange_data!$A491,0,MATCH(S$2,raw_exchange_data!$1:$1,0)-1))</f>
        <v/>
      </c>
      <c r="W492" t="str">
        <f t="shared" si="38"/>
        <v/>
      </c>
      <c r="X492" t="str">
        <f t="shared" si="39"/>
        <v/>
      </c>
      <c r="Y492" s="42" t="str">
        <f t="shared" si="40"/>
        <v/>
      </c>
      <c r="Z492" s="42" t="str">
        <f t="shared" si="41"/>
        <v/>
      </c>
    </row>
    <row r="493" spans="1:26" x14ac:dyDescent="0.25">
      <c r="A493" t="str">
        <f>IF(Summary_Exchange_Balances_00UTC!$B492="","",Summary_Exchange_Balances_00UTC!$N492)</f>
        <v/>
      </c>
      <c r="B493" t="str">
        <f>IF(Summary_Exchange_Balances_00UTC!$B492="","",Summary_Exchange_Balances_00UTC!$B492)</f>
        <v/>
      </c>
      <c r="C493" t="str">
        <f>IF(Summary_Exchange_Balances_00UTC!$B492="","",Summary_Exchange_Balances_00UTC!$E492)</f>
        <v/>
      </c>
      <c r="E493" s="52" t="str">
        <f>IF(Summary_Exchange_Balances_00UTC!$B492="","",Summary_Exchange_Balances_00UTC!$C492)</f>
        <v/>
      </c>
      <c r="G493" s="52" t="str">
        <f>IF(Summary_Exchange_Balances_00UTC!$B492="","",VLOOKUP(IF(ISERROR(SEARCH(" ", $B493)),UPPER($B493&amp;$C493&amp;IF(OR(NOT(ISERROR(SEARCH("trade",$D493))),NOT(ISERROR(SEARCH("balance",$D493)))),"",$D493)),UPPER(LEFT($B493, SEARCH(" ",$B493)-1)&amp;$C493&amp;IF(OR(NOT(ISERROR(SEARCH("trade",$D493))),NOT(ISERROR(SEARCH("balance",$D493)))),"",$D493))),$L:$T,MATCH("balance",$L$2:$S$2,0),FALSE))</f>
        <v/>
      </c>
      <c r="H493" s="35" t="str">
        <f>IF(Summary_Exchange_Balances_00UTC!$B492="","",(G493-E493)/E493)</f>
        <v/>
      </c>
      <c r="I493" s="165" t="str">
        <f>IF(Summary_Exchange_Balances_00UTC!$B492="","",IF(ISERROR($G493),$E493,$G493))</f>
        <v/>
      </c>
      <c r="L493" t="str">
        <f t="shared" ca="1" si="37"/>
        <v/>
      </c>
      <c r="N493" s="161" t="str">
        <f ca="1">IF(raw_exchange_data!$A492="","",OFFSET(raw_exchange_data!$A492,0,MATCH(N$2,raw_exchange_data!$1:$1,0)-1))</f>
        <v/>
      </c>
      <c r="O493" s="161" t="str">
        <f ca="1">IF(raw_exchange_data!$A492="","",OFFSET(raw_exchange_data!$A492,0,MATCH(O$2,raw_exchange_data!$1:$1,0)-1))</f>
        <v/>
      </c>
      <c r="P493" s="161" t="str">
        <f ca="1">IF(raw_exchange_data!$A492="","",OFFSET(raw_exchange_data!$A492,0,MATCH(P$2,raw_exchange_data!$1:$1,0)-1))</f>
        <v/>
      </c>
      <c r="Q493" s="161" t="str">
        <f ca="1">IF(raw_exchange_data!$A492="","",TEXT(OFFSET(raw_exchange_data!$A492,0,MATCH(Q$2,raw_exchange_data!$1:$1,0)-1),""))</f>
        <v/>
      </c>
      <c r="R493" s="162" t="str">
        <f ca="1">IF(raw_exchange_data!$A492="","",OFFSET(raw_exchange_data!$A492,0,MATCH(R$2,raw_exchange_data!$1:$1,0)-1))</f>
        <v/>
      </c>
      <c r="S493" s="190" t="str">
        <f ca="1">IF(raw_exchange_data!$A492="","",OFFSET(raw_exchange_data!$A492,0,MATCH(S$2,raw_exchange_data!$1:$1,0)-1))</f>
        <v/>
      </c>
      <c r="W493" t="str">
        <f t="shared" si="38"/>
        <v/>
      </c>
      <c r="X493" t="str">
        <f t="shared" si="39"/>
        <v/>
      </c>
      <c r="Y493" s="42" t="str">
        <f t="shared" si="40"/>
        <v/>
      </c>
      <c r="Z493" s="42" t="str">
        <f t="shared" si="41"/>
        <v/>
      </c>
    </row>
    <row r="494" spans="1:26" x14ac:dyDescent="0.25">
      <c r="A494" t="str">
        <f>IF(Summary_Exchange_Balances_00UTC!$B493="","",Summary_Exchange_Balances_00UTC!$N493)</f>
        <v/>
      </c>
      <c r="B494" t="str">
        <f>IF(Summary_Exchange_Balances_00UTC!$B493="","",Summary_Exchange_Balances_00UTC!$B493)</f>
        <v/>
      </c>
      <c r="C494" t="str">
        <f>IF(Summary_Exchange_Balances_00UTC!$B493="","",Summary_Exchange_Balances_00UTC!$E493)</f>
        <v/>
      </c>
      <c r="E494" s="52" t="str">
        <f>IF(Summary_Exchange_Balances_00UTC!$B493="","",Summary_Exchange_Balances_00UTC!$C493)</f>
        <v/>
      </c>
      <c r="G494" s="52" t="str">
        <f>IF(Summary_Exchange_Balances_00UTC!$B493="","",VLOOKUP(IF(ISERROR(SEARCH(" ", $B494)),UPPER($B494&amp;$C494&amp;IF(OR(NOT(ISERROR(SEARCH("trade",$D494))),NOT(ISERROR(SEARCH("balance",$D494)))),"",$D494)),UPPER(LEFT($B494, SEARCH(" ",$B494)-1)&amp;$C494&amp;IF(OR(NOT(ISERROR(SEARCH("trade",$D494))),NOT(ISERROR(SEARCH("balance",$D494)))),"",$D494))),$L:$T,MATCH("balance",$L$2:$S$2,0),FALSE))</f>
        <v/>
      </c>
      <c r="H494" s="35" t="str">
        <f>IF(Summary_Exchange_Balances_00UTC!$B493="","",(G494-E494)/E494)</f>
        <v/>
      </c>
      <c r="I494" s="165" t="str">
        <f>IF(Summary_Exchange_Balances_00UTC!$B493="","",IF(ISERROR($G494),$E494,$G494))</f>
        <v/>
      </c>
      <c r="L494" t="str">
        <f t="shared" ca="1" si="37"/>
        <v/>
      </c>
      <c r="N494" s="161" t="str">
        <f ca="1">IF(raw_exchange_data!$A493="","",OFFSET(raw_exchange_data!$A493,0,MATCH(N$2,raw_exchange_data!$1:$1,0)-1))</f>
        <v/>
      </c>
      <c r="O494" s="161" t="str">
        <f ca="1">IF(raw_exchange_data!$A493="","",OFFSET(raw_exchange_data!$A493,0,MATCH(O$2,raw_exchange_data!$1:$1,0)-1))</f>
        <v/>
      </c>
      <c r="P494" s="161" t="str">
        <f ca="1">IF(raw_exchange_data!$A493="","",OFFSET(raw_exchange_data!$A493,0,MATCH(P$2,raw_exchange_data!$1:$1,0)-1))</f>
        <v/>
      </c>
      <c r="Q494" s="161" t="str">
        <f ca="1">IF(raw_exchange_data!$A493="","",TEXT(OFFSET(raw_exchange_data!$A493,0,MATCH(Q$2,raw_exchange_data!$1:$1,0)-1),""))</f>
        <v/>
      </c>
      <c r="R494" s="162" t="str">
        <f ca="1">IF(raw_exchange_data!$A493="","",OFFSET(raw_exchange_data!$A493,0,MATCH(R$2,raw_exchange_data!$1:$1,0)-1))</f>
        <v/>
      </c>
      <c r="S494" s="190" t="str">
        <f ca="1">IF(raw_exchange_data!$A493="","",OFFSET(raw_exchange_data!$A493,0,MATCH(S$2,raw_exchange_data!$1:$1,0)-1))</f>
        <v/>
      </c>
      <c r="W494" t="str">
        <f t="shared" si="38"/>
        <v/>
      </c>
      <c r="X494" t="str">
        <f t="shared" si="39"/>
        <v/>
      </c>
      <c r="Y494" s="42" t="str">
        <f t="shared" si="40"/>
        <v/>
      </c>
      <c r="Z494" s="42" t="str">
        <f t="shared" si="41"/>
        <v/>
      </c>
    </row>
    <row r="495" spans="1:26" x14ac:dyDescent="0.25">
      <c r="A495" t="str">
        <f>IF(Summary_Exchange_Balances_00UTC!$B494="","",Summary_Exchange_Balances_00UTC!$N494)</f>
        <v/>
      </c>
      <c r="B495" t="str">
        <f>IF(Summary_Exchange_Balances_00UTC!$B494="","",Summary_Exchange_Balances_00UTC!$B494)</f>
        <v/>
      </c>
      <c r="C495" t="str">
        <f>IF(Summary_Exchange_Balances_00UTC!$B494="","",Summary_Exchange_Balances_00UTC!$E494)</f>
        <v/>
      </c>
      <c r="E495" s="52" t="str">
        <f>IF(Summary_Exchange_Balances_00UTC!$B494="","",Summary_Exchange_Balances_00UTC!$C494)</f>
        <v/>
      </c>
      <c r="G495" s="52" t="str">
        <f>IF(Summary_Exchange_Balances_00UTC!$B494="","",VLOOKUP(IF(ISERROR(SEARCH(" ", $B495)),UPPER($B495&amp;$C495&amp;IF(OR(NOT(ISERROR(SEARCH("trade",$D495))),NOT(ISERROR(SEARCH("balance",$D495)))),"",$D495)),UPPER(LEFT($B495, SEARCH(" ",$B495)-1)&amp;$C495&amp;IF(OR(NOT(ISERROR(SEARCH("trade",$D495))),NOT(ISERROR(SEARCH("balance",$D495)))),"",$D495))),$L:$T,MATCH("balance",$L$2:$S$2,0),FALSE))</f>
        <v/>
      </c>
      <c r="H495" s="35" t="str">
        <f>IF(Summary_Exchange_Balances_00UTC!$B494="","",(G495-E495)/E495)</f>
        <v/>
      </c>
      <c r="I495" s="165" t="str">
        <f>IF(Summary_Exchange_Balances_00UTC!$B494="","",IF(ISERROR($G495),$E495,$G495))</f>
        <v/>
      </c>
      <c r="L495" t="str">
        <f t="shared" ca="1" si="37"/>
        <v/>
      </c>
      <c r="N495" s="161" t="str">
        <f ca="1">IF(raw_exchange_data!$A494="","",OFFSET(raw_exchange_data!$A494,0,MATCH(N$2,raw_exchange_data!$1:$1,0)-1))</f>
        <v/>
      </c>
      <c r="O495" s="161" t="str">
        <f ca="1">IF(raw_exchange_data!$A494="","",OFFSET(raw_exchange_data!$A494,0,MATCH(O$2,raw_exchange_data!$1:$1,0)-1))</f>
        <v/>
      </c>
      <c r="P495" s="161" t="str">
        <f ca="1">IF(raw_exchange_data!$A494="","",OFFSET(raw_exchange_data!$A494,0,MATCH(P$2,raw_exchange_data!$1:$1,0)-1))</f>
        <v/>
      </c>
      <c r="Q495" s="161" t="str">
        <f ca="1">IF(raw_exchange_data!$A494="","",TEXT(OFFSET(raw_exchange_data!$A494,0,MATCH(Q$2,raw_exchange_data!$1:$1,0)-1),""))</f>
        <v/>
      </c>
      <c r="R495" s="162" t="str">
        <f ca="1">IF(raw_exchange_data!$A494="","",OFFSET(raw_exchange_data!$A494,0,MATCH(R$2,raw_exchange_data!$1:$1,0)-1))</f>
        <v/>
      </c>
      <c r="S495" s="190" t="str">
        <f ca="1">IF(raw_exchange_data!$A494="","",OFFSET(raw_exchange_data!$A494,0,MATCH(S$2,raw_exchange_data!$1:$1,0)-1))</f>
        <v/>
      </c>
      <c r="W495" t="str">
        <f t="shared" si="38"/>
        <v/>
      </c>
      <c r="X495" t="str">
        <f t="shared" si="39"/>
        <v/>
      </c>
      <c r="Y495" s="42" t="str">
        <f t="shared" si="40"/>
        <v/>
      </c>
      <c r="Z495" s="42" t="str">
        <f t="shared" si="41"/>
        <v/>
      </c>
    </row>
    <row r="496" spans="1:26" x14ac:dyDescent="0.25">
      <c r="A496" t="str">
        <f>IF(Summary_Exchange_Balances_00UTC!$B495="","",Summary_Exchange_Balances_00UTC!$N495)</f>
        <v/>
      </c>
      <c r="B496" t="str">
        <f>IF(Summary_Exchange_Balances_00UTC!$B495="","",Summary_Exchange_Balances_00UTC!$B495)</f>
        <v/>
      </c>
      <c r="C496" t="str">
        <f>IF(Summary_Exchange_Balances_00UTC!$B495="","",Summary_Exchange_Balances_00UTC!$E495)</f>
        <v/>
      </c>
      <c r="E496" s="52" t="str">
        <f>IF(Summary_Exchange_Balances_00UTC!$B495="","",Summary_Exchange_Balances_00UTC!$C495)</f>
        <v/>
      </c>
      <c r="G496" s="52" t="str">
        <f>IF(Summary_Exchange_Balances_00UTC!$B495="","",VLOOKUP(IF(ISERROR(SEARCH(" ", $B496)),UPPER($B496&amp;$C496&amp;IF(OR(NOT(ISERROR(SEARCH("trade",$D496))),NOT(ISERROR(SEARCH("balance",$D496)))),"",$D496)),UPPER(LEFT($B496, SEARCH(" ",$B496)-1)&amp;$C496&amp;IF(OR(NOT(ISERROR(SEARCH("trade",$D496))),NOT(ISERROR(SEARCH("balance",$D496)))),"",$D496))),$L:$T,MATCH("balance",$L$2:$S$2,0),FALSE))</f>
        <v/>
      </c>
      <c r="H496" s="35" t="str">
        <f>IF(Summary_Exchange_Balances_00UTC!$B495="","",(G496-E496)/E496)</f>
        <v/>
      </c>
      <c r="I496" s="165" t="str">
        <f>IF(Summary_Exchange_Balances_00UTC!$B495="","",IF(ISERROR($G496),$E496,$G496))</f>
        <v/>
      </c>
      <c r="L496" t="str">
        <f t="shared" ca="1" si="37"/>
        <v/>
      </c>
      <c r="N496" s="161" t="str">
        <f ca="1">IF(raw_exchange_data!$A495="","",OFFSET(raw_exchange_data!$A495,0,MATCH(N$2,raw_exchange_data!$1:$1,0)-1))</f>
        <v/>
      </c>
      <c r="O496" s="161" t="str">
        <f ca="1">IF(raw_exchange_data!$A495="","",OFFSET(raw_exchange_data!$A495,0,MATCH(O$2,raw_exchange_data!$1:$1,0)-1))</f>
        <v/>
      </c>
      <c r="P496" s="161" t="str">
        <f ca="1">IF(raw_exchange_data!$A495="","",OFFSET(raw_exchange_data!$A495,0,MATCH(P$2,raw_exchange_data!$1:$1,0)-1))</f>
        <v/>
      </c>
      <c r="Q496" s="161" t="str">
        <f ca="1">IF(raw_exchange_data!$A495="","",TEXT(OFFSET(raw_exchange_data!$A495,0,MATCH(Q$2,raw_exchange_data!$1:$1,0)-1),""))</f>
        <v/>
      </c>
      <c r="R496" s="162" t="str">
        <f ca="1">IF(raw_exchange_data!$A495="","",OFFSET(raw_exchange_data!$A495,0,MATCH(R$2,raw_exchange_data!$1:$1,0)-1))</f>
        <v/>
      </c>
      <c r="S496" s="190" t="str">
        <f ca="1">IF(raw_exchange_data!$A495="","",OFFSET(raw_exchange_data!$A495,0,MATCH(S$2,raw_exchange_data!$1:$1,0)-1))</f>
        <v/>
      </c>
      <c r="W496" t="str">
        <f t="shared" si="38"/>
        <v/>
      </c>
      <c r="X496" t="str">
        <f t="shared" si="39"/>
        <v/>
      </c>
      <c r="Y496" s="42" t="str">
        <f t="shared" si="40"/>
        <v/>
      </c>
      <c r="Z496" s="42" t="str">
        <f t="shared" si="41"/>
        <v/>
      </c>
    </row>
    <row r="497" spans="1:26" x14ac:dyDescent="0.25">
      <c r="A497" t="str">
        <f>IF(Summary_Exchange_Balances_00UTC!$B496="","",Summary_Exchange_Balances_00UTC!$N496)</f>
        <v/>
      </c>
      <c r="B497" t="str">
        <f>IF(Summary_Exchange_Balances_00UTC!$B496="","",Summary_Exchange_Balances_00UTC!$B496)</f>
        <v/>
      </c>
      <c r="C497" t="str">
        <f>IF(Summary_Exchange_Balances_00UTC!$B496="","",Summary_Exchange_Balances_00UTC!$E496)</f>
        <v/>
      </c>
      <c r="E497" s="52" t="str">
        <f>IF(Summary_Exchange_Balances_00UTC!$B496="","",Summary_Exchange_Balances_00UTC!$C496)</f>
        <v/>
      </c>
      <c r="G497" s="52" t="str">
        <f>IF(Summary_Exchange_Balances_00UTC!$B496="","",VLOOKUP(IF(ISERROR(SEARCH(" ", $B497)),UPPER($B497&amp;$C497&amp;IF(OR(NOT(ISERROR(SEARCH("trade",$D497))),NOT(ISERROR(SEARCH("balance",$D497)))),"",$D497)),UPPER(LEFT($B497, SEARCH(" ",$B497)-1)&amp;$C497&amp;IF(OR(NOT(ISERROR(SEARCH("trade",$D497))),NOT(ISERROR(SEARCH("balance",$D497)))),"",$D497))),$L:$T,MATCH("balance",$L$2:$S$2,0),FALSE))</f>
        <v/>
      </c>
      <c r="H497" s="35" t="str">
        <f>IF(Summary_Exchange_Balances_00UTC!$B496="","",(G497-E497)/E497)</f>
        <v/>
      </c>
      <c r="I497" s="165" t="str">
        <f>IF(Summary_Exchange_Balances_00UTC!$B496="","",IF(ISERROR($G497),$E497,$G497))</f>
        <v/>
      </c>
      <c r="L497" t="str">
        <f t="shared" ca="1" si="37"/>
        <v/>
      </c>
      <c r="N497" s="161" t="str">
        <f ca="1">IF(raw_exchange_data!$A496="","",OFFSET(raw_exchange_data!$A496,0,MATCH(N$2,raw_exchange_data!$1:$1,0)-1))</f>
        <v/>
      </c>
      <c r="O497" s="161" t="str">
        <f ca="1">IF(raw_exchange_data!$A496="","",OFFSET(raw_exchange_data!$A496,0,MATCH(O$2,raw_exchange_data!$1:$1,0)-1))</f>
        <v/>
      </c>
      <c r="P497" s="161" t="str">
        <f ca="1">IF(raw_exchange_data!$A496="","",OFFSET(raw_exchange_data!$A496,0,MATCH(P$2,raw_exchange_data!$1:$1,0)-1))</f>
        <v/>
      </c>
      <c r="Q497" s="161" t="str">
        <f ca="1">IF(raw_exchange_data!$A496="","",TEXT(OFFSET(raw_exchange_data!$A496,0,MATCH(Q$2,raw_exchange_data!$1:$1,0)-1),""))</f>
        <v/>
      </c>
      <c r="R497" s="162" t="str">
        <f ca="1">IF(raw_exchange_data!$A496="","",OFFSET(raw_exchange_data!$A496,0,MATCH(R$2,raw_exchange_data!$1:$1,0)-1))</f>
        <v/>
      </c>
      <c r="S497" s="190" t="str">
        <f ca="1">IF(raw_exchange_data!$A496="","",OFFSET(raw_exchange_data!$A496,0,MATCH(S$2,raw_exchange_data!$1:$1,0)-1))</f>
        <v/>
      </c>
      <c r="W497" t="str">
        <f t="shared" si="38"/>
        <v/>
      </c>
      <c r="X497" t="str">
        <f t="shared" si="39"/>
        <v/>
      </c>
      <c r="Y497" s="42" t="str">
        <f t="shared" si="40"/>
        <v/>
      </c>
      <c r="Z497" s="42" t="str">
        <f t="shared" si="41"/>
        <v/>
      </c>
    </row>
    <row r="498" spans="1:26" x14ac:dyDescent="0.25">
      <c r="A498" t="str">
        <f>IF(Summary_Exchange_Balances_00UTC!$B497="","",Summary_Exchange_Balances_00UTC!$N497)</f>
        <v/>
      </c>
      <c r="B498" t="str">
        <f>IF(Summary_Exchange_Balances_00UTC!$B497="","",Summary_Exchange_Balances_00UTC!$B497)</f>
        <v/>
      </c>
      <c r="C498" t="str">
        <f>IF(Summary_Exchange_Balances_00UTC!$B497="","",Summary_Exchange_Balances_00UTC!$E497)</f>
        <v/>
      </c>
      <c r="E498" s="52" t="str">
        <f>IF(Summary_Exchange_Balances_00UTC!$B497="","",Summary_Exchange_Balances_00UTC!$C497)</f>
        <v/>
      </c>
      <c r="G498" s="52" t="str">
        <f>IF(Summary_Exchange_Balances_00UTC!$B497="","",VLOOKUP(IF(ISERROR(SEARCH(" ", $B498)),UPPER($B498&amp;$C498&amp;IF(OR(NOT(ISERROR(SEARCH("trade",$D498))),NOT(ISERROR(SEARCH("balance",$D498)))),"",$D498)),UPPER(LEFT($B498, SEARCH(" ",$B498)-1)&amp;$C498&amp;IF(OR(NOT(ISERROR(SEARCH("trade",$D498))),NOT(ISERROR(SEARCH("balance",$D498)))),"",$D498))),$L:$T,MATCH("balance",$L$2:$S$2,0),FALSE))</f>
        <v/>
      </c>
      <c r="H498" s="35" t="str">
        <f>IF(Summary_Exchange_Balances_00UTC!$B497="","",(G498-E498)/E498)</f>
        <v/>
      </c>
      <c r="I498" s="165" t="str">
        <f>IF(Summary_Exchange_Balances_00UTC!$B497="","",IF(ISERROR($G498),$E498,$G498))</f>
        <v/>
      </c>
      <c r="L498" t="str">
        <f t="shared" ca="1" si="37"/>
        <v/>
      </c>
      <c r="N498" s="161" t="str">
        <f ca="1">IF(raw_exchange_data!$A497="","",OFFSET(raw_exchange_data!$A497,0,MATCH(N$2,raw_exchange_data!$1:$1,0)-1))</f>
        <v/>
      </c>
      <c r="O498" s="161" t="str">
        <f ca="1">IF(raw_exchange_data!$A497="","",OFFSET(raw_exchange_data!$A497,0,MATCH(O$2,raw_exchange_data!$1:$1,0)-1))</f>
        <v/>
      </c>
      <c r="P498" s="161" t="str">
        <f ca="1">IF(raw_exchange_data!$A497="","",OFFSET(raw_exchange_data!$A497,0,MATCH(P$2,raw_exchange_data!$1:$1,0)-1))</f>
        <v/>
      </c>
      <c r="Q498" s="161" t="str">
        <f ca="1">IF(raw_exchange_data!$A497="","",TEXT(OFFSET(raw_exchange_data!$A497,0,MATCH(Q$2,raw_exchange_data!$1:$1,0)-1),""))</f>
        <v/>
      </c>
      <c r="R498" s="162" t="str">
        <f ca="1">IF(raw_exchange_data!$A497="","",OFFSET(raw_exchange_data!$A497,0,MATCH(R$2,raw_exchange_data!$1:$1,0)-1))</f>
        <v/>
      </c>
      <c r="S498" s="190" t="str">
        <f ca="1">IF(raw_exchange_data!$A497="","",OFFSET(raw_exchange_data!$A497,0,MATCH(S$2,raw_exchange_data!$1:$1,0)-1))</f>
        <v/>
      </c>
      <c r="W498" t="str">
        <f t="shared" si="38"/>
        <v/>
      </c>
      <c r="X498" t="str">
        <f t="shared" si="39"/>
        <v/>
      </c>
      <c r="Y498" s="42" t="str">
        <f t="shared" si="40"/>
        <v/>
      </c>
      <c r="Z498" s="42" t="str">
        <f t="shared" si="41"/>
        <v/>
      </c>
    </row>
    <row r="499" spans="1:26" x14ac:dyDescent="0.25">
      <c r="A499" t="str">
        <f>IF(Summary_Exchange_Balances_00UTC!$B498="","",Summary_Exchange_Balances_00UTC!$N498)</f>
        <v/>
      </c>
      <c r="B499" t="str">
        <f>IF(Summary_Exchange_Balances_00UTC!$B498="","",Summary_Exchange_Balances_00UTC!$B498)</f>
        <v/>
      </c>
      <c r="C499" t="str">
        <f>IF(Summary_Exchange_Balances_00UTC!$B498="","",Summary_Exchange_Balances_00UTC!$E498)</f>
        <v/>
      </c>
      <c r="E499" s="52" t="str">
        <f>IF(Summary_Exchange_Balances_00UTC!$B498="","",Summary_Exchange_Balances_00UTC!$C498)</f>
        <v/>
      </c>
      <c r="G499" s="52" t="str">
        <f>IF(Summary_Exchange_Balances_00UTC!$B498="","",VLOOKUP(IF(ISERROR(SEARCH(" ", $B499)),UPPER($B499&amp;$C499&amp;IF(OR(NOT(ISERROR(SEARCH("trade",$D499))),NOT(ISERROR(SEARCH("balance",$D499)))),"",$D499)),UPPER(LEFT($B499, SEARCH(" ",$B499)-1)&amp;$C499&amp;IF(OR(NOT(ISERROR(SEARCH("trade",$D499))),NOT(ISERROR(SEARCH("balance",$D499)))),"",$D499))),$L:$T,MATCH("balance",$L$2:$S$2,0),FALSE))</f>
        <v/>
      </c>
      <c r="H499" s="35" t="str">
        <f>IF(Summary_Exchange_Balances_00UTC!$B498="","",(G499-E499)/E499)</f>
        <v/>
      </c>
      <c r="I499" s="165" t="str">
        <f>IF(Summary_Exchange_Balances_00UTC!$B498="","",IF(ISERROR($G499),$E499,$G499))</f>
        <v/>
      </c>
      <c r="L499" t="str">
        <f t="shared" ca="1" si="37"/>
        <v/>
      </c>
      <c r="N499" s="161" t="str">
        <f ca="1">IF(raw_exchange_data!$A498="","",OFFSET(raw_exchange_data!$A498,0,MATCH(N$2,raw_exchange_data!$1:$1,0)-1))</f>
        <v/>
      </c>
      <c r="O499" s="161" t="str">
        <f ca="1">IF(raw_exchange_data!$A498="","",OFFSET(raw_exchange_data!$A498,0,MATCH(O$2,raw_exchange_data!$1:$1,0)-1))</f>
        <v/>
      </c>
      <c r="P499" s="161" t="str">
        <f ca="1">IF(raw_exchange_data!$A498="","",OFFSET(raw_exchange_data!$A498,0,MATCH(P$2,raw_exchange_data!$1:$1,0)-1))</f>
        <v/>
      </c>
      <c r="Q499" s="161" t="str">
        <f ca="1">IF(raw_exchange_data!$A498="","",TEXT(OFFSET(raw_exchange_data!$A498,0,MATCH(Q$2,raw_exchange_data!$1:$1,0)-1),""))</f>
        <v/>
      </c>
      <c r="R499" s="162" t="str">
        <f ca="1">IF(raw_exchange_data!$A498="","",OFFSET(raw_exchange_data!$A498,0,MATCH(R$2,raw_exchange_data!$1:$1,0)-1))</f>
        <v/>
      </c>
      <c r="S499" s="190" t="str">
        <f ca="1">IF(raw_exchange_data!$A498="","",OFFSET(raw_exchange_data!$A498,0,MATCH(S$2,raw_exchange_data!$1:$1,0)-1))</f>
        <v/>
      </c>
      <c r="W499" t="str">
        <f t="shared" si="38"/>
        <v/>
      </c>
      <c r="X499" t="str">
        <f t="shared" si="39"/>
        <v/>
      </c>
      <c r="Y499" s="42" t="str">
        <f t="shared" si="40"/>
        <v/>
      </c>
      <c r="Z499" s="42" t="str">
        <f t="shared" si="41"/>
        <v/>
      </c>
    </row>
    <row r="500" spans="1:26" x14ac:dyDescent="0.25">
      <c r="A500" t="str">
        <f>IF(Summary_Exchange_Balances_00UTC!$B499="","",Summary_Exchange_Balances_00UTC!$N499)</f>
        <v/>
      </c>
      <c r="B500" t="str">
        <f>IF(Summary_Exchange_Balances_00UTC!$B499="","",Summary_Exchange_Balances_00UTC!$B499)</f>
        <v/>
      </c>
      <c r="C500" t="str">
        <f>IF(Summary_Exchange_Balances_00UTC!$B499="","",Summary_Exchange_Balances_00UTC!$E499)</f>
        <v/>
      </c>
      <c r="E500" s="52" t="str">
        <f>IF(Summary_Exchange_Balances_00UTC!$B499="","",Summary_Exchange_Balances_00UTC!$C499)</f>
        <v/>
      </c>
      <c r="G500" s="52" t="str">
        <f>IF(Summary_Exchange_Balances_00UTC!$B499="","",VLOOKUP(IF(ISERROR(SEARCH(" ", $B500)),UPPER($B500&amp;$C500&amp;IF(OR(NOT(ISERROR(SEARCH("trade",$D500))),NOT(ISERROR(SEARCH("balance",$D500)))),"",$D500)),UPPER(LEFT($B500, SEARCH(" ",$B500)-1)&amp;$C500&amp;IF(OR(NOT(ISERROR(SEARCH("trade",$D500))),NOT(ISERROR(SEARCH("balance",$D500)))),"",$D500))),$L:$T,MATCH("balance",$L$2:$S$2,0),FALSE))</f>
        <v/>
      </c>
      <c r="H500" s="35" t="str">
        <f>IF(Summary_Exchange_Balances_00UTC!$B499="","",(G500-E500)/E500)</f>
        <v/>
      </c>
      <c r="I500" s="165" t="str">
        <f>IF(Summary_Exchange_Balances_00UTC!$B499="","",IF(ISERROR($G500),$E500,$G500))</f>
        <v/>
      </c>
      <c r="L500" t="str">
        <f t="shared" ca="1" si="37"/>
        <v/>
      </c>
      <c r="N500" s="161" t="str">
        <f ca="1">IF(raw_exchange_data!$A499="","",OFFSET(raw_exchange_data!$A499,0,MATCH(N$2,raw_exchange_data!$1:$1,0)-1))</f>
        <v/>
      </c>
      <c r="O500" s="161" t="str">
        <f ca="1">IF(raw_exchange_data!$A499="","",OFFSET(raw_exchange_data!$A499,0,MATCH(O$2,raw_exchange_data!$1:$1,0)-1))</f>
        <v/>
      </c>
      <c r="P500" s="161" t="str">
        <f ca="1">IF(raw_exchange_data!$A499="","",OFFSET(raw_exchange_data!$A499,0,MATCH(P$2,raw_exchange_data!$1:$1,0)-1))</f>
        <v/>
      </c>
      <c r="Q500" s="161" t="str">
        <f ca="1">IF(raw_exchange_data!$A499="","",TEXT(OFFSET(raw_exchange_data!$A499,0,MATCH(Q$2,raw_exchange_data!$1:$1,0)-1),""))</f>
        <v/>
      </c>
      <c r="R500" s="162" t="str">
        <f ca="1">IF(raw_exchange_data!$A499="","",OFFSET(raw_exchange_data!$A499,0,MATCH(R$2,raw_exchange_data!$1:$1,0)-1))</f>
        <v/>
      </c>
      <c r="S500" s="190" t="str">
        <f ca="1">IF(raw_exchange_data!$A499="","",OFFSET(raw_exchange_data!$A499,0,MATCH(S$2,raw_exchange_data!$1:$1,0)-1))</f>
        <v/>
      </c>
      <c r="W500" t="str">
        <f t="shared" si="38"/>
        <v/>
      </c>
      <c r="X500" t="str">
        <f t="shared" si="39"/>
        <v/>
      </c>
      <c r="Y500" s="42" t="str">
        <f t="shared" si="40"/>
        <v/>
      </c>
      <c r="Z500" s="42" t="str">
        <f t="shared" si="41"/>
        <v/>
      </c>
    </row>
    <row r="501" spans="1:26" x14ac:dyDescent="0.25">
      <c r="A501" t="str">
        <f>IF(Summary_Exchange_Balances_00UTC!$B500="","",Summary_Exchange_Balances_00UTC!$N500)</f>
        <v/>
      </c>
      <c r="B501" t="str">
        <f>IF(Summary_Exchange_Balances_00UTC!$B500="","",Summary_Exchange_Balances_00UTC!$B500)</f>
        <v/>
      </c>
      <c r="C501" t="str">
        <f>IF(Summary_Exchange_Balances_00UTC!$B500="","",Summary_Exchange_Balances_00UTC!$E500)</f>
        <v/>
      </c>
      <c r="E501" s="52" t="str">
        <f>IF(Summary_Exchange_Balances_00UTC!$B500="","",Summary_Exchange_Balances_00UTC!$C500)</f>
        <v/>
      </c>
      <c r="G501" s="52" t="str">
        <f>IF(Summary_Exchange_Balances_00UTC!$B500="","",VLOOKUP(IF(ISERROR(SEARCH(" ", $B501)),UPPER($B501&amp;$C501&amp;IF(OR(NOT(ISERROR(SEARCH("trade",$D501))),NOT(ISERROR(SEARCH("balance",$D501)))),"",$D501)),UPPER(LEFT($B501, SEARCH(" ",$B501)-1)&amp;$C501&amp;IF(OR(NOT(ISERROR(SEARCH("trade",$D501))),NOT(ISERROR(SEARCH("balance",$D501)))),"",$D501))),$L:$T,MATCH("balance",$L$2:$S$2,0),FALSE))</f>
        <v/>
      </c>
      <c r="H501" s="35" t="str">
        <f>IF(Summary_Exchange_Balances_00UTC!$B500="","",(G501-E501)/E501)</f>
        <v/>
      </c>
      <c r="I501" s="165" t="str">
        <f>IF(Summary_Exchange_Balances_00UTC!$B500="","",IF(ISERROR($G501),$E501,$G501))</f>
        <v/>
      </c>
      <c r="L501" t="str">
        <f t="shared" ca="1" si="37"/>
        <v/>
      </c>
      <c r="N501" s="161" t="str">
        <f ca="1">IF(raw_exchange_data!$A500="","",OFFSET(raw_exchange_data!$A500,0,MATCH(N$2,raw_exchange_data!$1:$1,0)-1))</f>
        <v/>
      </c>
      <c r="O501" s="161" t="str">
        <f ca="1">IF(raw_exchange_data!$A500="","",OFFSET(raw_exchange_data!$A500,0,MATCH(O$2,raw_exchange_data!$1:$1,0)-1))</f>
        <v/>
      </c>
      <c r="P501" s="161" t="str">
        <f ca="1">IF(raw_exchange_data!$A500="","",OFFSET(raw_exchange_data!$A500,0,MATCH(P$2,raw_exchange_data!$1:$1,0)-1))</f>
        <v/>
      </c>
      <c r="Q501" s="161" t="str">
        <f ca="1">IF(raw_exchange_data!$A500="","",TEXT(OFFSET(raw_exchange_data!$A500,0,MATCH(Q$2,raw_exchange_data!$1:$1,0)-1),""))</f>
        <v/>
      </c>
      <c r="R501" s="162" t="str">
        <f ca="1">IF(raw_exchange_data!$A500="","",OFFSET(raw_exchange_data!$A500,0,MATCH(R$2,raw_exchange_data!$1:$1,0)-1))</f>
        <v/>
      </c>
      <c r="S501" s="190" t="str">
        <f ca="1">IF(raw_exchange_data!$A500="","",OFFSET(raw_exchange_data!$A500,0,MATCH(S$2,raw_exchange_data!$1:$1,0)-1))</f>
        <v/>
      </c>
      <c r="W501" t="str">
        <f t="shared" si="38"/>
        <v/>
      </c>
      <c r="X501" t="str">
        <f t="shared" si="39"/>
        <v/>
      </c>
      <c r="Y501" s="42" t="str">
        <f t="shared" si="40"/>
        <v/>
      </c>
      <c r="Z501" s="42" t="str">
        <f t="shared" si="41"/>
        <v/>
      </c>
    </row>
    <row r="502" spans="1:26" x14ac:dyDescent="0.25">
      <c r="A502" t="str">
        <f>IF(Summary_Exchange_Balances_00UTC!$B501="","",Summary_Exchange_Balances_00UTC!$N501)</f>
        <v/>
      </c>
      <c r="B502" t="str">
        <f>IF(Summary_Exchange_Balances_00UTC!$B501="","",Summary_Exchange_Balances_00UTC!$B501)</f>
        <v/>
      </c>
      <c r="C502" t="str">
        <f>IF(Summary_Exchange_Balances_00UTC!$B501="","",Summary_Exchange_Balances_00UTC!$E501)</f>
        <v/>
      </c>
      <c r="E502" s="52" t="str">
        <f>IF(Summary_Exchange_Balances_00UTC!$B501="","",Summary_Exchange_Balances_00UTC!$C501)</f>
        <v/>
      </c>
      <c r="G502" s="52" t="str">
        <f>IF(Summary_Exchange_Balances_00UTC!$B501="","",VLOOKUP(IF(ISERROR(SEARCH(" ", $B502)),UPPER($B502&amp;$C502&amp;IF(OR(NOT(ISERROR(SEARCH("trade",$D502))),NOT(ISERROR(SEARCH("balance",$D502)))),"",$D502)),UPPER(LEFT($B502, SEARCH(" ",$B502)-1)&amp;$C502&amp;IF(OR(NOT(ISERROR(SEARCH("trade",$D502))),NOT(ISERROR(SEARCH("balance",$D502)))),"",$D502))),$L:$T,MATCH("balance",$L$2:$S$2,0),FALSE))</f>
        <v/>
      </c>
      <c r="H502" s="35" t="str">
        <f>IF(Summary_Exchange_Balances_00UTC!$B501="","",(G502-E502)/E502)</f>
        <v/>
      </c>
      <c r="I502" s="165" t="str">
        <f>IF(Summary_Exchange_Balances_00UTC!$B501="","",IF(ISERROR($G502),$E502,$G502))</f>
        <v/>
      </c>
      <c r="L502" t="str">
        <f t="shared" ca="1" si="37"/>
        <v/>
      </c>
      <c r="N502" s="161" t="str">
        <f ca="1">IF(raw_exchange_data!$A501="","",OFFSET(raw_exchange_data!$A501,0,MATCH(N$2,raw_exchange_data!$1:$1,0)-1))</f>
        <v/>
      </c>
      <c r="O502" s="161" t="str">
        <f ca="1">IF(raw_exchange_data!$A501="","",OFFSET(raw_exchange_data!$A501,0,MATCH(O$2,raw_exchange_data!$1:$1,0)-1))</f>
        <v/>
      </c>
      <c r="P502" s="161" t="str">
        <f ca="1">IF(raw_exchange_data!$A501="","",OFFSET(raw_exchange_data!$A501,0,MATCH(P$2,raw_exchange_data!$1:$1,0)-1))</f>
        <v/>
      </c>
      <c r="Q502" s="161" t="str">
        <f ca="1">IF(raw_exchange_data!$A501="","",TEXT(OFFSET(raw_exchange_data!$A501,0,MATCH(Q$2,raw_exchange_data!$1:$1,0)-1),""))</f>
        <v/>
      </c>
      <c r="R502" s="162" t="str">
        <f ca="1">IF(raw_exchange_data!$A501="","",OFFSET(raw_exchange_data!$A501,0,MATCH(R$2,raw_exchange_data!$1:$1,0)-1))</f>
        <v/>
      </c>
      <c r="S502" s="190" t="str">
        <f ca="1">IF(raw_exchange_data!$A501="","",OFFSET(raw_exchange_data!$A501,0,MATCH(S$2,raw_exchange_data!$1:$1,0)-1))</f>
        <v/>
      </c>
      <c r="W502" t="str">
        <f t="shared" si="38"/>
        <v/>
      </c>
      <c r="X502" t="str">
        <f t="shared" si="39"/>
        <v/>
      </c>
      <c r="Y502" s="42" t="str">
        <f t="shared" si="40"/>
        <v/>
      </c>
      <c r="Z502" s="42" t="str">
        <f t="shared" si="41"/>
        <v/>
      </c>
    </row>
    <row r="503" spans="1:26" x14ac:dyDescent="0.25">
      <c r="A503" t="str">
        <f>IF(Summary_Exchange_Balances_00UTC!$B502="","",Summary_Exchange_Balances_00UTC!$N502)</f>
        <v/>
      </c>
      <c r="B503" t="str">
        <f>IF(Summary_Exchange_Balances_00UTC!$B502="","",Summary_Exchange_Balances_00UTC!$B502)</f>
        <v/>
      </c>
      <c r="C503" t="str">
        <f>IF(Summary_Exchange_Balances_00UTC!$B502="","",Summary_Exchange_Balances_00UTC!$E502)</f>
        <v/>
      </c>
      <c r="E503" s="52" t="str">
        <f>IF(Summary_Exchange_Balances_00UTC!$B502="","",Summary_Exchange_Balances_00UTC!$C502)</f>
        <v/>
      </c>
      <c r="G503" s="52" t="str">
        <f>IF(Summary_Exchange_Balances_00UTC!$B502="","",VLOOKUP(IF(ISERROR(SEARCH(" ", $B503)),UPPER($B503&amp;$C503&amp;IF(OR(NOT(ISERROR(SEARCH("trade",$D503))),NOT(ISERROR(SEARCH("balance",$D503)))),"",$D503)),UPPER(LEFT($B503, SEARCH(" ",$B503)-1)&amp;$C503&amp;IF(OR(NOT(ISERROR(SEARCH("trade",$D503))),NOT(ISERROR(SEARCH("balance",$D503)))),"",$D503))),$L:$T,MATCH("balance",$L$2:$S$2,0),FALSE))</f>
        <v/>
      </c>
      <c r="H503" s="35" t="str">
        <f>IF(Summary_Exchange_Balances_00UTC!$B502="","",(G503-E503)/E503)</f>
        <v/>
      </c>
      <c r="I503" s="165" t="str">
        <f>IF(Summary_Exchange_Balances_00UTC!$B502="","",IF(ISERROR($G503),$E503,$G503))</f>
        <v/>
      </c>
      <c r="L503" t="str">
        <f t="shared" ca="1" si="37"/>
        <v/>
      </c>
      <c r="N503" s="161" t="str">
        <f ca="1">IF(raw_exchange_data!$A502="","",OFFSET(raw_exchange_data!$A502,0,MATCH(N$2,raw_exchange_data!$1:$1,0)-1))</f>
        <v/>
      </c>
      <c r="O503" s="161" t="str">
        <f ca="1">IF(raw_exchange_data!$A502="","",OFFSET(raw_exchange_data!$A502,0,MATCH(O$2,raw_exchange_data!$1:$1,0)-1))</f>
        <v/>
      </c>
      <c r="P503" s="161" t="str">
        <f ca="1">IF(raw_exchange_data!$A502="","",OFFSET(raw_exchange_data!$A502,0,MATCH(P$2,raw_exchange_data!$1:$1,0)-1))</f>
        <v/>
      </c>
      <c r="Q503" s="161" t="str">
        <f ca="1">IF(raw_exchange_data!$A502="","",TEXT(OFFSET(raw_exchange_data!$A502,0,MATCH(Q$2,raw_exchange_data!$1:$1,0)-1),""))</f>
        <v/>
      </c>
      <c r="R503" s="162" t="str">
        <f ca="1">IF(raw_exchange_data!$A502="","",OFFSET(raw_exchange_data!$A502,0,MATCH(R$2,raw_exchange_data!$1:$1,0)-1))</f>
        <v/>
      </c>
      <c r="S503" s="190" t="str">
        <f ca="1">IF(raw_exchange_data!$A502="","",OFFSET(raw_exchange_data!$A502,0,MATCH(S$2,raw_exchange_data!$1:$1,0)-1))</f>
        <v/>
      </c>
      <c r="W503" t="str">
        <f t="shared" si="38"/>
        <v/>
      </c>
      <c r="X503" t="str">
        <f t="shared" si="39"/>
        <v/>
      </c>
      <c r="Y503" s="42" t="str">
        <f t="shared" si="40"/>
        <v/>
      </c>
      <c r="Z503" s="42" t="str">
        <f t="shared" si="41"/>
        <v/>
      </c>
    </row>
    <row r="504" spans="1:26" x14ac:dyDescent="0.25">
      <c r="A504" t="str">
        <f>IF(Summary_Exchange_Balances_00UTC!$B503="","",Summary_Exchange_Balances_00UTC!$N503)</f>
        <v/>
      </c>
      <c r="B504" t="str">
        <f>IF(Summary_Exchange_Balances_00UTC!$B503="","",Summary_Exchange_Balances_00UTC!$B503)</f>
        <v/>
      </c>
      <c r="C504" t="str">
        <f>IF(Summary_Exchange_Balances_00UTC!$B503="","",Summary_Exchange_Balances_00UTC!$E503)</f>
        <v/>
      </c>
      <c r="E504" s="52" t="str">
        <f>IF(Summary_Exchange_Balances_00UTC!$B503="","",Summary_Exchange_Balances_00UTC!$C503)</f>
        <v/>
      </c>
      <c r="G504" s="52" t="str">
        <f>IF(Summary_Exchange_Balances_00UTC!$B503="","",VLOOKUP(IF(ISERROR(SEARCH(" ", $B504)),UPPER($B504&amp;$C504&amp;IF(OR(NOT(ISERROR(SEARCH("trade",$D504))),NOT(ISERROR(SEARCH("balance",$D504)))),"",$D504)),UPPER(LEFT($B504, SEARCH(" ",$B504)-1)&amp;$C504&amp;IF(OR(NOT(ISERROR(SEARCH("trade",$D504))),NOT(ISERROR(SEARCH("balance",$D504)))),"",$D504))),$L:$T,MATCH("balance",$L$2:$S$2,0),FALSE))</f>
        <v/>
      </c>
      <c r="H504" s="35" t="str">
        <f>IF(Summary_Exchange_Balances_00UTC!$B503="","",(G504-E504)/E504)</f>
        <v/>
      </c>
      <c r="I504" s="165" t="str">
        <f>IF(Summary_Exchange_Balances_00UTC!$B503="","",IF(ISERROR($G504),$E504,$G504))</f>
        <v/>
      </c>
      <c r="L504" t="str">
        <f t="shared" ca="1" si="37"/>
        <v/>
      </c>
      <c r="N504" s="161" t="str">
        <f ca="1">IF(raw_exchange_data!$A503="","",OFFSET(raw_exchange_data!$A503,0,MATCH(N$2,raw_exchange_data!$1:$1,0)-1))</f>
        <v/>
      </c>
      <c r="O504" s="161" t="str">
        <f ca="1">IF(raw_exchange_data!$A503="","",OFFSET(raw_exchange_data!$A503,0,MATCH(O$2,raw_exchange_data!$1:$1,0)-1))</f>
        <v/>
      </c>
      <c r="P504" s="161" t="str">
        <f ca="1">IF(raw_exchange_data!$A503="","",OFFSET(raw_exchange_data!$A503,0,MATCH(P$2,raw_exchange_data!$1:$1,0)-1))</f>
        <v/>
      </c>
      <c r="Q504" s="161" t="str">
        <f ca="1">IF(raw_exchange_data!$A503="","",TEXT(OFFSET(raw_exchange_data!$A503,0,MATCH(Q$2,raw_exchange_data!$1:$1,0)-1),""))</f>
        <v/>
      </c>
      <c r="R504" s="162" t="str">
        <f ca="1">IF(raw_exchange_data!$A503="","",OFFSET(raw_exchange_data!$A503,0,MATCH(R$2,raw_exchange_data!$1:$1,0)-1))</f>
        <v/>
      </c>
      <c r="S504" s="190" t="str">
        <f ca="1">IF(raw_exchange_data!$A503="","",OFFSET(raw_exchange_data!$A503,0,MATCH(S$2,raw_exchange_data!$1:$1,0)-1))</f>
        <v/>
      </c>
      <c r="W504" t="str">
        <f t="shared" si="38"/>
        <v/>
      </c>
      <c r="X504" t="str">
        <f t="shared" si="39"/>
        <v/>
      </c>
      <c r="Y504" s="42" t="str">
        <f t="shared" si="40"/>
        <v/>
      </c>
      <c r="Z504" s="42" t="str">
        <f t="shared" si="41"/>
        <v/>
      </c>
    </row>
    <row r="505" spans="1:26" x14ac:dyDescent="0.25">
      <c r="A505" t="str">
        <f>IF(Summary_Exchange_Balances_00UTC!$B504="","",Summary_Exchange_Balances_00UTC!$N504)</f>
        <v/>
      </c>
      <c r="B505" t="str">
        <f>IF(Summary_Exchange_Balances_00UTC!$B504="","",Summary_Exchange_Balances_00UTC!$B504)</f>
        <v/>
      </c>
      <c r="C505" t="str">
        <f>IF(Summary_Exchange_Balances_00UTC!$B504="","",Summary_Exchange_Balances_00UTC!$E504)</f>
        <v/>
      </c>
      <c r="E505" s="52" t="str">
        <f>IF(Summary_Exchange_Balances_00UTC!$B504="","",Summary_Exchange_Balances_00UTC!$C504)</f>
        <v/>
      </c>
      <c r="G505" s="52" t="str">
        <f>IF(Summary_Exchange_Balances_00UTC!$B504="","",VLOOKUP(IF(ISERROR(SEARCH(" ", $B505)),UPPER($B505&amp;$C505&amp;IF(OR(NOT(ISERROR(SEARCH("trade",$D505))),NOT(ISERROR(SEARCH("balance",$D505)))),"",$D505)),UPPER(LEFT($B505, SEARCH(" ",$B505)-1)&amp;$C505&amp;IF(OR(NOT(ISERROR(SEARCH("trade",$D505))),NOT(ISERROR(SEARCH("balance",$D505)))),"",$D505))),$L:$T,MATCH("balance",$L$2:$S$2,0),FALSE))</f>
        <v/>
      </c>
      <c r="H505" s="35" t="str">
        <f>IF(Summary_Exchange_Balances_00UTC!$B504="","",(G505-E505)/E505)</f>
        <v/>
      </c>
      <c r="I505" s="165" t="str">
        <f>IF(Summary_Exchange_Balances_00UTC!$B504="","",IF(ISERROR($G505),$E505,$G505))</f>
        <v/>
      </c>
      <c r="L505" t="str">
        <f t="shared" ca="1" si="37"/>
        <v/>
      </c>
      <c r="N505" s="161" t="str">
        <f ca="1">IF(raw_exchange_data!$A504="","",OFFSET(raw_exchange_data!$A504,0,MATCH(N$2,raw_exchange_data!$1:$1,0)-1))</f>
        <v/>
      </c>
      <c r="O505" s="161" t="str">
        <f ca="1">IF(raw_exchange_data!$A504="","",OFFSET(raw_exchange_data!$A504,0,MATCH(O$2,raw_exchange_data!$1:$1,0)-1))</f>
        <v/>
      </c>
      <c r="P505" s="161" t="str">
        <f ca="1">IF(raw_exchange_data!$A504="","",OFFSET(raw_exchange_data!$A504,0,MATCH(P$2,raw_exchange_data!$1:$1,0)-1))</f>
        <v/>
      </c>
      <c r="Q505" s="161" t="str">
        <f ca="1">IF(raw_exchange_data!$A504="","",TEXT(OFFSET(raw_exchange_data!$A504,0,MATCH(Q$2,raw_exchange_data!$1:$1,0)-1),""))</f>
        <v/>
      </c>
      <c r="R505" s="162" t="str">
        <f ca="1">IF(raw_exchange_data!$A504="","",OFFSET(raw_exchange_data!$A504,0,MATCH(R$2,raw_exchange_data!$1:$1,0)-1))</f>
        <v/>
      </c>
      <c r="S505" s="190" t="str">
        <f ca="1">IF(raw_exchange_data!$A504="","",OFFSET(raw_exchange_data!$A504,0,MATCH(S$2,raw_exchange_data!$1:$1,0)-1))</f>
        <v/>
      </c>
      <c r="W505" t="str">
        <f t="shared" si="38"/>
        <v/>
      </c>
      <c r="X505" t="str">
        <f t="shared" si="39"/>
        <v/>
      </c>
      <c r="Y505" s="42" t="str">
        <f t="shared" si="40"/>
        <v/>
      </c>
      <c r="Z505" s="42" t="str">
        <f t="shared" si="41"/>
        <v/>
      </c>
    </row>
    <row r="506" spans="1:26" x14ac:dyDescent="0.25">
      <c r="A506" t="str">
        <f>IF(Summary_Exchange_Balances_00UTC!$B505="","",Summary_Exchange_Balances_00UTC!$N505)</f>
        <v/>
      </c>
      <c r="B506" t="str">
        <f>IF(Summary_Exchange_Balances_00UTC!$B505="","",Summary_Exchange_Balances_00UTC!$B505)</f>
        <v/>
      </c>
      <c r="C506" t="str">
        <f>IF(Summary_Exchange_Balances_00UTC!$B505="","",Summary_Exchange_Balances_00UTC!$E505)</f>
        <v/>
      </c>
      <c r="E506" s="52" t="str">
        <f>IF(Summary_Exchange_Balances_00UTC!$B505="","",Summary_Exchange_Balances_00UTC!$C505)</f>
        <v/>
      </c>
      <c r="G506" s="52" t="str">
        <f>IF(Summary_Exchange_Balances_00UTC!$B505="","",VLOOKUP(IF(ISERROR(SEARCH(" ", $B506)),UPPER($B506&amp;$C506&amp;IF(OR(NOT(ISERROR(SEARCH("trade",$D506))),NOT(ISERROR(SEARCH("balance",$D506)))),"",$D506)),UPPER(LEFT($B506, SEARCH(" ",$B506)-1)&amp;$C506&amp;IF(OR(NOT(ISERROR(SEARCH("trade",$D506))),NOT(ISERROR(SEARCH("balance",$D506)))),"",$D506))),$L:$T,MATCH("balance",$L$2:$S$2,0),FALSE))</f>
        <v/>
      </c>
      <c r="H506" s="35" t="str">
        <f>IF(Summary_Exchange_Balances_00UTC!$B505="","",(G506-E506)/E506)</f>
        <v/>
      </c>
      <c r="I506" s="165" t="str">
        <f>IF(Summary_Exchange_Balances_00UTC!$B505="","",IF(ISERROR($G506),$E506,$G506))</f>
        <v/>
      </c>
      <c r="L506" t="str">
        <f t="shared" ca="1" si="37"/>
        <v/>
      </c>
      <c r="N506" s="161" t="str">
        <f ca="1">IF(raw_exchange_data!$A505="","",OFFSET(raw_exchange_data!$A505,0,MATCH(N$2,raw_exchange_data!$1:$1,0)-1))</f>
        <v/>
      </c>
      <c r="O506" s="161" t="str">
        <f ca="1">IF(raw_exchange_data!$A505="","",OFFSET(raw_exchange_data!$A505,0,MATCH(O$2,raw_exchange_data!$1:$1,0)-1))</f>
        <v/>
      </c>
      <c r="P506" s="161" t="str">
        <f ca="1">IF(raw_exchange_data!$A505="","",OFFSET(raw_exchange_data!$A505,0,MATCH(P$2,raw_exchange_data!$1:$1,0)-1))</f>
        <v/>
      </c>
      <c r="Q506" s="161" t="str">
        <f ca="1">IF(raw_exchange_data!$A505="","",TEXT(OFFSET(raw_exchange_data!$A505,0,MATCH(Q$2,raw_exchange_data!$1:$1,0)-1),""))</f>
        <v/>
      </c>
      <c r="R506" s="162" t="str">
        <f ca="1">IF(raw_exchange_data!$A505="","",OFFSET(raw_exchange_data!$A505,0,MATCH(R$2,raw_exchange_data!$1:$1,0)-1))</f>
        <v/>
      </c>
      <c r="S506" s="190" t="str">
        <f ca="1">IF(raw_exchange_data!$A505="","",OFFSET(raw_exchange_data!$A505,0,MATCH(S$2,raw_exchange_data!$1:$1,0)-1))</f>
        <v/>
      </c>
      <c r="W506" t="str">
        <f t="shared" si="38"/>
        <v/>
      </c>
      <c r="X506" t="str">
        <f t="shared" si="39"/>
        <v/>
      </c>
      <c r="Y506" s="42" t="str">
        <f t="shared" si="40"/>
        <v/>
      </c>
      <c r="Z506" s="42" t="str">
        <f t="shared" si="41"/>
        <v/>
      </c>
    </row>
    <row r="507" spans="1:26" x14ac:dyDescent="0.25">
      <c r="A507" t="str">
        <f>IF(Summary_Exchange_Balances_00UTC!$B506="","",Summary_Exchange_Balances_00UTC!$N506)</f>
        <v/>
      </c>
      <c r="B507" t="str">
        <f>IF(Summary_Exchange_Balances_00UTC!$B506="","",Summary_Exchange_Balances_00UTC!$B506)</f>
        <v/>
      </c>
      <c r="C507" t="str">
        <f>IF(Summary_Exchange_Balances_00UTC!$B506="","",Summary_Exchange_Balances_00UTC!$E506)</f>
        <v/>
      </c>
      <c r="E507" s="52" t="str">
        <f>IF(Summary_Exchange_Balances_00UTC!$B506="","",Summary_Exchange_Balances_00UTC!$C506)</f>
        <v/>
      </c>
      <c r="G507" s="52" t="str">
        <f>IF(Summary_Exchange_Balances_00UTC!$B506="","",VLOOKUP(IF(ISERROR(SEARCH(" ", $B507)),UPPER($B507&amp;$C507&amp;IF(OR(NOT(ISERROR(SEARCH("trade",$D507))),NOT(ISERROR(SEARCH("balance",$D507)))),"",$D507)),UPPER(LEFT($B507, SEARCH(" ",$B507)-1)&amp;$C507&amp;IF(OR(NOT(ISERROR(SEARCH("trade",$D507))),NOT(ISERROR(SEARCH("balance",$D507)))),"",$D507))),$L:$T,MATCH("balance",$L$2:$S$2,0),FALSE))</f>
        <v/>
      </c>
      <c r="H507" s="35" t="str">
        <f>IF(Summary_Exchange_Balances_00UTC!$B506="","",(G507-E507)/E507)</f>
        <v/>
      </c>
      <c r="I507" s="165" t="str">
        <f>IF(Summary_Exchange_Balances_00UTC!$B506="","",IF(ISERROR($G507),$E507,$G507))</f>
        <v/>
      </c>
      <c r="L507" t="str">
        <f t="shared" ca="1" si="37"/>
        <v/>
      </c>
      <c r="N507" s="161" t="str">
        <f ca="1">IF(raw_exchange_data!$A506="","",OFFSET(raw_exchange_data!$A506,0,MATCH(N$2,raw_exchange_data!$1:$1,0)-1))</f>
        <v/>
      </c>
      <c r="O507" s="161" t="str">
        <f ca="1">IF(raw_exchange_data!$A506="","",OFFSET(raw_exchange_data!$A506,0,MATCH(O$2,raw_exchange_data!$1:$1,0)-1))</f>
        <v/>
      </c>
      <c r="P507" s="161" t="str">
        <f ca="1">IF(raw_exchange_data!$A506="","",OFFSET(raw_exchange_data!$A506,0,MATCH(P$2,raw_exchange_data!$1:$1,0)-1))</f>
        <v/>
      </c>
      <c r="Q507" s="161" t="str">
        <f ca="1">IF(raw_exchange_data!$A506="","",TEXT(OFFSET(raw_exchange_data!$A506,0,MATCH(Q$2,raw_exchange_data!$1:$1,0)-1),""))</f>
        <v/>
      </c>
      <c r="R507" s="162" t="str">
        <f ca="1">IF(raw_exchange_data!$A506="","",OFFSET(raw_exchange_data!$A506,0,MATCH(R$2,raw_exchange_data!$1:$1,0)-1))</f>
        <v/>
      </c>
      <c r="S507" s="190" t="str">
        <f ca="1">IF(raw_exchange_data!$A506="","",OFFSET(raw_exchange_data!$A506,0,MATCH(S$2,raw_exchange_data!$1:$1,0)-1))</f>
        <v/>
      </c>
      <c r="W507" t="str">
        <f t="shared" si="38"/>
        <v/>
      </c>
      <c r="X507" t="str">
        <f t="shared" si="39"/>
        <v/>
      </c>
      <c r="Y507" s="42" t="str">
        <f t="shared" si="40"/>
        <v/>
      </c>
      <c r="Z507" s="42" t="str">
        <f t="shared" si="41"/>
        <v/>
      </c>
    </row>
    <row r="508" spans="1:26" x14ac:dyDescent="0.25">
      <c r="A508" t="str">
        <f>IF(Summary_Exchange_Balances_00UTC!$B507="","",Summary_Exchange_Balances_00UTC!$N507)</f>
        <v/>
      </c>
      <c r="B508" t="str">
        <f>IF(Summary_Exchange_Balances_00UTC!$B507="","",Summary_Exchange_Balances_00UTC!$B507)</f>
        <v/>
      </c>
      <c r="C508" t="str">
        <f>IF(Summary_Exchange_Balances_00UTC!$B507="","",Summary_Exchange_Balances_00UTC!$E507)</f>
        <v/>
      </c>
      <c r="E508" s="52" t="str">
        <f>IF(Summary_Exchange_Balances_00UTC!$B507="","",Summary_Exchange_Balances_00UTC!$C507)</f>
        <v/>
      </c>
      <c r="G508" s="52" t="str">
        <f>IF(Summary_Exchange_Balances_00UTC!$B507="","",VLOOKUP(IF(ISERROR(SEARCH(" ", $B508)),UPPER($B508&amp;$C508&amp;IF(OR(NOT(ISERROR(SEARCH("trade",$D508))),NOT(ISERROR(SEARCH("balance",$D508)))),"",$D508)),UPPER(LEFT($B508, SEARCH(" ",$B508)-1)&amp;$C508&amp;IF(OR(NOT(ISERROR(SEARCH("trade",$D508))),NOT(ISERROR(SEARCH("balance",$D508)))),"",$D508))),$L:$T,MATCH("balance",$L$2:$S$2,0),FALSE))</f>
        <v/>
      </c>
      <c r="H508" s="35" t="str">
        <f>IF(Summary_Exchange_Balances_00UTC!$B507="","",(G508-E508)/E508)</f>
        <v/>
      </c>
      <c r="I508" s="165" t="str">
        <f>IF(Summary_Exchange_Balances_00UTC!$B507="","",IF(ISERROR($G508),$E508,$G508))</f>
        <v/>
      </c>
      <c r="L508" t="str">
        <f t="shared" ca="1" si="37"/>
        <v/>
      </c>
      <c r="N508" s="161" t="str">
        <f ca="1">IF(raw_exchange_data!$A507="","",OFFSET(raw_exchange_data!$A507,0,MATCH(N$2,raw_exchange_data!$1:$1,0)-1))</f>
        <v/>
      </c>
      <c r="O508" s="161" t="str">
        <f ca="1">IF(raw_exchange_data!$A507="","",OFFSET(raw_exchange_data!$A507,0,MATCH(O$2,raw_exchange_data!$1:$1,0)-1))</f>
        <v/>
      </c>
      <c r="P508" s="161" t="str">
        <f ca="1">IF(raw_exchange_data!$A507="","",OFFSET(raw_exchange_data!$A507,0,MATCH(P$2,raw_exchange_data!$1:$1,0)-1))</f>
        <v/>
      </c>
      <c r="Q508" s="161" t="str">
        <f ca="1">IF(raw_exchange_data!$A507="","",TEXT(OFFSET(raw_exchange_data!$A507,0,MATCH(Q$2,raw_exchange_data!$1:$1,0)-1),""))</f>
        <v/>
      </c>
      <c r="R508" s="162" t="str">
        <f ca="1">IF(raw_exchange_data!$A507="","",OFFSET(raw_exchange_data!$A507,0,MATCH(R$2,raw_exchange_data!$1:$1,0)-1))</f>
        <v/>
      </c>
      <c r="S508" s="190" t="str">
        <f ca="1">IF(raw_exchange_data!$A507="","",OFFSET(raw_exchange_data!$A507,0,MATCH(S$2,raw_exchange_data!$1:$1,0)-1))</f>
        <v/>
      </c>
      <c r="W508" t="str">
        <f t="shared" si="38"/>
        <v/>
      </c>
      <c r="X508" t="str">
        <f t="shared" si="39"/>
        <v/>
      </c>
      <c r="Y508" s="42" t="str">
        <f t="shared" si="40"/>
        <v/>
      </c>
      <c r="Z508" s="42" t="str">
        <f t="shared" si="41"/>
        <v/>
      </c>
    </row>
    <row r="509" spans="1:26" x14ac:dyDescent="0.25">
      <c r="A509" t="str">
        <f>IF(Summary_Exchange_Balances_00UTC!$B508="","",Summary_Exchange_Balances_00UTC!$N508)</f>
        <v/>
      </c>
      <c r="B509" t="str">
        <f>IF(Summary_Exchange_Balances_00UTC!$B508="","",Summary_Exchange_Balances_00UTC!$B508)</f>
        <v/>
      </c>
      <c r="C509" t="str">
        <f>IF(Summary_Exchange_Balances_00UTC!$B508="","",Summary_Exchange_Balances_00UTC!$E508)</f>
        <v/>
      </c>
      <c r="E509" s="52" t="str">
        <f>IF(Summary_Exchange_Balances_00UTC!$B508="","",Summary_Exchange_Balances_00UTC!$C508)</f>
        <v/>
      </c>
      <c r="G509" s="52" t="str">
        <f>IF(Summary_Exchange_Balances_00UTC!$B508="","",VLOOKUP(IF(ISERROR(SEARCH(" ", $B509)),UPPER($B509&amp;$C509&amp;IF(OR(NOT(ISERROR(SEARCH("trade",$D509))),NOT(ISERROR(SEARCH("balance",$D509)))),"",$D509)),UPPER(LEFT($B509, SEARCH(" ",$B509)-1)&amp;$C509&amp;IF(OR(NOT(ISERROR(SEARCH("trade",$D509))),NOT(ISERROR(SEARCH("balance",$D509)))),"",$D509))),$L:$T,MATCH("balance",$L$2:$S$2,0),FALSE))</f>
        <v/>
      </c>
      <c r="H509" s="35" t="str">
        <f>IF(Summary_Exchange_Balances_00UTC!$B508="","",(G509-E509)/E509)</f>
        <v/>
      </c>
      <c r="I509" s="165" t="str">
        <f>IF(Summary_Exchange_Balances_00UTC!$B508="","",IF(ISERROR($G509),$E509,$G509))</f>
        <v/>
      </c>
      <c r="L509" t="str">
        <f t="shared" ca="1" si="37"/>
        <v/>
      </c>
      <c r="N509" s="161" t="str">
        <f ca="1">IF(raw_exchange_data!$A508="","",OFFSET(raw_exchange_data!$A508,0,MATCH(N$2,raw_exchange_data!$1:$1,0)-1))</f>
        <v/>
      </c>
      <c r="O509" s="161" t="str">
        <f ca="1">IF(raw_exchange_data!$A508="","",OFFSET(raw_exchange_data!$A508,0,MATCH(O$2,raw_exchange_data!$1:$1,0)-1))</f>
        <v/>
      </c>
      <c r="P509" s="161" t="str">
        <f ca="1">IF(raw_exchange_data!$A508="","",OFFSET(raw_exchange_data!$A508,0,MATCH(P$2,raw_exchange_data!$1:$1,0)-1))</f>
        <v/>
      </c>
      <c r="Q509" s="161" t="str">
        <f ca="1">IF(raw_exchange_data!$A508="","",TEXT(OFFSET(raw_exchange_data!$A508,0,MATCH(Q$2,raw_exchange_data!$1:$1,0)-1),""))</f>
        <v/>
      </c>
      <c r="R509" s="162" t="str">
        <f ca="1">IF(raw_exchange_data!$A508="","",OFFSET(raw_exchange_data!$A508,0,MATCH(R$2,raw_exchange_data!$1:$1,0)-1))</f>
        <v/>
      </c>
      <c r="S509" s="190" t="str">
        <f ca="1">IF(raw_exchange_data!$A508="","",OFFSET(raw_exchange_data!$A508,0,MATCH(S$2,raw_exchange_data!$1:$1,0)-1))</f>
        <v/>
      </c>
      <c r="W509" t="str">
        <f t="shared" si="38"/>
        <v/>
      </c>
      <c r="X509" t="str">
        <f t="shared" si="39"/>
        <v/>
      </c>
      <c r="Y509" s="42" t="str">
        <f t="shared" si="40"/>
        <v/>
      </c>
      <c r="Z509" s="42" t="str">
        <f t="shared" si="41"/>
        <v/>
      </c>
    </row>
    <row r="510" spans="1:26" x14ac:dyDescent="0.25">
      <c r="A510" t="str">
        <f>IF(Summary_Exchange_Balances_00UTC!$B509="","",Summary_Exchange_Balances_00UTC!$N509)</f>
        <v/>
      </c>
      <c r="B510" t="str">
        <f>IF(Summary_Exchange_Balances_00UTC!$B509="","",Summary_Exchange_Balances_00UTC!$B509)</f>
        <v/>
      </c>
      <c r="C510" t="str">
        <f>IF(Summary_Exchange_Balances_00UTC!$B509="","",Summary_Exchange_Balances_00UTC!$E509)</f>
        <v/>
      </c>
      <c r="E510" s="52" t="str">
        <f>IF(Summary_Exchange_Balances_00UTC!$B509="","",Summary_Exchange_Balances_00UTC!$C509)</f>
        <v/>
      </c>
      <c r="G510" s="52" t="str">
        <f>IF(Summary_Exchange_Balances_00UTC!$B509="","",VLOOKUP(IF(ISERROR(SEARCH(" ", $B510)),UPPER($B510&amp;$C510&amp;IF(OR(NOT(ISERROR(SEARCH("trade",$D510))),NOT(ISERROR(SEARCH("balance",$D510)))),"",$D510)),UPPER(LEFT($B510, SEARCH(" ",$B510)-1)&amp;$C510&amp;IF(OR(NOT(ISERROR(SEARCH("trade",$D510))),NOT(ISERROR(SEARCH("balance",$D510)))),"",$D510))),$L:$T,MATCH("balance",$L$2:$S$2,0),FALSE))</f>
        <v/>
      </c>
      <c r="H510" s="35" t="str">
        <f>IF(Summary_Exchange_Balances_00UTC!$B509="","",(G510-E510)/E510)</f>
        <v/>
      </c>
      <c r="I510" s="165" t="str">
        <f>IF(Summary_Exchange_Balances_00UTC!$B509="","",IF(ISERROR($G510),$E510,$G510))</f>
        <v/>
      </c>
      <c r="L510" t="str">
        <f t="shared" ca="1" si="37"/>
        <v/>
      </c>
      <c r="N510" s="161" t="str">
        <f ca="1">IF(raw_exchange_data!$A509="","",OFFSET(raw_exchange_data!$A509,0,MATCH(N$2,raw_exchange_data!$1:$1,0)-1))</f>
        <v/>
      </c>
      <c r="O510" s="161" t="str">
        <f ca="1">IF(raw_exchange_data!$A509="","",OFFSET(raw_exchange_data!$A509,0,MATCH(O$2,raw_exchange_data!$1:$1,0)-1))</f>
        <v/>
      </c>
      <c r="P510" s="161" t="str">
        <f ca="1">IF(raw_exchange_data!$A509="","",OFFSET(raw_exchange_data!$A509,0,MATCH(P$2,raw_exchange_data!$1:$1,0)-1))</f>
        <v/>
      </c>
      <c r="Q510" s="161" t="str">
        <f ca="1">IF(raw_exchange_data!$A509="","",TEXT(OFFSET(raw_exchange_data!$A509,0,MATCH(Q$2,raw_exchange_data!$1:$1,0)-1),""))</f>
        <v/>
      </c>
      <c r="R510" s="162" t="str">
        <f ca="1">IF(raw_exchange_data!$A509="","",OFFSET(raw_exchange_data!$A509,0,MATCH(R$2,raw_exchange_data!$1:$1,0)-1))</f>
        <v/>
      </c>
      <c r="S510" s="190" t="str">
        <f ca="1">IF(raw_exchange_data!$A509="","",OFFSET(raw_exchange_data!$A509,0,MATCH(S$2,raw_exchange_data!$1:$1,0)-1))</f>
        <v/>
      </c>
      <c r="W510" t="str">
        <f t="shared" si="38"/>
        <v/>
      </c>
      <c r="X510" t="str">
        <f t="shared" si="39"/>
        <v/>
      </c>
      <c r="Y510" s="42" t="str">
        <f t="shared" si="40"/>
        <v/>
      </c>
      <c r="Z510" s="42" t="str">
        <f t="shared" si="41"/>
        <v/>
      </c>
    </row>
    <row r="511" spans="1:26" x14ac:dyDescent="0.25">
      <c r="A511" t="str">
        <f>IF(Summary_Exchange_Balances_00UTC!$B510="","",Summary_Exchange_Balances_00UTC!$N510)</f>
        <v/>
      </c>
      <c r="B511" t="str">
        <f>IF(Summary_Exchange_Balances_00UTC!$B510="","",Summary_Exchange_Balances_00UTC!$B510)</f>
        <v/>
      </c>
      <c r="C511" t="str">
        <f>IF(Summary_Exchange_Balances_00UTC!$B510="","",Summary_Exchange_Balances_00UTC!$E510)</f>
        <v/>
      </c>
      <c r="E511" s="52" t="str">
        <f>IF(Summary_Exchange_Balances_00UTC!$B510="","",Summary_Exchange_Balances_00UTC!$C510)</f>
        <v/>
      </c>
      <c r="G511" s="52" t="str">
        <f>IF(Summary_Exchange_Balances_00UTC!$B510="","",VLOOKUP(IF(ISERROR(SEARCH(" ", $B511)),UPPER($B511&amp;$C511&amp;IF(OR(NOT(ISERROR(SEARCH("trade",$D511))),NOT(ISERROR(SEARCH("balance",$D511)))),"",$D511)),UPPER(LEFT($B511, SEARCH(" ",$B511)-1)&amp;$C511&amp;IF(OR(NOT(ISERROR(SEARCH("trade",$D511))),NOT(ISERROR(SEARCH("balance",$D511)))),"",$D511))),$L:$T,MATCH("balance",$L$2:$S$2,0),FALSE))</f>
        <v/>
      </c>
      <c r="H511" s="35" t="str">
        <f>IF(Summary_Exchange_Balances_00UTC!$B510="","",(G511-E511)/E511)</f>
        <v/>
      </c>
      <c r="I511" s="165" t="str">
        <f>IF(Summary_Exchange_Balances_00UTC!$B510="","",IF(ISERROR($G511),$E511,$G511))</f>
        <v/>
      </c>
      <c r="L511" t="str">
        <f t="shared" ca="1" si="37"/>
        <v/>
      </c>
      <c r="N511" s="161" t="str">
        <f ca="1">IF(raw_exchange_data!$A510="","",OFFSET(raw_exchange_data!$A510,0,MATCH(N$2,raw_exchange_data!$1:$1,0)-1))</f>
        <v/>
      </c>
      <c r="O511" s="161" t="str">
        <f ca="1">IF(raw_exchange_data!$A510="","",OFFSET(raw_exchange_data!$A510,0,MATCH(O$2,raw_exchange_data!$1:$1,0)-1))</f>
        <v/>
      </c>
      <c r="P511" s="161" t="str">
        <f ca="1">IF(raw_exchange_data!$A510="","",OFFSET(raw_exchange_data!$A510,0,MATCH(P$2,raw_exchange_data!$1:$1,0)-1))</f>
        <v/>
      </c>
      <c r="Q511" s="161" t="str">
        <f ca="1">IF(raw_exchange_data!$A510="","",TEXT(OFFSET(raw_exchange_data!$A510,0,MATCH(Q$2,raw_exchange_data!$1:$1,0)-1),""))</f>
        <v/>
      </c>
      <c r="R511" s="162" t="str">
        <f ca="1">IF(raw_exchange_data!$A510="","",OFFSET(raw_exchange_data!$A510,0,MATCH(R$2,raw_exchange_data!$1:$1,0)-1))</f>
        <v/>
      </c>
      <c r="S511" s="190" t="str">
        <f ca="1">IF(raw_exchange_data!$A510="","",OFFSET(raw_exchange_data!$A510,0,MATCH(S$2,raw_exchange_data!$1:$1,0)-1))</f>
        <v/>
      </c>
      <c r="W511" t="str">
        <f t="shared" si="38"/>
        <v/>
      </c>
      <c r="X511" t="str">
        <f t="shared" si="39"/>
        <v/>
      </c>
      <c r="Y511" s="42" t="str">
        <f t="shared" si="40"/>
        <v/>
      </c>
      <c r="Z511" s="42" t="str">
        <f t="shared" si="41"/>
        <v/>
      </c>
    </row>
    <row r="512" spans="1:26" x14ac:dyDescent="0.25">
      <c r="A512" t="str">
        <f>IF(Summary_Exchange_Balances_00UTC!$B511="","",Summary_Exchange_Balances_00UTC!$N511)</f>
        <v/>
      </c>
      <c r="B512" t="str">
        <f>IF(Summary_Exchange_Balances_00UTC!$B511="","",Summary_Exchange_Balances_00UTC!$B511)</f>
        <v/>
      </c>
      <c r="C512" t="str">
        <f>IF(Summary_Exchange_Balances_00UTC!$B511="","",Summary_Exchange_Balances_00UTC!$E511)</f>
        <v/>
      </c>
      <c r="E512" s="52" t="str">
        <f>IF(Summary_Exchange_Balances_00UTC!$B511="","",Summary_Exchange_Balances_00UTC!$C511)</f>
        <v/>
      </c>
      <c r="G512" s="52" t="str">
        <f>IF(Summary_Exchange_Balances_00UTC!$B511="","",VLOOKUP(IF(ISERROR(SEARCH(" ", $B512)),UPPER($B512&amp;$C512&amp;IF(OR(NOT(ISERROR(SEARCH("trade",$D512))),NOT(ISERROR(SEARCH("balance",$D512)))),"",$D512)),UPPER(LEFT($B512, SEARCH(" ",$B512)-1)&amp;$C512&amp;IF(OR(NOT(ISERROR(SEARCH("trade",$D512))),NOT(ISERROR(SEARCH("balance",$D512)))),"",$D512))),$L:$T,MATCH("balance",$L$2:$S$2,0),FALSE))</f>
        <v/>
      </c>
      <c r="H512" s="35" t="str">
        <f>IF(Summary_Exchange_Balances_00UTC!$B511="","",(G512-E512)/E512)</f>
        <v/>
      </c>
      <c r="I512" s="165" t="str">
        <f>IF(Summary_Exchange_Balances_00UTC!$B511="","",IF(ISERROR($G512),$E512,$G512))</f>
        <v/>
      </c>
      <c r="L512" t="str">
        <f t="shared" ca="1" si="37"/>
        <v/>
      </c>
      <c r="N512" s="161" t="str">
        <f ca="1">IF(raw_exchange_data!$A511="","",OFFSET(raw_exchange_data!$A511,0,MATCH(N$2,raw_exchange_data!$1:$1,0)-1))</f>
        <v/>
      </c>
      <c r="O512" s="161" t="str">
        <f ca="1">IF(raw_exchange_data!$A511="","",OFFSET(raw_exchange_data!$A511,0,MATCH(O$2,raw_exchange_data!$1:$1,0)-1))</f>
        <v/>
      </c>
      <c r="P512" s="161" t="str">
        <f ca="1">IF(raw_exchange_data!$A511="","",OFFSET(raw_exchange_data!$A511,0,MATCH(P$2,raw_exchange_data!$1:$1,0)-1))</f>
        <v/>
      </c>
      <c r="Q512" s="161" t="str">
        <f ca="1">IF(raw_exchange_data!$A511="","",TEXT(OFFSET(raw_exchange_data!$A511,0,MATCH(Q$2,raw_exchange_data!$1:$1,0)-1),""))</f>
        <v/>
      </c>
      <c r="R512" s="162" t="str">
        <f ca="1">IF(raw_exchange_data!$A511="","",OFFSET(raw_exchange_data!$A511,0,MATCH(R$2,raw_exchange_data!$1:$1,0)-1))</f>
        <v/>
      </c>
      <c r="S512" s="190" t="str">
        <f ca="1">IF(raw_exchange_data!$A511="","",OFFSET(raw_exchange_data!$A511,0,MATCH(S$2,raw_exchange_data!$1:$1,0)-1))</f>
        <v/>
      </c>
      <c r="W512" t="str">
        <f t="shared" si="38"/>
        <v/>
      </c>
      <c r="X512" t="str">
        <f t="shared" si="39"/>
        <v/>
      </c>
      <c r="Y512" s="42" t="str">
        <f t="shared" si="40"/>
        <v/>
      </c>
      <c r="Z512" s="42" t="str">
        <f t="shared" si="41"/>
        <v/>
      </c>
    </row>
    <row r="513" spans="1:26" x14ac:dyDescent="0.25">
      <c r="A513" t="str">
        <f>IF(Summary_Exchange_Balances_00UTC!$B512="","",Summary_Exchange_Balances_00UTC!$N512)</f>
        <v/>
      </c>
      <c r="B513" t="str">
        <f>IF(Summary_Exchange_Balances_00UTC!$B512="","",Summary_Exchange_Balances_00UTC!$B512)</f>
        <v/>
      </c>
      <c r="C513" t="str">
        <f>IF(Summary_Exchange_Balances_00UTC!$B512="","",Summary_Exchange_Balances_00UTC!$E512)</f>
        <v/>
      </c>
      <c r="E513" s="52" t="str">
        <f>IF(Summary_Exchange_Balances_00UTC!$B512="","",Summary_Exchange_Balances_00UTC!$C512)</f>
        <v/>
      </c>
      <c r="G513" s="52" t="str">
        <f>IF(Summary_Exchange_Balances_00UTC!$B512="","",VLOOKUP(IF(ISERROR(SEARCH(" ", $B513)),UPPER($B513&amp;$C513&amp;IF(OR(NOT(ISERROR(SEARCH("trade",$D513))),NOT(ISERROR(SEARCH("balance",$D513)))),"",$D513)),UPPER(LEFT($B513, SEARCH(" ",$B513)-1)&amp;$C513&amp;IF(OR(NOT(ISERROR(SEARCH("trade",$D513))),NOT(ISERROR(SEARCH("balance",$D513)))),"",$D513))),$L:$T,MATCH("balance",$L$2:$S$2,0),FALSE))</f>
        <v/>
      </c>
      <c r="H513" s="35" t="str">
        <f>IF(Summary_Exchange_Balances_00UTC!$B512="","",(G513-E513)/E513)</f>
        <v/>
      </c>
      <c r="I513" s="165" t="str">
        <f>IF(Summary_Exchange_Balances_00UTC!$B512="","",IF(ISERROR($G513),$E513,$G513))</f>
        <v/>
      </c>
      <c r="L513" t="str">
        <f t="shared" ca="1" si="37"/>
        <v/>
      </c>
      <c r="N513" s="161" t="str">
        <f ca="1">IF(raw_exchange_data!$A512="","",OFFSET(raw_exchange_data!$A512,0,MATCH(N$2,raw_exchange_data!$1:$1,0)-1))</f>
        <v/>
      </c>
      <c r="O513" s="161" t="str">
        <f ca="1">IF(raw_exchange_data!$A512="","",OFFSET(raw_exchange_data!$A512,0,MATCH(O$2,raw_exchange_data!$1:$1,0)-1))</f>
        <v/>
      </c>
      <c r="P513" s="161" t="str">
        <f ca="1">IF(raw_exchange_data!$A512="","",OFFSET(raw_exchange_data!$A512,0,MATCH(P$2,raw_exchange_data!$1:$1,0)-1))</f>
        <v/>
      </c>
      <c r="Q513" s="161" t="str">
        <f ca="1">IF(raw_exchange_data!$A512="","",TEXT(OFFSET(raw_exchange_data!$A512,0,MATCH(Q$2,raw_exchange_data!$1:$1,0)-1),""))</f>
        <v/>
      </c>
      <c r="R513" s="162" t="str">
        <f ca="1">IF(raw_exchange_data!$A512="","",OFFSET(raw_exchange_data!$A512,0,MATCH(R$2,raw_exchange_data!$1:$1,0)-1))</f>
        <v/>
      </c>
      <c r="S513" s="190" t="str">
        <f ca="1">IF(raw_exchange_data!$A512="","",OFFSET(raw_exchange_data!$A512,0,MATCH(S$2,raw_exchange_data!$1:$1,0)-1))</f>
        <v/>
      </c>
      <c r="W513" t="str">
        <f t="shared" si="38"/>
        <v/>
      </c>
      <c r="X513" t="str">
        <f t="shared" si="39"/>
        <v/>
      </c>
      <c r="Y513" s="42" t="str">
        <f t="shared" si="40"/>
        <v/>
      </c>
      <c r="Z513" s="42" t="str">
        <f t="shared" si="41"/>
        <v/>
      </c>
    </row>
    <row r="514" spans="1:26" x14ac:dyDescent="0.25">
      <c r="A514" t="str">
        <f>IF(Summary_Exchange_Balances_00UTC!$B513="","",Summary_Exchange_Balances_00UTC!$N513)</f>
        <v/>
      </c>
      <c r="B514" t="str">
        <f>IF(Summary_Exchange_Balances_00UTC!$B513="","",Summary_Exchange_Balances_00UTC!$B513)</f>
        <v/>
      </c>
      <c r="C514" t="str">
        <f>IF(Summary_Exchange_Balances_00UTC!$B513="","",Summary_Exchange_Balances_00UTC!$E513)</f>
        <v/>
      </c>
      <c r="E514" s="52" t="str">
        <f>IF(Summary_Exchange_Balances_00UTC!$B513="","",Summary_Exchange_Balances_00UTC!$C513)</f>
        <v/>
      </c>
      <c r="G514" s="52" t="str">
        <f>IF(Summary_Exchange_Balances_00UTC!$B513="","",VLOOKUP(IF(ISERROR(SEARCH(" ", $B514)),UPPER($B514&amp;$C514&amp;IF(OR(NOT(ISERROR(SEARCH("trade",$D514))),NOT(ISERROR(SEARCH("balance",$D514)))),"",$D514)),UPPER(LEFT($B514, SEARCH(" ",$B514)-1)&amp;$C514&amp;IF(OR(NOT(ISERROR(SEARCH("trade",$D514))),NOT(ISERROR(SEARCH("balance",$D514)))),"",$D514))),$L:$T,MATCH("balance",$L$2:$S$2,0),FALSE))</f>
        <v/>
      </c>
      <c r="H514" s="35" t="str">
        <f>IF(Summary_Exchange_Balances_00UTC!$B513="","",(G514-E514)/E514)</f>
        <v/>
      </c>
      <c r="I514" s="165" t="str">
        <f>IF(Summary_Exchange_Balances_00UTC!$B513="","",IF(ISERROR($G514),$E514,$G514))</f>
        <v/>
      </c>
      <c r="L514" t="str">
        <f t="shared" ca="1" si="37"/>
        <v/>
      </c>
      <c r="N514" s="161" t="str">
        <f ca="1">IF(raw_exchange_data!$A513="","",OFFSET(raw_exchange_data!$A513,0,MATCH(N$2,raw_exchange_data!$1:$1,0)-1))</f>
        <v/>
      </c>
      <c r="O514" s="161" t="str">
        <f ca="1">IF(raw_exchange_data!$A513="","",OFFSET(raw_exchange_data!$A513,0,MATCH(O$2,raw_exchange_data!$1:$1,0)-1))</f>
        <v/>
      </c>
      <c r="P514" s="161" t="str">
        <f ca="1">IF(raw_exchange_data!$A513="","",OFFSET(raw_exchange_data!$A513,0,MATCH(P$2,raw_exchange_data!$1:$1,0)-1))</f>
        <v/>
      </c>
      <c r="Q514" s="161" t="str">
        <f ca="1">IF(raw_exchange_data!$A513="","",TEXT(OFFSET(raw_exchange_data!$A513,0,MATCH(Q$2,raw_exchange_data!$1:$1,0)-1),""))</f>
        <v/>
      </c>
      <c r="R514" s="162" t="str">
        <f ca="1">IF(raw_exchange_data!$A513="","",OFFSET(raw_exchange_data!$A513,0,MATCH(R$2,raw_exchange_data!$1:$1,0)-1))</f>
        <v/>
      </c>
      <c r="S514" s="190" t="str">
        <f ca="1">IF(raw_exchange_data!$A513="","",OFFSET(raw_exchange_data!$A513,0,MATCH(S$2,raw_exchange_data!$1:$1,0)-1))</f>
        <v/>
      </c>
      <c r="W514" t="str">
        <f t="shared" si="38"/>
        <v/>
      </c>
      <c r="X514" t="str">
        <f t="shared" si="39"/>
        <v/>
      </c>
      <c r="Y514" s="42" t="str">
        <f t="shared" si="40"/>
        <v/>
      </c>
      <c r="Z514" s="42" t="str">
        <f t="shared" si="41"/>
        <v/>
      </c>
    </row>
    <row r="515" spans="1:26" x14ac:dyDescent="0.25">
      <c r="A515" t="str">
        <f>IF(Summary_Exchange_Balances_00UTC!$B514="","",Summary_Exchange_Balances_00UTC!$N514)</f>
        <v/>
      </c>
      <c r="B515" t="str">
        <f>IF(Summary_Exchange_Balances_00UTC!$B514="","",Summary_Exchange_Balances_00UTC!$B514)</f>
        <v/>
      </c>
      <c r="C515" t="str">
        <f>IF(Summary_Exchange_Balances_00UTC!$B514="","",Summary_Exchange_Balances_00UTC!$E514)</f>
        <v/>
      </c>
      <c r="E515" s="52" t="str">
        <f>IF(Summary_Exchange_Balances_00UTC!$B514="","",Summary_Exchange_Balances_00UTC!$C514)</f>
        <v/>
      </c>
      <c r="G515" s="52" t="str">
        <f>IF(Summary_Exchange_Balances_00UTC!$B514="","",VLOOKUP(IF(ISERROR(SEARCH(" ", $B515)),UPPER($B515&amp;$C515&amp;IF(OR(NOT(ISERROR(SEARCH("trade",$D515))),NOT(ISERROR(SEARCH("balance",$D515)))),"",$D515)),UPPER(LEFT($B515, SEARCH(" ",$B515)-1)&amp;$C515&amp;IF(OR(NOT(ISERROR(SEARCH("trade",$D515))),NOT(ISERROR(SEARCH("balance",$D515)))),"",$D515))),$L:$T,MATCH("balance",$L$2:$S$2,0),FALSE))</f>
        <v/>
      </c>
      <c r="H515" s="35" t="str">
        <f>IF(Summary_Exchange_Balances_00UTC!$B514="","",(G515-E515)/E515)</f>
        <v/>
      </c>
      <c r="I515" s="165" t="str">
        <f>IF(Summary_Exchange_Balances_00UTC!$B514="","",IF(ISERROR($G515),$E515,$G515))</f>
        <v/>
      </c>
      <c r="L515" t="str">
        <f t="shared" ca="1" si="37"/>
        <v/>
      </c>
      <c r="N515" s="161" t="str">
        <f ca="1">IF(raw_exchange_data!$A514="","",OFFSET(raw_exchange_data!$A514,0,MATCH(N$2,raw_exchange_data!$1:$1,0)-1))</f>
        <v/>
      </c>
      <c r="O515" s="161" t="str">
        <f ca="1">IF(raw_exchange_data!$A514="","",OFFSET(raw_exchange_data!$A514,0,MATCH(O$2,raw_exchange_data!$1:$1,0)-1))</f>
        <v/>
      </c>
      <c r="P515" s="161" t="str">
        <f ca="1">IF(raw_exchange_data!$A514="","",OFFSET(raw_exchange_data!$A514,0,MATCH(P$2,raw_exchange_data!$1:$1,0)-1))</f>
        <v/>
      </c>
      <c r="Q515" s="161" t="str">
        <f ca="1">IF(raw_exchange_data!$A514="","",TEXT(OFFSET(raw_exchange_data!$A514,0,MATCH(Q$2,raw_exchange_data!$1:$1,0)-1),""))</f>
        <v/>
      </c>
      <c r="R515" s="162" t="str">
        <f ca="1">IF(raw_exchange_data!$A514="","",OFFSET(raw_exchange_data!$A514,0,MATCH(R$2,raw_exchange_data!$1:$1,0)-1))</f>
        <v/>
      </c>
      <c r="S515" s="190" t="str">
        <f ca="1">IF(raw_exchange_data!$A514="","",OFFSET(raw_exchange_data!$A514,0,MATCH(S$2,raw_exchange_data!$1:$1,0)-1))</f>
        <v/>
      </c>
      <c r="W515" t="str">
        <f t="shared" si="38"/>
        <v/>
      </c>
      <c r="X515" t="str">
        <f t="shared" si="39"/>
        <v/>
      </c>
      <c r="Y515" s="42" t="str">
        <f t="shared" si="40"/>
        <v/>
      </c>
      <c r="Z515" s="42" t="str">
        <f t="shared" si="41"/>
        <v/>
      </c>
    </row>
    <row r="516" spans="1:26" x14ac:dyDescent="0.25">
      <c r="A516" t="str">
        <f>IF(Summary_Exchange_Balances_00UTC!$B515="","",Summary_Exchange_Balances_00UTC!$N515)</f>
        <v/>
      </c>
      <c r="B516" t="str">
        <f>IF(Summary_Exchange_Balances_00UTC!$B515="","",Summary_Exchange_Balances_00UTC!$B515)</f>
        <v/>
      </c>
      <c r="C516" t="str">
        <f>IF(Summary_Exchange_Balances_00UTC!$B515="","",Summary_Exchange_Balances_00UTC!$E515)</f>
        <v/>
      </c>
      <c r="E516" s="52" t="str">
        <f>IF(Summary_Exchange_Balances_00UTC!$B515="","",Summary_Exchange_Balances_00UTC!$C515)</f>
        <v/>
      </c>
      <c r="G516" s="52" t="str">
        <f>IF(Summary_Exchange_Balances_00UTC!$B515="","",VLOOKUP(IF(ISERROR(SEARCH(" ", $B516)),UPPER($B516&amp;$C516&amp;IF(OR(NOT(ISERROR(SEARCH("trade",$D516))),NOT(ISERROR(SEARCH("balance",$D516)))),"",$D516)),UPPER(LEFT($B516, SEARCH(" ",$B516)-1)&amp;$C516&amp;IF(OR(NOT(ISERROR(SEARCH("trade",$D516))),NOT(ISERROR(SEARCH("balance",$D516)))),"",$D516))),$L:$T,MATCH("balance",$L$2:$S$2,0),FALSE))</f>
        <v/>
      </c>
      <c r="H516" s="35" t="str">
        <f>IF(Summary_Exchange_Balances_00UTC!$B515="","",(G516-E516)/E516)</f>
        <v/>
      </c>
      <c r="I516" s="165" t="str">
        <f>IF(Summary_Exchange_Balances_00UTC!$B515="","",IF(ISERROR($G516),$E516,$G516))</f>
        <v/>
      </c>
      <c r="L516" t="str">
        <f t="shared" ref="L516:L579" ca="1" si="42">UPPER($P516&amp;$N516&amp;IF(OR(NOT(ISERROR(SEARCH("trade",Q516))),NOT(ISERROR(SEARCH("balance",Q516)))),"",Q516))</f>
        <v/>
      </c>
      <c r="N516" s="161" t="str">
        <f ca="1">IF(raw_exchange_data!$A515="","",OFFSET(raw_exchange_data!$A515,0,MATCH(N$2,raw_exchange_data!$1:$1,0)-1))</f>
        <v/>
      </c>
      <c r="O516" s="161" t="str">
        <f ca="1">IF(raw_exchange_data!$A515="","",OFFSET(raw_exchange_data!$A515,0,MATCH(O$2,raw_exchange_data!$1:$1,0)-1))</f>
        <v/>
      </c>
      <c r="P516" s="161" t="str">
        <f ca="1">IF(raw_exchange_data!$A515="","",OFFSET(raw_exchange_data!$A515,0,MATCH(P$2,raw_exchange_data!$1:$1,0)-1))</f>
        <v/>
      </c>
      <c r="Q516" s="161" t="str">
        <f ca="1">IF(raw_exchange_data!$A515="","",TEXT(OFFSET(raw_exchange_data!$A515,0,MATCH(Q$2,raw_exchange_data!$1:$1,0)-1),""))</f>
        <v/>
      </c>
      <c r="R516" s="162" t="str">
        <f ca="1">IF(raw_exchange_data!$A515="","",OFFSET(raw_exchange_data!$A515,0,MATCH(R$2,raw_exchange_data!$1:$1,0)-1))</f>
        <v/>
      </c>
      <c r="S516" s="190" t="str">
        <f ca="1">IF(raw_exchange_data!$A515="","",OFFSET(raw_exchange_data!$A515,0,MATCH(S$2,raw_exchange_data!$1:$1,0)-1))</f>
        <v/>
      </c>
      <c r="W516" t="str">
        <f t="shared" ref="W516:W579" si="43">IF($A516="","",$A516)</f>
        <v/>
      </c>
      <c r="X516" t="str">
        <f t="shared" ref="X516:X579" si="44">IF($A516="","",$C516)</f>
        <v/>
      </c>
      <c r="Y516" s="42" t="str">
        <f t="shared" ref="Y516:Y579" si="45">IF($A516="","",$E516)</f>
        <v/>
      </c>
      <c r="Z516" s="42" t="str">
        <f t="shared" ref="Z516:Z579" si="46">IF($A516="","",IF(ISERROR($G516),0,$G516))</f>
        <v/>
      </c>
    </row>
    <row r="517" spans="1:26" x14ac:dyDescent="0.25">
      <c r="A517" t="str">
        <f>IF(Summary_Exchange_Balances_00UTC!$B516="","",Summary_Exchange_Balances_00UTC!$N516)</f>
        <v/>
      </c>
      <c r="B517" t="str">
        <f>IF(Summary_Exchange_Balances_00UTC!$B516="","",Summary_Exchange_Balances_00UTC!$B516)</f>
        <v/>
      </c>
      <c r="C517" t="str">
        <f>IF(Summary_Exchange_Balances_00UTC!$B516="","",Summary_Exchange_Balances_00UTC!$E516)</f>
        <v/>
      </c>
      <c r="E517" s="52" t="str">
        <f>IF(Summary_Exchange_Balances_00UTC!$B516="","",Summary_Exchange_Balances_00UTC!$C516)</f>
        <v/>
      </c>
      <c r="G517" s="52" t="str">
        <f>IF(Summary_Exchange_Balances_00UTC!$B516="","",VLOOKUP(IF(ISERROR(SEARCH(" ", $B517)),UPPER($B517&amp;$C517&amp;IF(OR(NOT(ISERROR(SEARCH("trade",$D517))),NOT(ISERROR(SEARCH("balance",$D517)))),"",$D517)),UPPER(LEFT($B517, SEARCH(" ",$B517)-1)&amp;$C517&amp;IF(OR(NOT(ISERROR(SEARCH("trade",$D517))),NOT(ISERROR(SEARCH("balance",$D517)))),"",$D517))),$L:$T,MATCH("balance",$L$2:$S$2,0),FALSE))</f>
        <v/>
      </c>
      <c r="H517" s="35" t="str">
        <f>IF(Summary_Exchange_Balances_00UTC!$B516="","",(G517-E517)/E517)</f>
        <v/>
      </c>
      <c r="I517" s="165" t="str">
        <f>IF(Summary_Exchange_Balances_00UTC!$B516="","",IF(ISERROR($G517),$E517,$G517))</f>
        <v/>
      </c>
      <c r="L517" t="str">
        <f t="shared" ca="1" si="42"/>
        <v/>
      </c>
      <c r="N517" s="161" t="str">
        <f ca="1">IF(raw_exchange_data!$A516="","",OFFSET(raw_exchange_data!$A516,0,MATCH(N$2,raw_exchange_data!$1:$1,0)-1))</f>
        <v/>
      </c>
      <c r="O517" s="161" t="str">
        <f ca="1">IF(raw_exchange_data!$A516="","",OFFSET(raw_exchange_data!$A516,0,MATCH(O$2,raw_exchange_data!$1:$1,0)-1))</f>
        <v/>
      </c>
      <c r="P517" s="161" t="str">
        <f ca="1">IF(raw_exchange_data!$A516="","",OFFSET(raw_exchange_data!$A516,0,MATCH(P$2,raw_exchange_data!$1:$1,0)-1))</f>
        <v/>
      </c>
      <c r="Q517" s="161" t="str">
        <f ca="1">IF(raw_exchange_data!$A516="","",TEXT(OFFSET(raw_exchange_data!$A516,0,MATCH(Q$2,raw_exchange_data!$1:$1,0)-1),""))</f>
        <v/>
      </c>
      <c r="R517" s="162" t="str">
        <f ca="1">IF(raw_exchange_data!$A516="","",OFFSET(raw_exchange_data!$A516,0,MATCH(R$2,raw_exchange_data!$1:$1,0)-1))</f>
        <v/>
      </c>
      <c r="S517" s="190" t="str">
        <f ca="1">IF(raw_exchange_data!$A516="","",OFFSET(raw_exchange_data!$A516,0,MATCH(S$2,raw_exchange_data!$1:$1,0)-1))</f>
        <v/>
      </c>
      <c r="W517" t="str">
        <f t="shared" si="43"/>
        <v/>
      </c>
      <c r="X517" t="str">
        <f t="shared" si="44"/>
        <v/>
      </c>
      <c r="Y517" s="42" t="str">
        <f t="shared" si="45"/>
        <v/>
      </c>
      <c r="Z517" s="42" t="str">
        <f t="shared" si="46"/>
        <v/>
      </c>
    </row>
    <row r="518" spans="1:26" x14ac:dyDescent="0.25">
      <c r="A518" t="str">
        <f>IF(Summary_Exchange_Balances_00UTC!$B517="","",Summary_Exchange_Balances_00UTC!$N517)</f>
        <v/>
      </c>
      <c r="B518" t="str">
        <f>IF(Summary_Exchange_Balances_00UTC!$B517="","",Summary_Exchange_Balances_00UTC!$B517)</f>
        <v/>
      </c>
      <c r="C518" t="str">
        <f>IF(Summary_Exchange_Balances_00UTC!$B517="","",Summary_Exchange_Balances_00UTC!$E517)</f>
        <v/>
      </c>
      <c r="E518" s="52" t="str">
        <f>IF(Summary_Exchange_Balances_00UTC!$B517="","",Summary_Exchange_Balances_00UTC!$C517)</f>
        <v/>
      </c>
      <c r="G518" s="52" t="str">
        <f>IF(Summary_Exchange_Balances_00UTC!$B517="","",VLOOKUP(IF(ISERROR(SEARCH(" ", $B518)),UPPER($B518&amp;$C518&amp;IF(OR(NOT(ISERROR(SEARCH("trade",$D518))),NOT(ISERROR(SEARCH("balance",$D518)))),"",$D518)),UPPER(LEFT($B518, SEARCH(" ",$B518)-1)&amp;$C518&amp;IF(OR(NOT(ISERROR(SEARCH("trade",$D518))),NOT(ISERROR(SEARCH("balance",$D518)))),"",$D518))),$L:$T,MATCH("balance",$L$2:$S$2,0),FALSE))</f>
        <v/>
      </c>
      <c r="H518" s="35" t="str">
        <f>IF(Summary_Exchange_Balances_00UTC!$B517="","",(G518-E518)/E518)</f>
        <v/>
      </c>
      <c r="I518" s="165" t="str">
        <f>IF(Summary_Exchange_Balances_00UTC!$B517="","",IF(ISERROR($G518),$E518,$G518))</f>
        <v/>
      </c>
      <c r="L518" t="str">
        <f t="shared" ca="1" si="42"/>
        <v/>
      </c>
      <c r="N518" s="161" t="str">
        <f ca="1">IF(raw_exchange_data!$A517="","",OFFSET(raw_exchange_data!$A517,0,MATCH(N$2,raw_exchange_data!$1:$1,0)-1))</f>
        <v/>
      </c>
      <c r="O518" s="161" t="str">
        <f ca="1">IF(raw_exchange_data!$A517="","",OFFSET(raw_exchange_data!$A517,0,MATCH(O$2,raw_exchange_data!$1:$1,0)-1))</f>
        <v/>
      </c>
      <c r="P518" s="161" t="str">
        <f ca="1">IF(raw_exchange_data!$A517="","",OFFSET(raw_exchange_data!$A517,0,MATCH(P$2,raw_exchange_data!$1:$1,0)-1))</f>
        <v/>
      </c>
      <c r="Q518" s="161" t="str">
        <f ca="1">IF(raw_exchange_data!$A517="","",TEXT(OFFSET(raw_exchange_data!$A517,0,MATCH(Q$2,raw_exchange_data!$1:$1,0)-1),""))</f>
        <v/>
      </c>
      <c r="R518" s="162" t="str">
        <f ca="1">IF(raw_exchange_data!$A517="","",OFFSET(raw_exchange_data!$A517,0,MATCH(R$2,raw_exchange_data!$1:$1,0)-1))</f>
        <v/>
      </c>
      <c r="S518" s="190" t="str">
        <f ca="1">IF(raw_exchange_data!$A517="","",OFFSET(raw_exchange_data!$A517,0,MATCH(S$2,raw_exchange_data!$1:$1,0)-1))</f>
        <v/>
      </c>
      <c r="W518" t="str">
        <f t="shared" si="43"/>
        <v/>
      </c>
      <c r="X518" t="str">
        <f t="shared" si="44"/>
        <v/>
      </c>
      <c r="Y518" s="42" t="str">
        <f t="shared" si="45"/>
        <v/>
      </c>
      <c r="Z518" s="42" t="str">
        <f t="shared" si="46"/>
        <v/>
      </c>
    </row>
    <row r="519" spans="1:26" x14ac:dyDescent="0.25">
      <c r="A519" t="str">
        <f>IF(Summary_Exchange_Balances_00UTC!$B518="","",Summary_Exchange_Balances_00UTC!$N518)</f>
        <v/>
      </c>
      <c r="B519" t="str">
        <f>IF(Summary_Exchange_Balances_00UTC!$B518="","",Summary_Exchange_Balances_00UTC!$B518)</f>
        <v/>
      </c>
      <c r="C519" t="str">
        <f>IF(Summary_Exchange_Balances_00UTC!$B518="","",Summary_Exchange_Balances_00UTC!$E518)</f>
        <v/>
      </c>
      <c r="E519" s="52" t="str">
        <f>IF(Summary_Exchange_Balances_00UTC!$B518="","",Summary_Exchange_Balances_00UTC!$C518)</f>
        <v/>
      </c>
      <c r="G519" s="52" t="str">
        <f>IF(Summary_Exchange_Balances_00UTC!$B518="","",VLOOKUP(IF(ISERROR(SEARCH(" ", $B519)),UPPER($B519&amp;$C519&amp;IF(OR(NOT(ISERROR(SEARCH("trade",$D519))),NOT(ISERROR(SEARCH("balance",$D519)))),"",$D519)),UPPER(LEFT($B519, SEARCH(" ",$B519)-1)&amp;$C519&amp;IF(OR(NOT(ISERROR(SEARCH("trade",$D519))),NOT(ISERROR(SEARCH("balance",$D519)))),"",$D519))),$L:$T,MATCH("balance",$L$2:$S$2,0),FALSE))</f>
        <v/>
      </c>
      <c r="H519" s="35" t="str">
        <f>IF(Summary_Exchange_Balances_00UTC!$B518="","",(G519-E519)/E519)</f>
        <v/>
      </c>
      <c r="I519" s="165" t="str">
        <f>IF(Summary_Exchange_Balances_00UTC!$B518="","",IF(ISERROR($G519),$E519,$G519))</f>
        <v/>
      </c>
      <c r="L519" t="str">
        <f t="shared" ca="1" si="42"/>
        <v/>
      </c>
      <c r="N519" s="161" t="str">
        <f ca="1">IF(raw_exchange_data!$A518="","",OFFSET(raw_exchange_data!$A518,0,MATCH(N$2,raw_exchange_data!$1:$1,0)-1))</f>
        <v/>
      </c>
      <c r="O519" s="161" t="str">
        <f ca="1">IF(raw_exchange_data!$A518="","",OFFSET(raw_exchange_data!$A518,0,MATCH(O$2,raw_exchange_data!$1:$1,0)-1))</f>
        <v/>
      </c>
      <c r="P519" s="161" t="str">
        <f ca="1">IF(raw_exchange_data!$A518="","",OFFSET(raw_exchange_data!$A518,0,MATCH(P$2,raw_exchange_data!$1:$1,0)-1))</f>
        <v/>
      </c>
      <c r="Q519" s="161" t="str">
        <f ca="1">IF(raw_exchange_data!$A518="","",TEXT(OFFSET(raw_exchange_data!$A518,0,MATCH(Q$2,raw_exchange_data!$1:$1,0)-1),""))</f>
        <v/>
      </c>
      <c r="R519" s="162" t="str">
        <f ca="1">IF(raw_exchange_data!$A518="","",OFFSET(raw_exchange_data!$A518,0,MATCH(R$2,raw_exchange_data!$1:$1,0)-1))</f>
        <v/>
      </c>
      <c r="S519" s="190" t="str">
        <f ca="1">IF(raw_exchange_data!$A518="","",OFFSET(raw_exchange_data!$A518,0,MATCH(S$2,raw_exchange_data!$1:$1,0)-1))</f>
        <v/>
      </c>
      <c r="W519" t="str">
        <f t="shared" si="43"/>
        <v/>
      </c>
      <c r="X519" t="str">
        <f t="shared" si="44"/>
        <v/>
      </c>
      <c r="Y519" s="42" t="str">
        <f t="shared" si="45"/>
        <v/>
      </c>
      <c r="Z519" s="42" t="str">
        <f t="shared" si="46"/>
        <v/>
      </c>
    </row>
    <row r="520" spans="1:26" x14ac:dyDescent="0.25">
      <c r="A520" t="str">
        <f>IF(Summary_Exchange_Balances_00UTC!$B519="","",Summary_Exchange_Balances_00UTC!$N519)</f>
        <v/>
      </c>
      <c r="B520" t="str">
        <f>IF(Summary_Exchange_Balances_00UTC!$B519="","",Summary_Exchange_Balances_00UTC!$B519)</f>
        <v/>
      </c>
      <c r="C520" t="str">
        <f>IF(Summary_Exchange_Balances_00UTC!$B519="","",Summary_Exchange_Balances_00UTC!$E519)</f>
        <v/>
      </c>
      <c r="E520" s="52" t="str">
        <f>IF(Summary_Exchange_Balances_00UTC!$B519="","",Summary_Exchange_Balances_00UTC!$C519)</f>
        <v/>
      </c>
      <c r="G520" s="52" t="str">
        <f>IF(Summary_Exchange_Balances_00UTC!$B519="","",VLOOKUP(IF(ISERROR(SEARCH(" ", $B520)),UPPER($B520&amp;$C520&amp;IF(OR(NOT(ISERROR(SEARCH("trade",$D520))),NOT(ISERROR(SEARCH("balance",$D520)))),"",$D520)),UPPER(LEFT($B520, SEARCH(" ",$B520)-1)&amp;$C520&amp;IF(OR(NOT(ISERROR(SEARCH("trade",$D520))),NOT(ISERROR(SEARCH("balance",$D520)))),"",$D520))),$L:$T,MATCH("balance",$L$2:$S$2,0),FALSE))</f>
        <v/>
      </c>
      <c r="H520" s="35" t="str">
        <f>IF(Summary_Exchange_Balances_00UTC!$B519="","",(G520-E520)/E520)</f>
        <v/>
      </c>
      <c r="I520" s="165" t="str">
        <f>IF(Summary_Exchange_Balances_00UTC!$B519="","",IF(ISERROR($G520),$E520,$G520))</f>
        <v/>
      </c>
      <c r="L520" t="str">
        <f t="shared" ca="1" si="42"/>
        <v/>
      </c>
      <c r="N520" s="161" t="str">
        <f ca="1">IF(raw_exchange_data!$A519="","",OFFSET(raw_exchange_data!$A519,0,MATCH(N$2,raw_exchange_data!$1:$1,0)-1))</f>
        <v/>
      </c>
      <c r="O520" s="161" t="str">
        <f ca="1">IF(raw_exchange_data!$A519="","",OFFSET(raw_exchange_data!$A519,0,MATCH(O$2,raw_exchange_data!$1:$1,0)-1))</f>
        <v/>
      </c>
      <c r="P520" s="161" t="str">
        <f ca="1">IF(raw_exchange_data!$A519="","",OFFSET(raw_exchange_data!$A519,0,MATCH(P$2,raw_exchange_data!$1:$1,0)-1))</f>
        <v/>
      </c>
      <c r="Q520" s="161" t="str">
        <f ca="1">IF(raw_exchange_data!$A519="","",TEXT(OFFSET(raw_exchange_data!$A519,0,MATCH(Q$2,raw_exchange_data!$1:$1,0)-1),""))</f>
        <v/>
      </c>
      <c r="R520" s="162" t="str">
        <f ca="1">IF(raw_exchange_data!$A519="","",OFFSET(raw_exchange_data!$A519,0,MATCH(R$2,raw_exchange_data!$1:$1,0)-1))</f>
        <v/>
      </c>
      <c r="S520" s="190" t="str">
        <f ca="1">IF(raw_exchange_data!$A519="","",OFFSET(raw_exchange_data!$A519,0,MATCH(S$2,raw_exchange_data!$1:$1,0)-1))</f>
        <v/>
      </c>
      <c r="W520" t="str">
        <f t="shared" si="43"/>
        <v/>
      </c>
      <c r="X520" t="str">
        <f t="shared" si="44"/>
        <v/>
      </c>
      <c r="Y520" s="42" t="str">
        <f t="shared" si="45"/>
        <v/>
      </c>
      <c r="Z520" s="42" t="str">
        <f t="shared" si="46"/>
        <v/>
      </c>
    </row>
    <row r="521" spans="1:26" x14ac:dyDescent="0.25">
      <c r="A521" t="str">
        <f>IF(Summary_Exchange_Balances_00UTC!$B520="","",Summary_Exchange_Balances_00UTC!$N520)</f>
        <v/>
      </c>
      <c r="B521" t="str">
        <f>IF(Summary_Exchange_Balances_00UTC!$B520="","",Summary_Exchange_Balances_00UTC!$B520)</f>
        <v/>
      </c>
      <c r="C521" t="str">
        <f>IF(Summary_Exchange_Balances_00UTC!$B520="","",Summary_Exchange_Balances_00UTC!$E520)</f>
        <v/>
      </c>
      <c r="E521" s="52" t="str">
        <f>IF(Summary_Exchange_Balances_00UTC!$B520="","",Summary_Exchange_Balances_00UTC!$C520)</f>
        <v/>
      </c>
      <c r="G521" s="52" t="str">
        <f>IF(Summary_Exchange_Balances_00UTC!$B520="","",VLOOKUP(IF(ISERROR(SEARCH(" ", $B521)),UPPER($B521&amp;$C521&amp;IF(OR(NOT(ISERROR(SEARCH("trade",$D521))),NOT(ISERROR(SEARCH("balance",$D521)))),"",$D521)),UPPER(LEFT($B521, SEARCH(" ",$B521)-1)&amp;$C521&amp;IF(OR(NOT(ISERROR(SEARCH("trade",$D521))),NOT(ISERROR(SEARCH("balance",$D521)))),"",$D521))),$L:$T,MATCH("balance",$L$2:$S$2,0),FALSE))</f>
        <v/>
      </c>
      <c r="H521" s="35" t="str">
        <f>IF(Summary_Exchange_Balances_00UTC!$B520="","",(G521-E521)/E521)</f>
        <v/>
      </c>
      <c r="I521" s="165" t="str">
        <f>IF(Summary_Exchange_Balances_00UTC!$B520="","",IF(ISERROR($G521),$E521,$G521))</f>
        <v/>
      </c>
      <c r="L521" t="str">
        <f t="shared" ca="1" si="42"/>
        <v/>
      </c>
      <c r="N521" s="161" t="str">
        <f ca="1">IF(raw_exchange_data!$A520="","",OFFSET(raw_exchange_data!$A520,0,MATCH(N$2,raw_exchange_data!$1:$1,0)-1))</f>
        <v/>
      </c>
      <c r="O521" s="161" t="str">
        <f ca="1">IF(raw_exchange_data!$A520="","",OFFSET(raw_exchange_data!$A520,0,MATCH(O$2,raw_exchange_data!$1:$1,0)-1))</f>
        <v/>
      </c>
      <c r="P521" s="161" t="str">
        <f ca="1">IF(raw_exchange_data!$A520="","",OFFSET(raw_exchange_data!$A520,0,MATCH(P$2,raw_exchange_data!$1:$1,0)-1))</f>
        <v/>
      </c>
      <c r="Q521" s="161" t="str">
        <f ca="1">IF(raw_exchange_data!$A520="","",TEXT(OFFSET(raw_exchange_data!$A520,0,MATCH(Q$2,raw_exchange_data!$1:$1,0)-1),""))</f>
        <v/>
      </c>
      <c r="R521" s="162" t="str">
        <f ca="1">IF(raw_exchange_data!$A520="","",OFFSET(raw_exchange_data!$A520,0,MATCH(R$2,raw_exchange_data!$1:$1,0)-1))</f>
        <v/>
      </c>
      <c r="S521" s="190" t="str">
        <f ca="1">IF(raw_exchange_data!$A520="","",OFFSET(raw_exchange_data!$A520,0,MATCH(S$2,raw_exchange_data!$1:$1,0)-1))</f>
        <v/>
      </c>
      <c r="W521" t="str">
        <f t="shared" si="43"/>
        <v/>
      </c>
      <c r="X521" t="str">
        <f t="shared" si="44"/>
        <v/>
      </c>
      <c r="Y521" s="42" t="str">
        <f t="shared" si="45"/>
        <v/>
      </c>
      <c r="Z521" s="42" t="str">
        <f t="shared" si="46"/>
        <v/>
      </c>
    </row>
    <row r="522" spans="1:26" x14ac:dyDescent="0.25">
      <c r="A522" t="str">
        <f>IF(Summary_Exchange_Balances_00UTC!$B521="","",Summary_Exchange_Balances_00UTC!$N521)</f>
        <v/>
      </c>
      <c r="B522" t="str">
        <f>IF(Summary_Exchange_Balances_00UTC!$B521="","",Summary_Exchange_Balances_00UTC!$B521)</f>
        <v/>
      </c>
      <c r="C522" t="str">
        <f>IF(Summary_Exchange_Balances_00UTC!$B521="","",Summary_Exchange_Balances_00UTC!$E521)</f>
        <v/>
      </c>
      <c r="E522" s="52" t="str">
        <f>IF(Summary_Exchange_Balances_00UTC!$B521="","",Summary_Exchange_Balances_00UTC!$C521)</f>
        <v/>
      </c>
      <c r="G522" s="52" t="str">
        <f>IF(Summary_Exchange_Balances_00UTC!$B521="","",VLOOKUP(IF(ISERROR(SEARCH(" ", $B522)),UPPER($B522&amp;$C522&amp;IF(OR(NOT(ISERROR(SEARCH("trade",$D522))),NOT(ISERROR(SEARCH("balance",$D522)))),"",$D522)),UPPER(LEFT($B522, SEARCH(" ",$B522)-1)&amp;$C522&amp;IF(OR(NOT(ISERROR(SEARCH("trade",$D522))),NOT(ISERROR(SEARCH("balance",$D522)))),"",$D522))),$L:$T,MATCH("balance",$L$2:$S$2,0),FALSE))</f>
        <v/>
      </c>
      <c r="H522" s="35" t="str">
        <f>IF(Summary_Exchange_Balances_00UTC!$B521="","",(G522-E522)/E522)</f>
        <v/>
      </c>
      <c r="I522" s="165" t="str">
        <f>IF(Summary_Exchange_Balances_00UTC!$B521="","",IF(ISERROR($G522),$E522,$G522))</f>
        <v/>
      </c>
      <c r="L522" t="str">
        <f t="shared" ca="1" si="42"/>
        <v/>
      </c>
      <c r="N522" s="161" t="str">
        <f ca="1">IF(raw_exchange_data!$A521="","",OFFSET(raw_exchange_data!$A521,0,MATCH(N$2,raw_exchange_data!$1:$1,0)-1))</f>
        <v/>
      </c>
      <c r="O522" s="161" t="str">
        <f ca="1">IF(raw_exchange_data!$A521="","",OFFSET(raw_exchange_data!$A521,0,MATCH(O$2,raw_exchange_data!$1:$1,0)-1))</f>
        <v/>
      </c>
      <c r="P522" s="161" t="str">
        <f ca="1">IF(raw_exchange_data!$A521="","",OFFSET(raw_exchange_data!$A521,0,MATCH(P$2,raw_exchange_data!$1:$1,0)-1))</f>
        <v/>
      </c>
      <c r="Q522" s="161" t="str">
        <f ca="1">IF(raw_exchange_data!$A521="","",TEXT(OFFSET(raw_exchange_data!$A521,0,MATCH(Q$2,raw_exchange_data!$1:$1,0)-1),""))</f>
        <v/>
      </c>
      <c r="R522" s="162" t="str">
        <f ca="1">IF(raw_exchange_data!$A521="","",OFFSET(raw_exchange_data!$A521,0,MATCH(R$2,raw_exchange_data!$1:$1,0)-1))</f>
        <v/>
      </c>
      <c r="S522" s="190" t="str">
        <f ca="1">IF(raw_exchange_data!$A521="","",OFFSET(raw_exchange_data!$A521,0,MATCH(S$2,raw_exchange_data!$1:$1,0)-1))</f>
        <v/>
      </c>
      <c r="W522" t="str">
        <f t="shared" si="43"/>
        <v/>
      </c>
      <c r="X522" t="str">
        <f t="shared" si="44"/>
        <v/>
      </c>
      <c r="Y522" s="42" t="str">
        <f t="shared" si="45"/>
        <v/>
      </c>
      <c r="Z522" s="42" t="str">
        <f t="shared" si="46"/>
        <v/>
      </c>
    </row>
    <row r="523" spans="1:26" x14ac:dyDescent="0.25">
      <c r="A523" t="str">
        <f>IF(Summary_Exchange_Balances_00UTC!$B522="","",Summary_Exchange_Balances_00UTC!$N522)</f>
        <v/>
      </c>
      <c r="B523" t="str">
        <f>IF(Summary_Exchange_Balances_00UTC!$B522="","",Summary_Exchange_Balances_00UTC!$B522)</f>
        <v/>
      </c>
      <c r="C523" t="str">
        <f>IF(Summary_Exchange_Balances_00UTC!$B522="","",Summary_Exchange_Balances_00UTC!$E522)</f>
        <v/>
      </c>
      <c r="E523" s="52" t="str">
        <f>IF(Summary_Exchange_Balances_00UTC!$B522="","",Summary_Exchange_Balances_00UTC!$C522)</f>
        <v/>
      </c>
      <c r="G523" s="52" t="str">
        <f>IF(Summary_Exchange_Balances_00UTC!$B522="","",VLOOKUP(IF(ISERROR(SEARCH(" ", $B523)),UPPER($B523&amp;$C523&amp;IF(OR(NOT(ISERROR(SEARCH("trade",$D523))),NOT(ISERROR(SEARCH("balance",$D523)))),"",$D523)),UPPER(LEFT($B523, SEARCH(" ",$B523)-1)&amp;$C523&amp;IF(OR(NOT(ISERROR(SEARCH("trade",$D523))),NOT(ISERROR(SEARCH("balance",$D523)))),"",$D523))),$L:$T,MATCH("balance",$L$2:$S$2,0),FALSE))</f>
        <v/>
      </c>
      <c r="H523" s="35" t="str">
        <f>IF(Summary_Exchange_Balances_00UTC!$B522="","",(G523-E523)/E523)</f>
        <v/>
      </c>
      <c r="I523" s="165" t="str">
        <f>IF(Summary_Exchange_Balances_00UTC!$B522="","",IF(ISERROR($G523),$E523,$G523))</f>
        <v/>
      </c>
      <c r="L523" t="str">
        <f t="shared" ca="1" si="42"/>
        <v/>
      </c>
      <c r="N523" s="161" t="str">
        <f ca="1">IF(raw_exchange_data!$A522="","",OFFSET(raw_exchange_data!$A522,0,MATCH(N$2,raw_exchange_data!$1:$1,0)-1))</f>
        <v/>
      </c>
      <c r="O523" s="161" t="str">
        <f ca="1">IF(raw_exchange_data!$A522="","",OFFSET(raw_exchange_data!$A522,0,MATCH(O$2,raw_exchange_data!$1:$1,0)-1))</f>
        <v/>
      </c>
      <c r="P523" s="161" t="str">
        <f ca="1">IF(raw_exchange_data!$A522="","",OFFSET(raw_exchange_data!$A522,0,MATCH(P$2,raw_exchange_data!$1:$1,0)-1))</f>
        <v/>
      </c>
      <c r="Q523" s="161" t="str">
        <f ca="1">IF(raw_exchange_data!$A522="","",TEXT(OFFSET(raw_exchange_data!$A522,0,MATCH(Q$2,raw_exchange_data!$1:$1,0)-1),""))</f>
        <v/>
      </c>
      <c r="R523" s="162" t="str">
        <f ca="1">IF(raw_exchange_data!$A522="","",OFFSET(raw_exchange_data!$A522,0,MATCH(R$2,raw_exchange_data!$1:$1,0)-1))</f>
        <v/>
      </c>
      <c r="S523" s="190" t="str">
        <f ca="1">IF(raw_exchange_data!$A522="","",OFFSET(raw_exchange_data!$A522,0,MATCH(S$2,raw_exchange_data!$1:$1,0)-1))</f>
        <v/>
      </c>
      <c r="W523" t="str">
        <f t="shared" si="43"/>
        <v/>
      </c>
      <c r="X523" t="str">
        <f t="shared" si="44"/>
        <v/>
      </c>
      <c r="Y523" s="42" t="str">
        <f t="shared" si="45"/>
        <v/>
      </c>
      <c r="Z523" s="42" t="str">
        <f t="shared" si="46"/>
        <v/>
      </c>
    </row>
    <row r="524" spans="1:26" x14ac:dyDescent="0.25">
      <c r="A524" t="str">
        <f>IF(Summary_Exchange_Balances_00UTC!$B523="","",Summary_Exchange_Balances_00UTC!$N523)</f>
        <v/>
      </c>
      <c r="B524" t="str">
        <f>IF(Summary_Exchange_Balances_00UTC!$B523="","",Summary_Exchange_Balances_00UTC!$B523)</f>
        <v/>
      </c>
      <c r="C524" t="str">
        <f>IF(Summary_Exchange_Balances_00UTC!$B523="","",Summary_Exchange_Balances_00UTC!$E523)</f>
        <v/>
      </c>
      <c r="E524" s="52" t="str">
        <f>IF(Summary_Exchange_Balances_00UTC!$B523="","",Summary_Exchange_Balances_00UTC!$C523)</f>
        <v/>
      </c>
      <c r="G524" s="52" t="str">
        <f>IF(Summary_Exchange_Balances_00UTC!$B523="","",VLOOKUP(IF(ISERROR(SEARCH(" ", $B524)),UPPER($B524&amp;$C524&amp;IF(OR(NOT(ISERROR(SEARCH("trade",$D524))),NOT(ISERROR(SEARCH("balance",$D524)))),"",$D524)),UPPER(LEFT($B524, SEARCH(" ",$B524)-1)&amp;$C524&amp;IF(OR(NOT(ISERROR(SEARCH("trade",$D524))),NOT(ISERROR(SEARCH("balance",$D524)))),"",$D524))),$L:$T,MATCH("balance",$L$2:$S$2,0),FALSE))</f>
        <v/>
      </c>
      <c r="H524" s="35" t="str">
        <f>IF(Summary_Exchange_Balances_00UTC!$B523="","",(G524-E524)/E524)</f>
        <v/>
      </c>
      <c r="I524" s="165" t="str">
        <f>IF(Summary_Exchange_Balances_00UTC!$B523="","",IF(ISERROR($G524),$E524,$G524))</f>
        <v/>
      </c>
      <c r="L524" t="str">
        <f t="shared" ca="1" si="42"/>
        <v/>
      </c>
      <c r="N524" s="161" t="str">
        <f ca="1">IF(raw_exchange_data!$A523="","",OFFSET(raw_exchange_data!$A523,0,MATCH(N$2,raw_exchange_data!$1:$1,0)-1))</f>
        <v/>
      </c>
      <c r="O524" s="161" t="str">
        <f ca="1">IF(raw_exchange_data!$A523="","",OFFSET(raw_exchange_data!$A523,0,MATCH(O$2,raw_exchange_data!$1:$1,0)-1))</f>
        <v/>
      </c>
      <c r="P524" s="161" t="str">
        <f ca="1">IF(raw_exchange_data!$A523="","",OFFSET(raw_exchange_data!$A523,0,MATCH(P$2,raw_exchange_data!$1:$1,0)-1))</f>
        <v/>
      </c>
      <c r="Q524" s="161" t="str">
        <f ca="1">IF(raw_exchange_data!$A523="","",TEXT(OFFSET(raw_exchange_data!$A523,0,MATCH(Q$2,raw_exchange_data!$1:$1,0)-1),""))</f>
        <v/>
      </c>
      <c r="R524" s="162" t="str">
        <f ca="1">IF(raw_exchange_data!$A523="","",OFFSET(raw_exchange_data!$A523,0,MATCH(R$2,raw_exchange_data!$1:$1,0)-1))</f>
        <v/>
      </c>
      <c r="S524" s="190" t="str">
        <f ca="1">IF(raw_exchange_data!$A523="","",OFFSET(raw_exchange_data!$A523,0,MATCH(S$2,raw_exchange_data!$1:$1,0)-1))</f>
        <v/>
      </c>
      <c r="W524" t="str">
        <f t="shared" si="43"/>
        <v/>
      </c>
      <c r="X524" t="str">
        <f t="shared" si="44"/>
        <v/>
      </c>
      <c r="Y524" s="42" t="str">
        <f t="shared" si="45"/>
        <v/>
      </c>
      <c r="Z524" s="42" t="str">
        <f t="shared" si="46"/>
        <v/>
      </c>
    </row>
    <row r="525" spans="1:26" x14ac:dyDescent="0.25">
      <c r="A525" t="str">
        <f>IF(Summary_Exchange_Balances_00UTC!$B524="","",Summary_Exchange_Balances_00UTC!$N524)</f>
        <v/>
      </c>
      <c r="B525" t="str">
        <f>IF(Summary_Exchange_Balances_00UTC!$B524="","",Summary_Exchange_Balances_00UTC!$B524)</f>
        <v/>
      </c>
      <c r="C525" t="str">
        <f>IF(Summary_Exchange_Balances_00UTC!$B524="","",Summary_Exchange_Balances_00UTC!$E524)</f>
        <v/>
      </c>
      <c r="E525" s="52" t="str">
        <f>IF(Summary_Exchange_Balances_00UTC!$B524="","",Summary_Exchange_Balances_00UTC!$C524)</f>
        <v/>
      </c>
      <c r="G525" s="52" t="str">
        <f>IF(Summary_Exchange_Balances_00UTC!$B524="","",VLOOKUP(IF(ISERROR(SEARCH(" ", $B525)),UPPER($B525&amp;$C525&amp;IF(OR(NOT(ISERROR(SEARCH("trade",$D525))),NOT(ISERROR(SEARCH("balance",$D525)))),"",$D525)),UPPER(LEFT($B525, SEARCH(" ",$B525)-1)&amp;$C525&amp;IF(OR(NOT(ISERROR(SEARCH("trade",$D525))),NOT(ISERROR(SEARCH("balance",$D525)))),"",$D525))),$L:$T,MATCH("balance",$L$2:$S$2,0),FALSE))</f>
        <v/>
      </c>
      <c r="H525" s="35" t="str">
        <f>IF(Summary_Exchange_Balances_00UTC!$B524="","",(G525-E525)/E525)</f>
        <v/>
      </c>
      <c r="I525" s="165" t="str">
        <f>IF(Summary_Exchange_Balances_00UTC!$B524="","",IF(ISERROR($G525),$E525,$G525))</f>
        <v/>
      </c>
      <c r="L525" t="str">
        <f t="shared" ca="1" si="42"/>
        <v/>
      </c>
      <c r="N525" s="161" t="str">
        <f ca="1">IF(raw_exchange_data!$A524="","",OFFSET(raw_exchange_data!$A524,0,MATCH(N$2,raw_exchange_data!$1:$1,0)-1))</f>
        <v/>
      </c>
      <c r="O525" s="161" t="str">
        <f ca="1">IF(raw_exchange_data!$A524="","",OFFSET(raw_exchange_data!$A524,0,MATCH(O$2,raw_exchange_data!$1:$1,0)-1))</f>
        <v/>
      </c>
      <c r="P525" s="161" t="str">
        <f ca="1">IF(raw_exchange_data!$A524="","",OFFSET(raw_exchange_data!$A524,0,MATCH(P$2,raw_exchange_data!$1:$1,0)-1))</f>
        <v/>
      </c>
      <c r="Q525" s="161" t="str">
        <f ca="1">IF(raw_exchange_data!$A524="","",TEXT(OFFSET(raw_exchange_data!$A524,0,MATCH(Q$2,raw_exchange_data!$1:$1,0)-1),""))</f>
        <v/>
      </c>
      <c r="R525" s="162" t="str">
        <f ca="1">IF(raw_exchange_data!$A524="","",OFFSET(raw_exchange_data!$A524,0,MATCH(R$2,raw_exchange_data!$1:$1,0)-1))</f>
        <v/>
      </c>
      <c r="S525" s="190" t="str">
        <f ca="1">IF(raw_exchange_data!$A524="","",OFFSET(raw_exchange_data!$A524,0,MATCH(S$2,raw_exchange_data!$1:$1,0)-1))</f>
        <v/>
      </c>
      <c r="W525" t="str">
        <f t="shared" si="43"/>
        <v/>
      </c>
      <c r="X525" t="str">
        <f t="shared" si="44"/>
        <v/>
      </c>
      <c r="Y525" s="42" t="str">
        <f t="shared" si="45"/>
        <v/>
      </c>
      <c r="Z525" s="42" t="str">
        <f t="shared" si="46"/>
        <v/>
      </c>
    </row>
    <row r="526" spans="1:26" x14ac:dyDescent="0.25">
      <c r="A526" t="str">
        <f>IF(Summary_Exchange_Balances_00UTC!$B525="","",Summary_Exchange_Balances_00UTC!$N525)</f>
        <v/>
      </c>
      <c r="B526" t="str">
        <f>IF(Summary_Exchange_Balances_00UTC!$B525="","",Summary_Exchange_Balances_00UTC!$B525)</f>
        <v/>
      </c>
      <c r="C526" t="str">
        <f>IF(Summary_Exchange_Balances_00UTC!$B525="","",Summary_Exchange_Balances_00UTC!$E525)</f>
        <v/>
      </c>
      <c r="E526" s="52" t="str">
        <f>IF(Summary_Exchange_Balances_00UTC!$B525="","",Summary_Exchange_Balances_00UTC!$C525)</f>
        <v/>
      </c>
      <c r="G526" s="52" t="str">
        <f>IF(Summary_Exchange_Balances_00UTC!$B525="","",VLOOKUP(IF(ISERROR(SEARCH(" ", $B526)),UPPER($B526&amp;$C526&amp;IF(OR(NOT(ISERROR(SEARCH("trade",$D526))),NOT(ISERROR(SEARCH("balance",$D526)))),"",$D526)),UPPER(LEFT($B526, SEARCH(" ",$B526)-1)&amp;$C526&amp;IF(OR(NOT(ISERROR(SEARCH("trade",$D526))),NOT(ISERROR(SEARCH("balance",$D526)))),"",$D526))),$L:$T,MATCH("balance",$L$2:$S$2,0),FALSE))</f>
        <v/>
      </c>
      <c r="H526" s="35" t="str">
        <f>IF(Summary_Exchange_Balances_00UTC!$B525="","",(G526-E526)/E526)</f>
        <v/>
      </c>
      <c r="I526" s="165" t="str">
        <f>IF(Summary_Exchange_Balances_00UTC!$B525="","",IF(ISERROR($G526),$E526,$G526))</f>
        <v/>
      </c>
      <c r="L526" t="str">
        <f t="shared" ca="1" si="42"/>
        <v/>
      </c>
      <c r="N526" s="161" t="str">
        <f ca="1">IF(raw_exchange_data!$A525="","",OFFSET(raw_exchange_data!$A525,0,MATCH(N$2,raw_exchange_data!$1:$1,0)-1))</f>
        <v/>
      </c>
      <c r="O526" s="161" t="str">
        <f ca="1">IF(raw_exchange_data!$A525="","",OFFSET(raw_exchange_data!$A525,0,MATCH(O$2,raw_exchange_data!$1:$1,0)-1))</f>
        <v/>
      </c>
      <c r="P526" s="161" t="str">
        <f ca="1">IF(raw_exchange_data!$A525="","",OFFSET(raw_exchange_data!$A525,0,MATCH(P$2,raw_exchange_data!$1:$1,0)-1))</f>
        <v/>
      </c>
      <c r="Q526" s="161" t="str">
        <f ca="1">IF(raw_exchange_data!$A525="","",TEXT(OFFSET(raw_exchange_data!$A525,0,MATCH(Q$2,raw_exchange_data!$1:$1,0)-1),""))</f>
        <v/>
      </c>
      <c r="R526" s="162" t="str">
        <f ca="1">IF(raw_exchange_data!$A525="","",OFFSET(raw_exchange_data!$A525,0,MATCH(R$2,raw_exchange_data!$1:$1,0)-1))</f>
        <v/>
      </c>
      <c r="S526" s="190" t="str">
        <f ca="1">IF(raw_exchange_data!$A525="","",OFFSET(raw_exchange_data!$A525,0,MATCH(S$2,raw_exchange_data!$1:$1,0)-1))</f>
        <v/>
      </c>
      <c r="W526" t="str">
        <f t="shared" si="43"/>
        <v/>
      </c>
      <c r="X526" t="str">
        <f t="shared" si="44"/>
        <v/>
      </c>
      <c r="Y526" s="42" t="str">
        <f t="shared" si="45"/>
        <v/>
      </c>
      <c r="Z526" s="42" t="str">
        <f t="shared" si="46"/>
        <v/>
      </c>
    </row>
    <row r="527" spans="1:26" x14ac:dyDescent="0.25">
      <c r="A527" t="str">
        <f>IF(Summary_Exchange_Balances_00UTC!$B526="","",Summary_Exchange_Balances_00UTC!$N526)</f>
        <v/>
      </c>
      <c r="B527" t="str">
        <f>IF(Summary_Exchange_Balances_00UTC!$B526="","",Summary_Exchange_Balances_00UTC!$B526)</f>
        <v/>
      </c>
      <c r="C527" t="str">
        <f>IF(Summary_Exchange_Balances_00UTC!$B526="","",Summary_Exchange_Balances_00UTC!$E526)</f>
        <v/>
      </c>
      <c r="E527" s="52" t="str">
        <f>IF(Summary_Exchange_Balances_00UTC!$B526="","",Summary_Exchange_Balances_00UTC!$C526)</f>
        <v/>
      </c>
      <c r="G527" s="52" t="str">
        <f>IF(Summary_Exchange_Balances_00UTC!$B526="","",VLOOKUP(IF(ISERROR(SEARCH(" ", $B527)),UPPER($B527&amp;$C527&amp;IF(OR(NOT(ISERROR(SEARCH("trade",$D527))),NOT(ISERROR(SEARCH("balance",$D527)))),"",$D527)),UPPER(LEFT($B527, SEARCH(" ",$B527)-1)&amp;$C527&amp;IF(OR(NOT(ISERROR(SEARCH("trade",$D527))),NOT(ISERROR(SEARCH("balance",$D527)))),"",$D527))),$L:$T,MATCH("balance",$L$2:$S$2,0),FALSE))</f>
        <v/>
      </c>
      <c r="H527" s="35" t="str">
        <f>IF(Summary_Exchange_Balances_00UTC!$B526="","",(G527-E527)/E527)</f>
        <v/>
      </c>
      <c r="I527" s="165" t="str">
        <f>IF(Summary_Exchange_Balances_00UTC!$B526="","",IF(ISERROR($G527),$E527,$G527))</f>
        <v/>
      </c>
      <c r="L527" t="str">
        <f t="shared" ca="1" si="42"/>
        <v/>
      </c>
      <c r="N527" s="161" t="str">
        <f ca="1">IF(raw_exchange_data!$A526="","",OFFSET(raw_exchange_data!$A526,0,MATCH(N$2,raw_exchange_data!$1:$1,0)-1))</f>
        <v/>
      </c>
      <c r="O527" s="161" t="str">
        <f ca="1">IF(raw_exchange_data!$A526="","",OFFSET(raw_exchange_data!$A526,0,MATCH(O$2,raw_exchange_data!$1:$1,0)-1))</f>
        <v/>
      </c>
      <c r="P527" s="161" t="str">
        <f ca="1">IF(raw_exchange_data!$A526="","",OFFSET(raw_exchange_data!$A526,0,MATCH(P$2,raw_exchange_data!$1:$1,0)-1))</f>
        <v/>
      </c>
      <c r="Q527" s="161" t="str">
        <f ca="1">IF(raw_exchange_data!$A526="","",TEXT(OFFSET(raw_exchange_data!$A526,0,MATCH(Q$2,raw_exchange_data!$1:$1,0)-1),""))</f>
        <v/>
      </c>
      <c r="R527" s="162" t="str">
        <f ca="1">IF(raw_exchange_data!$A526="","",OFFSET(raw_exchange_data!$A526,0,MATCH(R$2,raw_exchange_data!$1:$1,0)-1))</f>
        <v/>
      </c>
      <c r="S527" s="190" t="str">
        <f ca="1">IF(raw_exchange_data!$A526="","",OFFSET(raw_exchange_data!$A526,0,MATCH(S$2,raw_exchange_data!$1:$1,0)-1))</f>
        <v/>
      </c>
      <c r="W527" t="str">
        <f t="shared" si="43"/>
        <v/>
      </c>
      <c r="X527" t="str">
        <f t="shared" si="44"/>
        <v/>
      </c>
      <c r="Y527" s="42" t="str">
        <f t="shared" si="45"/>
        <v/>
      </c>
      <c r="Z527" s="42" t="str">
        <f t="shared" si="46"/>
        <v/>
      </c>
    </row>
    <row r="528" spans="1:26" x14ac:dyDescent="0.25">
      <c r="A528" t="str">
        <f>IF(Summary_Exchange_Balances_00UTC!$B527="","",Summary_Exchange_Balances_00UTC!$N527)</f>
        <v/>
      </c>
      <c r="B528" t="str">
        <f>IF(Summary_Exchange_Balances_00UTC!$B527="","",Summary_Exchange_Balances_00UTC!$B527)</f>
        <v/>
      </c>
      <c r="C528" t="str">
        <f>IF(Summary_Exchange_Balances_00UTC!$B527="","",Summary_Exchange_Balances_00UTC!$E527)</f>
        <v/>
      </c>
      <c r="E528" s="52" t="str">
        <f>IF(Summary_Exchange_Balances_00UTC!$B527="","",Summary_Exchange_Balances_00UTC!$C527)</f>
        <v/>
      </c>
      <c r="G528" s="52" t="str">
        <f>IF(Summary_Exchange_Balances_00UTC!$B527="","",VLOOKUP(IF(ISERROR(SEARCH(" ", $B528)),UPPER($B528&amp;$C528&amp;IF(OR(NOT(ISERROR(SEARCH("trade",$D528))),NOT(ISERROR(SEARCH("balance",$D528)))),"",$D528)),UPPER(LEFT($B528, SEARCH(" ",$B528)-1)&amp;$C528&amp;IF(OR(NOT(ISERROR(SEARCH("trade",$D528))),NOT(ISERROR(SEARCH("balance",$D528)))),"",$D528))),$L:$T,MATCH("balance",$L$2:$S$2,0),FALSE))</f>
        <v/>
      </c>
      <c r="H528" s="35" t="str">
        <f>IF(Summary_Exchange_Balances_00UTC!$B527="","",(G528-E528)/E528)</f>
        <v/>
      </c>
      <c r="I528" s="165" t="str">
        <f>IF(Summary_Exchange_Balances_00UTC!$B527="","",IF(ISERROR($G528),$E528,$G528))</f>
        <v/>
      </c>
      <c r="L528" t="str">
        <f t="shared" ca="1" si="42"/>
        <v/>
      </c>
      <c r="N528" s="161" t="str">
        <f ca="1">IF(raw_exchange_data!$A527="","",OFFSET(raw_exchange_data!$A527,0,MATCH(N$2,raw_exchange_data!$1:$1,0)-1))</f>
        <v/>
      </c>
      <c r="O528" s="161" t="str">
        <f ca="1">IF(raw_exchange_data!$A527="","",OFFSET(raw_exchange_data!$A527,0,MATCH(O$2,raw_exchange_data!$1:$1,0)-1))</f>
        <v/>
      </c>
      <c r="P528" s="161" t="str">
        <f ca="1">IF(raw_exchange_data!$A527="","",OFFSET(raw_exchange_data!$A527,0,MATCH(P$2,raw_exchange_data!$1:$1,0)-1))</f>
        <v/>
      </c>
      <c r="Q528" s="161" t="str">
        <f ca="1">IF(raw_exchange_data!$A527="","",TEXT(OFFSET(raw_exchange_data!$A527,0,MATCH(Q$2,raw_exchange_data!$1:$1,0)-1),""))</f>
        <v/>
      </c>
      <c r="R528" s="162" t="str">
        <f ca="1">IF(raw_exchange_data!$A527="","",OFFSET(raw_exchange_data!$A527,0,MATCH(R$2,raw_exchange_data!$1:$1,0)-1))</f>
        <v/>
      </c>
      <c r="S528" s="190" t="str">
        <f ca="1">IF(raw_exchange_data!$A527="","",OFFSET(raw_exchange_data!$A527,0,MATCH(S$2,raw_exchange_data!$1:$1,0)-1))</f>
        <v/>
      </c>
      <c r="W528" t="str">
        <f t="shared" si="43"/>
        <v/>
      </c>
      <c r="X528" t="str">
        <f t="shared" si="44"/>
        <v/>
      </c>
      <c r="Y528" s="42" t="str">
        <f t="shared" si="45"/>
        <v/>
      </c>
      <c r="Z528" s="42" t="str">
        <f t="shared" si="46"/>
        <v/>
      </c>
    </row>
    <row r="529" spans="1:26" x14ac:dyDescent="0.25">
      <c r="A529" t="str">
        <f>IF(Summary_Exchange_Balances_00UTC!$B528="","",Summary_Exchange_Balances_00UTC!$N528)</f>
        <v/>
      </c>
      <c r="B529" t="str">
        <f>IF(Summary_Exchange_Balances_00UTC!$B528="","",Summary_Exchange_Balances_00UTC!$B528)</f>
        <v/>
      </c>
      <c r="C529" t="str">
        <f>IF(Summary_Exchange_Balances_00UTC!$B528="","",Summary_Exchange_Balances_00UTC!$E528)</f>
        <v/>
      </c>
      <c r="E529" s="52" t="str">
        <f>IF(Summary_Exchange_Balances_00UTC!$B528="","",Summary_Exchange_Balances_00UTC!$C528)</f>
        <v/>
      </c>
      <c r="G529" s="52" t="str">
        <f>IF(Summary_Exchange_Balances_00UTC!$B528="","",VLOOKUP(IF(ISERROR(SEARCH(" ", $B529)),UPPER($B529&amp;$C529&amp;IF(OR(NOT(ISERROR(SEARCH("trade",$D529))),NOT(ISERROR(SEARCH("balance",$D529)))),"",$D529)),UPPER(LEFT($B529, SEARCH(" ",$B529)-1)&amp;$C529&amp;IF(OR(NOT(ISERROR(SEARCH("trade",$D529))),NOT(ISERROR(SEARCH("balance",$D529)))),"",$D529))),$L:$T,MATCH("balance",$L$2:$S$2,0),FALSE))</f>
        <v/>
      </c>
      <c r="H529" s="35" t="str">
        <f>IF(Summary_Exchange_Balances_00UTC!$B528="","",(G529-E529)/E529)</f>
        <v/>
      </c>
      <c r="I529" s="165" t="str">
        <f>IF(Summary_Exchange_Balances_00UTC!$B528="","",IF(ISERROR($G529),$E529,$G529))</f>
        <v/>
      </c>
      <c r="L529" t="str">
        <f t="shared" ca="1" si="42"/>
        <v/>
      </c>
      <c r="N529" s="161" t="str">
        <f ca="1">IF(raw_exchange_data!$A528="","",OFFSET(raw_exchange_data!$A528,0,MATCH(N$2,raw_exchange_data!$1:$1,0)-1))</f>
        <v/>
      </c>
      <c r="O529" s="161" t="str">
        <f ca="1">IF(raw_exchange_data!$A528="","",OFFSET(raw_exchange_data!$A528,0,MATCH(O$2,raw_exchange_data!$1:$1,0)-1))</f>
        <v/>
      </c>
      <c r="P529" s="161" t="str">
        <f ca="1">IF(raw_exchange_data!$A528="","",OFFSET(raw_exchange_data!$A528,0,MATCH(P$2,raw_exchange_data!$1:$1,0)-1))</f>
        <v/>
      </c>
      <c r="Q529" s="161" t="str">
        <f ca="1">IF(raw_exchange_data!$A528="","",TEXT(OFFSET(raw_exchange_data!$A528,0,MATCH(Q$2,raw_exchange_data!$1:$1,0)-1),""))</f>
        <v/>
      </c>
      <c r="R529" s="162" t="str">
        <f ca="1">IF(raw_exchange_data!$A528="","",OFFSET(raw_exchange_data!$A528,0,MATCH(R$2,raw_exchange_data!$1:$1,0)-1))</f>
        <v/>
      </c>
      <c r="S529" s="190" t="str">
        <f ca="1">IF(raw_exchange_data!$A528="","",OFFSET(raw_exchange_data!$A528,0,MATCH(S$2,raw_exchange_data!$1:$1,0)-1))</f>
        <v/>
      </c>
      <c r="W529" t="str">
        <f t="shared" si="43"/>
        <v/>
      </c>
      <c r="X529" t="str">
        <f t="shared" si="44"/>
        <v/>
      </c>
      <c r="Y529" s="42" t="str">
        <f t="shared" si="45"/>
        <v/>
      </c>
      <c r="Z529" s="42" t="str">
        <f t="shared" si="46"/>
        <v/>
      </c>
    </row>
    <row r="530" spans="1:26" x14ac:dyDescent="0.25">
      <c r="A530" t="str">
        <f>IF(Summary_Exchange_Balances_00UTC!$B529="","",Summary_Exchange_Balances_00UTC!$N529)</f>
        <v/>
      </c>
      <c r="B530" t="str">
        <f>IF(Summary_Exchange_Balances_00UTC!$B529="","",Summary_Exchange_Balances_00UTC!$B529)</f>
        <v/>
      </c>
      <c r="C530" t="str">
        <f>IF(Summary_Exchange_Balances_00UTC!$B529="","",Summary_Exchange_Balances_00UTC!$E529)</f>
        <v/>
      </c>
      <c r="E530" s="52" t="str">
        <f>IF(Summary_Exchange_Balances_00UTC!$B529="","",Summary_Exchange_Balances_00UTC!$C529)</f>
        <v/>
      </c>
      <c r="G530" s="52" t="str">
        <f>IF(Summary_Exchange_Balances_00UTC!$B529="","",VLOOKUP(IF(ISERROR(SEARCH(" ", $B530)),UPPER($B530&amp;$C530&amp;IF(OR(NOT(ISERROR(SEARCH("trade",$D530))),NOT(ISERROR(SEARCH("balance",$D530)))),"",$D530)),UPPER(LEFT($B530, SEARCH(" ",$B530)-1)&amp;$C530&amp;IF(OR(NOT(ISERROR(SEARCH("trade",$D530))),NOT(ISERROR(SEARCH("balance",$D530)))),"",$D530))),$L:$T,MATCH("balance",$L$2:$S$2,0),FALSE))</f>
        <v/>
      </c>
      <c r="H530" s="35" t="str">
        <f>IF(Summary_Exchange_Balances_00UTC!$B529="","",(G530-E530)/E530)</f>
        <v/>
      </c>
      <c r="I530" s="165" t="str">
        <f>IF(Summary_Exchange_Balances_00UTC!$B529="","",IF(ISERROR($G530),$E530,$G530))</f>
        <v/>
      </c>
      <c r="L530" t="str">
        <f t="shared" ca="1" si="42"/>
        <v/>
      </c>
      <c r="N530" s="161" t="str">
        <f ca="1">IF(raw_exchange_data!$A529="","",OFFSET(raw_exchange_data!$A529,0,MATCH(N$2,raw_exchange_data!$1:$1,0)-1))</f>
        <v/>
      </c>
      <c r="O530" s="161" t="str">
        <f ca="1">IF(raw_exchange_data!$A529="","",OFFSET(raw_exchange_data!$A529,0,MATCH(O$2,raw_exchange_data!$1:$1,0)-1))</f>
        <v/>
      </c>
      <c r="P530" s="161" t="str">
        <f ca="1">IF(raw_exchange_data!$A529="","",OFFSET(raw_exchange_data!$A529,0,MATCH(P$2,raw_exchange_data!$1:$1,0)-1))</f>
        <v/>
      </c>
      <c r="Q530" s="161" t="str">
        <f ca="1">IF(raw_exchange_data!$A529="","",TEXT(OFFSET(raw_exchange_data!$A529,0,MATCH(Q$2,raw_exchange_data!$1:$1,0)-1),""))</f>
        <v/>
      </c>
      <c r="R530" s="162" t="str">
        <f ca="1">IF(raw_exchange_data!$A529="","",OFFSET(raw_exchange_data!$A529,0,MATCH(R$2,raw_exchange_data!$1:$1,0)-1))</f>
        <v/>
      </c>
      <c r="S530" s="190" t="str">
        <f ca="1">IF(raw_exchange_data!$A529="","",OFFSET(raw_exchange_data!$A529,0,MATCH(S$2,raw_exchange_data!$1:$1,0)-1))</f>
        <v/>
      </c>
      <c r="W530" t="str">
        <f t="shared" si="43"/>
        <v/>
      </c>
      <c r="X530" t="str">
        <f t="shared" si="44"/>
        <v/>
      </c>
      <c r="Y530" s="42" t="str">
        <f t="shared" si="45"/>
        <v/>
      </c>
      <c r="Z530" s="42" t="str">
        <f t="shared" si="46"/>
        <v/>
      </c>
    </row>
    <row r="531" spans="1:26" x14ac:dyDescent="0.25">
      <c r="A531" t="str">
        <f>IF(Summary_Exchange_Balances_00UTC!$B530="","",Summary_Exchange_Balances_00UTC!$N530)</f>
        <v/>
      </c>
      <c r="B531" t="str">
        <f>IF(Summary_Exchange_Balances_00UTC!$B530="","",Summary_Exchange_Balances_00UTC!$B530)</f>
        <v/>
      </c>
      <c r="C531" t="str">
        <f>IF(Summary_Exchange_Balances_00UTC!$B530="","",Summary_Exchange_Balances_00UTC!$E530)</f>
        <v/>
      </c>
      <c r="E531" s="52" t="str">
        <f>IF(Summary_Exchange_Balances_00UTC!$B530="","",Summary_Exchange_Balances_00UTC!$C530)</f>
        <v/>
      </c>
      <c r="G531" s="52" t="str">
        <f>IF(Summary_Exchange_Balances_00UTC!$B530="","",VLOOKUP(IF(ISERROR(SEARCH(" ", $B531)),UPPER($B531&amp;$C531&amp;IF(OR(NOT(ISERROR(SEARCH("trade",$D531))),NOT(ISERROR(SEARCH("balance",$D531)))),"",$D531)),UPPER(LEFT($B531, SEARCH(" ",$B531)-1)&amp;$C531&amp;IF(OR(NOT(ISERROR(SEARCH("trade",$D531))),NOT(ISERROR(SEARCH("balance",$D531)))),"",$D531))),$L:$T,MATCH("balance",$L$2:$S$2,0),FALSE))</f>
        <v/>
      </c>
      <c r="H531" s="35" t="str">
        <f>IF(Summary_Exchange_Balances_00UTC!$B530="","",(G531-E531)/E531)</f>
        <v/>
      </c>
      <c r="I531" s="165" t="str">
        <f>IF(Summary_Exchange_Balances_00UTC!$B530="","",IF(ISERROR($G531),$E531,$G531))</f>
        <v/>
      </c>
      <c r="L531" t="str">
        <f t="shared" ca="1" si="42"/>
        <v/>
      </c>
      <c r="N531" s="161" t="str">
        <f ca="1">IF(raw_exchange_data!$A530="","",OFFSET(raw_exchange_data!$A530,0,MATCH(N$2,raw_exchange_data!$1:$1,0)-1))</f>
        <v/>
      </c>
      <c r="O531" s="161" t="str">
        <f ca="1">IF(raw_exchange_data!$A530="","",OFFSET(raw_exchange_data!$A530,0,MATCH(O$2,raw_exchange_data!$1:$1,0)-1))</f>
        <v/>
      </c>
      <c r="P531" s="161" t="str">
        <f ca="1">IF(raw_exchange_data!$A530="","",OFFSET(raw_exchange_data!$A530,0,MATCH(P$2,raw_exchange_data!$1:$1,0)-1))</f>
        <v/>
      </c>
      <c r="Q531" s="161" t="str">
        <f ca="1">IF(raw_exchange_data!$A530="","",TEXT(OFFSET(raw_exchange_data!$A530,0,MATCH(Q$2,raw_exchange_data!$1:$1,0)-1),""))</f>
        <v/>
      </c>
      <c r="R531" s="162" t="str">
        <f ca="1">IF(raw_exchange_data!$A530="","",OFFSET(raw_exchange_data!$A530,0,MATCH(R$2,raw_exchange_data!$1:$1,0)-1))</f>
        <v/>
      </c>
      <c r="S531" s="190" t="str">
        <f ca="1">IF(raw_exchange_data!$A530="","",OFFSET(raw_exchange_data!$A530,0,MATCH(S$2,raw_exchange_data!$1:$1,0)-1))</f>
        <v/>
      </c>
      <c r="W531" t="str">
        <f t="shared" si="43"/>
        <v/>
      </c>
      <c r="X531" t="str">
        <f t="shared" si="44"/>
        <v/>
      </c>
      <c r="Y531" s="42" t="str">
        <f t="shared" si="45"/>
        <v/>
      </c>
      <c r="Z531" s="42" t="str">
        <f t="shared" si="46"/>
        <v/>
      </c>
    </row>
    <row r="532" spans="1:26" x14ac:dyDescent="0.25">
      <c r="A532" t="str">
        <f>IF(Summary_Exchange_Balances_00UTC!$B531="","",Summary_Exchange_Balances_00UTC!$N531)</f>
        <v/>
      </c>
      <c r="B532" t="str">
        <f>IF(Summary_Exchange_Balances_00UTC!$B531="","",Summary_Exchange_Balances_00UTC!$B531)</f>
        <v/>
      </c>
      <c r="C532" t="str">
        <f>IF(Summary_Exchange_Balances_00UTC!$B531="","",Summary_Exchange_Balances_00UTC!$E531)</f>
        <v/>
      </c>
      <c r="E532" s="52" t="str">
        <f>IF(Summary_Exchange_Balances_00UTC!$B531="","",Summary_Exchange_Balances_00UTC!$C531)</f>
        <v/>
      </c>
      <c r="G532" s="52" t="str">
        <f>IF(Summary_Exchange_Balances_00UTC!$B531="","",VLOOKUP(IF(ISERROR(SEARCH(" ", $B532)),UPPER($B532&amp;$C532&amp;IF(OR(NOT(ISERROR(SEARCH("trade",$D532))),NOT(ISERROR(SEARCH("balance",$D532)))),"",$D532)),UPPER(LEFT($B532, SEARCH(" ",$B532)-1)&amp;$C532&amp;IF(OR(NOT(ISERROR(SEARCH("trade",$D532))),NOT(ISERROR(SEARCH("balance",$D532)))),"",$D532))),$L:$T,MATCH("balance",$L$2:$S$2,0),FALSE))</f>
        <v/>
      </c>
      <c r="H532" s="35" t="str">
        <f>IF(Summary_Exchange_Balances_00UTC!$B531="","",(G532-E532)/E532)</f>
        <v/>
      </c>
      <c r="I532" s="165" t="str">
        <f>IF(Summary_Exchange_Balances_00UTC!$B531="","",IF(ISERROR($G532),$E532,$G532))</f>
        <v/>
      </c>
      <c r="L532" t="str">
        <f t="shared" ca="1" si="42"/>
        <v/>
      </c>
      <c r="N532" s="161" t="str">
        <f ca="1">IF(raw_exchange_data!$A531="","",OFFSET(raw_exchange_data!$A531,0,MATCH(N$2,raw_exchange_data!$1:$1,0)-1))</f>
        <v/>
      </c>
      <c r="O532" s="161" t="str">
        <f ca="1">IF(raw_exchange_data!$A531="","",OFFSET(raw_exchange_data!$A531,0,MATCH(O$2,raw_exchange_data!$1:$1,0)-1))</f>
        <v/>
      </c>
      <c r="P532" s="161" t="str">
        <f ca="1">IF(raw_exchange_data!$A531="","",OFFSET(raw_exchange_data!$A531,0,MATCH(P$2,raw_exchange_data!$1:$1,0)-1))</f>
        <v/>
      </c>
      <c r="Q532" s="161" t="str">
        <f ca="1">IF(raw_exchange_data!$A531="","",TEXT(OFFSET(raw_exchange_data!$A531,0,MATCH(Q$2,raw_exchange_data!$1:$1,0)-1),""))</f>
        <v/>
      </c>
      <c r="R532" s="162" t="str">
        <f ca="1">IF(raw_exchange_data!$A531="","",OFFSET(raw_exchange_data!$A531,0,MATCH(R$2,raw_exchange_data!$1:$1,0)-1))</f>
        <v/>
      </c>
      <c r="S532" s="190" t="str">
        <f ca="1">IF(raw_exchange_data!$A531="","",OFFSET(raw_exchange_data!$A531,0,MATCH(S$2,raw_exchange_data!$1:$1,0)-1))</f>
        <v/>
      </c>
      <c r="W532" t="str">
        <f t="shared" si="43"/>
        <v/>
      </c>
      <c r="X532" t="str">
        <f t="shared" si="44"/>
        <v/>
      </c>
      <c r="Y532" s="42" t="str">
        <f t="shared" si="45"/>
        <v/>
      </c>
      <c r="Z532" s="42" t="str">
        <f t="shared" si="46"/>
        <v/>
      </c>
    </row>
    <row r="533" spans="1:26" x14ac:dyDescent="0.25">
      <c r="A533" t="str">
        <f>IF(Summary_Exchange_Balances_00UTC!$B532="","",Summary_Exchange_Balances_00UTC!$N532)</f>
        <v/>
      </c>
      <c r="B533" t="str">
        <f>IF(Summary_Exchange_Balances_00UTC!$B532="","",Summary_Exchange_Balances_00UTC!$B532)</f>
        <v/>
      </c>
      <c r="C533" t="str">
        <f>IF(Summary_Exchange_Balances_00UTC!$B532="","",Summary_Exchange_Balances_00UTC!$E532)</f>
        <v/>
      </c>
      <c r="E533" s="52" t="str">
        <f>IF(Summary_Exchange_Balances_00UTC!$B532="","",Summary_Exchange_Balances_00UTC!$C532)</f>
        <v/>
      </c>
      <c r="G533" s="52" t="str">
        <f>IF(Summary_Exchange_Balances_00UTC!$B532="","",VLOOKUP(IF(ISERROR(SEARCH(" ", $B533)),UPPER($B533&amp;$C533&amp;IF(OR(NOT(ISERROR(SEARCH("trade",$D533))),NOT(ISERROR(SEARCH("balance",$D533)))),"",$D533)),UPPER(LEFT($B533, SEARCH(" ",$B533)-1)&amp;$C533&amp;IF(OR(NOT(ISERROR(SEARCH("trade",$D533))),NOT(ISERROR(SEARCH("balance",$D533)))),"",$D533))),$L:$T,MATCH("balance",$L$2:$S$2,0),FALSE))</f>
        <v/>
      </c>
      <c r="H533" s="35" t="str">
        <f>IF(Summary_Exchange_Balances_00UTC!$B532="","",(G533-E533)/E533)</f>
        <v/>
      </c>
      <c r="I533" s="165" t="str">
        <f>IF(Summary_Exchange_Balances_00UTC!$B532="","",IF(ISERROR($G533),$E533,$G533))</f>
        <v/>
      </c>
      <c r="L533" t="str">
        <f t="shared" ca="1" si="42"/>
        <v/>
      </c>
      <c r="N533" s="161" t="str">
        <f ca="1">IF(raw_exchange_data!$A532="","",OFFSET(raw_exchange_data!$A532,0,MATCH(N$2,raw_exchange_data!$1:$1,0)-1))</f>
        <v/>
      </c>
      <c r="O533" s="161" t="str">
        <f ca="1">IF(raw_exchange_data!$A532="","",OFFSET(raw_exchange_data!$A532,0,MATCH(O$2,raw_exchange_data!$1:$1,0)-1))</f>
        <v/>
      </c>
      <c r="P533" s="161" t="str">
        <f ca="1">IF(raw_exchange_data!$A532="","",OFFSET(raw_exchange_data!$A532,0,MATCH(P$2,raw_exchange_data!$1:$1,0)-1))</f>
        <v/>
      </c>
      <c r="Q533" s="161" t="str">
        <f ca="1">IF(raw_exchange_data!$A532="","",TEXT(OFFSET(raw_exchange_data!$A532,0,MATCH(Q$2,raw_exchange_data!$1:$1,0)-1),""))</f>
        <v/>
      </c>
      <c r="R533" s="162" t="str">
        <f ca="1">IF(raw_exchange_data!$A532="","",OFFSET(raw_exchange_data!$A532,0,MATCH(R$2,raw_exchange_data!$1:$1,0)-1))</f>
        <v/>
      </c>
      <c r="S533" s="190" t="str">
        <f ca="1">IF(raw_exchange_data!$A532="","",OFFSET(raw_exchange_data!$A532,0,MATCH(S$2,raw_exchange_data!$1:$1,0)-1))</f>
        <v/>
      </c>
      <c r="W533" t="str">
        <f t="shared" si="43"/>
        <v/>
      </c>
      <c r="X533" t="str">
        <f t="shared" si="44"/>
        <v/>
      </c>
      <c r="Y533" s="42" t="str">
        <f t="shared" si="45"/>
        <v/>
      </c>
      <c r="Z533" s="42" t="str">
        <f t="shared" si="46"/>
        <v/>
      </c>
    </row>
    <row r="534" spans="1:26" x14ac:dyDescent="0.25">
      <c r="A534" t="str">
        <f>IF(Summary_Exchange_Balances_00UTC!$B533="","",Summary_Exchange_Balances_00UTC!$N533)</f>
        <v/>
      </c>
      <c r="B534" t="str">
        <f>IF(Summary_Exchange_Balances_00UTC!$B533="","",Summary_Exchange_Balances_00UTC!$B533)</f>
        <v/>
      </c>
      <c r="C534" t="str">
        <f>IF(Summary_Exchange_Balances_00UTC!$B533="","",Summary_Exchange_Balances_00UTC!$E533)</f>
        <v/>
      </c>
      <c r="E534" s="52" t="str">
        <f>IF(Summary_Exchange_Balances_00UTC!$B533="","",Summary_Exchange_Balances_00UTC!$C533)</f>
        <v/>
      </c>
      <c r="G534" s="52" t="str">
        <f>IF(Summary_Exchange_Balances_00UTC!$B533="","",VLOOKUP(IF(ISERROR(SEARCH(" ", $B534)),UPPER($B534&amp;$C534&amp;IF(OR(NOT(ISERROR(SEARCH("trade",$D534))),NOT(ISERROR(SEARCH("balance",$D534)))),"",$D534)),UPPER(LEFT($B534, SEARCH(" ",$B534)-1)&amp;$C534&amp;IF(OR(NOT(ISERROR(SEARCH("trade",$D534))),NOT(ISERROR(SEARCH("balance",$D534)))),"",$D534))),$L:$T,MATCH("balance",$L$2:$S$2,0),FALSE))</f>
        <v/>
      </c>
      <c r="H534" s="35" t="str">
        <f>IF(Summary_Exchange_Balances_00UTC!$B533="","",(G534-E534)/E534)</f>
        <v/>
      </c>
      <c r="I534" s="165" t="str">
        <f>IF(Summary_Exchange_Balances_00UTC!$B533="","",IF(ISERROR($G534),$E534,$G534))</f>
        <v/>
      </c>
      <c r="L534" t="str">
        <f t="shared" ca="1" si="42"/>
        <v/>
      </c>
      <c r="N534" s="161" t="str">
        <f ca="1">IF(raw_exchange_data!$A533="","",OFFSET(raw_exchange_data!$A533,0,MATCH(N$2,raw_exchange_data!$1:$1,0)-1))</f>
        <v/>
      </c>
      <c r="O534" s="161" t="str">
        <f ca="1">IF(raw_exchange_data!$A533="","",OFFSET(raw_exchange_data!$A533,0,MATCH(O$2,raw_exchange_data!$1:$1,0)-1))</f>
        <v/>
      </c>
      <c r="P534" s="161" t="str">
        <f ca="1">IF(raw_exchange_data!$A533="","",OFFSET(raw_exchange_data!$A533,0,MATCH(P$2,raw_exchange_data!$1:$1,0)-1))</f>
        <v/>
      </c>
      <c r="Q534" s="161" t="str">
        <f ca="1">IF(raw_exchange_data!$A533="","",TEXT(OFFSET(raw_exchange_data!$A533,0,MATCH(Q$2,raw_exchange_data!$1:$1,0)-1),""))</f>
        <v/>
      </c>
      <c r="R534" s="162" t="str">
        <f ca="1">IF(raw_exchange_data!$A533="","",OFFSET(raw_exchange_data!$A533,0,MATCH(R$2,raw_exchange_data!$1:$1,0)-1))</f>
        <v/>
      </c>
      <c r="S534" s="190" t="str">
        <f ca="1">IF(raw_exchange_data!$A533="","",OFFSET(raw_exchange_data!$A533,0,MATCH(S$2,raw_exchange_data!$1:$1,0)-1))</f>
        <v/>
      </c>
      <c r="W534" t="str">
        <f t="shared" si="43"/>
        <v/>
      </c>
      <c r="X534" t="str">
        <f t="shared" si="44"/>
        <v/>
      </c>
      <c r="Y534" s="42" t="str">
        <f t="shared" si="45"/>
        <v/>
      </c>
      <c r="Z534" s="42" t="str">
        <f t="shared" si="46"/>
        <v/>
      </c>
    </row>
    <row r="535" spans="1:26" x14ac:dyDescent="0.25">
      <c r="A535" t="str">
        <f>IF(Summary_Exchange_Balances_00UTC!$B534="","",Summary_Exchange_Balances_00UTC!$N534)</f>
        <v/>
      </c>
      <c r="B535" t="str">
        <f>IF(Summary_Exchange_Balances_00UTC!$B534="","",Summary_Exchange_Balances_00UTC!$B534)</f>
        <v/>
      </c>
      <c r="C535" t="str">
        <f>IF(Summary_Exchange_Balances_00UTC!$B534="","",Summary_Exchange_Balances_00UTC!$E534)</f>
        <v/>
      </c>
      <c r="E535" s="52" t="str">
        <f>IF(Summary_Exchange_Balances_00UTC!$B534="","",Summary_Exchange_Balances_00UTC!$C534)</f>
        <v/>
      </c>
      <c r="G535" s="52" t="str">
        <f>IF(Summary_Exchange_Balances_00UTC!$B534="","",VLOOKUP(IF(ISERROR(SEARCH(" ", $B535)),UPPER($B535&amp;$C535&amp;IF(OR(NOT(ISERROR(SEARCH("trade",$D535))),NOT(ISERROR(SEARCH("balance",$D535)))),"",$D535)),UPPER(LEFT($B535, SEARCH(" ",$B535)-1)&amp;$C535&amp;IF(OR(NOT(ISERROR(SEARCH("trade",$D535))),NOT(ISERROR(SEARCH("balance",$D535)))),"",$D535))),$L:$T,MATCH("balance",$L$2:$S$2,0),FALSE))</f>
        <v/>
      </c>
      <c r="H535" s="35" t="str">
        <f>IF(Summary_Exchange_Balances_00UTC!$B534="","",(G535-E535)/E535)</f>
        <v/>
      </c>
      <c r="I535" s="165" t="str">
        <f>IF(Summary_Exchange_Balances_00UTC!$B534="","",IF(ISERROR($G535),$E535,$G535))</f>
        <v/>
      </c>
      <c r="L535" t="str">
        <f t="shared" ca="1" si="42"/>
        <v/>
      </c>
      <c r="N535" s="161" t="str">
        <f ca="1">IF(raw_exchange_data!$A534="","",OFFSET(raw_exchange_data!$A534,0,MATCH(N$2,raw_exchange_data!$1:$1,0)-1))</f>
        <v/>
      </c>
      <c r="O535" s="161" t="str">
        <f ca="1">IF(raw_exchange_data!$A534="","",OFFSET(raw_exchange_data!$A534,0,MATCH(O$2,raw_exchange_data!$1:$1,0)-1))</f>
        <v/>
      </c>
      <c r="P535" s="161" t="str">
        <f ca="1">IF(raw_exchange_data!$A534="","",OFFSET(raw_exchange_data!$A534,0,MATCH(P$2,raw_exchange_data!$1:$1,0)-1))</f>
        <v/>
      </c>
      <c r="Q535" s="161" t="str">
        <f ca="1">IF(raw_exchange_data!$A534="","",TEXT(OFFSET(raw_exchange_data!$A534,0,MATCH(Q$2,raw_exchange_data!$1:$1,0)-1),""))</f>
        <v/>
      </c>
      <c r="R535" s="162" t="str">
        <f ca="1">IF(raw_exchange_data!$A534="","",OFFSET(raw_exchange_data!$A534,0,MATCH(R$2,raw_exchange_data!$1:$1,0)-1))</f>
        <v/>
      </c>
      <c r="S535" s="190" t="str">
        <f ca="1">IF(raw_exchange_data!$A534="","",OFFSET(raw_exchange_data!$A534,0,MATCH(S$2,raw_exchange_data!$1:$1,0)-1))</f>
        <v/>
      </c>
      <c r="W535" t="str">
        <f t="shared" si="43"/>
        <v/>
      </c>
      <c r="X535" t="str">
        <f t="shared" si="44"/>
        <v/>
      </c>
      <c r="Y535" s="42" t="str">
        <f t="shared" si="45"/>
        <v/>
      </c>
      <c r="Z535" s="42" t="str">
        <f t="shared" si="46"/>
        <v/>
      </c>
    </row>
    <row r="536" spans="1:26" x14ac:dyDescent="0.25">
      <c r="A536" t="str">
        <f>IF(Summary_Exchange_Balances_00UTC!$B535="","",Summary_Exchange_Balances_00UTC!$N535)</f>
        <v/>
      </c>
      <c r="B536" t="str">
        <f>IF(Summary_Exchange_Balances_00UTC!$B535="","",Summary_Exchange_Balances_00UTC!$B535)</f>
        <v/>
      </c>
      <c r="C536" t="str">
        <f>IF(Summary_Exchange_Balances_00UTC!$B535="","",Summary_Exchange_Balances_00UTC!$E535)</f>
        <v/>
      </c>
      <c r="E536" s="52" t="str">
        <f>IF(Summary_Exchange_Balances_00UTC!$B535="","",Summary_Exchange_Balances_00UTC!$C535)</f>
        <v/>
      </c>
      <c r="G536" s="52" t="str">
        <f>IF(Summary_Exchange_Balances_00UTC!$B535="","",VLOOKUP(IF(ISERROR(SEARCH(" ", $B536)),UPPER($B536&amp;$C536&amp;IF(OR(NOT(ISERROR(SEARCH("trade",$D536))),NOT(ISERROR(SEARCH("balance",$D536)))),"",$D536)),UPPER(LEFT($B536, SEARCH(" ",$B536)-1)&amp;$C536&amp;IF(OR(NOT(ISERROR(SEARCH("trade",$D536))),NOT(ISERROR(SEARCH("balance",$D536)))),"",$D536))),$L:$T,MATCH("balance",$L$2:$S$2,0),FALSE))</f>
        <v/>
      </c>
      <c r="H536" s="35" t="str">
        <f>IF(Summary_Exchange_Balances_00UTC!$B535="","",(G536-E536)/E536)</f>
        <v/>
      </c>
      <c r="I536" s="165" t="str">
        <f>IF(Summary_Exchange_Balances_00UTC!$B535="","",IF(ISERROR($G536),$E536,$G536))</f>
        <v/>
      </c>
      <c r="L536" t="str">
        <f t="shared" ca="1" si="42"/>
        <v/>
      </c>
      <c r="N536" s="161" t="str">
        <f ca="1">IF(raw_exchange_data!$A535="","",OFFSET(raw_exchange_data!$A535,0,MATCH(N$2,raw_exchange_data!$1:$1,0)-1))</f>
        <v/>
      </c>
      <c r="O536" s="161" t="str">
        <f ca="1">IF(raw_exchange_data!$A535="","",OFFSET(raw_exchange_data!$A535,0,MATCH(O$2,raw_exchange_data!$1:$1,0)-1))</f>
        <v/>
      </c>
      <c r="P536" s="161" t="str">
        <f ca="1">IF(raw_exchange_data!$A535="","",OFFSET(raw_exchange_data!$A535,0,MATCH(P$2,raw_exchange_data!$1:$1,0)-1))</f>
        <v/>
      </c>
      <c r="Q536" s="161" t="str">
        <f ca="1">IF(raw_exchange_data!$A535="","",TEXT(OFFSET(raw_exchange_data!$A535,0,MATCH(Q$2,raw_exchange_data!$1:$1,0)-1),""))</f>
        <v/>
      </c>
      <c r="R536" s="162" t="str">
        <f ca="1">IF(raw_exchange_data!$A535="","",OFFSET(raw_exchange_data!$A535,0,MATCH(R$2,raw_exchange_data!$1:$1,0)-1))</f>
        <v/>
      </c>
      <c r="S536" s="190" t="str">
        <f ca="1">IF(raw_exchange_data!$A535="","",OFFSET(raw_exchange_data!$A535,0,MATCH(S$2,raw_exchange_data!$1:$1,0)-1))</f>
        <v/>
      </c>
      <c r="W536" t="str">
        <f t="shared" si="43"/>
        <v/>
      </c>
      <c r="X536" t="str">
        <f t="shared" si="44"/>
        <v/>
      </c>
      <c r="Y536" s="42" t="str">
        <f t="shared" si="45"/>
        <v/>
      </c>
      <c r="Z536" s="42" t="str">
        <f t="shared" si="46"/>
        <v/>
      </c>
    </row>
    <row r="537" spans="1:26" x14ac:dyDescent="0.25">
      <c r="A537" t="str">
        <f>IF(Summary_Exchange_Balances_00UTC!$B536="","",Summary_Exchange_Balances_00UTC!$N536)</f>
        <v/>
      </c>
      <c r="B537" t="str">
        <f>IF(Summary_Exchange_Balances_00UTC!$B536="","",Summary_Exchange_Balances_00UTC!$B536)</f>
        <v/>
      </c>
      <c r="C537" t="str">
        <f>IF(Summary_Exchange_Balances_00UTC!$B536="","",Summary_Exchange_Balances_00UTC!$E536)</f>
        <v/>
      </c>
      <c r="E537" s="52" t="str">
        <f>IF(Summary_Exchange_Balances_00UTC!$B536="","",Summary_Exchange_Balances_00UTC!$C536)</f>
        <v/>
      </c>
      <c r="G537" s="52" t="str">
        <f>IF(Summary_Exchange_Balances_00UTC!$B536="","",VLOOKUP(IF(ISERROR(SEARCH(" ", $B537)),UPPER($B537&amp;$C537&amp;IF(OR(NOT(ISERROR(SEARCH("trade",$D537))),NOT(ISERROR(SEARCH("balance",$D537)))),"",$D537)),UPPER(LEFT($B537, SEARCH(" ",$B537)-1)&amp;$C537&amp;IF(OR(NOT(ISERROR(SEARCH("trade",$D537))),NOT(ISERROR(SEARCH("balance",$D537)))),"",$D537))),$L:$T,MATCH("balance",$L$2:$S$2,0),FALSE))</f>
        <v/>
      </c>
      <c r="H537" s="35" t="str">
        <f>IF(Summary_Exchange_Balances_00UTC!$B536="","",(G537-E537)/E537)</f>
        <v/>
      </c>
      <c r="I537" s="165" t="str">
        <f>IF(Summary_Exchange_Balances_00UTC!$B536="","",IF(ISERROR($G537),$E537,$G537))</f>
        <v/>
      </c>
      <c r="L537" t="str">
        <f t="shared" ca="1" si="42"/>
        <v/>
      </c>
      <c r="N537" s="161" t="str">
        <f ca="1">IF(raw_exchange_data!$A536="","",OFFSET(raw_exchange_data!$A536,0,MATCH(N$2,raw_exchange_data!$1:$1,0)-1))</f>
        <v/>
      </c>
      <c r="O537" s="161" t="str">
        <f ca="1">IF(raw_exchange_data!$A536="","",OFFSET(raw_exchange_data!$A536,0,MATCH(O$2,raw_exchange_data!$1:$1,0)-1))</f>
        <v/>
      </c>
      <c r="P537" s="161" t="str">
        <f ca="1">IF(raw_exchange_data!$A536="","",OFFSET(raw_exchange_data!$A536,0,MATCH(P$2,raw_exchange_data!$1:$1,0)-1))</f>
        <v/>
      </c>
      <c r="Q537" s="161" t="str">
        <f ca="1">IF(raw_exchange_data!$A536="","",TEXT(OFFSET(raw_exchange_data!$A536,0,MATCH(Q$2,raw_exchange_data!$1:$1,0)-1),""))</f>
        <v/>
      </c>
      <c r="R537" s="162" t="str">
        <f ca="1">IF(raw_exchange_data!$A536="","",OFFSET(raw_exchange_data!$A536,0,MATCH(R$2,raw_exchange_data!$1:$1,0)-1))</f>
        <v/>
      </c>
      <c r="S537" s="190" t="str">
        <f ca="1">IF(raw_exchange_data!$A536="","",OFFSET(raw_exchange_data!$A536,0,MATCH(S$2,raw_exchange_data!$1:$1,0)-1))</f>
        <v/>
      </c>
      <c r="W537" t="str">
        <f t="shared" si="43"/>
        <v/>
      </c>
      <c r="X537" t="str">
        <f t="shared" si="44"/>
        <v/>
      </c>
      <c r="Y537" s="42" t="str">
        <f t="shared" si="45"/>
        <v/>
      </c>
      <c r="Z537" s="42" t="str">
        <f t="shared" si="46"/>
        <v/>
      </c>
    </row>
    <row r="538" spans="1:26" x14ac:dyDescent="0.25">
      <c r="A538" t="str">
        <f>IF(Summary_Exchange_Balances_00UTC!$B537="","",Summary_Exchange_Balances_00UTC!$N537)</f>
        <v/>
      </c>
      <c r="B538" t="str">
        <f>IF(Summary_Exchange_Balances_00UTC!$B537="","",Summary_Exchange_Balances_00UTC!$B537)</f>
        <v/>
      </c>
      <c r="C538" t="str">
        <f>IF(Summary_Exchange_Balances_00UTC!$B537="","",Summary_Exchange_Balances_00UTC!$E537)</f>
        <v/>
      </c>
      <c r="E538" s="52" t="str">
        <f>IF(Summary_Exchange_Balances_00UTC!$B537="","",Summary_Exchange_Balances_00UTC!$C537)</f>
        <v/>
      </c>
      <c r="G538" s="52" t="str">
        <f>IF(Summary_Exchange_Balances_00UTC!$B537="","",VLOOKUP(IF(ISERROR(SEARCH(" ", $B538)),UPPER($B538&amp;$C538&amp;IF(OR(NOT(ISERROR(SEARCH("trade",$D538))),NOT(ISERROR(SEARCH("balance",$D538)))),"",$D538)),UPPER(LEFT($B538, SEARCH(" ",$B538)-1)&amp;$C538&amp;IF(OR(NOT(ISERROR(SEARCH("trade",$D538))),NOT(ISERROR(SEARCH("balance",$D538)))),"",$D538))),$L:$T,MATCH("balance",$L$2:$S$2,0),FALSE))</f>
        <v/>
      </c>
      <c r="H538" s="35" t="str">
        <f>IF(Summary_Exchange_Balances_00UTC!$B537="","",(G538-E538)/E538)</f>
        <v/>
      </c>
      <c r="I538" s="165" t="str">
        <f>IF(Summary_Exchange_Balances_00UTC!$B537="","",IF(ISERROR($G538),$E538,$G538))</f>
        <v/>
      </c>
      <c r="L538" t="str">
        <f t="shared" ca="1" si="42"/>
        <v/>
      </c>
      <c r="N538" s="161" t="str">
        <f ca="1">IF(raw_exchange_data!$A537="","",OFFSET(raw_exchange_data!$A537,0,MATCH(N$2,raw_exchange_data!$1:$1,0)-1))</f>
        <v/>
      </c>
      <c r="O538" s="161" t="str">
        <f ca="1">IF(raw_exchange_data!$A537="","",OFFSET(raw_exchange_data!$A537,0,MATCH(O$2,raw_exchange_data!$1:$1,0)-1))</f>
        <v/>
      </c>
      <c r="P538" s="161" t="str">
        <f ca="1">IF(raw_exchange_data!$A537="","",OFFSET(raw_exchange_data!$A537,0,MATCH(P$2,raw_exchange_data!$1:$1,0)-1))</f>
        <v/>
      </c>
      <c r="Q538" s="161" t="str">
        <f ca="1">IF(raw_exchange_data!$A537="","",TEXT(OFFSET(raw_exchange_data!$A537,0,MATCH(Q$2,raw_exchange_data!$1:$1,0)-1),""))</f>
        <v/>
      </c>
      <c r="R538" s="162" t="str">
        <f ca="1">IF(raw_exchange_data!$A537="","",OFFSET(raw_exchange_data!$A537,0,MATCH(R$2,raw_exchange_data!$1:$1,0)-1))</f>
        <v/>
      </c>
      <c r="S538" s="190" t="str">
        <f ca="1">IF(raw_exchange_data!$A537="","",OFFSET(raw_exchange_data!$A537,0,MATCH(S$2,raw_exchange_data!$1:$1,0)-1))</f>
        <v/>
      </c>
      <c r="W538" t="str">
        <f t="shared" si="43"/>
        <v/>
      </c>
      <c r="X538" t="str">
        <f t="shared" si="44"/>
        <v/>
      </c>
      <c r="Y538" s="42" t="str">
        <f t="shared" si="45"/>
        <v/>
      </c>
      <c r="Z538" s="42" t="str">
        <f t="shared" si="46"/>
        <v/>
      </c>
    </row>
    <row r="539" spans="1:26" x14ac:dyDescent="0.25">
      <c r="A539" t="str">
        <f>IF(Summary_Exchange_Balances_00UTC!$B538="","",Summary_Exchange_Balances_00UTC!$N538)</f>
        <v/>
      </c>
      <c r="B539" t="str">
        <f>IF(Summary_Exchange_Balances_00UTC!$B538="","",Summary_Exchange_Balances_00UTC!$B538)</f>
        <v/>
      </c>
      <c r="C539" t="str">
        <f>IF(Summary_Exchange_Balances_00UTC!$B538="","",Summary_Exchange_Balances_00UTC!$E538)</f>
        <v/>
      </c>
      <c r="E539" s="52" t="str">
        <f>IF(Summary_Exchange_Balances_00UTC!$B538="","",Summary_Exchange_Balances_00UTC!$C538)</f>
        <v/>
      </c>
      <c r="G539" s="52" t="str">
        <f>IF(Summary_Exchange_Balances_00UTC!$B538="","",VLOOKUP(IF(ISERROR(SEARCH(" ", $B539)),UPPER($B539&amp;$C539&amp;IF(OR(NOT(ISERROR(SEARCH("trade",$D539))),NOT(ISERROR(SEARCH("balance",$D539)))),"",$D539)),UPPER(LEFT($B539, SEARCH(" ",$B539)-1)&amp;$C539&amp;IF(OR(NOT(ISERROR(SEARCH("trade",$D539))),NOT(ISERROR(SEARCH("balance",$D539)))),"",$D539))),$L:$T,MATCH("balance",$L$2:$S$2,0),FALSE))</f>
        <v/>
      </c>
      <c r="H539" s="35" t="str">
        <f>IF(Summary_Exchange_Balances_00UTC!$B538="","",(G539-E539)/E539)</f>
        <v/>
      </c>
      <c r="I539" s="165" t="str">
        <f>IF(Summary_Exchange_Balances_00UTC!$B538="","",IF(ISERROR($G539),$E539,$G539))</f>
        <v/>
      </c>
      <c r="L539" t="str">
        <f t="shared" ca="1" si="42"/>
        <v/>
      </c>
      <c r="N539" s="161" t="str">
        <f ca="1">IF(raw_exchange_data!$A538="","",OFFSET(raw_exchange_data!$A538,0,MATCH(N$2,raw_exchange_data!$1:$1,0)-1))</f>
        <v/>
      </c>
      <c r="O539" s="161" t="str">
        <f ca="1">IF(raw_exchange_data!$A538="","",OFFSET(raw_exchange_data!$A538,0,MATCH(O$2,raw_exchange_data!$1:$1,0)-1))</f>
        <v/>
      </c>
      <c r="P539" s="161" t="str">
        <f ca="1">IF(raw_exchange_data!$A538="","",OFFSET(raw_exchange_data!$A538,0,MATCH(P$2,raw_exchange_data!$1:$1,0)-1))</f>
        <v/>
      </c>
      <c r="Q539" s="161" t="str">
        <f ca="1">IF(raw_exchange_data!$A538="","",TEXT(OFFSET(raw_exchange_data!$A538,0,MATCH(Q$2,raw_exchange_data!$1:$1,0)-1),""))</f>
        <v/>
      </c>
      <c r="R539" s="162" t="str">
        <f ca="1">IF(raw_exchange_data!$A538="","",OFFSET(raw_exchange_data!$A538,0,MATCH(R$2,raw_exchange_data!$1:$1,0)-1))</f>
        <v/>
      </c>
      <c r="S539" s="190" t="str">
        <f ca="1">IF(raw_exchange_data!$A538="","",OFFSET(raw_exchange_data!$A538,0,MATCH(S$2,raw_exchange_data!$1:$1,0)-1))</f>
        <v/>
      </c>
      <c r="W539" t="str">
        <f t="shared" si="43"/>
        <v/>
      </c>
      <c r="X539" t="str">
        <f t="shared" si="44"/>
        <v/>
      </c>
      <c r="Y539" s="42" t="str">
        <f t="shared" si="45"/>
        <v/>
      </c>
      <c r="Z539" s="42" t="str">
        <f t="shared" si="46"/>
        <v/>
      </c>
    </row>
    <row r="540" spans="1:26" x14ac:dyDescent="0.25">
      <c r="A540" t="str">
        <f>IF(Summary_Exchange_Balances_00UTC!$B539="","",Summary_Exchange_Balances_00UTC!$N539)</f>
        <v/>
      </c>
      <c r="B540" t="str">
        <f>IF(Summary_Exchange_Balances_00UTC!$B539="","",Summary_Exchange_Balances_00UTC!$B539)</f>
        <v/>
      </c>
      <c r="C540" t="str">
        <f>IF(Summary_Exchange_Balances_00UTC!$B539="","",Summary_Exchange_Balances_00UTC!$E539)</f>
        <v/>
      </c>
      <c r="E540" s="52" t="str">
        <f>IF(Summary_Exchange_Balances_00UTC!$B539="","",Summary_Exchange_Balances_00UTC!$C539)</f>
        <v/>
      </c>
      <c r="G540" s="52" t="str">
        <f>IF(Summary_Exchange_Balances_00UTC!$B539="","",VLOOKUP(IF(ISERROR(SEARCH(" ", $B540)),UPPER($B540&amp;$C540&amp;IF(OR(NOT(ISERROR(SEARCH("trade",$D540))),NOT(ISERROR(SEARCH("balance",$D540)))),"",$D540)),UPPER(LEFT($B540, SEARCH(" ",$B540)-1)&amp;$C540&amp;IF(OR(NOT(ISERROR(SEARCH("trade",$D540))),NOT(ISERROR(SEARCH("balance",$D540)))),"",$D540))),$L:$T,MATCH("balance",$L$2:$S$2,0),FALSE))</f>
        <v/>
      </c>
      <c r="H540" s="35" t="str">
        <f>IF(Summary_Exchange_Balances_00UTC!$B539="","",(G540-E540)/E540)</f>
        <v/>
      </c>
      <c r="I540" s="165" t="str">
        <f>IF(Summary_Exchange_Balances_00UTC!$B539="","",IF(ISERROR($G540),$E540,$G540))</f>
        <v/>
      </c>
      <c r="L540" t="str">
        <f t="shared" ca="1" si="42"/>
        <v/>
      </c>
      <c r="N540" s="161" t="str">
        <f ca="1">IF(raw_exchange_data!$A539="","",OFFSET(raw_exchange_data!$A539,0,MATCH(N$2,raw_exchange_data!$1:$1,0)-1))</f>
        <v/>
      </c>
      <c r="O540" s="161" t="str">
        <f ca="1">IF(raw_exchange_data!$A539="","",OFFSET(raw_exchange_data!$A539,0,MATCH(O$2,raw_exchange_data!$1:$1,0)-1))</f>
        <v/>
      </c>
      <c r="P540" s="161" t="str">
        <f ca="1">IF(raw_exchange_data!$A539="","",OFFSET(raw_exchange_data!$A539,0,MATCH(P$2,raw_exchange_data!$1:$1,0)-1))</f>
        <v/>
      </c>
      <c r="Q540" s="161" t="str">
        <f ca="1">IF(raw_exchange_data!$A539="","",TEXT(OFFSET(raw_exchange_data!$A539,0,MATCH(Q$2,raw_exchange_data!$1:$1,0)-1),""))</f>
        <v/>
      </c>
      <c r="R540" s="162" t="str">
        <f ca="1">IF(raw_exchange_data!$A539="","",OFFSET(raw_exchange_data!$A539,0,MATCH(R$2,raw_exchange_data!$1:$1,0)-1))</f>
        <v/>
      </c>
      <c r="S540" s="190" t="str">
        <f ca="1">IF(raw_exchange_data!$A539="","",OFFSET(raw_exchange_data!$A539,0,MATCH(S$2,raw_exchange_data!$1:$1,0)-1))</f>
        <v/>
      </c>
      <c r="W540" t="str">
        <f t="shared" si="43"/>
        <v/>
      </c>
      <c r="X540" t="str">
        <f t="shared" si="44"/>
        <v/>
      </c>
      <c r="Y540" s="42" t="str">
        <f t="shared" si="45"/>
        <v/>
      </c>
      <c r="Z540" s="42" t="str">
        <f t="shared" si="46"/>
        <v/>
      </c>
    </row>
    <row r="541" spans="1:26" x14ac:dyDescent="0.25">
      <c r="A541" t="str">
        <f>IF(Summary_Exchange_Balances_00UTC!$B540="","",Summary_Exchange_Balances_00UTC!$N540)</f>
        <v/>
      </c>
      <c r="B541" t="str">
        <f>IF(Summary_Exchange_Balances_00UTC!$B540="","",Summary_Exchange_Balances_00UTC!$B540)</f>
        <v/>
      </c>
      <c r="C541" t="str">
        <f>IF(Summary_Exchange_Balances_00UTC!$B540="","",Summary_Exchange_Balances_00UTC!$E540)</f>
        <v/>
      </c>
      <c r="E541" s="52" t="str">
        <f>IF(Summary_Exchange_Balances_00UTC!$B540="","",Summary_Exchange_Balances_00UTC!$C540)</f>
        <v/>
      </c>
      <c r="G541" s="52" t="str">
        <f>IF(Summary_Exchange_Balances_00UTC!$B540="","",VLOOKUP(IF(ISERROR(SEARCH(" ", $B541)),UPPER($B541&amp;$C541&amp;IF(OR(NOT(ISERROR(SEARCH("trade",$D541))),NOT(ISERROR(SEARCH("balance",$D541)))),"",$D541)),UPPER(LEFT($B541, SEARCH(" ",$B541)-1)&amp;$C541&amp;IF(OR(NOT(ISERROR(SEARCH("trade",$D541))),NOT(ISERROR(SEARCH("balance",$D541)))),"",$D541))),$L:$T,MATCH("balance",$L$2:$S$2,0),FALSE))</f>
        <v/>
      </c>
      <c r="H541" s="35" t="str">
        <f>IF(Summary_Exchange_Balances_00UTC!$B540="","",(G541-E541)/E541)</f>
        <v/>
      </c>
      <c r="I541" s="165" t="str">
        <f>IF(Summary_Exchange_Balances_00UTC!$B540="","",IF(ISERROR($G541),$E541,$G541))</f>
        <v/>
      </c>
      <c r="L541" t="str">
        <f t="shared" ca="1" si="42"/>
        <v/>
      </c>
      <c r="N541" s="161" t="str">
        <f ca="1">IF(raw_exchange_data!$A540="","",OFFSET(raw_exchange_data!$A540,0,MATCH(N$2,raw_exchange_data!$1:$1,0)-1))</f>
        <v/>
      </c>
      <c r="O541" s="161" t="str">
        <f ca="1">IF(raw_exchange_data!$A540="","",OFFSET(raw_exchange_data!$A540,0,MATCH(O$2,raw_exchange_data!$1:$1,0)-1))</f>
        <v/>
      </c>
      <c r="P541" s="161" t="str">
        <f ca="1">IF(raw_exchange_data!$A540="","",OFFSET(raw_exchange_data!$A540,0,MATCH(P$2,raw_exchange_data!$1:$1,0)-1))</f>
        <v/>
      </c>
      <c r="Q541" s="161" t="str">
        <f ca="1">IF(raw_exchange_data!$A540="","",TEXT(OFFSET(raw_exchange_data!$A540,0,MATCH(Q$2,raw_exchange_data!$1:$1,0)-1),""))</f>
        <v/>
      </c>
      <c r="R541" s="162" t="str">
        <f ca="1">IF(raw_exchange_data!$A540="","",OFFSET(raw_exchange_data!$A540,0,MATCH(R$2,raw_exchange_data!$1:$1,0)-1))</f>
        <v/>
      </c>
      <c r="S541" s="190" t="str">
        <f ca="1">IF(raw_exchange_data!$A540="","",OFFSET(raw_exchange_data!$A540,0,MATCH(S$2,raw_exchange_data!$1:$1,0)-1))</f>
        <v/>
      </c>
      <c r="W541" t="str">
        <f t="shared" si="43"/>
        <v/>
      </c>
      <c r="X541" t="str">
        <f t="shared" si="44"/>
        <v/>
      </c>
      <c r="Y541" s="42" t="str">
        <f t="shared" si="45"/>
        <v/>
      </c>
      <c r="Z541" s="42" t="str">
        <f t="shared" si="46"/>
        <v/>
      </c>
    </row>
    <row r="542" spans="1:26" x14ac:dyDescent="0.25">
      <c r="A542" t="str">
        <f>IF(Summary_Exchange_Balances_00UTC!$B541="","",Summary_Exchange_Balances_00UTC!$N541)</f>
        <v/>
      </c>
      <c r="B542" t="str">
        <f>IF(Summary_Exchange_Balances_00UTC!$B541="","",Summary_Exchange_Balances_00UTC!$B541)</f>
        <v/>
      </c>
      <c r="C542" t="str">
        <f>IF(Summary_Exchange_Balances_00UTC!$B541="","",Summary_Exchange_Balances_00UTC!$E541)</f>
        <v/>
      </c>
      <c r="E542" s="52" t="str">
        <f>IF(Summary_Exchange_Balances_00UTC!$B541="","",Summary_Exchange_Balances_00UTC!$C541)</f>
        <v/>
      </c>
      <c r="G542" s="52" t="str">
        <f>IF(Summary_Exchange_Balances_00UTC!$B541="","",VLOOKUP(IF(ISERROR(SEARCH(" ", $B542)),UPPER($B542&amp;$C542&amp;IF(OR(NOT(ISERROR(SEARCH("trade",$D542))),NOT(ISERROR(SEARCH("balance",$D542)))),"",$D542)),UPPER(LEFT($B542, SEARCH(" ",$B542)-1)&amp;$C542&amp;IF(OR(NOT(ISERROR(SEARCH("trade",$D542))),NOT(ISERROR(SEARCH("balance",$D542)))),"",$D542))),$L:$T,MATCH("balance",$L$2:$S$2,0),FALSE))</f>
        <v/>
      </c>
      <c r="H542" s="35" t="str">
        <f>IF(Summary_Exchange_Balances_00UTC!$B541="","",(G542-E542)/E542)</f>
        <v/>
      </c>
      <c r="I542" s="165" t="str">
        <f>IF(Summary_Exchange_Balances_00UTC!$B541="","",IF(ISERROR($G542),$E542,$G542))</f>
        <v/>
      </c>
      <c r="L542" t="str">
        <f t="shared" ca="1" si="42"/>
        <v/>
      </c>
      <c r="N542" s="161" t="str">
        <f ca="1">IF(raw_exchange_data!$A541="","",OFFSET(raw_exchange_data!$A541,0,MATCH(N$2,raw_exchange_data!$1:$1,0)-1))</f>
        <v/>
      </c>
      <c r="O542" s="161" t="str">
        <f ca="1">IF(raw_exchange_data!$A541="","",OFFSET(raw_exchange_data!$A541,0,MATCH(O$2,raw_exchange_data!$1:$1,0)-1))</f>
        <v/>
      </c>
      <c r="P542" s="161" t="str">
        <f ca="1">IF(raw_exchange_data!$A541="","",OFFSET(raw_exchange_data!$A541,0,MATCH(P$2,raw_exchange_data!$1:$1,0)-1))</f>
        <v/>
      </c>
      <c r="Q542" s="161" t="str">
        <f ca="1">IF(raw_exchange_data!$A541="","",TEXT(OFFSET(raw_exchange_data!$A541,0,MATCH(Q$2,raw_exchange_data!$1:$1,0)-1),""))</f>
        <v/>
      </c>
      <c r="R542" s="162" t="str">
        <f ca="1">IF(raw_exchange_data!$A541="","",OFFSET(raw_exchange_data!$A541,0,MATCH(R$2,raw_exchange_data!$1:$1,0)-1))</f>
        <v/>
      </c>
      <c r="S542" s="190" t="str">
        <f ca="1">IF(raw_exchange_data!$A541="","",OFFSET(raw_exchange_data!$A541,0,MATCH(S$2,raw_exchange_data!$1:$1,0)-1))</f>
        <v/>
      </c>
      <c r="W542" t="str">
        <f t="shared" si="43"/>
        <v/>
      </c>
      <c r="X542" t="str">
        <f t="shared" si="44"/>
        <v/>
      </c>
      <c r="Y542" s="42" t="str">
        <f t="shared" si="45"/>
        <v/>
      </c>
      <c r="Z542" s="42" t="str">
        <f t="shared" si="46"/>
        <v/>
      </c>
    </row>
    <row r="543" spans="1:26" x14ac:dyDescent="0.25">
      <c r="A543" t="str">
        <f>IF(Summary_Exchange_Balances_00UTC!$B542="","",Summary_Exchange_Balances_00UTC!$N542)</f>
        <v/>
      </c>
      <c r="B543" t="str">
        <f>IF(Summary_Exchange_Balances_00UTC!$B542="","",Summary_Exchange_Balances_00UTC!$B542)</f>
        <v/>
      </c>
      <c r="C543" t="str">
        <f>IF(Summary_Exchange_Balances_00UTC!$B542="","",Summary_Exchange_Balances_00UTC!$E542)</f>
        <v/>
      </c>
      <c r="E543" s="52" t="str">
        <f>IF(Summary_Exchange_Balances_00UTC!$B542="","",Summary_Exchange_Balances_00UTC!$C542)</f>
        <v/>
      </c>
      <c r="G543" s="52" t="str">
        <f>IF(Summary_Exchange_Balances_00UTC!$B542="","",VLOOKUP(IF(ISERROR(SEARCH(" ", $B543)),UPPER($B543&amp;$C543&amp;IF(OR(NOT(ISERROR(SEARCH("trade",$D543))),NOT(ISERROR(SEARCH("balance",$D543)))),"",$D543)),UPPER(LEFT($B543, SEARCH(" ",$B543)-1)&amp;$C543&amp;IF(OR(NOT(ISERROR(SEARCH("trade",$D543))),NOT(ISERROR(SEARCH("balance",$D543)))),"",$D543))),$L:$T,MATCH("balance",$L$2:$S$2,0),FALSE))</f>
        <v/>
      </c>
      <c r="H543" s="35" t="str">
        <f>IF(Summary_Exchange_Balances_00UTC!$B542="","",(G543-E543)/E543)</f>
        <v/>
      </c>
      <c r="I543" s="165" t="str">
        <f>IF(Summary_Exchange_Balances_00UTC!$B542="","",IF(ISERROR($G543),$E543,$G543))</f>
        <v/>
      </c>
      <c r="L543" t="str">
        <f t="shared" ca="1" si="42"/>
        <v/>
      </c>
      <c r="N543" s="161" t="str">
        <f ca="1">IF(raw_exchange_data!$A542="","",OFFSET(raw_exchange_data!$A542,0,MATCH(N$2,raw_exchange_data!$1:$1,0)-1))</f>
        <v/>
      </c>
      <c r="O543" s="161" t="str">
        <f ca="1">IF(raw_exchange_data!$A542="","",OFFSET(raw_exchange_data!$A542,0,MATCH(O$2,raw_exchange_data!$1:$1,0)-1))</f>
        <v/>
      </c>
      <c r="P543" s="161" t="str">
        <f ca="1">IF(raw_exchange_data!$A542="","",OFFSET(raw_exchange_data!$A542,0,MATCH(P$2,raw_exchange_data!$1:$1,0)-1))</f>
        <v/>
      </c>
      <c r="Q543" s="161" t="str">
        <f ca="1">IF(raw_exchange_data!$A542="","",TEXT(OFFSET(raw_exchange_data!$A542,0,MATCH(Q$2,raw_exchange_data!$1:$1,0)-1),""))</f>
        <v/>
      </c>
      <c r="R543" s="162" t="str">
        <f ca="1">IF(raw_exchange_data!$A542="","",OFFSET(raw_exchange_data!$A542,0,MATCH(R$2,raw_exchange_data!$1:$1,0)-1))</f>
        <v/>
      </c>
      <c r="S543" s="190" t="str">
        <f ca="1">IF(raw_exchange_data!$A542="","",OFFSET(raw_exchange_data!$A542,0,MATCH(S$2,raw_exchange_data!$1:$1,0)-1))</f>
        <v/>
      </c>
      <c r="W543" t="str">
        <f t="shared" si="43"/>
        <v/>
      </c>
      <c r="X543" t="str">
        <f t="shared" si="44"/>
        <v/>
      </c>
      <c r="Y543" s="42" t="str">
        <f t="shared" si="45"/>
        <v/>
      </c>
      <c r="Z543" s="42" t="str">
        <f t="shared" si="46"/>
        <v/>
      </c>
    </row>
    <row r="544" spans="1:26" x14ac:dyDescent="0.25">
      <c r="A544" t="str">
        <f>IF(Summary_Exchange_Balances_00UTC!$B543="","",Summary_Exchange_Balances_00UTC!$N543)</f>
        <v/>
      </c>
      <c r="B544" t="str">
        <f>IF(Summary_Exchange_Balances_00UTC!$B543="","",Summary_Exchange_Balances_00UTC!$B543)</f>
        <v/>
      </c>
      <c r="C544" t="str">
        <f>IF(Summary_Exchange_Balances_00UTC!$B543="","",Summary_Exchange_Balances_00UTC!$E543)</f>
        <v/>
      </c>
      <c r="E544" s="52" t="str">
        <f>IF(Summary_Exchange_Balances_00UTC!$B543="","",Summary_Exchange_Balances_00UTC!$C543)</f>
        <v/>
      </c>
      <c r="G544" s="52" t="str">
        <f>IF(Summary_Exchange_Balances_00UTC!$B543="","",VLOOKUP(IF(ISERROR(SEARCH(" ", $B544)),UPPER($B544&amp;$C544&amp;IF(OR(NOT(ISERROR(SEARCH("trade",$D544))),NOT(ISERROR(SEARCH("balance",$D544)))),"",$D544)),UPPER(LEFT($B544, SEARCH(" ",$B544)-1)&amp;$C544&amp;IF(OR(NOT(ISERROR(SEARCH("trade",$D544))),NOT(ISERROR(SEARCH("balance",$D544)))),"",$D544))),$L:$T,MATCH("balance",$L$2:$S$2,0),FALSE))</f>
        <v/>
      </c>
      <c r="H544" s="35" t="str">
        <f>IF(Summary_Exchange_Balances_00UTC!$B543="","",(G544-E544)/E544)</f>
        <v/>
      </c>
      <c r="I544" s="165" t="str">
        <f>IF(Summary_Exchange_Balances_00UTC!$B543="","",IF(ISERROR($G544),$E544,$G544))</f>
        <v/>
      </c>
      <c r="L544" t="str">
        <f t="shared" ca="1" si="42"/>
        <v/>
      </c>
      <c r="N544" s="161" t="str">
        <f ca="1">IF(raw_exchange_data!$A543="","",OFFSET(raw_exchange_data!$A543,0,MATCH(N$2,raw_exchange_data!$1:$1,0)-1))</f>
        <v/>
      </c>
      <c r="O544" s="161" t="str">
        <f ca="1">IF(raw_exchange_data!$A543="","",OFFSET(raw_exchange_data!$A543,0,MATCH(O$2,raw_exchange_data!$1:$1,0)-1))</f>
        <v/>
      </c>
      <c r="P544" s="161" t="str">
        <f ca="1">IF(raw_exchange_data!$A543="","",OFFSET(raw_exchange_data!$A543,0,MATCH(P$2,raw_exchange_data!$1:$1,0)-1))</f>
        <v/>
      </c>
      <c r="Q544" s="161" t="str">
        <f ca="1">IF(raw_exchange_data!$A543="","",TEXT(OFFSET(raw_exchange_data!$A543,0,MATCH(Q$2,raw_exchange_data!$1:$1,0)-1),""))</f>
        <v/>
      </c>
      <c r="R544" s="162" t="str">
        <f ca="1">IF(raw_exchange_data!$A543="","",OFFSET(raw_exchange_data!$A543,0,MATCH(R$2,raw_exchange_data!$1:$1,0)-1))</f>
        <v/>
      </c>
      <c r="S544" s="190" t="str">
        <f ca="1">IF(raw_exchange_data!$A543="","",OFFSET(raw_exchange_data!$A543,0,MATCH(S$2,raw_exchange_data!$1:$1,0)-1))</f>
        <v/>
      </c>
      <c r="W544" t="str">
        <f t="shared" si="43"/>
        <v/>
      </c>
      <c r="X544" t="str">
        <f t="shared" si="44"/>
        <v/>
      </c>
      <c r="Y544" s="42" t="str">
        <f t="shared" si="45"/>
        <v/>
      </c>
      <c r="Z544" s="42" t="str">
        <f t="shared" si="46"/>
        <v/>
      </c>
    </row>
    <row r="545" spans="1:26" x14ac:dyDescent="0.25">
      <c r="A545" t="str">
        <f>IF(Summary_Exchange_Balances_00UTC!$B544="","",Summary_Exchange_Balances_00UTC!$N544)</f>
        <v/>
      </c>
      <c r="B545" t="str">
        <f>IF(Summary_Exchange_Balances_00UTC!$B544="","",Summary_Exchange_Balances_00UTC!$B544)</f>
        <v/>
      </c>
      <c r="C545" t="str">
        <f>IF(Summary_Exchange_Balances_00UTC!$B544="","",Summary_Exchange_Balances_00UTC!$E544)</f>
        <v/>
      </c>
      <c r="E545" s="52" t="str">
        <f>IF(Summary_Exchange_Balances_00UTC!$B544="","",Summary_Exchange_Balances_00UTC!$C544)</f>
        <v/>
      </c>
      <c r="G545" s="52" t="str">
        <f>IF(Summary_Exchange_Balances_00UTC!$B544="","",VLOOKUP(IF(ISERROR(SEARCH(" ", $B545)),UPPER($B545&amp;$C545&amp;IF(OR(NOT(ISERROR(SEARCH("trade",$D545))),NOT(ISERROR(SEARCH("balance",$D545)))),"",$D545)),UPPER(LEFT($B545, SEARCH(" ",$B545)-1)&amp;$C545&amp;IF(OR(NOT(ISERROR(SEARCH("trade",$D545))),NOT(ISERROR(SEARCH("balance",$D545)))),"",$D545))),$L:$T,MATCH("balance",$L$2:$S$2,0),FALSE))</f>
        <v/>
      </c>
      <c r="H545" s="35" t="str">
        <f>IF(Summary_Exchange_Balances_00UTC!$B544="","",(G545-E545)/E545)</f>
        <v/>
      </c>
      <c r="I545" s="165" t="str">
        <f>IF(Summary_Exchange_Balances_00UTC!$B544="","",IF(ISERROR($G545),$E545,$G545))</f>
        <v/>
      </c>
      <c r="L545" t="str">
        <f t="shared" ca="1" si="42"/>
        <v/>
      </c>
      <c r="N545" s="161" t="str">
        <f ca="1">IF(raw_exchange_data!$A544="","",OFFSET(raw_exchange_data!$A544,0,MATCH(N$2,raw_exchange_data!$1:$1,0)-1))</f>
        <v/>
      </c>
      <c r="O545" s="161" t="str">
        <f ca="1">IF(raw_exchange_data!$A544="","",OFFSET(raw_exchange_data!$A544,0,MATCH(O$2,raw_exchange_data!$1:$1,0)-1))</f>
        <v/>
      </c>
      <c r="P545" s="161" t="str">
        <f ca="1">IF(raw_exchange_data!$A544="","",OFFSET(raw_exchange_data!$A544,0,MATCH(P$2,raw_exchange_data!$1:$1,0)-1))</f>
        <v/>
      </c>
      <c r="Q545" s="161" t="str">
        <f ca="1">IF(raw_exchange_data!$A544="","",TEXT(OFFSET(raw_exchange_data!$A544,0,MATCH(Q$2,raw_exchange_data!$1:$1,0)-1),""))</f>
        <v/>
      </c>
      <c r="R545" s="162" t="str">
        <f ca="1">IF(raw_exchange_data!$A544="","",OFFSET(raw_exchange_data!$A544,0,MATCH(R$2,raw_exchange_data!$1:$1,0)-1))</f>
        <v/>
      </c>
      <c r="S545" s="190" t="str">
        <f ca="1">IF(raw_exchange_data!$A544="","",OFFSET(raw_exchange_data!$A544,0,MATCH(S$2,raw_exchange_data!$1:$1,0)-1))</f>
        <v/>
      </c>
      <c r="W545" t="str">
        <f t="shared" si="43"/>
        <v/>
      </c>
      <c r="X545" t="str">
        <f t="shared" si="44"/>
        <v/>
      </c>
      <c r="Y545" s="42" t="str">
        <f t="shared" si="45"/>
        <v/>
      </c>
      <c r="Z545" s="42" t="str">
        <f t="shared" si="46"/>
        <v/>
      </c>
    </row>
    <row r="546" spans="1:26" x14ac:dyDescent="0.25">
      <c r="A546" t="str">
        <f>IF(Summary_Exchange_Balances_00UTC!$B545="","",Summary_Exchange_Balances_00UTC!$N545)</f>
        <v/>
      </c>
      <c r="B546" t="str">
        <f>IF(Summary_Exchange_Balances_00UTC!$B545="","",Summary_Exchange_Balances_00UTC!$B545)</f>
        <v/>
      </c>
      <c r="C546" t="str">
        <f>IF(Summary_Exchange_Balances_00UTC!$B545="","",Summary_Exchange_Balances_00UTC!$E545)</f>
        <v/>
      </c>
      <c r="E546" s="52" t="str">
        <f>IF(Summary_Exchange_Balances_00UTC!$B545="","",Summary_Exchange_Balances_00UTC!$C545)</f>
        <v/>
      </c>
      <c r="G546" s="52" t="str">
        <f>IF(Summary_Exchange_Balances_00UTC!$B545="","",VLOOKUP(IF(ISERROR(SEARCH(" ", $B546)),UPPER($B546&amp;$C546&amp;IF(OR(NOT(ISERROR(SEARCH("trade",$D546))),NOT(ISERROR(SEARCH("balance",$D546)))),"",$D546)),UPPER(LEFT($B546, SEARCH(" ",$B546)-1)&amp;$C546&amp;IF(OR(NOT(ISERROR(SEARCH("trade",$D546))),NOT(ISERROR(SEARCH("balance",$D546)))),"",$D546))),$L:$T,MATCH("balance",$L$2:$S$2,0),FALSE))</f>
        <v/>
      </c>
      <c r="H546" s="35" t="str">
        <f>IF(Summary_Exchange_Balances_00UTC!$B545="","",(G546-E546)/E546)</f>
        <v/>
      </c>
      <c r="I546" s="165" t="str">
        <f>IF(Summary_Exchange_Balances_00UTC!$B545="","",IF(ISERROR($G546),$E546,$G546))</f>
        <v/>
      </c>
      <c r="L546" t="str">
        <f t="shared" ca="1" si="42"/>
        <v/>
      </c>
      <c r="N546" s="161" t="str">
        <f ca="1">IF(raw_exchange_data!$A545="","",OFFSET(raw_exchange_data!$A545,0,MATCH(N$2,raw_exchange_data!$1:$1,0)-1))</f>
        <v/>
      </c>
      <c r="O546" s="161" t="str">
        <f ca="1">IF(raw_exchange_data!$A545="","",OFFSET(raw_exchange_data!$A545,0,MATCH(O$2,raw_exchange_data!$1:$1,0)-1))</f>
        <v/>
      </c>
      <c r="P546" s="161" t="str">
        <f ca="1">IF(raw_exchange_data!$A545="","",OFFSET(raw_exchange_data!$A545,0,MATCH(P$2,raw_exchange_data!$1:$1,0)-1))</f>
        <v/>
      </c>
      <c r="Q546" s="161" t="str">
        <f ca="1">IF(raw_exchange_data!$A545="","",TEXT(OFFSET(raw_exchange_data!$A545,0,MATCH(Q$2,raw_exchange_data!$1:$1,0)-1),""))</f>
        <v/>
      </c>
      <c r="R546" s="162" t="str">
        <f ca="1">IF(raw_exchange_data!$A545="","",OFFSET(raw_exchange_data!$A545,0,MATCH(R$2,raw_exchange_data!$1:$1,0)-1))</f>
        <v/>
      </c>
      <c r="S546" s="190" t="str">
        <f ca="1">IF(raw_exchange_data!$A545="","",OFFSET(raw_exchange_data!$A545,0,MATCH(S$2,raw_exchange_data!$1:$1,0)-1))</f>
        <v/>
      </c>
      <c r="W546" t="str">
        <f t="shared" si="43"/>
        <v/>
      </c>
      <c r="X546" t="str">
        <f t="shared" si="44"/>
        <v/>
      </c>
      <c r="Y546" s="42" t="str">
        <f t="shared" si="45"/>
        <v/>
      </c>
      <c r="Z546" s="42" t="str">
        <f t="shared" si="46"/>
        <v/>
      </c>
    </row>
    <row r="547" spans="1:26" x14ac:dyDescent="0.25">
      <c r="A547" t="str">
        <f>IF(Summary_Exchange_Balances_00UTC!$B546="","",Summary_Exchange_Balances_00UTC!$N546)</f>
        <v/>
      </c>
      <c r="B547" t="str">
        <f>IF(Summary_Exchange_Balances_00UTC!$B546="","",Summary_Exchange_Balances_00UTC!$B546)</f>
        <v/>
      </c>
      <c r="C547" t="str">
        <f>IF(Summary_Exchange_Balances_00UTC!$B546="","",Summary_Exchange_Balances_00UTC!$E546)</f>
        <v/>
      </c>
      <c r="E547" s="52" t="str">
        <f>IF(Summary_Exchange_Balances_00UTC!$B546="","",Summary_Exchange_Balances_00UTC!$C546)</f>
        <v/>
      </c>
      <c r="G547" s="52" t="str">
        <f>IF(Summary_Exchange_Balances_00UTC!$B546="","",VLOOKUP(IF(ISERROR(SEARCH(" ", $B547)),UPPER($B547&amp;$C547&amp;IF(OR(NOT(ISERROR(SEARCH("trade",$D547))),NOT(ISERROR(SEARCH("balance",$D547)))),"",$D547)),UPPER(LEFT($B547, SEARCH(" ",$B547)-1)&amp;$C547&amp;IF(OR(NOT(ISERROR(SEARCH("trade",$D547))),NOT(ISERROR(SEARCH("balance",$D547)))),"",$D547))),$L:$T,MATCH("balance",$L$2:$S$2,0),FALSE))</f>
        <v/>
      </c>
      <c r="H547" s="35" t="str">
        <f>IF(Summary_Exchange_Balances_00UTC!$B546="","",(G547-E547)/E547)</f>
        <v/>
      </c>
      <c r="I547" s="165" t="str">
        <f>IF(Summary_Exchange_Balances_00UTC!$B546="","",IF(ISERROR($G547),$E547,$G547))</f>
        <v/>
      </c>
      <c r="L547" t="str">
        <f t="shared" ca="1" si="42"/>
        <v/>
      </c>
      <c r="N547" s="161" t="str">
        <f ca="1">IF(raw_exchange_data!$A546="","",OFFSET(raw_exchange_data!$A546,0,MATCH(N$2,raw_exchange_data!$1:$1,0)-1))</f>
        <v/>
      </c>
      <c r="O547" s="161" t="str">
        <f ca="1">IF(raw_exchange_data!$A546="","",OFFSET(raw_exchange_data!$A546,0,MATCH(O$2,raw_exchange_data!$1:$1,0)-1))</f>
        <v/>
      </c>
      <c r="P547" s="161" t="str">
        <f ca="1">IF(raw_exchange_data!$A546="","",OFFSET(raw_exchange_data!$A546,0,MATCH(P$2,raw_exchange_data!$1:$1,0)-1))</f>
        <v/>
      </c>
      <c r="Q547" s="161" t="str">
        <f ca="1">IF(raw_exchange_data!$A546="","",TEXT(OFFSET(raw_exchange_data!$A546,0,MATCH(Q$2,raw_exchange_data!$1:$1,0)-1),""))</f>
        <v/>
      </c>
      <c r="R547" s="162" t="str">
        <f ca="1">IF(raw_exchange_data!$A546="","",OFFSET(raw_exchange_data!$A546,0,MATCH(R$2,raw_exchange_data!$1:$1,0)-1))</f>
        <v/>
      </c>
      <c r="S547" s="190" t="str">
        <f ca="1">IF(raw_exchange_data!$A546="","",OFFSET(raw_exchange_data!$A546,0,MATCH(S$2,raw_exchange_data!$1:$1,0)-1))</f>
        <v/>
      </c>
      <c r="W547" t="str">
        <f t="shared" si="43"/>
        <v/>
      </c>
      <c r="X547" t="str">
        <f t="shared" si="44"/>
        <v/>
      </c>
      <c r="Y547" s="42" t="str">
        <f t="shared" si="45"/>
        <v/>
      </c>
      <c r="Z547" s="42" t="str">
        <f t="shared" si="46"/>
        <v/>
      </c>
    </row>
    <row r="548" spans="1:26" x14ac:dyDescent="0.25">
      <c r="A548" t="str">
        <f>IF(Summary_Exchange_Balances_00UTC!$B547="","",Summary_Exchange_Balances_00UTC!$N547)</f>
        <v/>
      </c>
      <c r="B548" t="str">
        <f>IF(Summary_Exchange_Balances_00UTC!$B547="","",Summary_Exchange_Balances_00UTC!$B547)</f>
        <v/>
      </c>
      <c r="C548" t="str">
        <f>IF(Summary_Exchange_Balances_00UTC!$B547="","",Summary_Exchange_Balances_00UTC!$E547)</f>
        <v/>
      </c>
      <c r="E548" s="52" t="str">
        <f>IF(Summary_Exchange_Balances_00UTC!$B547="","",Summary_Exchange_Balances_00UTC!$C547)</f>
        <v/>
      </c>
      <c r="G548" s="52" t="str">
        <f>IF(Summary_Exchange_Balances_00UTC!$B547="","",VLOOKUP(IF(ISERROR(SEARCH(" ", $B548)),UPPER($B548&amp;$C548&amp;IF(OR(NOT(ISERROR(SEARCH("trade",$D548))),NOT(ISERROR(SEARCH("balance",$D548)))),"",$D548)),UPPER(LEFT($B548, SEARCH(" ",$B548)-1)&amp;$C548&amp;IF(OR(NOT(ISERROR(SEARCH("trade",$D548))),NOT(ISERROR(SEARCH("balance",$D548)))),"",$D548))),$L:$T,MATCH("balance",$L$2:$S$2,0),FALSE))</f>
        <v/>
      </c>
      <c r="H548" s="35" t="str">
        <f>IF(Summary_Exchange_Balances_00UTC!$B547="","",(G548-E548)/E548)</f>
        <v/>
      </c>
      <c r="I548" s="165" t="str">
        <f>IF(Summary_Exchange_Balances_00UTC!$B547="","",IF(ISERROR($G548),$E548,$G548))</f>
        <v/>
      </c>
      <c r="L548" t="str">
        <f t="shared" ca="1" si="42"/>
        <v/>
      </c>
      <c r="N548" s="161" t="str">
        <f ca="1">IF(raw_exchange_data!$A547="","",OFFSET(raw_exchange_data!$A547,0,MATCH(N$2,raw_exchange_data!$1:$1,0)-1))</f>
        <v/>
      </c>
      <c r="O548" s="161" t="str">
        <f ca="1">IF(raw_exchange_data!$A547="","",OFFSET(raw_exchange_data!$A547,0,MATCH(O$2,raw_exchange_data!$1:$1,0)-1))</f>
        <v/>
      </c>
      <c r="P548" s="161" t="str">
        <f ca="1">IF(raw_exchange_data!$A547="","",OFFSET(raw_exchange_data!$A547,0,MATCH(P$2,raw_exchange_data!$1:$1,0)-1))</f>
        <v/>
      </c>
      <c r="Q548" s="161" t="str">
        <f ca="1">IF(raw_exchange_data!$A547="","",TEXT(OFFSET(raw_exchange_data!$A547,0,MATCH(Q$2,raw_exchange_data!$1:$1,0)-1),""))</f>
        <v/>
      </c>
      <c r="R548" s="162" t="str">
        <f ca="1">IF(raw_exchange_data!$A547="","",OFFSET(raw_exchange_data!$A547,0,MATCH(R$2,raw_exchange_data!$1:$1,0)-1))</f>
        <v/>
      </c>
      <c r="S548" s="190" t="str">
        <f ca="1">IF(raw_exchange_data!$A547="","",OFFSET(raw_exchange_data!$A547,0,MATCH(S$2,raw_exchange_data!$1:$1,0)-1))</f>
        <v/>
      </c>
      <c r="W548" t="str">
        <f t="shared" si="43"/>
        <v/>
      </c>
      <c r="X548" t="str">
        <f t="shared" si="44"/>
        <v/>
      </c>
      <c r="Y548" s="42" t="str">
        <f t="shared" si="45"/>
        <v/>
      </c>
      <c r="Z548" s="42" t="str">
        <f t="shared" si="46"/>
        <v/>
      </c>
    </row>
    <row r="549" spans="1:26" x14ac:dyDescent="0.25">
      <c r="A549" t="str">
        <f>IF(Summary_Exchange_Balances_00UTC!$B548="","",Summary_Exchange_Balances_00UTC!$N548)</f>
        <v/>
      </c>
      <c r="B549" t="str">
        <f>IF(Summary_Exchange_Balances_00UTC!$B548="","",Summary_Exchange_Balances_00UTC!$B548)</f>
        <v/>
      </c>
      <c r="C549" t="str">
        <f>IF(Summary_Exchange_Balances_00UTC!$B548="","",Summary_Exchange_Balances_00UTC!$E548)</f>
        <v/>
      </c>
      <c r="E549" s="52" t="str">
        <f>IF(Summary_Exchange_Balances_00UTC!$B548="","",Summary_Exchange_Balances_00UTC!$C548)</f>
        <v/>
      </c>
      <c r="G549" s="52" t="str">
        <f>IF(Summary_Exchange_Balances_00UTC!$B548="","",VLOOKUP(IF(ISERROR(SEARCH(" ", $B549)),UPPER($B549&amp;$C549&amp;IF(OR(NOT(ISERROR(SEARCH("trade",$D549))),NOT(ISERROR(SEARCH("balance",$D549)))),"",$D549)),UPPER(LEFT($B549, SEARCH(" ",$B549)-1)&amp;$C549&amp;IF(OR(NOT(ISERROR(SEARCH("trade",$D549))),NOT(ISERROR(SEARCH("balance",$D549)))),"",$D549))),$L:$T,MATCH("balance",$L$2:$S$2,0),FALSE))</f>
        <v/>
      </c>
      <c r="H549" s="35" t="str">
        <f>IF(Summary_Exchange_Balances_00UTC!$B548="","",(G549-E549)/E549)</f>
        <v/>
      </c>
      <c r="I549" s="165" t="str">
        <f>IF(Summary_Exchange_Balances_00UTC!$B548="","",IF(ISERROR($G549),$E549,$G549))</f>
        <v/>
      </c>
      <c r="L549" t="str">
        <f t="shared" ca="1" si="42"/>
        <v/>
      </c>
      <c r="N549" s="161" t="str">
        <f ca="1">IF(raw_exchange_data!$A548="","",OFFSET(raw_exchange_data!$A548,0,MATCH(N$2,raw_exchange_data!$1:$1,0)-1))</f>
        <v/>
      </c>
      <c r="O549" s="161" t="str">
        <f ca="1">IF(raw_exchange_data!$A548="","",OFFSET(raw_exchange_data!$A548,0,MATCH(O$2,raw_exchange_data!$1:$1,0)-1))</f>
        <v/>
      </c>
      <c r="P549" s="161" t="str">
        <f ca="1">IF(raw_exchange_data!$A548="","",OFFSET(raw_exchange_data!$A548,0,MATCH(P$2,raw_exchange_data!$1:$1,0)-1))</f>
        <v/>
      </c>
      <c r="Q549" s="161" t="str">
        <f ca="1">IF(raw_exchange_data!$A548="","",TEXT(OFFSET(raw_exchange_data!$A548,0,MATCH(Q$2,raw_exchange_data!$1:$1,0)-1),""))</f>
        <v/>
      </c>
      <c r="R549" s="162" t="str">
        <f ca="1">IF(raw_exchange_data!$A548="","",OFFSET(raw_exchange_data!$A548,0,MATCH(R$2,raw_exchange_data!$1:$1,0)-1))</f>
        <v/>
      </c>
      <c r="S549" s="190" t="str">
        <f ca="1">IF(raw_exchange_data!$A548="","",OFFSET(raw_exchange_data!$A548,0,MATCH(S$2,raw_exchange_data!$1:$1,0)-1))</f>
        <v/>
      </c>
      <c r="W549" t="str">
        <f t="shared" si="43"/>
        <v/>
      </c>
      <c r="X549" t="str">
        <f t="shared" si="44"/>
        <v/>
      </c>
      <c r="Y549" s="42" t="str">
        <f t="shared" si="45"/>
        <v/>
      </c>
      <c r="Z549" s="42" t="str">
        <f t="shared" si="46"/>
        <v/>
      </c>
    </row>
    <row r="550" spans="1:26" x14ac:dyDescent="0.25">
      <c r="A550" t="str">
        <f>IF(Summary_Exchange_Balances_00UTC!$B549="","",Summary_Exchange_Balances_00UTC!$N549)</f>
        <v/>
      </c>
      <c r="B550" t="str">
        <f>IF(Summary_Exchange_Balances_00UTC!$B549="","",Summary_Exchange_Balances_00UTC!$B549)</f>
        <v/>
      </c>
      <c r="C550" t="str">
        <f>IF(Summary_Exchange_Balances_00UTC!$B549="","",Summary_Exchange_Balances_00UTC!$E549)</f>
        <v/>
      </c>
      <c r="E550" s="52" t="str">
        <f>IF(Summary_Exchange_Balances_00UTC!$B549="","",Summary_Exchange_Balances_00UTC!$C549)</f>
        <v/>
      </c>
      <c r="G550" s="52" t="str">
        <f>IF(Summary_Exchange_Balances_00UTC!$B549="","",VLOOKUP(IF(ISERROR(SEARCH(" ", $B550)),UPPER($B550&amp;$C550&amp;IF(OR(NOT(ISERROR(SEARCH("trade",$D550))),NOT(ISERROR(SEARCH("balance",$D550)))),"",$D550)),UPPER(LEFT($B550, SEARCH(" ",$B550)-1)&amp;$C550&amp;IF(OR(NOT(ISERROR(SEARCH("trade",$D550))),NOT(ISERROR(SEARCH("balance",$D550)))),"",$D550))),$L:$T,MATCH("balance",$L$2:$S$2,0),FALSE))</f>
        <v/>
      </c>
      <c r="H550" s="35" t="str">
        <f>IF(Summary_Exchange_Balances_00UTC!$B549="","",(G550-E550)/E550)</f>
        <v/>
      </c>
      <c r="I550" s="165" t="str">
        <f>IF(Summary_Exchange_Balances_00UTC!$B549="","",IF(ISERROR($G550),$E550,$G550))</f>
        <v/>
      </c>
      <c r="L550" t="str">
        <f t="shared" ca="1" si="42"/>
        <v/>
      </c>
      <c r="N550" s="161" t="str">
        <f ca="1">IF(raw_exchange_data!$A549="","",OFFSET(raw_exchange_data!$A549,0,MATCH(N$2,raw_exchange_data!$1:$1,0)-1))</f>
        <v/>
      </c>
      <c r="O550" s="161" t="str">
        <f ca="1">IF(raw_exchange_data!$A549="","",OFFSET(raw_exchange_data!$A549,0,MATCH(O$2,raw_exchange_data!$1:$1,0)-1))</f>
        <v/>
      </c>
      <c r="P550" s="161" t="str">
        <f ca="1">IF(raw_exchange_data!$A549="","",OFFSET(raw_exchange_data!$A549,0,MATCH(P$2,raw_exchange_data!$1:$1,0)-1))</f>
        <v/>
      </c>
      <c r="Q550" s="161" t="str">
        <f ca="1">IF(raw_exchange_data!$A549="","",TEXT(OFFSET(raw_exchange_data!$A549,0,MATCH(Q$2,raw_exchange_data!$1:$1,0)-1),""))</f>
        <v/>
      </c>
      <c r="R550" s="162" t="str">
        <f ca="1">IF(raw_exchange_data!$A549="","",OFFSET(raw_exchange_data!$A549,0,MATCH(R$2,raw_exchange_data!$1:$1,0)-1))</f>
        <v/>
      </c>
      <c r="S550" s="190" t="str">
        <f ca="1">IF(raw_exchange_data!$A549="","",OFFSET(raw_exchange_data!$A549,0,MATCH(S$2,raw_exchange_data!$1:$1,0)-1))</f>
        <v/>
      </c>
      <c r="W550" t="str">
        <f t="shared" si="43"/>
        <v/>
      </c>
      <c r="X550" t="str">
        <f t="shared" si="44"/>
        <v/>
      </c>
      <c r="Y550" s="42" t="str">
        <f t="shared" si="45"/>
        <v/>
      </c>
      <c r="Z550" s="42" t="str">
        <f t="shared" si="46"/>
        <v/>
      </c>
    </row>
    <row r="551" spans="1:26" x14ac:dyDescent="0.25">
      <c r="A551" t="str">
        <f>IF(Summary_Exchange_Balances_00UTC!$B550="","",Summary_Exchange_Balances_00UTC!$N550)</f>
        <v/>
      </c>
      <c r="B551" t="str">
        <f>IF(Summary_Exchange_Balances_00UTC!$B550="","",Summary_Exchange_Balances_00UTC!$B550)</f>
        <v/>
      </c>
      <c r="C551" t="str">
        <f>IF(Summary_Exchange_Balances_00UTC!$B550="","",Summary_Exchange_Balances_00UTC!$E550)</f>
        <v/>
      </c>
      <c r="E551" s="52" t="str">
        <f>IF(Summary_Exchange_Balances_00UTC!$B550="","",Summary_Exchange_Balances_00UTC!$C550)</f>
        <v/>
      </c>
      <c r="G551" s="52" t="str">
        <f>IF(Summary_Exchange_Balances_00UTC!$B550="","",VLOOKUP(IF(ISERROR(SEARCH(" ", $B551)),UPPER($B551&amp;$C551&amp;IF(OR(NOT(ISERROR(SEARCH("trade",$D551))),NOT(ISERROR(SEARCH("balance",$D551)))),"",$D551)),UPPER(LEFT($B551, SEARCH(" ",$B551)-1)&amp;$C551&amp;IF(OR(NOT(ISERROR(SEARCH("trade",$D551))),NOT(ISERROR(SEARCH("balance",$D551)))),"",$D551))),$L:$T,MATCH("balance",$L$2:$S$2,0),FALSE))</f>
        <v/>
      </c>
      <c r="H551" s="35" t="str">
        <f>IF(Summary_Exchange_Balances_00UTC!$B550="","",(G551-E551)/E551)</f>
        <v/>
      </c>
      <c r="I551" s="165" t="str">
        <f>IF(Summary_Exchange_Balances_00UTC!$B550="","",IF(ISERROR($G551),$E551,$G551))</f>
        <v/>
      </c>
      <c r="L551" t="str">
        <f t="shared" ca="1" si="42"/>
        <v/>
      </c>
      <c r="N551" s="161" t="str">
        <f ca="1">IF(raw_exchange_data!$A550="","",OFFSET(raw_exchange_data!$A550,0,MATCH(N$2,raw_exchange_data!$1:$1,0)-1))</f>
        <v/>
      </c>
      <c r="O551" s="161" t="str">
        <f ca="1">IF(raw_exchange_data!$A550="","",OFFSET(raw_exchange_data!$A550,0,MATCH(O$2,raw_exchange_data!$1:$1,0)-1))</f>
        <v/>
      </c>
      <c r="P551" s="161" t="str">
        <f ca="1">IF(raw_exchange_data!$A550="","",OFFSET(raw_exchange_data!$A550,0,MATCH(P$2,raw_exchange_data!$1:$1,0)-1))</f>
        <v/>
      </c>
      <c r="Q551" s="161" t="str">
        <f ca="1">IF(raw_exchange_data!$A550="","",TEXT(OFFSET(raw_exchange_data!$A550,0,MATCH(Q$2,raw_exchange_data!$1:$1,0)-1),""))</f>
        <v/>
      </c>
      <c r="R551" s="162" t="str">
        <f ca="1">IF(raw_exchange_data!$A550="","",OFFSET(raw_exchange_data!$A550,0,MATCH(R$2,raw_exchange_data!$1:$1,0)-1))</f>
        <v/>
      </c>
      <c r="S551" s="190" t="str">
        <f ca="1">IF(raw_exchange_data!$A550="","",OFFSET(raw_exchange_data!$A550,0,MATCH(S$2,raw_exchange_data!$1:$1,0)-1))</f>
        <v/>
      </c>
      <c r="W551" t="str">
        <f t="shared" si="43"/>
        <v/>
      </c>
      <c r="X551" t="str">
        <f t="shared" si="44"/>
        <v/>
      </c>
      <c r="Y551" s="42" t="str">
        <f t="shared" si="45"/>
        <v/>
      </c>
      <c r="Z551" s="42" t="str">
        <f t="shared" si="46"/>
        <v/>
      </c>
    </row>
    <row r="552" spans="1:26" x14ac:dyDescent="0.25">
      <c r="A552" t="str">
        <f>IF(Summary_Exchange_Balances_00UTC!$B551="","",Summary_Exchange_Balances_00UTC!$N551)</f>
        <v/>
      </c>
      <c r="B552" t="str">
        <f>IF(Summary_Exchange_Balances_00UTC!$B551="","",Summary_Exchange_Balances_00UTC!$B551)</f>
        <v/>
      </c>
      <c r="C552" t="str">
        <f>IF(Summary_Exchange_Balances_00UTC!$B551="","",Summary_Exchange_Balances_00UTC!$E551)</f>
        <v/>
      </c>
      <c r="E552" s="52" t="str">
        <f>IF(Summary_Exchange_Balances_00UTC!$B551="","",Summary_Exchange_Balances_00UTC!$C551)</f>
        <v/>
      </c>
      <c r="G552" s="52" t="str">
        <f>IF(Summary_Exchange_Balances_00UTC!$B551="","",VLOOKUP(IF(ISERROR(SEARCH(" ", $B552)),UPPER($B552&amp;$C552&amp;IF(OR(NOT(ISERROR(SEARCH("trade",$D552))),NOT(ISERROR(SEARCH("balance",$D552)))),"",$D552)),UPPER(LEFT($B552, SEARCH(" ",$B552)-1)&amp;$C552&amp;IF(OR(NOT(ISERROR(SEARCH("trade",$D552))),NOT(ISERROR(SEARCH("balance",$D552)))),"",$D552))),$L:$T,MATCH("balance",$L$2:$S$2,0),FALSE))</f>
        <v/>
      </c>
      <c r="H552" s="35" t="str">
        <f>IF(Summary_Exchange_Balances_00UTC!$B551="","",(G552-E552)/E552)</f>
        <v/>
      </c>
      <c r="I552" s="165" t="str">
        <f>IF(Summary_Exchange_Balances_00UTC!$B551="","",IF(ISERROR($G552),$E552,$G552))</f>
        <v/>
      </c>
      <c r="L552" t="str">
        <f t="shared" ca="1" si="42"/>
        <v/>
      </c>
      <c r="N552" s="161" t="str">
        <f ca="1">IF(raw_exchange_data!$A551="","",OFFSET(raw_exchange_data!$A551,0,MATCH(N$2,raw_exchange_data!$1:$1,0)-1))</f>
        <v/>
      </c>
      <c r="O552" s="161" t="str">
        <f ca="1">IF(raw_exchange_data!$A551="","",OFFSET(raw_exchange_data!$A551,0,MATCH(O$2,raw_exchange_data!$1:$1,0)-1))</f>
        <v/>
      </c>
      <c r="P552" s="161" t="str">
        <f ca="1">IF(raw_exchange_data!$A551="","",OFFSET(raw_exchange_data!$A551,0,MATCH(P$2,raw_exchange_data!$1:$1,0)-1))</f>
        <v/>
      </c>
      <c r="Q552" s="161" t="str">
        <f ca="1">IF(raw_exchange_data!$A551="","",TEXT(OFFSET(raw_exchange_data!$A551,0,MATCH(Q$2,raw_exchange_data!$1:$1,0)-1),""))</f>
        <v/>
      </c>
      <c r="R552" s="162" t="str">
        <f ca="1">IF(raw_exchange_data!$A551="","",OFFSET(raw_exchange_data!$A551,0,MATCH(R$2,raw_exchange_data!$1:$1,0)-1))</f>
        <v/>
      </c>
      <c r="S552" s="190" t="str">
        <f ca="1">IF(raw_exchange_data!$A551="","",OFFSET(raw_exchange_data!$A551,0,MATCH(S$2,raw_exchange_data!$1:$1,0)-1))</f>
        <v/>
      </c>
      <c r="W552" t="str">
        <f t="shared" si="43"/>
        <v/>
      </c>
      <c r="X552" t="str">
        <f t="shared" si="44"/>
        <v/>
      </c>
      <c r="Y552" s="42" t="str">
        <f t="shared" si="45"/>
        <v/>
      </c>
      <c r="Z552" s="42" t="str">
        <f t="shared" si="46"/>
        <v/>
      </c>
    </row>
    <row r="553" spans="1:26" x14ac:dyDescent="0.25">
      <c r="A553" t="str">
        <f>IF(Summary_Exchange_Balances_00UTC!$B552="","",Summary_Exchange_Balances_00UTC!$N552)</f>
        <v/>
      </c>
      <c r="B553" t="str">
        <f>IF(Summary_Exchange_Balances_00UTC!$B552="","",Summary_Exchange_Balances_00UTC!$B552)</f>
        <v/>
      </c>
      <c r="C553" t="str">
        <f>IF(Summary_Exchange_Balances_00UTC!$B552="","",Summary_Exchange_Balances_00UTC!$E552)</f>
        <v/>
      </c>
      <c r="E553" s="52" t="str">
        <f>IF(Summary_Exchange_Balances_00UTC!$B552="","",Summary_Exchange_Balances_00UTC!$C552)</f>
        <v/>
      </c>
      <c r="G553" s="52" t="str">
        <f>IF(Summary_Exchange_Balances_00UTC!$B552="","",VLOOKUP(IF(ISERROR(SEARCH(" ", $B553)),UPPER($B553&amp;$C553&amp;IF(OR(NOT(ISERROR(SEARCH("trade",$D553))),NOT(ISERROR(SEARCH("balance",$D553)))),"",$D553)),UPPER(LEFT($B553, SEARCH(" ",$B553)-1)&amp;$C553&amp;IF(OR(NOT(ISERROR(SEARCH("trade",$D553))),NOT(ISERROR(SEARCH("balance",$D553)))),"",$D553))),$L:$T,MATCH("balance",$L$2:$S$2,0),FALSE))</f>
        <v/>
      </c>
      <c r="H553" s="35" t="str">
        <f>IF(Summary_Exchange_Balances_00UTC!$B552="","",(G553-E553)/E553)</f>
        <v/>
      </c>
      <c r="I553" s="165" t="str">
        <f>IF(Summary_Exchange_Balances_00UTC!$B552="","",IF(ISERROR($G553),$E553,$G553))</f>
        <v/>
      </c>
      <c r="L553" t="str">
        <f t="shared" ca="1" si="42"/>
        <v/>
      </c>
      <c r="N553" s="161" t="str">
        <f ca="1">IF(raw_exchange_data!$A552="","",OFFSET(raw_exchange_data!$A552,0,MATCH(N$2,raw_exchange_data!$1:$1,0)-1))</f>
        <v/>
      </c>
      <c r="O553" s="161" t="str">
        <f ca="1">IF(raw_exchange_data!$A552="","",OFFSET(raw_exchange_data!$A552,0,MATCH(O$2,raw_exchange_data!$1:$1,0)-1))</f>
        <v/>
      </c>
      <c r="P553" s="161" t="str">
        <f ca="1">IF(raw_exchange_data!$A552="","",OFFSET(raw_exchange_data!$A552,0,MATCH(P$2,raw_exchange_data!$1:$1,0)-1))</f>
        <v/>
      </c>
      <c r="Q553" s="161" t="str">
        <f ca="1">IF(raw_exchange_data!$A552="","",TEXT(OFFSET(raw_exchange_data!$A552,0,MATCH(Q$2,raw_exchange_data!$1:$1,0)-1),""))</f>
        <v/>
      </c>
      <c r="R553" s="162" t="str">
        <f ca="1">IF(raw_exchange_data!$A552="","",OFFSET(raw_exchange_data!$A552,0,MATCH(R$2,raw_exchange_data!$1:$1,0)-1))</f>
        <v/>
      </c>
      <c r="S553" s="190" t="str">
        <f ca="1">IF(raw_exchange_data!$A552="","",OFFSET(raw_exchange_data!$A552,0,MATCH(S$2,raw_exchange_data!$1:$1,0)-1))</f>
        <v/>
      </c>
      <c r="W553" t="str">
        <f t="shared" si="43"/>
        <v/>
      </c>
      <c r="X553" t="str">
        <f t="shared" si="44"/>
        <v/>
      </c>
      <c r="Y553" s="42" t="str">
        <f t="shared" si="45"/>
        <v/>
      </c>
      <c r="Z553" s="42" t="str">
        <f t="shared" si="46"/>
        <v/>
      </c>
    </row>
    <row r="554" spans="1:26" x14ac:dyDescent="0.25">
      <c r="A554" t="str">
        <f>IF(Summary_Exchange_Balances_00UTC!$B553="","",Summary_Exchange_Balances_00UTC!$N553)</f>
        <v/>
      </c>
      <c r="B554" t="str">
        <f>IF(Summary_Exchange_Balances_00UTC!$B553="","",Summary_Exchange_Balances_00UTC!$B553)</f>
        <v/>
      </c>
      <c r="C554" t="str">
        <f>IF(Summary_Exchange_Balances_00UTC!$B553="","",Summary_Exchange_Balances_00UTC!$E553)</f>
        <v/>
      </c>
      <c r="E554" s="52" t="str">
        <f>IF(Summary_Exchange_Balances_00UTC!$B553="","",Summary_Exchange_Balances_00UTC!$C553)</f>
        <v/>
      </c>
      <c r="G554" s="52" t="str">
        <f>IF(Summary_Exchange_Balances_00UTC!$B553="","",VLOOKUP(IF(ISERROR(SEARCH(" ", $B554)),UPPER($B554&amp;$C554&amp;IF(OR(NOT(ISERROR(SEARCH("trade",$D554))),NOT(ISERROR(SEARCH("balance",$D554)))),"",$D554)),UPPER(LEFT($B554, SEARCH(" ",$B554)-1)&amp;$C554&amp;IF(OR(NOT(ISERROR(SEARCH("trade",$D554))),NOT(ISERROR(SEARCH("balance",$D554)))),"",$D554))),$L:$T,MATCH("balance",$L$2:$S$2,0),FALSE))</f>
        <v/>
      </c>
      <c r="H554" s="35" t="str">
        <f>IF(Summary_Exchange_Balances_00UTC!$B553="","",(G554-E554)/E554)</f>
        <v/>
      </c>
      <c r="I554" s="165" t="str">
        <f>IF(Summary_Exchange_Balances_00UTC!$B553="","",IF(ISERROR($G554),$E554,$G554))</f>
        <v/>
      </c>
      <c r="L554" t="str">
        <f t="shared" ca="1" si="42"/>
        <v/>
      </c>
      <c r="N554" s="161" t="str">
        <f ca="1">IF(raw_exchange_data!$A553="","",OFFSET(raw_exchange_data!$A553,0,MATCH(N$2,raw_exchange_data!$1:$1,0)-1))</f>
        <v/>
      </c>
      <c r="O554" s="161" t="str">
        <f ca="1">IF(raw_exchange_data!$A553="","",OFFSET(raw_exchange_data!$A553,0,MATCH(O$2,raw_exchange_data!$1:$1,0)-1))</f>
        <v/>
      </c>
      <c r="P554" s="161" t="str">
        <f ca="1">IF(raw_exchange_data!$A553="","",OFFSET(raw_exchange_data!$A553,0,MATCH(P$2,raw_exchange_data!$1:$1,0)-1))</f>
        <v/>
      </c>
      <c r="Q554" s="161" t="str">
        <f ca="1">IF(raw_exchange_data!$A553="","",TEXT(OFFSET(raw_exchange_data!$A553,0,MATCH(Q$2,raw_exchange_data!$1:$1,0)-1),""))</f>
        <v/>
      </c>
      <c r="R554" s="162" t="str">
        <f ca="1">IF(raw_exchange_data!$A553="","",OFFSET(raw_exchange_data!$A553,0,MATCH(R$2,raw_exchange_data!$1:$1,0)-1))</f>
        <v/>
      </c>
      <c r="S554" s="190" t="str">
        <f ca="1">IF(raw_exchange_data!$A553="","",OFFSET(raw_exchange_data!$A553,0,MATCH(S$2,raw_exchange_data!$1:$1,0)-1))</f>
        <v/>
      </c>
      <c r="W554" t="str">
        <f t="shared" si="43"/>
        <v/>
      </c>
      <c r="X554" t="str">
        <f t="shared" si="44"/>
        <v/>
      </c>
      <c r="Y554" s="42" t="str">
        <f t="shared" si="45"/>
        <v/>
      </c>
      <c r="Z554" s="42" t="str">
        <f t="shared" si="46"/>
        <v/>
      </c>
    </row>
    <row r="555" spans="1:26" x14ac:dyDescent="0.25">
      <c r="A555" t="str">
        <f>IF(Summary_Exchange_Balances_00UTC!$B554="","",Summary_Exchange_Balances_00UTC!$N554)</f>
        <v/>
      </c>
      <c r="B555" t="str">
        <f>IF(Summary_Exchange_Balances_00UTC!$B554="","",Summary_Exchange_Balances_00UTC!$B554)</f>
        <v/>
      </c>
      <c r="C555" t="str">
        <f>IF(Summary_Exchange_Balances_00UTC!$B554="","",Summary_Exchange_Balances_00UTC!$E554)</f>
        <v/>
      </c>
      <c r="E555" s="52" t="str">
        <f>IF(Summary_Exchange_Balances_00UTC!$B554="","",Summary_Exchange_Balances_00UTC!$C554)</f>
        <v/>
      </c>
      <c r="G555" s="52" t="str">
        <f>IF(Summary_Exchange_Balances_00UTC!$B554="","",VLOOKUP(IF(ISERROR(SEARCH(" ", $B555)),UPPER($B555&amp;$C555&amp;IF(OR(NOT(ISERROR(SEARCH("trade",$D555))),NOT(ISERROR(SEARCH("balance",$D555)))),"",$D555)),UPPER(LEFT($B555, SEARCH(" ",$B555)-1)&amp;$C555&amp;IF(OR(NOT(ISERROR(SEARCH("trade",$D555))),NOT(ISERROR(SEARCH("balance",$D555)))),"",$D555))),$L:$T,MATCH("balance",$L$2:$S$2,0),FALSE))</f>
        <v/>
      </c>
      <c r="H555" s="35" t="str">
        <f>IF(Summary_Exchange_Balances_00UTC!$B554="","",(G555-E555)/E555)</f>
        <v/>
      </c>
      <c r="I555" s="165" t="str">
        <f>IF(Summary_Exchange_Balances_00UTC!$B554="","",IF(ISERROR($G555),$E555,$G555))</f>
        <v/>
      </c>
      <c r="L555" t="str">
        <f t="shared" ca="1" si="42"/>
        <v/>
      </c>
      <c r="N555" s="161" t="str">
        <f ca="1">IF(raw_exchange_data!$A554="","",OFFSET(raw_exchange_data!$A554,0,MATCH(N$2,raw_exchange_data!$1:$1,0)-1))</f>
        <v/>
      </c>
      <c r="O555" s="161" t="str">
        <f ca="1">IF(raw_exchange_data!$A554="","",OFFSET(raw_exchange_data!$A554,0,MATCH(O$2,raw_exchange_data!$1:$1,0)-1))</f>
        <v/>
      </c>
      <c r="P555" s="161" t="str">
        <f ca="1">IF(raw_exchange_data!$A554="","",OFFSET(raw_exchange_data!$A554,0,MATCH(P$2,raw_exchange_data!$1:$1,0)-1))</f>
        <v/>
      </c>
      <c r="Q555" s="161" t="str">
        <f ca="1">IF(raw_exchange_data!$A554="","",TEXT(OFFSET(raw_exchange_data!$A554,0,MATCH(Q$2,raw_exchange_data!$1:$1,0)-1),""))</f>
        <v/>
      </c>
      <c r="R555" s="162" t="str">
        <f ca="1">IF(raw_exchange_data!$A554="","",OFFSET(raw_exchange_data!$A554,0,MATCH(R$2,raw_exchange_data!$1:$1,0)-1))</f>
        <v/>
      </c>
      <c r="S555" s="190" t="str">
        <f ca="1">IF(raw_exchange_data!$A554="","",OFFSET(raw_exchange_data!$A554,0,MATCH(S$2,raw_exchange_data!$1:$1,0)-1))</f>
        <v/>
      </c>
      <c r="W555" t="str">
        <f t="shared" si="43"/>
        <v/>
      </c>
      <c r="X555" t="str">
        <f t="shared" si="44"/>
        <v/>
      </c>
      <c r="Y555" s="42" t="str">
        <f t="shared" si="45"/>
        <v/>
      </c>
      <c r="Z555" s="42" t="str">
        <f t="shared" si="46"/>
        <v/>
      </c>
    </row>
    <row r="556" spans="1:26" x14ac:dyDescent="0.25">
      <c r="A556" t="str">
        <f>IF(Summary_Exchange_Balances_00UTC!$B555="","",Summary_Exchange_Balances_00UTC!$N555)</f>
        <v/>
      </c>
      <c r="B556" t="str">
        <f>IF(Summary_Exchange_Balances_00UTC!$B555="","",Summary_Exchange_Balances_00UTC!$B555)</f>
        <v/>
      </c>
      <c r="C556" t="str">
        <f>IF(Summary_Exchange_Balances_00UTC!$B555="","",Summary_Exchange_Balances_00UTC!$E555)</f>
        <v/>
      </c>
      <c r="E556" s="52" t="str">
        <f>IF(Summary_Exchange_Balances_00UTC!$B555="","",Summary_Exchange_Balances_00UTC!$C555)</f>
        <v/>
      </c>
      <c r="G556" s="52" t="str">
        <f>IF(Summary_Exchange_Balances_00UTC!$B555="","",VLOOKUP(IF(ISERROR(SEARCH(" ", $B556)),UPPER($B556&amp;$C556&amp;IF(OR(NOT(ISERROR(SEARCH("trade",$D556))),NOT(ISERROR(SEARCH("balance",$D556)))),"",$D556)),UPPER(LEFT($B556, SEARCH(" ",$B556)-1)&amp;$C556&amp;IF(OR(NOT(ISERROR(SEARCH("trade",$D556))),NOT(ISERROR(SEARCH("balance",$D556)))),"",$D556))),$L:$T,MATCH("balance",$L$2:$S$2,0),FALSE))</f>
        <v/>
      </c>
      <c r="H556" s="35" t="str">
        <f>IF(Summary_Exchange_Balances_00UTC!$B555="","",(G556-E556)/E556)</f>
        <v/>
      </c>
      <c r="I556" s="165" t="str">
        <f>IF(Summary_Exchange_Balances_00UTC!$B555="","",IF(ISERROR($G556),$E556,$G556))</f>
        <v/>
      </c>
      <c r="L556" t="str">
        <f t="shared" ca="1" si="42"/>
        <v/>
      </c>
      <c r="N556" s="161" t="str">
        <f ca="1">IF(raw_exchange_data!$A555="","",OFFSET(raw_exchange_data!$A555,0,MATCH(N$2,raw_exchange_data!$1:$1,0)-1))</f>
        <v/>
      </c>
      <c r="O556" s="161" t="str">
        <f ca="1">IF(raw_exchange_data!$A555="","",OFFSET(raw_exchange_data!$A555,0,MATCH(O$2,raw_exchange_data!$1:$1,0)-1))</f>
        <v/>
      </c>
      <c r="P556" s="161" t="str">
        <f ca="1">IF(raw_exchange_data!$A555="","",OFFSET(raw_exchange_data!$A555,0,MATCH(P$2,raw_exchange_data!$1:$1,0)-1))</f>
        <v/>
      </c>
      <c r="Q556" s="161" t="str">
        <f ca="1">IF(raw_exchange_data!$A555="","",TEXT(OFFSET(raw_exchange_data!$A555,0,MATCH(Q$2,raw_exchange_data!$1:$1,0)-1),""))</f>
        <v/>
      </c>
      <c r="R556" s="162" t="str">
        <f ca="1">IF(raw_exchange_data!$A555="","",OFFSET(raw_exchange_data!$A555,0,MATCH(R$2,raw_exchange_data!$1:$1,0)-1))</f>
        <v/>
      </c>
      <c r="S556" s="190" t="str">
        <f ca="1">IF(raw_exchange_data!$A555="","",OFFSET(raw_exchange_data!$A555,0,MATCH(S$2,raw_exchange_data!$1:$1,0)-1))</f>
        <v/>
      </c>
      <c r="W556" t="str">
        <f t="shared" si="43"/>
        <v/>
      </c>
      <c r="X556" t="str">
        <f t="shared" si="44"/>
        <v/>
      </c>
      <c r="Y556" s="42" t="str">
        <f t="shared" si="45"/>
        <v/>
      </c>
      <c r="Z556" s="42" t="str">
        <f t="shared" si="46"/>
        <v/>
      </c>
    </row>
    <row r="557" spans="1:26" x14ac:dyDescent="0.25">
      <c r="A557" t="str">
        <f>IF(Summary_Exchange_Balances_00UTC!$B556="","",Summary_Exchange_Balances_00UTC!$N556)</f>
        <v/>
      </c>
      <c r="B557" t="str">
        <f>IF(Summary_Exchange_Balances_00UTC!$B556="","",Summary_Exchange_Balances_00UTC!$B556)</f>
        <v/>
      </c>
      <c r="C557" t="str">
        <f>IF(Summary_Exchange_Balances_00UTC!$B556="","",Summary_Exchange_Balances_00UTC!$E556)</f>
        <v/>
      </c>
      <c r="E557" s="52" t="str">
        <f>IF(Summary_Exchange_Balances_00UTC!$B556="","",Summary_Exchange_Balances_00UTC!$C556)</f>
        <v/>
      </c>
      <c r="G557" s="52" t="str">
        <f>IF(Summary_Exchange_Balances_00UTC!$B556="","",VLOOKUP(IF(ISERROR(SEARCH(" ", $B557)),UPPER($B557&amp;$C557&amp;IF(OR(NOT(ISERROR(SEARCH("trade",$D557))),NOT(ISERROR(SEARCH("balance",$D557)))),"",$D557)),UPPER(LEFT($B557, SEARCH(" ",$B557)-1)&amp;$C557&amp;IF(OR(NOT(ISERROR(SEARCH("trade",$D557))),NOT(ISERROR(SEARCH("balance",$D557)))),"",$D557))),$L:$T,MATCH("balance",$L$2:$S$2,0),FALSE))</f>
        <v/>
      </c>
      <c r="H557" s="35" t="str">
        <f>IF(Summary_Exchange_Balances_00UTC!$B556="","",(G557-E557)/E557)</f>
        <v/>
      </c>
      <c r="I557" s="165" t="str">
        <f>IF(Summary_Exchange_Balances_00UTC!$B556="","",IF(ISERROR($G557),$E557,$G557))</f>
        <v/>
      </c>
      <c r="L557" t="str">
        <f t="shared" ca="1" si="42"/>
        <v/>
      </c>
      <c r="N557" s="161" t="str">
        <f ca="1">IF(raw_exchange_data!$A556="","",OFFSET(raw_exchange_data!$A556,0,MATCH(N$2,raw_exchange_data!$1:$1,0)-1))</f>
        <v/>
      </c>
      <c r="O557" s="161" t="str">
        <f ca="1">IF(raw_exchange_data!$A556="","",OFFSET(raw_exchange_data!$A556,0,MATCH(O$2,raw_exchange_data!$1:$1,0)-1))</f>
        <v/>
      </c>
      <c r="P557" s="161" t="str">
        <f ca="1">IF(raw_exchange_data!$A556="","",OFFSET(raw_exchange_data!$A556,0,MATCH(P$2,raw_exchange_data!$1:$1,0)-1))</f>
        <v/>
      </c>
      <c r="Q557" s="161" t="str">
        <f ca="1">IF(raw_exchange_data!$A556="","",TEXT(OFFSET(raw_exchange_data!$A556,0,MATCH(Q$2,raw_exchange_data!$1:$1,0)-1),""))</f>
        <v/>
      </c>
      <c r="R557" s="162" t="str">
        <f ca="1">IF(raw_exchange_data!$A556="","",OFFSET(raw_exchange_data!$A556,0,MATCH(R$2,raw_exchange_data!$1:$1,0)-1))</f>
        <v/>
      </c>
      <c r="S557" s="190" t="str">
        <f ca="1">IF(raw_exchange_data!$A556="","",OFFSET(raw_exchange_data!$A556,0,MATCH(S$2,raw_exchange_data!$1:$1,0)-1))</f>
        <v/>
      </c>
      <c r="W557" t="str">
        <f t="shared" si="43"/>
        <v/>
      </c>
      <c r="X557" t="str">
        <f t="shared" si="44"/>
        <v/>
      </c>
      <c r="Y557" s="42" t="str">
        <f t="shared" si="45"/>
        <v/>
      </c>
      <c r="Z557" s="42" t="str">
        <f t="shared" si="46"/>
        <v/>
      </c>
    </row>
    <row r="558" spans="1:26" x14ac:dyDescent="0.25">
      <c r="A558" t="str">
        <f>IF(Summary_Exchange_Balances_00UTC!$B557="","",Summary_Exchange_Balances_00UTC!$N557)</f>
        <v/>
      </c>
      <c r="B558" t="str">
        <f>IF(Summary_Exchange_Balances_00UTC!$B557="","",Summary_Exchange_Balances_00UTC!$B557)</f>
        <v/>
      </c>
      <c r="C558" t="str">
        <f>IF(Summary_Exchange_Balances_00UTC!$B557="","",Summary_Exchange_Balances_00UTC!$E557)</f>
        <v/>
      </c>
      <c r="E558" s="52" t="str">
        <f>IF(Summary_Exchange_Balances_00UTC!$B557="","",Summary_Exchange_Balances_00UTC!$C557)</f>
        <v/>
      </c>
      <c r="G558" s="52" t="str">
        <f>IF(Summary_Exchange_Balances_00UTC!$B557="","",VLOOKUP(IF(ISERROR(SEARCH(" ", $B558)),UPPER($B558&amp;$C558&amp;IF(OR(NOT(ISERROR(SEARCH("trade",$D558))),NOT(ISERROR(SEARCH("balance",$D558)))),"",$D558)),UPPER(LEFT($B558, SEARCH(" ",$B558)-1)&amp;$C558&amp;IF(OR(NOT(ISERROR(SEARCH("trade",$D558))),NOT(ISERROR(SEARCH("balance",$D558)))),"",$D558))),$L:$T,MATCH("balance",$L$2:$S$2,0),FALSE))</f>
        <v/>
      </c>
      <c r="H558" s="35" t="str">
        <f>IF(Summary_Exchange_Balances_00UTC!$B557="","",(G558-E558)/E558)</f>
        <v/>
      </c>
      <c r="I558" s="165" t="str">
        <f>IF(Summary_Exchange_Balances_00UTC!$B557="","",IF(ISERROR($G558),$E558,$G558))</f>
        <v/>
      </c>
      <c r="L558" t="str">
        <f t="shared" ca="1" si="42"/>
        <v/>
      </c>
      <c r="N558" s="161" t="str">
        <f ca="1">IF(raw_exchange_data!$A557="","",OFFSET(raw_exchange_data!$A557,0,MATCH(N$2,raw_exchange_data!$1:$1,0)-1))</f>
        <v/>
      </c>
      <c r="O558" s="161" t="str">
        <f ca="1">IF(raw_exchange_data!$A557="","",OFFSET(raw_exchange_data!$A557,0,MATCH(O$2,raw_exchange_data!$1:$1,0)-1))</f>
        <v/>
      </c>
      <c r="P558" s="161" t="str">
        <f ca="1">IF(raw_exchange_data!$A557="","",OFFSET(raw_exchange_data!$A557,0,MATCH(P$2,raw_exchange_data!$1:$1,0)-1))</f>
        <v/>
      </c>
      <c r="Q558" s="161" t="str">
        <f ca="1">IF(raw_exchange_data!$A557="","",TEXT(OFFSET(raw_exchange_data!$A557,0,MATCH(Q$2,raw_exchange_data!$1:$1,0)-1),""))</f>
        <v/>
      </c>
      <c r="R558" s="162" t="str">
        <f ca="1">IF(raw_exchange_data!$A557="","",OFFSET(raw_exchange_data!$A557,0,MATCH(R$2,raw_exchange_data!$1:$1,0)-1))</f>
        <v/>
      </c>
      <c r="S558" s="190" t="str">
        <f ca="1">IF(raw_exchange_data!$A557="","",OFFSET(raw_exchange_data!$A557,0,MATCH(S$2,raw_exchange_data!$1:$1,0)-1))</f>
        <v/>
      </c>
      <c r="W558" t="str">
        <f t="shared" si="43"/>
        <v/>
      </c>
      <c r="X558" t="str">
        <f t="shared" si="44"/>
        <v/>
      </c>
      <c r="Y558" s="42" t="str">
        <f t="shared" si="45"/>
        <v/>
      </c>
      <c r="Z558" s="42" t="str">
        <f t="shared" si="46"/>
        <v/>
      </c>
    </row>
    <row r="559" spans="1:26" x14ac:dyDescent="0.25">
      <c r="A559" t="str">
        <f>IF(Summary_Exchange_Balances_00UTC!$B558="","",Summary_Exchange_Balances_00UTC!$N558)</f>
        <v/>
      </c>
      <c r="B559" t="str">
        <f>IF(Summary_Exchange_Balances_00UTC!$B558="","",Summary_Exchange_Balances_00UTC!$B558)</f>
        <v/>
      </c>
      <c r="C559" t="str">
        <f>IF(Summary_Exchange_Balances_00UTC!$B558="","",Summary_Exchange_Balances_00UTC!$E558)</f>
        <v/>
      </c>
      <c r="E559" s="52" t="str">
        <f>IF(Summary_Exchange_Balances_00UTC!$B558="","",Summary_Exchange_Balances_00UTC!$C558)</f>
        <v/>
      </c>
      <c r="G559" s="52" t="str">
        <f>IF(Summary_Exchange_Balances_00UTC!$B558="","",VLOOKUP(IF(ISERROR(SEARCH(" ", $B559)),UPPER($B559&amp;$C559&amp;IF(OR(NOT(ISERROR(SEARCH("trade",$D559))),NOT(ISERROR(SEARCH("balance",$D559)))),"",$D559)),UPPER(LEFT($B559, SEARCH(" ",$B559)-1)&amp;$C559&amp;IF(OR(NOT(ISERROR(SEARCH("trade",$D559))),NOT(ISERROR(SEARCH("balance",$D559)))),"",$D559))),$L:$T,MATCH("balance",$L$2:$S$2,0),FALSE))</f>
        <v/>
      </c>
      <c r="H559" s="35" t="str">
        <f>IF(Summary_Exchange_Balances_00UTC!$B558="","",(G559-E559)/E559)</f>
        <v/>
      </c>
      <c r="I559" s="165" t="str">
        <f>IF(Summary_Exchange_Balances_00UTC!$B558="","",IF(ISERROR($G559),$E559,$G559))</f>
        <v/>
      </c>
      <c r="L559" t="str">
        <f t="shared" ca="1" si="42"/>
        <v/>
      </c>
      <c r="N559" s="161" t="str">
        <f ca="1">IF(raw_exchange_data!$A558="","",OFFSET(raw_exchange_data!$A558,0,MATCH(N$2,raw_exchange_data!$1:$1,0)-1))</f>
        <v/>
      </c>
      <c r="O559" s="161" t="str">
        <f ca="1">IF(raw_exchange_data!$A558="","",OFFSET(raw_exchange_data!$A558,0,MATCH(O$2,raw_exchange_data!$1:$1,0)-1))</f>
        <v/>
      </c>
      <c r="P559" s="161" t="str">
        <f ca="1">IF(raw_exchange_data!$A558="","",OFFSET(raw_exchange_data!$A558,0,MATCH(P$2,raw_exchange_data!$1:$1,0)-1))</f>
        <v/>
      </c>
      <c r="Q559" s="161" t="str">
        <f ca="1">IF(raw_exchange_data!$A558="","",TEXT(OFFSET(raw_exchange_data!$A558,0,MATCH(Q$2,raw_exchange_data!$1:$1,0)-1),""))</f>
        <v/>
      </c>
      <c r="R559" s="162" t="str">
        <f ca="1">IF(raw_exchange_data!$A558="","",OFFSET(raw_exchange_data!$A558,0,MATCH(R$2,raw_exchange_data!$1:$1,0)-1))</f>
        <v/>
      </c>
      <c r="S559" s="190" t="str">
        <f ca="1">IF(raw_exchange_data!$A558="","",OFFSET(raw_exchange_data!$A558,0,MATCH(S$2,raw_exchange_data!$1:$1,0)-1))</f>
        <v/>
      </c>
      <c r="W559" t="str">
        <f t="shared" si="43"/>
        <v/>
      </c>
      <c r="X559" t="str">
        <f t="shared" si="44"/>
        <v/>
      </c>
      <c r="Y559" s="42" t="str">
        <f t="shared" si="45"/>
        <v/>
      </c>
      <c r="Z559" s="42" t="str">
        <f t="shared" si="46"/>
        <v/>
      </c>
    </row>
    <row r="560" spans="1:26" x14ac:dyDescent="0.25">
      <c r="A560" t="str">
        <f>IF(Summary_Exchange_Balances_00UTC!$B559="","",Summary_Exchange_Balances_00UTC!$N559)</f>
        <v/>
      </c>
      <c r="B560" t="str">
        <f>IF(Summary_Exchange_Balances_00UTC!$B559="","",Summary_Exchange_Balances_00UTC!$B559)</f>
        <v/>
      </c>
      <c r="C560" t="str">
        <f>IF(Summary_Exchange_Balances_00UTC!$B559="","",Summary_Exchange_Balances_00UTC!$E559)</f>
        <v/>
      </c>
      <c r="E560" s="52" t="str">
        <f>IF(Summary_Exchange_Balances_00UTC!$B559="","",Summary_Exchange_Balances_00UTC!$C559)</f>
        <v/>
      </c>
      <c r="G560" s="52" t="str">
        <f>IF(Summary_Exchange_Balances_00UTC!$B559="","",VLOOKUP(IF(ISERROR(SEARCH(" ", $B560)),UPPER($B560&amp;$C560&amp;IF(OR(NOT(ISERROR(SEARCH("trade",$D560))),NOT(ISERROR(SEARCH("balance",$D560)))),"",$D560)),UPPER(LEFT($B560, SEARCH(" ",$B560)-1)&amp;$C560&amp;IF(OR(NOT(ISERROR(SEARCH("trade",$D560))),NOT(ISERROR(SEARCH("balance",$D560)))),"",$D560))),$L:$T,MATCH("balance",$L$2:$S$2,0),FALSE))</f>
        <v/>
      </c>
      <c r="H560" s="35" t="str">
        <f>IF(Summary_Exchange_Balances_00UTC!$B559="","",(G560-E560)/E560)</f>
        <v/>
      </c>
      <c r="I560" s="165" t="str">
        <f>IF(Summary_Exchange_Balances_00UTC!$B559="","",IF(ISERROR($G560),$E560,$G560))</f>
        <v/>
      </c>
      <c r="L560" t="str">
        <f t="shared" ca="1" si="42"/>
        <v/>
      </c>
      <c r="N560" s="161" t="str">
        <f ca="1">IF(raw_exchange_data!$A559="","",OFFSET(raw_exchange_data!$A559,0,MATCH(N$2,raw_exchange_data!$1:$1,0)-1))</f>
        <v/>
      </c>
      <c r="O560" s="161" t="str">
        <f ca="1">IF(raw_exchange_data!$A559="","",OFFSET(raw_exchange_data!$A559,0,MATCH(O$2,raw_exchange_data!$1:$1,0)-1))</f>
        <v/>
      </c>
      <c r="P560" s="161" t="str">
        <f ca="1">IF(raw_exchange_data!$A559="","",OFFSET(raw_exchange_data!$A559,0,MATCH(P$2,raw_exchange_data!$1:$1,0)-1))</f>
        <v/>
      </c>
      <c r="Q560" s="161" t="str">
        <f ca="1">IF(raw_exchange_data!$A559="","",TEXT(OFFSET(raw_exchange_data!$A559,0,MATCH(Q$2,raw_exchange_data!$1:$1,0)-1),""))</f>
        <v/>
      </c>
      <c r="R560" s="162" t="str">
        <f ca="1">IF(raw_exchange_data!$A559="","",OFFSET(raw_exchange_data!$A559,0,MATCH(R$2,raw_exchange_data!$1:$1,0)-1))</f>
        <v/>
      </c>
      <c r="S560" s="190" t="str">
        <f ca="1">IF(raw_exchange_data!$A559="","",OFFSET(raw_exchange_data!$A559,0,MATCH(S$2,raw_exchange_data!$1:$1,0)-1))</f>
        <v/>
      </c>
      <c r="W560" t="str">
        <f t="shared" si="43"/>
        <v/>
      </c>
      <c r="X560" t="str">
        <f t="shared" si="44"/>
        <v/>
      </c>
      <c r="Y560" s="42" t="str">
        <f t="shared" si="45"/>
        <v/>
      </c>
      <c r="Z560" s="42" t="str">
        <f t="shared" si="46"/>
        <v/>
      </c>
    </row>
    <row r="561" spans="1:26" x14ac:dyDescent="0.25">
      <c r="A561" t="str">
        <f>IF(Summary_Exchange_Balances_00UTC!$B560="","",Summary_Exchange_Balances_00UTC!$N560)</f>
        <v/>
      </c>
      <c r="B561" t="str">
        <f>IF(Summary_Exchange_Balances_00UTC!$B560="","",Summary_Exchange_Balances_00UTC!$B560)</f>
        <v/>
      </c>
      <c r="C561" t="str">
        <f>IF(Summary_Exchange_Balances_00UTC!$B560="","",Summary_Exchange_Balances_00UTC!$E560)</f>
        <v/>
      </c>
      <c r="E561" s="52" t="str">
        <f>IF(Summary_Exchange_Balances_00UTC!$B560="","",Summary_Exchange_Balances_00UTC!$C560)</f>
        <v/>
      </c>
      <c r="G561" s="52" t="str">
        <f>IF(Summary_Exchange_Balances_00UTC!$B560="","",VLOOKUP(IF(ISERROR(SEARCH(" ", $B561)),UPPER($B561&amp;$C561&amp;IF(OR(NOT(ISERROR(SEARCH("trade",$D561))),NOT(ISERROR(SEARCH("balance",$D561)))),"",$D561)),UPPER(LEFT($B561, SEARCH(" ",$B561)-1)&amp;$C561&amp;IF(OR(NOT(ISERROR(SEARCH("trade",$D561))),NOT(ISERROR(SEARCH("balance",$D561)))),"",$D561))),$L:$T,MATCH("balance",$L$2:$S$2,0),FALSE))</f>
        <v/>
      </c>
      <c r="H561" s="35" t="str">
        <f>IF(Summary_Exchange_Balances_00UTC!$B560="","",(G561-E561)/E561)</f>
        <v/>
      </c>
      <c r="I561" s="165" t="str">
        <f>IF(Summary_Exchange_Balances_00UTC!$B560="","",IF(ISERROR($G561),$E561,$G561))</f>
        <v/>
      </c>
      <c r="L561" t="str">
        <f t="shared" ca="1" si="42"/>
        <v/>
      </c>
      <c r="N561" s="161" t="str">
        <f ca="1">IF(raw_exchange_data!$A560="","",OFFSET(raw_exchange_data!$A560,0,MATCH(N$2,raw_exchange_data!$1:$1,0)-1))</f>
        <v/>
      </c>
      <c r="O561" s="161" t="str">
        <f ca="1">IF(raw_exchange_data!$A560="","",OFFSET(raw_exchange_data!$A560,0,MATCH(O$2,raw_exchange_data!$1:$1,0)-1))</f>
        <v/>
      </c>
      <c r="P561" s="161" t="str">
        <f ca="1">IF(raw_exchange_data!$A560="","",OFFSET(raw_exchange_data!$A560,0,MATCH(P$2,raw_exchange_data!$1:$1,0)-1))</f>
        <v/>
      </c>
      <c r="Q561" s="161" t="str">
        <f ca="1">IF(raw_exchange_data!$A560="","",TEXT(OFFSET(raw_exchange_data!$A560,0,MATCH(Q$2,raw_exchange_data!$1:$1,0)-1),""))</f>
        <v/>
      </c>
      <c r="R561" s="162" t="str">
        <f ca="1">IF(raw_exchange_data!$A560="","",OFFSET(raw_exchange_data!$A560,0,MATCH(R$2,raw_exchange_data!$1:$1,0)-1))</f>
        <v/>
      </c>
      <c r="S561" s="190" t="str">
        <f ca="1">IF(raw_exchange_data!$A560="","",OFFSET(raw_exchange_data!$A560,0,MATCH(S$2,raw_exchange_data!$1:$1,0)-1))</f>
        <v/>
      </c>
      <c r="W561" t="str">
        <f t="shared" si="43"/>
        <v/>
      </c>
      <c r="X561" t="str">
        <f t="shared" si="44"/>
        <v/>
      </c>
      <c r="Y561" s="42" t="str">
        <f t="shared" si="45"/>
        <v/>
      </c>
      <c r="Z561" s="42" t="str">
        <f t="shared" si="46"/>
        <v/>
      </c>
    </row>
    <row r="562" spans="1:26" x14ac:dyDescent="0.25">
      <c r="A562" t="str">
        <f>IF(Summary_Exchange_Balances_00UTC!$B561="","",Summary_Exchange_Balances_00UTC!$N561)</f>
        <v/>
      </c>
      <c r="B562" t="str">
        <f>IF(Summary_Exchange_Balances_00UTC!$B561="","",Summary_Exchange_Balances_00UTC!$B561)</f>
        <v/>
      </c>
      <c r="C562" t="str">
        <f>IF(Summary_Exchange_Balances_00UTC!$B561="","",Summary_Exchange_Balances_00UTC!$E561)</f>
        <v/>
      </c>
      <c r="E562" s="52" t="str">
        <f>IF(Summary_Exchange_Balances_00UTC!$B561="","",Summary_Exchange_Balances_00UTC!$C561)</f>
        <v/>
      </c>
      <c r="G562" s="52" t="str">
        <f>IF(Summary_Exchange_Balances_00UTC!$B561="","",VLOOKUP(IF(ISERROR(SEARCH(" ", $B562)),UPPER($B562&amp;$C562&amp;IF(OR(NOT(ISERROR(SEARCH("trade",$D562))),NOT(ISERROR(SEARCH("balance",$D562)))),"",$D562)),UPPER(LEFT($B562, SEARCH(" ",$B562)-1)&amp;$C562&amp;IF(OR(NOT(ISERROR(SEARCH("trade",$D562))),NOT(ISERROR(SEARCH("balance",$D562)))),"",$D562))),$L:$T,MATCH("balance",$L$2:$S$2,0),FALSE))</f>
        <v/>
      </c>
      <c r="H562" s="35" t="str">
        <f>IF(Summary_Exchange_Balances_00UTC!$B561="","",(G562-E562)/E562)</f>
        <v/>
      </c>
      <c r="I562" s="165" t="str">
        <f>IF(Summary_Exchange_Balances_00UTC!$B561="","",IF(ISERROR($G562),$E562,$G562))</f>
        <v/>
      </c>
      <c r="L562" t="str">
        <f t="shared" ca="1" si="42"/>
        <v/>
      </c>
      <c r="N562" s="161" t="str">
        <f ca="1">IF(raw_exchange_data!$A561="","",OFFSET(raw_exchange_data!$A561,0,MATCH(N$2,raw_exchange_data!$1:$1,0)-1))</f>
        <v/>
      </c>
      <c r="O562" s="161" t="str">
        <f ca="1">IF(raw_exchange_data!$A561="","",OFFSET(raw_exchange_data!$A561,0,MATCH(O$2,raw_exchange_data!$1:$1,0)-1))</f>
        <v/>
      </c>
      <c r="P562" s="161" t="str">
        <f ca="1">IF(raw_exchange_data!$A561="","",OFFSET(raw_exchange_data!$A561,0,MATCH(P$2,raw_exchange_data!$1:$1,0)-1))</f>
        <v/>
      </c>
      <c r="Q562" s="161" t="str">
        <f ca="1">IF(raw_exchange_data!$A561="","",TEXT(OFFSET(raw_exchange_data!$A561,0,MATCH(Q$2,raw_exchange_data!$1:$1,0)-1),""))</f>
        <v/>
      </c>
      <c r="R562" s="162" t="str">
        <f ca="1">IF(raw_exchange_data!$A561="","",OFFSET(raw_exchange_data!$A561,0,MATCH(R$2,raw_exchange_data!$1:$1,0)-1))</f>
        <v/>
      </c>
      <c r="S562" s="190" t="str">
        <f ca="1">IF(raw_exchange_data!$A561="","",OFFSET(raw_exchange_data!$A561,0,MATCH(S$2,raw_exchange_data!$1:$1,0)-1))</f>
        <v/>
      </c>
      <c r="W562" t="str">
        <f t="shared" si="43"/>
        <v/>
      </c>
      <c r="X562" t="str">
        <f t="shared" si="44"/>
        <v/>
      </c>
      <c r="Y562" s="42" t="str">
        <f t="shared" si="45"/>
        <v/>
      </c>
      <c r="Z562" s="42" t="str">
        <f t="shared" si="46"/>
        <v/>
      </c>
    </row>
    <row r="563" spans="1:26" x14ac:dyDescent="0.25">
      <c r="A563" t="str">
        <f>IF(Summary_Exchange_Balances_00UTC!$B562="","",Summary_Exchange_Balances_00UTC!$N562)</f>
        <v/>
      </c>
      <c r="B563" t="str">
        <f>IF(Summary_Exchange_Balances_00UTC!$B562="","",Summary_Exchange_Balances_00UTC!$B562)</f>
        <v/>
      </c>
      <c r="C563" t="str">
        <f>IF(Summary_Exchange_Balances_00UTC!$B562="","",Summary_Exchange_Balances_00UTC!$E562)</f>
        <v/>
      </c>
      <c r="E563" s="52" t="str">
        <f>IF(Summary_Exchange_Balances_00UTC!$B562="","",Summary_Exchange_Balances_00UTC!$C562)</f>
        <v/>
      </c>
      <c r="G563" s="52" t="str">
        <f>IF(Summary_Exchange_Balances_00UTC!$B562="","",VLOOKUP(IF(ISERROR(SEARCH(" ", $B563)),UPPER($B563&amp;$C563&amp;IF(OR(NOT(ISERROR(SEARCH("trade",$D563))),NOT(ISERROR(SEARCH("balance",$D563)))),"",$D563)),UPPER(LEFT($B563, SEARCH(" ",$B563)-1)&amp;$C563&amp;IF(OR(NOT(ISERROR(SEARCH("trade",$D563))),NOT(ISERROR(SEARCH("balance",$D563)))),"",$D563))),$L:$T,MATCH("balance",$L$2:$S$2,0),FALSE))</f>
        <v/>
      </c>
      <c r="H563" s="35" t="str">
        <f>IF(Summary_Exchange_Balances_00UTC!$B562="","",(G563-E563)/E563)</f>
        <v/>
      </c>
      <c r="I563" s="165" t="str">
        <f>IF(Summary_Exchange_Balances_00UTC!$B562="","",IF(ISERROR($G563),$E563,$G563))</f>
        <v/>
      </c>
      <c r="L563" t="str">
        <f t="shared" ca="1" si="42"/>
        <v/>
      </c>
      <c r="N563" s="161" t="str">
        <f ca="1">IF(raw_exchange_data!$A562="","",OFFSET(raw_exchange_data!$A562,0,MATCH(N$2,raw_exchange_data!$1:$1,0)-1))</f>
        <v/>
      </c>
      <c r="O563" s="161" t="str">
        <f ca="1">IF(raw_exchange_data!$A562="","",OFFSET(raw_exchange_data!$A562,0,MATCH(O$2,raw_exchange_data!$1:$1,0)-1))</f>
        <v/>
      </c>
      <c r="P563" s="161" t="str">
        <f ca="1">IF(raw_exchange_data!$A562="","",OFFSET(raw_exchange_data!$A562,0,MATCH(P$2,raw_exchange_data!$1:$1,0)-1))</f>
        <v/>
      </c>
      <c r="Q563" s="161" t="str">
        <f ca="1">IF(raw_exchange_data!$A562="","",TEXT(OFFSET(raw_exchange_data!$A562,0,MATCH(Q$2,raw_exchange_data!$1:$1,0)-1),""))</f>
        <v/>
      </c>
      <c r="R563" s="162" t="str">
        <f ca="1">IF(raw_exchange_data!$A562="","",OFFSET(raw_exchange_data!$A562,0,MATCH(R$2,raw_exchange_data!$1:$1,0)-1))</f>
        <v/>
      </c>
      <c r="S563" s="190" t="str">
        <f ca="1">IF(raw_exchange_data!$A562="","",OFFSET(raw_exchange_data!$A562,0,MATCH(S$2,raw_exchange_data!$1:$1,0)-1))</f>
        <v/>
      </c>
      <c r="W563" t="str">
        <f t="shared" si="43"/>
        <v/>
      </c>
      <c r="X563" t="str">
        <f t="shared" si="44"/>
        <v/>
      </c>
      <c r="Y563" s="42" t="str">
        <f t="shared" si="45"/>
        <v/>
      </c>
      <c r="Z563" s="42" t="str">
        <f t="shared" si="46"/>
        <v/>
      </c>
    </row>
    <row r="564" spans="1:26" x14ac:dyDescent="0.25">
      <c r="A564" t="str">
        <f>IF(Summary_Exchange_Balances_00UTC!$B563="","",Summary_Exchange_Balances_00UTC!$N563)</f>
        <v/>
      </c>
      <c r="B564" t="str">
        <f>IF(Summary_Exchange_Balances_00UTC!$B563="","",Summary_Exchange_Balances_00UTC!$B563)</f>
        <v/>
      </c>
      <c r="C564" t="str">
        <f>IF(Summary_Exchange_Balances_00UTC!$B563="","",Summary_Exchange_Balances_00UTC!$E563)</f>
        <v/>
      </c>
      <c r="E564" s="52" t="str">
        <f>IF(Summary_Exchange_Balances_00UTC!$B563="","",Summary_Exchange_Balances_00UTC!$C563)</f>
        <v/>
      </c>
      <c r="G564" s="52" t="str">
        <f>IF(Summary_Exchange_Balances_00UTC!$B563="","",VLOOKUP(IF(ISERROR(SEARCH(" ", $B564)),UPPER($B564&amp;$C564&amp;IF(OR(NOT(ISERROR(SEARCH("trade",$D564))),NOT(ISERROR(SEARCH("balance",$D564)))),"",$D564)),UPPER(LEFT($B564, SEARCH(" ",$B564)-1)&amp;$C564&amp;IF(OR(NOT(ISERROR(SEARCH("trade",$D564))),NOT(ISERROR(SEARCH("balance",$D564)))),"",$D564))),$L:$T,MATCH("balance",$L$2:$S$2,0),FALSE))</f>
        <v/>
      </c>
      <c r="H564" s="35" t="str">
        <f>IF(Summary_Exchange_Balances_00UTC!$B563="","",(G564-E564)/E564)</f>
        <v/>
      </c>
      <c r="I564" s="165" t="str">
        <f>IF(Summary_Exchange_Balances_00UTC!$B563="","",IF(ISERROR($G564),$E564,$G564))</f>
        <v/>
      </c>
      <c r="L564" t="str">
        <f t="shared" ca="1" si="42"/>
        <v/>
      </c>
      <c r="N564" s="161" t="str">
        <f ca="1">IF(raw_exchange_data!$A563="","",OFFSET(raw_exchange_data!$A563,0,MATCH(N$2,raw_exchange_data!$1:$1,0)-1))</f>
        <v/>
      </c>
      <c r="O564" s="161" t="str">
        <f ca="1">IF(raw_exchange_data!$A563="","",OFFSET(raw_exchange_data!$A563,0,MATCH(O$2,raw_exchange_data!$1:$1,0)-1))</f>
        <v/>
      </c>
      <c r="P564" s="161" t="str">
        <f ca="1">IF(raw_exchange_data!$A563="","",OFFSET(raw_exchange_data!$A563,0,MATCH(P$2,raw_exchange_data!$1:$1,0)-1))</f>
        <v/>
      </c>
      <c r="Q564" s="161" t="str">
        <f ca="1">IF(raw_exchange_data!$A563="","",TEXT(OFFSET(raw_exchange_data!$A563,0,MATCH(Q$2,raw_exchange_data!$1:$1,0)-1),""))</f>
        <v/>
      </c>
      <c r="R564" s="162" t="str">
        <f ca="1">IF(raw_exchange_data!$A563="","",OFFSET(raw_exchange_data!$A563,0,MATCH(R$2,raw_exchange_data!$1:$1,0)-1))</f>
        <v/>
      </c>
      <c r="S564" s="190" t="str">
        <f ca="1">IF(raw_exchange_data!$A563="","",OFFSET(raw_exchange_data!$A563,0,MATCH(S$2,raw_exchange_data!$1:$1,0)-1))</f>
        <v/>
      </c>
      <c r="W564" t="str">
        <f t="shared" si="43"/>
        <v/>
      </c>
      <c r="X564" t="str">
        <f t="shared" si="44"/>
        <v/>
      </c>
      <c r="Y564" s="42" t="str">
        <f t="shared" si="45"/>
        <v/>
      </c>
      <c r="Z564" s="42" t="str">
        <f t="shared" si="46"/>
        <v/>
      </c>
    </row>
    <row r="565" spans="1:26" x14ac:dyDescent="0.25">
      <c r="A565" t="str">
        <f>IF(Summary_Exchange_Balances_00UTC!$B564="","",Summary_Exchange_Balances_00UTC!$N564)</f>
        <v/>
      </c>
      <c r="B565" t="str">
        <f>IF(Summary_Exchange_Balances_00UTC!$B564="","",Summary_Exchange_Balances_00UTC!$B564)</f>
        <v/>
      </c>
      <c r="C565" t="str">
        <f>IF(Summary_Exchange_Balances_00UTC!$B564="","",Summary_Exchange_Balances_00UTC!$E564)</f>
        <v/>
      </c>
      <c r="E565" s="52" t="str">
        <f>IF(Summary_Exchange_Balances_00UTC!$B564="","",Summary_Exchange_Balances_00UTC!$C564)</f>
        <v/>
      </c>
      <c r="G565" s="52" t="str">
        <f>IF(Summary_Exchange_Balances_00UTC!$B564="","",VLOOKUP(IF(ISERROR(SEARCH(" ", $B565)),UPPER($B565&amp;$C565&amp;IF(OR(NOT(ISERROR(SEARCH("trade",$D565))),NOT(ISERROR(SEARCH("balance",$D565)))),"",$D565)),UPPER(LEFT($B565, SEARCH(" ",$B565)-1)&amp;$C565&amp;IF(OR(NOT(ISERROR(SEARCH("trade",$D565))),NOT(ISERROR(SEARCH("balance",$D565)))),"",$D565))),$L:$T,MATCH("balance",$L$2:$S$2,0),FALSE))</f>
        <v/>
      </c>
      <c r="H565" s="35" t="str">
        <f>IF(Summary_Exchange_Balances_00UTC!$B564="","",(G565-E565)/E565)</f>
        <v/>
      </c>
      <c r="I565" s="165" t="str">
        <f>IF(Summary_Exchange_Balances_00UTC!$B564="","",IF(ISERROR($G565),$E565,$G565))</f>
        <v/>
      </c>
      <c r="L565" t="str">
        <f t="shared" ca="1" si="42"/>
        <v/>
      </c>
      <c r="N565" s="161" t="str">
        <f ca="1">IF(raw_exchange_data!$A564="","",OFFSET(raw_exchange_data!$A564,0,MATCH(N$2,raw_exchange_data!$1:$1,0)-1))</f>
        <v/>
      </c>
      <c r="O565" s="161" t="str">
        <f ca="1">IF(raw_exchange_data!$A564="","",OFFSET(raw_exchange_data!$A564,0,MATCH(O$2,raw_exchange_data!$1:$1,0)-1))</f>
        <v/>
      </c>
      <c r="P565" s="161" t="str">
        <f ca="1">IF(raw_exchange_data!$A564="","",OFFSET(raw_exchange_data!$A564,0,MATCH(P$2,raw_exchange_data!$1:$1,0)-1))</f>
        <v/>
      </c>
      <c r="Q565" s="161" t="str">
        <f ca="1">IF(raw_exchange_data!$A564="","",TEXT(OFFSET(raw_exchange_data!$A564,0,MATCH(Q$2,raw_exchange_data!$1:$1,0)-1),""))</f>
        <v/>
      </c>
      <c r="R565" s="162" t="str">
        <f ca="1">IF(raw_exchange_data!$A564="","",OFFSET(raw_exchange_data!$A564,0,MATCH(R$2,raw_exchange_data!$1:$1,0)-1))</f>
        <v/>
      </c>
      <c r="S565" s="190" t="str">
        <f ca="1">IF(raw_exchange_data!$A564="","",OFFSET(raw_exchange_data!$A564,0,MATCH(S$2,raw_exchange_data!$1:$1,0)-1))</f>
        <v/>
      </c>
      <c r="W565" t="str">
        <f t="shared" si="43"/>
        <v/>
      </c>
      <c r="X565" t="str">
        <f t="shared" si="44"/>
        <v/>
      </c>
      <c r="Y565" s="42" t="str">
        <f t="shared" si="45"/>
        <v/>
      </c>
      <c r="Z565" s="42" t="str">
        <f t="shared" si="46"/>
        <v/>
      </c>
    </row>
    <row r="566" spans="1:26" x14ac:dyDescent="0.25">
      <c r="A566" t="str">
        <f>IF(Summary_Exchange_Balances_00UTC!$B565="","",Summary_Exchange_Balances_00UTC!$N565)</f>
        <v/>
      </c>
      <c r="B566" t="str">
        <f>IF(Summary_Exchange_Balances_00UTC!$B565="","",Summary_Exchange_Balances_00UTC!$B565)</f>
        <v/>
      </c>
      <c r="C566" t="str">
        <f>IF(Summary_Exchange_Balances_00UTC!$B565="","",Summary_Exchange_Balances_00UTC!$E565)</f>
        <v/>
      </c>
      <c r="E566" s="52" t="str">
        <f>IF(Summary_Exchange_Balances_00UTC!$B565="","",Summary_Exchange_Balances_00UTC!$C565)</f>
        <v/>
      </c>
      <c r="G566" s="52" t="str">
        <f>IF(Summary_Exchange_Balances_00UTC!$B565="","",VLOOKUP(IF(ISERROR(SEARCH(" ", $B566)),UPPER($B566&amp;$C566&amp;IF(OR(NOT(ISERROR(SEARCH("trade",$D566))),NOT(ISERROR(SEARCH("balance",$D566)))),"",$D566)),UPPER(LEFT($B566, SEARCH(" ",$B566)-1)&amp;$C566&amp;IF(OR(NOT(ISERROR(SEARCH("trade",$D566))),NOT(ISERROR(SEARCH("balance",$D566)))),"",$D566))),$L:$T,MATCH("balance",$L$2:$S$2,0),FALSE))</f>
        <v/>
      </c>
      <c r="H566" s="35" t="str">
        <f>IF(Summary_Exchange_Balances_00UTC!$B565="","",(G566-E566)/E566)</f>
        <v/>
      </c>
      <c r="I566" s="165" t="str">
        <f>IF(Summary_Exchange_Balances_00UTC!$B565="","",IF(ISERROR($G566),$E566,$G566))</f>
        <v/>
      </c>
      <c r="L566" t="str">
        <f t="shared" ca="1" si="42"/>
        <v/>
      </c>
      <c r="N566" s="161" t="str">
        <f ca="1">IF(raw_exchange_data!$A565="","",OFFSET(raw_exchange_data!$A565,0,MATCH(N$2,raw_exchange_data!$1:$1,0)-1))</f>
        <v/>
      </c>
      <c r="O566" s="161" t="str">
        <f ca="1">IF(raw_exchange_data!$A565="","",OFFSET(raw_exchange_data!$A565,0,MATCH(O$2,raw_exchange_data!$1:$1,0)-1))</f>
        <v/>
      </c>
      <c r="P566" s="161" t="str">
        <f ca="1">IF(raw_exchange_data!$A565="","",OFFSET(raw_exchange_data!$A565,0,MATCH(P$2,raw_exchange_data!$1:$1,0)-1))</f>
        <v/>
      </c>
      <c r="Q566" s="161" t="str">
        <f ca="1">IF(raw_exchange_data!$A565="","",TEXT(OFFSET(raw_exchange_data!$A565,0,MATCH(Q$2,raw_exchange_data!$1:$1,0)-1),""))</f>
        <v/>
      </c>
      <c r="R566" s="162" t="str">
        <f ca="1">IF(raw_exchange_data!$A565="","",OFFSET(raw_exchange_data!$A565,0,MATCH(R$2,raw_exchange_data!$1:$1,0)-1))</f>
        <v/>
      </c>
      <c r="S566" s="190" t="str">
        <f ca="1">IF(raw_exchange_data!$A565="","",OFFSET(raw_exchange_data!$A565,0,MATCH(S$2,raw_exchange_data!$1:$1,0)-1))</f>
        <v/>
      </c>
      <c r="W566" t="str">
        <f t="shared" si="43"/>
        <v/>
      </c>
      <c r="X566" t="str">
        <f t="shared" si="44"/>
        <v/>
      </c>
      <c r="Y566" s="42" t="str">
        <f t="shared" si="45"/>
        <v/>
      </c>
      <c r="Z566" s="42" t="str">
        <f t="shared" si="46"/>
        <v/>
      </c>
    </row>
    <row r="567" spans="1:26" x14ac:dyDescent="0.25">
      <c r="A567" t="str">
        <f>IF(Summary_Exchange_Balances_00UTC!$B566="","",Summary_Exchange_Balances_00UTC!$N566)</f>
        <v/>
      </c>
      <c r="B567" t="str">
        <f>IF(Summary_Exchange_Balances_00UTC!$B566="","",Summary_Exchange_Balances_00UTC!$B566)</f>
        <v/>
      </c>
      <c r="C567" t="str">
        <f>IF(Summary_Exchange_Balances_00UTC!$B566="","",Summary_Exchange_Balances_00UTC!$E566)</f>
        <v/>
      </c>
      <c r="E567" s="52" t="str">
        <f>IF(Summary_Exchange_Balances_00UTC!$B566="","",Summary_Exchange_Balances_00UTC!$C566)</f>
        <v/>
      </c>
      <c r="G567" s="52" t="str">
        <f>IF(Summary_Exchange_Balances_00UTC!$B566="","",VLOOKUP(IF(ISERROR(SEARCH(" ", $B567)),UPPER($B567&amp;$C567&amp;IF(OR(NOT(ISERROR(SEARCH("trade",$D567))),NOT(ISERROR(SEARCH("balance",$D567)))),"",$D567)),UPPER(LEFT($B567, SEARCH(" ",$B567)-1)&amp;$C567&amp;IF(OR(NOT(ISERROR(SEARCH("trade",$D567))),NOT(ISERROR(SEARCH("balance",$D567)))),"",$D567))),$L:$T,MATCH("balance",$L$2:$S$2,0),FALSE))</f>
        <v/>
      </c>
      <c r="H567" s="35" t="str">
        <f>IF(Summary_Exchange_Balances_00UTC!$B566="","",(G567-E567)/E567)</f>
        <v/>
      </c>
      <c r="I567" s="165" t="str">
        <f>IF(Summary_Exchange_Balances_00UTC!$B566="","",IF(ISERROR($G567),$E567,$G567))</f>
        <v/>
      </c>
      <c r="L567" t="str">
        <f t="shared" ca="1" si="42"/>
        <v/>
      </c>
      <c r="N567" s="161" t="str">
        <f ca="1">IF(raw_exchange_data!$A566="","",OFFSET(raw_exchange_data!$A566,0,MATCH(N$2,raw_exchange_data!$1:$1,0)-1))</f>
        <v/>
      </c>
      <c r="O567" s="161" t="str">
        <f ca="1">IF(raw_exchange_data!$A566="","",OFFSET(raw_exchange_data!$A566,0,MATCH(O$2,raw_exchange_data!$1:$1,0)-1))</f>
        <v/>
      </c>
      <c r="P567" s="161" t="str">
        <f ca="1">IF(raw_exchange_data!$A566="","",OFFSET(raw_exchange_data!$A566,0,MATCH(P$2,raw_exchange_data!$1:$1,0)-1))</f>
        <v/>
      </c>
      <c r="Q567" s="161" t="str">
        <f ca="1">IF(raw_exchange_data!$A566="","",TEXT(OFFSET(raw_exchange_data!$A566,0,MATCH(Q$2,raw_exchange_data!$1:$1,0)-1),""))</f>
        <v/>
      </c>
      <c r="R567" s="162" t="str">
        <f ca="1">IF(raw_exchange_data!$A566="","",OFFSET(raw_exchange_data!$A566,0,MATCH(R$2,raw_exchange_data!$1:$1,0)-1))</f>
        <v/>
      </c>
      <c r="S567" s="190" t="str">
        <f ca="1">IF(raw_exchange_data!$A566="","",OFFSET(raw_exchange_data!$A566,0,MATCH(S$2,raw_exchange_data!$1:$1,0)-1))</f>
        <v/>
      </c>
      <c r="W567" t="str">
        <f t="shared" si="43"/>
        <v/>
      </c>
      <c r="X567" t="str">
        <f t="shared" si="44"/>
        <v/>
      </c>
      <c r="Y567" s="42" t="str">
        <f t="shared" si="45"/>
        <v/>
      </c>
      <c r="Z567" s="42" t="str">
        <f t="shared" si="46"/>
        <v/>
      </c>
    </row>
    <row r="568" spans="1:26" x14ac:dyDescent="0.25">
      <c r="A568" t="str">
        <f>IF(Summary_Exchange_Balances_00UTC!$B567="","",Summary_Exchange_Balances_00UTC!$N567)</f>
        <v/>
      </c>
      <c r="B568" t="str">
        <f>IF(Summary_Exchange_Balances_00UTC!$B567="","",Summary_Exchange_Balances_00UTC!$B567)</f>
        <v/>
      </c>
      <c r="C568" t="str">
        <f>IF(Summary_Exchange_Balances_00UTC!$B567="","",Summary_Exchange_Balances_00UTC!$E567)</f>
        <v/>
      </c>
      <c r="E568" s="52" t="str">
        <f>IF(Summary_Exchange_Balances_00UTC!$B567="","",Summary_Exchange_Balances_00UTC!$C567)</f>
        <v/>
      </c>
      <c r="G568" s="52" t="str">
        <f>IF(Summary_Exchange_Balances_00UTC!$B567="","",VLOOKUP(IF(ISERROR(SEARCH(" ", $B568)),UPPER($B568&amp;$C568&amp;IF(OR(NOT(ISERROR(SEARCH("trade",$D568))),NOT(ISERROR(SEARCH("balance",$D568)))),"",$D568)),UPPER(LEFT($B568, SEARCH(" ",$B568)-1)&amp;$C568&amp;IF(OR(NOT(ISERROR(SEARCH("trade",$D568))),NOT(ISERROR(SEARCH("balance",$D568)))),"",$D568))),$L:$T,MATCH("balance",$L$2:$S$2,0),FALSE))</f>
        <v/>
      </c>
      <c r="H568" s="35" t="str">
        <f>IF(Summary_Exchange_Balances_00UTC!$B567="","",(G568-E568)/E568)</f>
        <v/>
      </c>
      <c r="I568" s="165" t="str">
        <f>IF(Summary_Exchange_Balances_00UTC!$B567="","",IF(ISERROR($G568),$E568,$G568))</f>
        <v/>
      </c>
      <c r="L568" t="str">
        <f t="shared" ca="1" si="42"/>
        <v/>
      </c>
      <c r="N568" s="161" t="str">
        <f ca="1">IF(raw_exchange_data!$A567="","",OFFSET(raw_exchange_data!$A567,0,MATCH(N$2,raw_exchange_data!$1:$1,0)-1))</f>
        <v/>
      </c>
      <c r="O568" s="161" t="str">
        <f ca="1">IF(raw_exchange_data!$A567="","",OFFSET(raw_exchange_data!$A567,0,MATCH(O$2,raw_exchange_data!$1:$1,0)-1))</f>
        <v/>
      </c>
      <c r="P568" s="161" t="str">
        <f ca="1">IF(raw_exchange_data!$A567="","",OFFSET(raw_exchange_data!$A567,0,MATCH(P$2,raw_exchange_data!$1:$1,0)-1))</f>
        <v/>
      </c>
      <c r="Q568" s="161" t="str">
        <f ca="1">IF(raw_exchange_data!$A567="","",TEXT(OFFSET(raw_exchange_data!$A567,0,MATCH(Q$2,raw_exchange_data!$1:$1,0)-1),""))</f>
        <v/>
      </c>
      <c r="R568" s="162" t="str">
        <f ca="1">IF(raw_exchange_data!$A567="","",OFFSET(raw_exchange_data!$A567,0,MATCH(R$2,raw_exchange_data!$1:$1,0)-1))</f>
        <v/>
      </c>
      <c r="S568" s="190" t="str">
        <f ca="1">IF(raw_exchange_data!$A567="","",OFFSET(raw_exchange_data!$A567,0,MATCH(S$2,raw_exchange_data!$1:$1,0)-1))</f>
        <v/>
      </c>
      <c r="W568" t="str">
        <f t="shared" si="43"/>
        <v/>
      </c>
      <c r="X568" t="str">
        <f t="shared" si="44"/>
        <v/>
      </c>
      <c r="Y568" s="42" t="str">
        <f t="shared" si="45"/>
        <v/>
      </c>
      <c r="Z568" s="42" t="str">
        <f t="shared" si="46"/>
        <v/>
      </c>
    </row>
    <row r="569" spans="1:26" x14ac:dyDescent="0.25">
      <c r="A569" t="str">
        <f>IF(Summary_Exchange_Balances_00UTC!$B568="","",Summary_Exchange_Balances_00UTC!$N568)</f>
        <v/>
      </c>
      <c r="B569" t="str">
        <f>IF(Summary_Exchange_Balances_00UTC!$B568="","",Summary_Exchange_Balances_00UTC!$B568)</f>
        <v/>
      </c>
      <c r="C569" t="str">
        <f>IF(Summary_Exchange_Balances_00UTC!$B568="","",Summary_Exchange_Balances_00UTC!$E568)</f>
        <v/>
      </c>
      <c r="E569" s="52" t="str">
        <f>IF(Summary_Exchange_Balances_00UTC!$B568="","",Summary_Exchange_Balances_00UTC!$C568)</f>
        <v/>
      </c>
      <c r="G569" s="52" t="str">
        <f>IF(Summary_Exchange_Balances_00UTC!$B568="","",VLOOKUP(IF(ISERROR(SEARCH(" ", $B569)),UPPER($B569&amp;$C569&amp;IF(OR(NOT(ISERROR(SEARCH("trade",$D569))),NOT(ISERROR(SEARCH("balance",$D569)))),"",$D569)),UPPER(LEFT($B569, SEARCH(" ",$B569)-1)&amp;$C569&amp;IF(OR(NOT(ISERROR(SEARCH("trade",$D569))),NOT(ISERROR(SEARCH("balance",$D569)))),"",$D569))),$L:$T,MATCH("balance",$L$2:$S$2,0),FALSE))</f>
        <v/>
      </c>
      <c r="H569" s="35" t="str">
        <f>IF(Summary_Exchange_Balances_00UTC!$B568="","",(G569-E569)/E569)</f>
        <v/>
      </c>
      <c r="I569" s="165" t="str">
        <f>IF(Summary_Exchange_Balances_00UTC!$B568="","",IF(ISERROR($G569),$E569,$G569))</f>
        <v/>
      </c>
      <c r="L569" t="str">
        <f t="shared" ca="1" si="42"/>
        <v/>
      </c>
      <c r="N569" s="161" t="str">
        <f ca="1">IF(raw_exchange_data!$A568="","",OFFSET(raw_exchange_data!$A568,0,MATCH(N$2,raw_exchange_data!$1:$1,0)-1))</f>
        <v/>
      </c>
      <c r="O569" s="161" t="str">
        <f ca="1">IF(raw_exchange_data!$A568="","",OFFSET(raw_exchange_data!$A568,0,MATCH(O$2,raw_exchange_data!$1:$1,0)-1))</f>
        <v/>
      </c>
      <c r="P569" s="161" t="str">
        <f ca="1">IF(raw_exchange_data!$A568="","",OFFSET(raw_exchange_data!$A568,0,MATCH(P$2,raw_exchange_data!$1:$1,0)-1))</f>
        <v/>
      </c>
      <c r="Q569" s="161" t="str">
        <f ca="1">IF(raw_exchange_data!$A568="","",TEXT(OFFSET(raw_exchange_data!$A568,0,MATCH(Q$2,raw_exchange_data!$1:$1,0)-1),""))</f>
        <v/>
      </c>
      <c r="R569" s="162" t="str">
        <f ca="1">IF(raw_exchange_data!$A568="","",OFFSET(raw_exchange_data!$A568,0,MATCH(R$2,raw_exchange_data!$1:$1,0)-1))</f>
        <v/>
      </c>
      <c r="S569" s="190" t="str">
        <f ca="1">IF(raw_exchange_data!$A568="","",OFFSET(raw_exchange_data!$A568,0,MATCH(S$2,raw_exchange_data!$1:$1,0)-1))</f>
        <v/>
      </c>
      <c r="W569" t="str">
        <f t="shared" si="43"/>
        <v/>
      </c>
      <c r="X569" t="str">
        <f t="shared" si="44"/>
        <v/>
      </c>
      <c r="Y569" s="42" t="str">
        <f t="shared" si="45"/>
        <v/>
      </c>
      <c r="Z569" s="42" t="str">
        <f t="shared" si="46"/>
        <v/>
      </c>
    </row>
    <row r="570" spans="1:26" x14ac:dyDescent="0.25">
      <c r="A570" t="str">
        <f>IF(Summary_Exchange_Balances_00UTC!$B569="","",Summary_Exchange_Balances_00UTC!$N569)</f>
        <v/>
      </c>
      <c r="B570" t="str">
        <f>IF(Summary_Exchange_Balances_00UTC!$B569="","",Summary_Exchange_Balances_00UTC!$B569)</f>
        <v/>
      </c>
      <c r="C570" t="str">
        <f>IF(Summary_Exchange_Balances_00UTC!$B569="","",Summary_Exchange_Balances_00UTC!$E569)</f>
        <v/>
      </c>
      <c r="E570" s="52" t="str">
        <f>IF(Summary_Exchange_Balances_00UTC!$B569="","",Summary_Exchange_Balances_00UTC!$C569)</f>
        <v/>
      </c>
      <c r="G570" s="52" t="str">
        <f>IF(Summary_Exchange_Balances_00UTC!$B569="","",VLOOKUP(IF(ISERROR(SEARCH(" ", $B570)),UPPER($B570&amp;$C570&amp;IF(OR(NOT(ISERROR(SEARCH("trade",$D570))),NOT(ISERROR(SEARCH("balance",$D570)))),"",$D570)),UPPER(LEFT($B570, SEARCH(" ",$B570)-1)&amp;$C570&amp;IF(OR(NOT(ISERROR(SEARCH("trade",$D570))),NOT(ISERROR(SEARCH("balance",$D570)))),"",$D570))),$L:$T,MATCH("balance",$L$2:$S$2,0),FALSE))</f>
        <v/>
      </c>
      <c r="H570" s="35" t="str">
        <f>IF(Summary_Exchange_Balances_00UTC!$B569="","",(G570-E570)/E570)</f>
        <v/>
      </c>
      <c r="I570" s="165" t="str">
        <f>IF(Summary_Exchange_Balances_00UTC!$B569="","",IF(ISERROR($G570),$E570,$G570))</f>
        <v/>
      </c>
      <c r="L570" t="str">
        <f t="shared" ca="1" si="42"/>
        <v/>
      </c>
      <c r="N570" s="161" t="str">
        <f ca="1">IF(raw_exchange_data!$A569="","",OFFSET(raw_exchange_data!$A569,0,MATCH(N$2,raw_exchange_data!$1:$1,0)-1))</f>
        <v/>
      </c>
      <c r="O570" s="161" t="str">
        <f ca="1">IF(raw_exchange_data!$A569="","",OFFSET(raw_exchange_data!$A569,0,MATCH(O$2,raw_exchange_data!$1:$1,0)-1))</f>
        <v/>
      </c>
      <c r="P570" s="161" t="str">
        <f ca="1">IF(raw_exchange_data!$A569="","",OFFSET(raw_exchange_data!$A569,0,MATCH(P$2,raw_exchange_data!$1:$1,0)-1))</f>
        <v/>
      </c>
      <c r="Q570" s="161" t="str">
        <f ca="1">IF(raw_exchange_data!$A569="","",TEXT(OFFSET(raw_exchange_data!$A569,0,MATCH(Q$2,raw_exchange_data!$1:$1,0)-1),""))</f>
        <v/>
      </c>
      <c r="R570" s="162" t="str">
        <f ca="1">IF(raw_exchange_data!$A569="","",OFFSET(raw_exchange_data!$A569,0,MATCH(R$2,raw_exchange_data!$1:$1,0)-1))</f>
        <v/>
      </c>
      <c r="S570" s="190" t="str">
        <f ca="1">IF(raw_exchange_data!$A569="","",OFFSET(raw_exchange_data!$A569,0,MATCH(S$2,raw_exchange_data!$1:$1,0)-1))</f>
        <v/>
      </c>
      <c r="W570" t="str">
        <f t="shared" si="43"/>
        <v/>
      </c>
      <c r="X570" t="str">
        <f t="shared" si="44"/>
        <v/>
      </c>
      <c r="Y570" s="42" t="str">
        <f t="shared" si="45"/>
        <v/>
      </c>
      <c r="Z570" s="42" t="str">
        <f t="shared" si="46"/>
        <v/>
      </c>
    </row>
    <row r="571" spans="1:26" x14ac:dyDescent="0.25">
      <c r="A571" t="str">
        <f>IF(Summary_Exchange_Balances_00UTC!$B570="","",Summary_Exchange_Balances_00UTC!$N570)</f>
        <v/>
      </c>
      <c r="B571" t="str">
        <f>IF(Summary_Exchange_Balances_00UTC!$B570="","",Summary_Exchange_Balances_00UTC!$B570)</f>
        <v/>
      </c>
      <c r="C571" t="str">
        <f>IF(Summary_Exchange_Balances_00UTC!$B570="","",Summary_Exchange_Balances_00UTC!$E570)</f>
        <v/>
      </c>
      <c r="E571" s="52" t="str">
        <f>IF(Summary_Exchange_Balances_00UTC!$B570="","",Summary_Exchange_Balances_00UTC!$C570)</f>
        <v/>
      </c>
      <c r="G571" s="52" t="str">
        <f>IF(Summary_Exchange_Balances_00UTC!$B570="","",VLOOKUP(IF(ISERROR(SEARCH(" ", $B571)),UPPER($B571&amp;$C571&amp;IF(OR(NOT(ISERROR(SEARCH("trade",$D571))),NOT(ISERROR(SEARCH("balance",$D571)))),"",$D571)),UPPER(LEFT($B571, SEARCH(" ",$B571)-1)&amp;$C571&amp;IF(OR(NOT(ISERROR(SEARCH("trade",$D571))),NOT(ISERROR(SEARCH("balance",$D571)))),"",$D571))),$L:$T,MATCH("balance",$L$2:$S$2,0),FALSE))</f>
        <v/>
      </c>
      <c r="H571" s="35" t="str">
        <f>IF(Summary_Exchange_Balances_00UTC!$B570="","",(G571-E571)/E571)</f>
        <v/>
      </c>
      <c r="I571" s="165" t="str">
        <f>IF(Summary_Exchange_Balances_00UTC!$B570="","",IF(ISERROR($G571),$E571,$G571))</f>
        <v/>
      </c>
      <c r="L571" t="str">
        <f t="shared" ca="1" si="42"/>
        <v/>
      </c>
      <c r="N571" s="161" t="str">
        <f ca="1">IF(raw_exchange_data!$A570="","",OFFSET(raw_exchange_data!$A570,0,MATCH(N$2,raw_exchange_data!$1:$1,0)-1))</f>
        <v/>
      </c>
      <c r="O571" s="161" t="str">
        <f ca="1">IF(raw_exchange_data!$A570="","",OFFSET(raw_exchange_data!$A570,0,MATCH(O$2,raw_exchange_data!$1:$1,0)-1))</f>
        <v/>
      </c>
      <c r="P571" s="161" t="str">
        <f ca="1">IF(raw_exchange_data!$A570="","",OFFSET(raw_exchange_data!$A570,0,MATCH(P$2,raw_exchange_data!$1:$1,0)-1))</f>
        <v/>
      </c>
      <c r="Q571" s="161" t="str">
        <f ca="1">IF(raw_exchange_data!$A570="","",TEXT(OFFSET(raw_exchange_data!$A570,0,MATCH(Q$2,raw_exchange_data!$1:$1,0)-1),""))</f>
        <v/>
      </c>
      <c r="R571" s="162" t="str">
        <f ca="1">IF(raw_exchange_data!$A570="","",OFFSET(raw_exchange_data!$A570,0,MATCH(R$2,raw_exchange_data!$1:$1,0)-1))</f>
        <v/>
      </c>
      <c r="S571" s="190" t="str">
        <f ca="1">IF(raw_exchange_data!$A570="","",OFFSET(raw_exchange_data!$A570,0,MATCH(S$2,raw_exchange_data!$1:$1,0)-1))</f>
        <v/>
      </c>
      <c r="W571" t="str">
        <f t="shared" si="43"/>
        <v/>
      </c>
      <c r="X571" t="str">
        <f t="shared" si="44"/>
        <v/>
      </c>
      <c r="Y571" s="42" t="str">
        <f t="shared" si="45"/>
        <v/>
      </c>
      <c r="Z571" s="42" t="str">
        <f t="shared" si="46"/>
        <v/>
      </c>
    </row>
    <row r="572" spans="1:26" x14ac:dyDescent="0.25">
      <c r="A572" t="str">
        <f>IF(Summary_Exchange_Balances_00UTC!$B571="","",Summary_Exchange_Balances_00UTC!$N571)</f>
        <v/>
      </c>
      <c r="B572" t="str">
        <f>IF(Summary_Exchange_Balances_00UTC!$B571="","",Summary_Exchange_Balances_00UTC!$B571)</f>
        <v/>
      </c>
      <c r="C572" t="str">
        <f>IF(Summary_Exchange_Balances_00UTC!$B571="","",Summary_Exchange_Balances_00UTC!$E571)</f>
        <v/>
      </c>
      <c r="E572" s="52" t="str">
        <f>IF(Summary_Exchange_Balances_00UTC!$B571="","",Summary_Exchange_Balances_00UTC!$C571)</f>
        <v/>
      </c>
      <c r="G572" s="52" t="str">
        <f>IF(Summary_Exchange_Balances_00UTC!$B571="","",VLOOKUP(IF(ISERROR(SEARCH(" ", $B572)),UPPER($B572&amp;$C572&amp;IF(OR(NOT(ISERROR(SEARCH("trade",$D572))),NOT(ISERROR(SEARCH("balance",$D572)))),"",$D572)),UPPER(LEFT($B572, SEARCH(" ",$B572)-1)&amp;$C572&amp;IF(OR(NOT(ISERROR(SEARCH("trade",$D572))),NOT(ISERROR(SEARCH("balance",$D572)))),"",$D572))),$L:$T,MATCH("balance",$L$2:$S$2,0),FALSE))</f>
        <v/>
      </c>
      <c r="H572" s="35" t="str">
        <f>IF(Summary_Exchange_Balances_00UTC!$B571="","",(G572-E572)/E572)</f>
        <v/>
      </c>
      <c r="I572" s="165" t="str">
        <f>IF(Summary_Exchange_Balances_00UTC!$B571="","",IF(ISERROR($G572),$E572,$G572))</f>
        <v/>
      </c>
      <c r="L572" t="str">
        <f t="shared" ca="1" si="42"/>
        <v/>
      </c>
      <c r="N572" s="161" t="str">
        <f ca="1">IF(raw_exchange_data!$A571="","",OFFSET(raw_exchange_data!$A571,0,MATCH(N$2,raw_exchange_data!$1:$1,0)-1))</f>
        <v/>
      </c>
      <c r="O572" s="161" t="str">
        <f ca="1">IF(raw_exchange_data!$A571="","",OFFSET(raw_exchange_data!$A571,0,MATCH(O$2,raw_exchange_data!$1:$1,0)-1))</f>
        <v/>
      </c>
      <c r="P572" s="161" t="str">
        <f ca="1">IF(raw_exchange_data!$A571="","",OFFSET(raw_exchange_data!$A571,0,MATCH(P$2,raw_exchange_data!$1:$1,0)-1))</f>
        <v/>
      </c>
      <c r="Q572" s="161" t="str">
        <f ca="1">IF(raw_exchange_data!$A571="","",TEXT(OFFSET(raw_exchange_data!$A571,0,MATCH(Q$2,raw_exchange_data!$1:$1,0)-1),""))</f>
        <v/>
      </c>
      <c r="R572" s="162" t="str">
        <f ca="1">IF(raw_exchange_data!$A571="","",OFFSET(raw_exchange_data!$A571,0,MATCH(R$2,raw_exchange_data!$1:$1,0)-1))</f>
        <v/>
      </c>
      <c r="S572" s="190" t="str">
        <f ca="1">IF(raw_exchange_data!$A571="","",OFFSET(raw_exchange_data!$A571,0,MATCH(S$2,raw_exchange_data!$1:$1,0)-1))</f>
        <v/>
      </c>
      <c r="W572" t="str">
        <f t="shared" si="43"/>
        <v/>
      </c>
      <c r="X572" t="str">
        <f t="shared" si="44"/>
        <v/>
      </c>
      <c r="Y572" s="42" t="str">
        <f t="shared" si="45"/>
        <v/>
      </c>
      <c r="Z572" s="42" t="str">
        <f t="shared" si="46"/>
        <v/>
      </c>
    </row>
    <row r="573" spans="1:26" x14ac:dyDescent="0.25">
      <c r="A573" t="str">
        <f>IF(Summary_Exchange_Balances_00UTC!$B572="","",Summary_Exchange_Balances_00UTC!$N572)</f>
        <v/>
      </c>
      <c r="B573" t="str">
        <f>IF(Summary_Exchange_Balances_00UTC!$B572="","",Summary_Exchange_Balances_00UTC!$B572)</f>
        <v/>
      </c>
      <c r="C573" t="str">
        <f>IF(Summary_Exchange_Balances_00UTC!$B572="","",Summary_Exchange_Balances_00UTC!$E572)</f>
        <v/>
      </c>
      <c r="E573" s="52" t="str">
        <f>IF(Summary_Exchange_Balances_00UTC!$B572="","",Summary_Exchange_Balances_00UTC!$C572)</f>
        <v/>
      </c>
      <c r="G573" s="52" t="str">
        <f>IF(Summary_Exchange_Balances_00UTC!$B572="","",VLOOKUP(IF(ISERROR(SEARCH(" ", $B573)),UPPER($B573&amp;$C573&amp;IF(OR(NOT(ISERROR(SEARCH("trade",$D573))),NOT(ISERROR(SEARCH("balance",$D573)))),"",$D573)),UPPER(LEFT($B573, SEARCH(" ",$B573)-1)&amp;$C573&amp;IF(OR(NOT(ISERROR(SEARCH("trade",$D573))),NOT(ISERROR(SEARCH("balance",$D573)))),"",$D573))),$L:$T,MATCH("balance",$L$2:$S$2,0),FALSE))</f>
        <v/>
      </c>
      <c r="H573" s="35" t="str">
        <f>IF(Summary_Exchange_Balances_00UTC!$B572="","",(G573-E573)/E573)</f>
        <v/>
      </c>
      <c r="I573" s="165" t="str">
        <f>IF(Summary_Exchange_Balances_00UTC!$B572="","",IF(ISERROR($G573),$E573,$G573))</f>
        <v/>
      </c>
      <c r="L573" t="str">
        <f t="shared" ca="1" si="42"/>
        <v/>
      </c>
      <c r="N573" s="161" t="str">
        <f ca="1">IF(raw_exchange_data!$A572="","",OFFSET(raw_exchange_data!$A572,0,MATCH(N$2,raw_exchange_data!$1:$1,0)-1))</f>
        <v/>
      </c>
      <c r="O573" s="161" t="str">
        <f ca="1">IF(raw_exchange_data!$A572="","",OFFSET(raw_exchange_data!$A572,0,MATCH(O$2,raw_exchange_data!$1:$1,0)-1))</f>
        <v/>
      </c>
      <c r="P573" s="161" t="str">
        <f ca="1">IF(raw_exchange_data!$A572="","",OFFSET(raw_exchange_data!$A572,0,MATCH(P$2,raw_exchange_data!$1:$1,0)-1))</f>
        <v/>
      </c>
      <c r="Q573" s="161" t="str">
        <f ca="1">IF(raw_exchange_data!$A572="","",TEXT(OFFSET(raw_exchange_data!$A572,0,MATCH(Q$2,raw_exchange_data!$1:$1,0)-1),""))</f>
        <v/>
      </c>
      <c r="R573" s="162" t="str">
        <f ca="1">IF(raw_exchange_data!$A572="","",OFFSET(raw_exchange_data!$A572,0,MATCH(R$2,raw_exchange_data!$1:$1,0)-1))</f>
        <v/>
      </c>
      <c r="S573" s="190" t="str">
        <f ca="1">IF(raw_exchange_data!$A572="","",OFFSET(raw_exchange_data!$A572,0,MATCH(S$2,raw_exchange_data!$1:$1,0)-1))</f>
        <v/>
      </c>
      <c r="W573" t="str">
        <f t="shared" si="43"/>
        <v/>
      </c>
      <c r="X573" t="str">
        <f t="shared" si="44"/>
        <v/>
      </c>
      <c r="Y573" s="42" t="str">
        <f t="shared" si="45"/>
        <v/>
      </c>
      <c r="Z573" s="42" t="str">
        <f t="shared" si="46"/>
        <v/>
      </c>
    </row>
    <row r="574" spans="1:26" x14ac:dyDescent="0.25">
      <c r="A574" t="str">
        <f>IF(Summary_Exchange_Balances_00UTC!$B573="","",Summary_Exchange_Balances_00UTC!$N573)</f>
        <v/>
      </c>
      <c r="B574" t="str">
        <f>IF(Summary_Exchange_Balances_00UTC!$B573="","",Summary_Exchange_Balances_00UTC!$B573)</f>
        <v/>
      </c>
      <c r="C574" t="str">
        <f>IF(Summary_Exchange_Balances_00UTC!$B573="","",Summary_Exchange_Balances_00UTC!$E573)</f>
        <v/>
      </c>
      <c r="E574" s="52" t="str">
        <f>IF(Summary_Exchange_Balances_00UTC!$B573="","",Summary_Exchange_Balances_00UTC!$C573)</f>
        <v/>
      </c>
      <c r="G574" s="52" t="str">
        <f>IF(Summary_Exchange_Balances_00UTC!$B573="","",VLOOKUP(IF(ISERROR(SEARCH(" ", $B574)),UPPER($B574&amp;$C574&amp;IF(OR(NOT(ISERROR(SEARCH("trade",$D574))),NOT(ISERROR(SEARCH("balance",$D574)))),"",$D574)),UPPER(LEFT($B574, SEARCH(" ",$B574)-1)&amp;$C574&amp;IF(OR(NOT(ISERROR(SEARCH("trade",$D574))),NOT(ISERROR(SEARCH("balance",$D574)))),"",$D574))),$L:$T,MATCH("balance",$L$2:$S$2,0),FALSE))</f>
        <v/>
      </c>
      <c r="H574" s="35" t="str">
        <f>IF(Summary_Exchange_Balances_00UTC!$B573="","",(G574-E574)/E574)</f>
        <v/>
      </c>
      <c r="I574" s="165" t="str">
        <f>IF(Summary_Exchange_Balances_00UTC!$B573="","",IF(ISERROR($G574),$E574,$G574))</f>
        <v/>
      </c>
      <c r="L574" t="str">
        <f t="shared" ca="1" si="42"/>
        <v/>
      </c>
      <c r="N574" s="161" t="str">
        <f ca="1">IF(raw_exchange_data!$A573="","",OFFSET(raw_exchange_data!$A573,0,MATCH(N$2,raw_exchange_data!$1:$1,0)-1))</f>
        <v/>
      </c>
      <c r="O574" s="161" t="str">
        <f ca="1">IF(raw_exchange_data!$A573="","",OFFSET(raw_exchange_data!$A573,0,MATCH(O$2,raw_exchange_data!$1:$1,0)-1))</f>
        <v/>
      </c>
      <c r="P574" s="161" t="str">
        <f ca="1">IF(raw_exchange_data!$A573="","",OFFSET(raw_exchange_data!$A573,0,MATCH(P$2,raw_exchange_data!$1:$1,0)-1))</f>
        <v/>
      </c>
      <c r="Q574" s="161" t="str">
        <f ca="1">IF(raw_exchange_data!$A573="","",TEXT(OFFSET(raw_exchange_data!$A573,0,MATCH(Q$2,raw_exchange_data!$1:$1,0)-1),""))</f>
        <v/>
      </c>
      <c r="R574" s="162" t="str">
        <f ca="1">IF(raw_exchange_data!$A573="","",OFFSET(raw_exchange_data!$A573,0,MATCH(R$2,raw_exchange_data!$1:$1,0)-1))</f>
        <v/>
      </c>
      <c r="S574" s="190" t="str">
        <f ca="1">IF(raw_exchange_data!$A573="","",OFFSET(raw_exchange_data!$A573,0,MATCH(S$2,raw_exchange_data!$1:$1,0)-1))</f>
        <v/>
      </c>
      <c r="W574" t="str">
        <f t="shared" si="43"/>
        <v/>
      </c>
      <c r="X574" t="str">
        <f t="shared" si="44"/>
        <v/>
      </c>
      <c r="Y574" s="42" t="str">
        <f t="shared" si="45"/>
        <v/>
      </c>
      <c r="Z574" s="42" t="str">
        <f t="shared" si="46"/>
        <v/>
      </c>
    </row>
    <row r="575" spans="1:26" x14ac:dyDescent="0.25">
      <c r="A575" t="str">
        <f>IF(Summary_Exchange_Balances_00UTC!$B574="","",Summary_Exchange_Balances_00UTC!$N574)</f>
        <v/>
      </c>
      <c r="B575" t="str">
        <f>IF(Summary_Exchange_Balances_00UTC!$B574="","",Summary_Exchange_Balances_00UTC!$B574)</f>
        <v/>
      </c>
      <c r="C575" t="str">
        <f>IF(Summary_Exchange_Balances_00UTC!$B574="","",Summary_Exchange_Balances_00UTC!$E574)</f>
        <v/>
      </c>
      <c r="E575" s="52" t="str">
        <f>IF(Summary_Exchange_Balances_00UTC!$B574="","",Summary_Exchange_Balances_00UTC!$C574)</f>
        <v/>
      </c>
      <c r="G575" s="52" t="str">
        <f>IF(Summary_Exchange_Balances_00UTC!$B574="","",VLOOKUP(IF(ISERROR(SEARCH(" ", $B575)),UPPER($B575&amp;$C575&amp;IF(OR(NOT(ISERROR(SEARCH("trade",$D575))),NOT(ISERROR(SEARCH("balance",$D575)))),"",$D575)),UPPER(LEFT($B575, SEARCH(" ",$B575)-1)&amp;$C575&amp;IF(OR(NOT(ISERROR(SEARCH("trade",$D575))),NOT(ISERROR(SEARCH("balance",$D575)))),"",$D575))),$L:$T,MATCH("balance",$L$2:$S$2,0),FALSE))</f>
        <v/>
      </c>
      <c r="H575" s="35" t="str">
        <f>IF(Summary_Exchange_Balances_00UTC!$B574="","",(G575-E575)/E575)</f>
        <v/>
      </c>
      <c r="I575" s="165" t="str">
        <f>IF(Summary_Exchange_Balances_00UTC!$B574="","",IF(ISERROR($G575),$E575,$G575))</f>
        <v/>
      </c>
      <c r="L575" t="str">
        <f t="shared" ca="1" si="42"/>
        <v/>
      </c>
      <c r="N575" s="161" t="str">
        <f ca="1">IF(raw_exchange_data!$A574="","",OFFSET(raw_exchange_data!$A574,0,MATCH(N$2,raw_exchange_data!$1:$1,0)-1))</f>
        <v/>
      </c>
      <c r="O575" s="161" t="str">
        <f ca="1">IF(raw_exchange_data!$A574="","",OFFSET(raw_exchange_data!$A574,0,MATCH(O$2,raw_exchange_data!$1:$1,0)-1))</f>
        <v/>
      </c>
      <c r="P575" s="161" t="str">
        <f ca="1">IF(raw_exchange_data!$A574="","",OFFSET(raw_exchange_data!$A574,0,MATCH(P$2,raw_exchange_data!$1:$1,0)-1))</f>
        <v/>
      </c>
      <c r="Q575" s="161" t="str">
        <f ca="1">IF(raw_exchange_data!$A574="","",TEXT(OFFSET(raw_exchange_data!$A574,0,MATCH(Q$2,raw_exchange_data!$1:$1,0)-1),""))</f>
        <v/>
      </c>
      <c r="R575" s="162" t="str">
        <f ca="1">IF(raw_exchange_data!$A574="","",OFFSET(raw_exchange_data!$A574,0,MATCH(R$2,raw_exchange_data!$1:$1,0)-1))</f>
        <v/>
      </c>
      <c r="S575" s="190" t="str">
        <f ca="1">IF(raw_exchange_data!$A574="","",OFFSET(raw_exchange_data!$A574,0,MATCH(S$2,raw_exchange_data!$1:$1,0)-1))</f>
        <v/>
      </c>
      <c r="W575" t="str">
        <f t="shared" si="43"/>
        <v/>
      </c>
      <c r="X575" t="str">
        <f t="shared" si="44"/>
        <v/>
      </c>
      <c r="Y575" s="42" t="str">
        <f t="shared" si="45"/>
        <v/>
      </c>
      <c r="Z575" s="42" t="str">
        <f t="shared" si="46"/>
        <v/>
      </c>
    </row>
    <row r="576" spans="1:26" x14ac:dyDescent="0.25">
      <c r="A576" t="str">
        <f>IF(Summary_Exchange_Balances_00UTC!$B575="","",Summary_Exchange_Balances_00UTC!$N575)</f>
        <v/>
      </c>
      <c r="B576" t="str">
        <f>IF(Summary_Exchange_Balances_00UTC!$B575="","",Summary_Exchange_Balances_00UTC!$B575)</f>
        <v/>
      </c>
      <c r="C576" t="str">
        <f>IF(Summary_Exchange_Balances_00UTC!$B575="","",Summary_Exchange_Balances_00UTC!$E575)</f>
        <v/>
      </c>
      <c r="E576" s="52" t="str">
        <f>IF(Summary_Exchange_Balances_00UTC!$B575="","",Summary_Exchange_Balances_00UTC!$C575)</f>
        <v/>
      </c>
      <c r="G576" s="52" t="str">
        <f>IF(Summary_Exchange_Balances_00UTC!$B575="","",VLOOKUP(IF(ISERROR(SEARCH(" ", $B576)),UPPER($B576&amp;$C576&amp;IF(OR(NOT(ISERROR(SEARCH("trade",$D576))),NOT(ISERROR(SEARCH("balance",$D576)))),"",$D576)),UPPER(LEFT($B576, SEARCH(" ",$B576)-1)&amp;$C576&amp;IF(OR(NOT(ISERROR(SEARCH("trade",$D576))),NOT(ISERROR(SEARCH("balance",$D576)))),"",$D576))),$L:$T,MATCH("balance",$L$2:$S$2,0),FALSE))</f>
        <v/>
      </c>
      <c r="H576" s="35" t="str">
        <f>IF(Summary_Exchange_Balances_00UTC!$B575="","",(G576-E576)/E576)</f>
        <v/>
      </c>
      <c r="I576" s="165" t="str">
        <f>IF(Summary_Exchange_Balances_00UTC!$B575="","",IF(ISERROR($G576),$E576,$G576))</f>
        <v/>
      </c>
      <c r="L576" t="str">
        <f t="shared" ca="1" si="42"/>
        <v/>
      </c>
      <c r="N576" s="161" t="str">
        <f ca="1">IF(raw_exchange_data!$A575="","",OFFSET(raw_exchange_data!$A575,0,MATCH(N$2,raw_exchange_data!$1:$1,0)-1))</f>
        <v/>
      </c>
      <c r="O576" s="161" t="str">
        <f ca="1">IF(raw_exchange_data!$A575="","",OFFSET(raw_exchange_data!$A575,0,MATCH(O$2,raw_exchange_data!$1:$1,0)-1))</f>
        <v/>
      </c>
      <c r="P576" s="161" t="str">
        <f ca="1">IF(raw_exchange_data!$A575="","",OFFSET(raw_exchange_data!$A575,0,MATCH(P$2,raw_exchange_data!$1:$1,0)-1))</f>
        <v/>
      </c>
      <c r="Q576" s="161" t="str">
        <f ca="1">IF(raw_exchange_data!$A575="","",TEXT(OFFSET(raw_exchange_data!$A575,0,MATCH(Q$2,raw_exchange_data!$1:$1,0)-1),""))</f>
        <v/>
      </c>
      <c r="R576" s="162" t="str">
        <f ca="1">IF(raw_exchange_data!$A575="","",OFFSET(raw_exchange_data!$A575,0,MATCH(R$2,raw_exchange_data!$1:$1,0)-1))</f>
        <v/>
      </c>
      <c r="S576" s="190" t="str">
        <f ca="1">IF(raw_exchange_data!$A575="","",OFFSET(raw_exchange_data!$A575,0,MATCH(S$2,raw_exchange_data!$1:$1,0)-1))</f>
        <v/>
      </c>
      <c r="W576" t="str">
        <f t="shared" si="43"/>
        <v/>
      </c>
      <c r="X576" t="str">
        <f t="shared" si="44"/>
        <v/>
      </c>
      <c r="Y576" s="42" t="str">
        <f t="shared" si="45"/>
        <v/>
      </c>
      <c r="Z576" s="42" t="str">
        <f t="shared" si="46"/>
        <v/>
      </c>
    </row>
    <row r="577" spans="1:26" x14ac:dyDescent="0.25">
      <c r="A577" t="str">
        <f>IF(Summary_Exchange_Balances_00UTC!$B576="","",Summary_Exchange_Balances_00UTC!$N576)</f>
        <v/>
      </c>
      <c r="B577" t="str">
        <f>IF(Summary_Exchange_Balances_00UTC!$B576="","",Summary_Exchange_Balances_00UTC!$B576)</f>
        <v/>
      </c>
      <c r="C577" t="str">
        <f>IF(Summary_Exchange_Balances_00UTC!$B576="","",Summary_Exchange_Balances_00UTC!$E576)</f>
        <v/>
      </c>
      <c r="E577" s="52" t="str">
        <f>IF(Summary_Exchange_Balances_00UTC!$B576="","",Summary_Exchange_Balances_00UTC!$C576)</f>
        <v/>
      </c>
      <c r="G577" s="52" t="str">
        <f>IF(Summary_Exchange_Balances_00UTC!$B576="","",VLOOKUP(IF(ISERROR(SEARCH(" ", $B577)),UPPER($B577&amp;$C577&amp;IF(OR(NOT(ISERROR(SEARCH("trade",$D577))),NOT(ISERROR(SEARCH("balance",$D577)))),"",$D577)),UPPER(LEFT($B577, SEARCH(" ",$B577)-1)&amp;$C577&amp;IF(OR(NOT(ISERROR(SEARCH("trade",$D577))),NOT(ISERROR(SEARCH("balance",$D577)))),"",$D577))),$L:$T,MATCH("balance",$L$2:$S$2,0),FALSE))</f>
        <v/>
      </c>
      <c r="H577" s="35" t="str">
        <f>IF(Summary_Exchange_Balances_00UTC!$B576="","",(G577-E577)/E577)</f>
        <v/>
      </c>
      <c r="I577" s="165" t="str">
        <f>IF(Summary_Exchange_Balances_00UTC!$B576="","",IF(ISERROR($G577),$E577,$G577))</f>
        <v/>
      </c>
      <c r="L577" t="str">
        <f t="shared" ca="1" si="42"/>
        <v/>
      </c>
      <c r="N577" s="161" t="str">
        <f ca="1">IF(raw_exchange_data!$A576="","",OFFSET(raw_exchange_data!$A576,0,MATCH(N$2,raw_exchange_data!$1:$1,0)-1))</f>
        <v/>
      </c>
      <c r="O577" s="161" t="str">
        <f ca="1">IF(raw_exchange_data!$A576="","",OFFSET(raw_exchange_data!$A576,0,MATCH(O$2,raw_exchange_data!$1:$1,0)-1))</f>
        <v/>
      </c>
      <c r="P577" s="161" t="str">
        <f ca="1">IF(raw_exchange_data!$A576="","",OFFSET(raw_exchange_data!$A576,0,MATCH(P$2,raw_exchange_data!$1:$1,0)-1))</f>
        <v/>
      </c>
      <c r="Q577" s="161" t="str">
        <f ca="1">IF(raw_exchange_data!$A576="","",TEXT(OFFSET(raw_exchange_data!$A576,0,MATCH(Q$2,raw_exchange_data!$1:$1,0)-1),""))</f>
        <v/>
      </c>
      <c r="R577" s="162" t="str">
        <f ca="1">IF(raw_exchange_data!$A576="","",OFFSET(raw_exchange_data!$A576,0,MATCH(R$2,raw_exchange_data!$1:$1,0)-1))</f>
        <v/>
      </c>
      <c r="S577" s="190" t="str">
        <f ca="1">IF(raw_exchange_data!$A576="","",OFFSET(raw_exchange_data!$A576,0,MATCH(S$2,raw_exchange_data!$1:$1,0)-1))</f>
        <v/>
      </c>
      <c r="W577" t="str">
        <f t="shared" si="43"/>
        <v/>
      </c>
      <c r="X577" t="str">
        <f t="shared" si="44"/>
        <v/>
      </c>
      <c r="Y577" s="42" t="str">
        <f t="shared" si="45"/>
        <v/>
      </c>
      <c r="Z577" s="42" t="str">
        <f t="shared" si="46"/>
        <v/>
      </c>
    </row>
    <row r="578" spans="1:26" x14ac:dyDescent="0.25">
      <c r="A578" t="str">
        <f>IF(Summary_Exchange_Balances_00UTC!$B577="","",Summary_Exchange_Balances_00UTC!$N577)</f>
        <v/>
      </c>
      <c r="B578" t="str">
        <f>IF(Summary_Exchange_Balances_00UTC!$B577="","",Summary_Exchange_Balances_00UTC!$B577)</f>
        <v/>
      </c>
      <c r="C578" t="str">
        <f>IF(Summary_Exchange_Balances_00UTC!$B577="","",Summary_Exchange_Balances_00UTC!$E577)</f>
        <v/>
      </c>
      <c r="E578" s="52" t="str">
        <f>IF(Summary_Exchange_Balances_00UTC!$B577="","",Summary_Exchange_Balances_00UTC!$C577)</f>
        <v/>
      </c>
      <c r="G578" s="52" t="str">
        <f>IF(Summary_Exchange_Balances_00UTC!$B577="","",VLOOKUP(IF(ISERROR(SEARCH(" ", $B578)),UPPER($B578&amp;$C578&amp;IF(OR(NOT(ISERROR(SEARCH("trade",$D578))),NOT(ISERROR(SEARCH("balance",$D578)))),"",$D578)),UPPER(LEFT($B578, SEARCH(" ",$B578)-1)&amp;$C578&amp;IF(OR(NOT(ISERROR(SEARCH("trade",$D578))),NOT(ISERROR(SEARCH("balance",$D578)))),"",$D578))),$L:$T,MATCH("balance",$L$2:$S$2,0),FALSE))</f>
        <v/>
      </c>
      <c r="H578" s="35" t="str">
        <f>IF(Summary_Exchange_Balances_00UTC!$B577="","",(G578-E578)/E578)</f>
        <v/>
      </c>
      <c r="I578" s="165" t="str">
        <f>IF(Summary_Exchange_Balances_00UTC!$B577="","",IF(ISERROR($G578),$E578,$G578))</f>
        <v/>
      </c>
      <c r="L578" t="str">
        <f t="shared" ca="1" si="42"/>
        <v/>
      </c>
      <c r="N578" s="161" t="str">
        <f ca="1">IF(raw_exchange_data!$A577="","",OFFSET(raw_exchange_data!$A577,0,MATCH(N$2,raw_exchange_data!$1:$1,0)-1))</f>
        <v/>
      </c>
      <c r="O578" s="161" t="str">
        <f ca="1">IF(raw_exchange_data!$A577="","",OFFSET(raw_exchange_data!$A577,0,MATCH(O$2,raw_exchange_data!$1:$1,0)-1))</f>
        <v/>
      </c>
      <c r="P578" s="161" t="str">
        <f ca="1">IF(raw_exchange_data!$A577="","",OFFSET(raw_exchange_data!$A577,0,MATCH(P$2,raw_exchange_data!$1:$1,0)-1))</f>
        <v/>
      </c>
      <c r="Q578" s="161" t="str">
        <f ca="1">IF(raw_exchange_data!$A577="","",TEXT(OFFSET(raw_exchange_data!$A577,0,MATCH(Q$2,raw_exchange_data!$1:$1,0)-1),""))</f>
        <v/>
      </c>
      <c r="R578" s="162" t="str">
        <f ca="1">IF(raw_exchange_data!$A577="","",OFFSET(raw_exchange_data!$A577,0,MATCH(R$2,raw_exchange_data!$1:$1,0)-1))</f>
        <v/>
      </c>
      <c r="S578" s="190" t="str">
        <f ca="1">IF(raw_exchange_data!$A577="","",OFFSET(raw_exchange_data!$A577,0,MATCH(S$2,raw_exchange_data!$1:$1,0)-1))</f>
        <v/>
      </c>
      <c r="W578" t="str">
        <f t="shared" si="43"/>
        <v/>
      </c>
      <c r="X578" t="str">
        <f t="shared" si="44"/>
        <v/>
      </c>
      <c r="Y578" s="42" t="str">
        <f t="shared" si="45"/>
        <v/>
      </c>
      <c r="Z578" s="42" t="str">
        <f t="shared" si="46"/>
        <v/>
      </c>
    </row>
    <row r="579" spans="1:26" x14ac:dyDescent="0.25">
      <c r="A579" t="str">
        <f>IF(Summary_Exchange_Balances_00UTC!$B578="","",Summary_Exchange_Balances_00UTC!$N578)</f>
        <v/>
      </c>
      <c r="B579" t="str">
        <f>IF(Summary_Exchange_Balances_00UTC!$B578="","",Summary_Exchange_Balances_00UTC!$B578)</f>
        <v/>
      </c>
      <c r="C579" t="str">
        <f>IF(Summary_Exchange_Balances_00UTC!$B578="","",Summary_Exchange_Balances_00UTC!$E578)</f>
        <v/>
      </c>
      <c r="E579" s="52" t="str">
        <f>IF(Summary_Exchange_Balances_00UTC!$B578="","",Summary_Exchange_Balances_00UTC!$C578)</f>
        <v/>
      </c>
      <c r="G579" s="52" t="str">
        <f>IF(Summary_Exchange_Balances_00UTC!$B578="","",VLOOKUP(IF(ISERROR(SEARCH(" ", $B579)),UPPER($B579&amp;$C579&amp;IF(OR(NOT(ISERROR(SEARCH("trade",$D579))),NOT(ISERROR(SEARCH("balance",$D579)))),"",$D579)),UPPER(LEFT($B579, SEARCH(" ",$B579)-1)&amp;$C579&amp;IF(OR(NOT(ISERROR(SEARCH("trade",$D579))),NOT(ISERROR(SEARCH("balance",$D579)))),"",$D579))),$L:$T,MATCH("balance",$L$2:$S$2,0),FALSE))</f>
        <v/>
      </c>
      <c r="H579" s="35" t="str">
        <f>IF(Summary_Exchange_Balances_00UTC!$B578="","",(G579-E579)/E579)</f>
        <v/>
      </c>
      <c r="I579" s="165" t="str">
        <f>IF(Summary_Exchange_Balances_00UTC!$B578="","",IF(ISERROR($G579),$E579,$G579))</f>
        <v/>
      </c>
      <c r="L579" t="str">
        <f t="shared" ca="1" si="42"/>
        <v/>
      </c>
      <c r="N579" s="161" t="str">
        <f ca="1">IF(raw_exchange_data!$A578="","",OFFSET(raw_exchange_data!$A578,0,MATCH(N$2,raw_exchange_data!$1:$1,0)-1))</f>
        <v/>
      </c>
      <c r="O579" s="161" t="str">
        <f ca="1">IF(raw_exchange_data!$A578="","",OFFSET(raw_exchange_data!$A578,0,MATCH(O$2,raw_exchange_data!$1:$1,0)-1))</f>
        <v/>
      </c>
      <c r="P579" s="161" t="str">
        <f ca="1">IF(raw_exchange_data!$A578="","",OFFSET(raw_exchange_data!$A578,0,MATCH(P$2,raw_exchange_data!$1:$1,0)-1))</f>
        <v/>
      </c>
      <c r="Q579" s="161" t="str">
        <f ca="1">IF(raw_exchange_data!$A578="","",TEXT(OFFSET(raw_exchange_data!$A578,0,MATCH(Q$2,raw_exchange_data!$1:$1,0)-1),""))</f>
        <v/>
      </c>
      <c r="R579" s="162" t="str">
        <f ca="1">IF(raw_exchange_data!$A578="","",OFFSET(raw_exchange_data!$A578,0,MATCH(R$2,raw_exchange_data!$1:$1,0)-1))</f>
        <v/>
      </c>
      <c r="S579" s="190" t="str">
        <f ca="1">IF(raw_exchange_data!$A578="","",OFFSET(raw_exchange_data!$A578,0,MATCH(S$2,raw_exchange_data!$1:$1,0)-1))</f>
        <v/>
      </c>
      <c r="W579" t="str">
        <f t="shared" si="43"/>
        <v/>
      </c>
      <c r="X579" t="str">
        <f t="shared" si="44"/>
        <v/>
      </c>
      <c r="Y579" s="42" t="str">
        <f t="shared" si="45"/>
        <v/>
      </c>
      <c r="Z579" s="42" t="str">
        <f t="shared" si="46"/>
        <v/>
      </c>
    </row>
    <row r="580" spans="1:26" x14ac:dyDescent="0.25">
      <c r="A580" t="str">
        <f>IF(Summary_Exchange_Balances_00UTC!$B579="","",Summary_Exchange_Balances_00UTC!$N579)</f>
        <v/>
      </c>
      <c r="B580" t="str">
        <f>IF(Summary_Exchange_Balances_00UTC!$B579="","",Summary_Exchange_Balances_00UTC!$B579)</f>
        <v/>
      </c>
      <c r="C580" t="str">
        <f>IF(Summary_Exchange_Balances_00UTC!$B579="","",Summary_Exchange_Balances_00UTC!$E579)</f>
        <v/>
      </c>
      <c r="E580" s="52" t="str">
        <f>IF(Summary_Exchange_Balances_00UTC!$B579="","",Summary_Exchange_Balances_00UTC!$C579)</f>
        <v/>
      </c>
      <c r="G580" s="52" t="str">
        <f>IF(Summary_Exchange_Balances_00UTC!$B579="","",VLOOKUP(IF(ISERROR(SEARCH(" ", $B580)),UPPER($B580&amp;$C580&amp;IF(OR(NOT(ISERROR(SEARCH("trade",$D580))),NOT(ISERROR(SEARCH("balance",$D580)))),"",$D580)),UPPER(LEFT($B580, SEARCH(" ",$B580)-1)&amp;$C580&amp;IF(OR(NOT(ISERROR(SEARCH("trade",$D580))),NOT(ISERROR(SEARCH("balance",$D580)))),"",$D580))),$L:$T,MATCH("balance",$L$2:$S$2,0),FALSE))</f>
        <v/>
      </c>
      <c r="H580" s="35" t="str">
        <f>IF(Summary_Exchange_Balances_00UTC!$B579="","",(G580-E580)/E580)</f>
        <v/>
      </c>
      <c r="I580" s="165" t="str">
        <f>IF(Summary_Exchange_Balances_00UTC!$B579="","",IF(ISERROR($G580),$E580,$G580))</f>
        <v/>
      </c>
      <c r="L580" t="str">
        <f t="shared" ref="L580:L595" ca="1" si="47">UPPER($P580&amp;$N580&amp;IF(OR(NOT(ISERROR(SEARCH("trade",Q580))),NOT(ISERROR(SEARCH("balance",Q580)))),"",Q580))</f>
        <v/>
      </c>
      <c r="N580" s="161" t="str">
        <f ca="1">IF(raw_exchange_data!$A579="","",OFFSET(raw_exchange_data!$A579,0,MATCH(N$2,raw_exchange_data!$1:$1,0)-1))</f>
        <v/>
      </c>
      <c r="O580" s="161" t="str">
        <f ca="1">IF(raw_exchange_data!$A579="","",OFFSET(raw_exchange_data!$A579,0,MATCH(O$2,raw_exchange_data!$1:$1,0)-1))</f>
        <v/>
      </c>
      <c r="P580" s="161" t="str">
        <f ca="1">IF(raw_exchange_data!$A579="","",OFFSET(raw_exchange_data!$A579,0,MATCH(P$2,raw_exchange_data!$1:$1,0)-1))</f>
        <v/>
      </c>
      <c r="Q580" s="161" t="str">
        <f ca="1">IF(raw_exchange_data!$A579="","",TEXT(OFFSET(raw_exchange_data!$A579,0,MATCH(Q$2,raw_exchange_data!$1:$1,0)-1),""))</f>
        <v/>
      </c>
      <c r="R580" s="162" t="str">
        <f ca="1">IF(raw_exchange_data!$A579="","",OFFSET(raw_exchange_data!$A579,0,MATCH(R$2,raw_exchange_data!$1:$1,0)-1))</f>
        <v/>
      </c>
      <c r="S580" s="190" t="str">
        <f ca="1">IF(raw_exchange_data!$A579="","",OFFSET(raw_exchange_data!$A579,0,MATCH(S$2,raw_exchange_data!$1:$1,0)-1))</f>
        <v/>
      </c>
      <c r="W580" t="str">
        <f t="shared" ref="W580:W643" si="48">IF($A580="","",$A580)</f>
        <v/>
      </c>
      <c r="X580" t="str">
        <f t="shared" ref="X580:X643" si="49">IF($A580="","",$C580)</f>
        <v/>
      </c>
      <c r="Y580" s="42" t="str">
        <f t="shared" ref="Y580:Y643" si="50">IF($A580="","",$E580)</f>
        <v/>
      </c>
      <c r="Z580" s="42" t="str">
        <f t="shared" ref="Z580:Z643" si="51">IF($A580="","",IF(ISERROR($G580),0,$G580))</f>
        <v/>
      </c>
    </row>
    <row r="581" spans="1:26" x14ac:dyDescent="0.25">
      <c r="G581" s="52" t="str">
        <f>IF(Summary_Exchange_Balances_00UTC!$B580="","",VLOOKUP(IF(ISERROR(SEARCH(" ", $B581)),UPPER($B581&amp;$C581&amp;IF(OR(NOT(ISERROR(SEARCH("trade",$D581))),NOT(ISERROR(SEARCH("balance",$D581)))),"",$D581)),UPPER(LEFT($B581, SEARCH(" ",$B581)-1)&amp;$C581&amp;IF(OR(NOT(ISERROR(SEARCH("trade",$D581))),NOT(ISERROR(SEARCH("balance",$D581)))),"",$D581))),$L:$T,MATCH("balance",$L$2:$S$2,0),FALSE))</f>
        <v/>
      </c>
      <c r="H581" s="35" t="str">
        <f>IF(Summary_Exchange_Balances_00UTC!$B580="","",(G581-E581)/E581)</f>
        <v/>
      </c>
      <c r="I581" s="165" t="str">
        <f>IF(Summary_Exchange_Balances_00UTC!$B580="","",IF(ISERROR($G581),$E581,$G581))</f>
        <v/>
      </c>
      <c r="L581" t="str">
        <f t="shared" ca="1" si="47"/>
        <v/>
      </c>
      <c r="N581" s="161" t="str">
        <f ca="1">IF(raw_exchange_data!$A580="","",OFFSET(raw_exchange_data!$A580,0,MATCH(N$2,raw_exchange_data!$1:$1,0)-1))</f>
        <v/>
      </c>
      <c r="O581" s="161" t="str">
        <f ca="1">IF(raw_exchange_data!$A580="","",OFFSET(raw_exchange_data!$A580,0,MATCH(O$2,raw_exchange_data!$1:$1,0)-1))</f>
        <v/>
      </c>
      <c r="P581" s="161" t="str">
        <f ca="1">IF(raw_exchange_data!$A580="","",OFFSET(raw_exchange_data!$A580,0,MATCH(P$2,raw_exchange_data!$1:$1,0)-1))</f>
        <v/>
      </c>
      <c r="Q581" s="161" t="str">
        <f ca="1">IF(raw_exchange_data!$A580="","",TEXT(OFFSET(raw_exchange_data!$A580,0,MATCH(Q$2,raw_exchange_data!$1:$1,0)-1),""))</f>
        <v/>
      </c>
      <c r="R581" s="162" t="str">
        <f ca="1">IF(raw_exchange_data!$A580="","",OFFSET(raw_exchange_data!$A580,0,MATCH(R$2,raw_exchange_data!$1:$1,0)-1))</f>
        <v/>
      </c>
      <c r="S581" s="190" t="str">
        <f ca="1">IF(raw_exchange_data!$A580="","",OFFSET(raw_exchange_data!$A580,0,MATCH(S$2,raw_exchange_data!$1:$1,0)-1))</f>
        <v/>
      </c>
      <c r="W581" t="str">
        <f t="shared" si="48"/>
        <v/>
      </c>
      <c r="X581" t="str">
        <f t="shared" si="49"/>
        <v/>
      </c>
      <c r="Y581" s="42" t="str">
        <f t="shared" si="50"/>
        <v/>
      </c>
      <c r="Z581" s="42" t="str">
        <f t="shared" si="51"/>
        <v/>
      </c>
    </row>
    <row r="582" spans="1:26" x14ac:dyDescent="0.25">
      <c r="G582" s="52" t="str">
        <f>IF(Summary_Exchange_Balances_00UTC!$B581="","",VLOOKUP(IF(ISERROR(SEARCH(" ", $B582)),UPPER($B582&amp;$C582&amp;IF(OR(NOT(ISERROR(SEARCH("trade",$D582))),NOT(ISERROR(SEARCH("balance",$D582)))),"",$D582)),UPPER(LEFT($B582, SEARCH(" ",$B582)-1)&amp;$C582&amp;IF(OR(NOT(ISERROR(SEARCH("trade",$D582))),NOT(ISERROR(SEARCH("balance",$D582)))),"",$D582))),$L:$T,MATCH("balance",$L$2:$S$2,0),FALSE))</f>
        <v/>
      </c>
      <c r="H582" s="35" t="str">
        <f>IF(Summary_Exchange_Balances_00UTC!$B581="","",(G582-E582)/E582)</f>
        <v/>
      </c>
      <c r="I582" s="165" t="str">
        <f>IF(Summary_Exchange_Balances_00UTC!$B581="","",IF(ISERROR($G582),$E582,$G582))</f>
        <v/>
      </c>
      <c r="L582" t="str">
        <f t="shared" ca="1" si="47"/>
        <v/>
      </c>
      <c r="N582" s="161" t="str">
        <f ca="1">IF(raw_exchange_data!$A581="","",OFFSET(raw_exchange_data!$A581,0,MATCH(N$2,raw_exchange_data!$1:$1,0)-1))</f>
        <v/>
      </c>
      <c r="O582" s="161" t="str">
        <f ca="1">IF(raw_exchange_data!$A581="","",OFFSET(raw_exchange_data!$A581,0,MATCH(O$2,raw_exchange_data!$1:$1,0)-1))</f>
        <v/>
      </c>
      <c r="P582" s="161" t="str">
        <f ca="1">IF(raw_exchange_data!$A581="","",OFFSET(raw_exchange_data!$A581,0,MATCH(P$2,raw_exchange_data!$1:$1,0)-1))</f>
        <v/>
      </c>
      <c r="Q582" s="161" t="str">
        <f ca="1">IF(raw_exchange_data!$A581="","",TEXT(OFFSET(raw_exchange_data!$A581,0,MATCH(Q$2,raw_exchange_data!$1:$1,0)-1),""))</f>
        <v/>
      </c>
      <c r="R582" s="162" t="str">
        <f ca="1">IF(raw_exchange_data!$A581="","",OFFSET(raw_exchange_data!$A581,0,MATCH(R$2,raw_exchange_data!$1:$1,0)-1))</f>
        <v/>
      </c>
      <c r="S582" s="190" t="str">
        <f ca="1">IF(raw_exchange_data!$A581="","",OFFSET(raw_exchange_data!$A581,0,MATCH(S$2,raw_exchange_data!$1:$1,0)-1))</f>
        <v/>
      </c>
      <c r="W582" t="str">
        <f t="shared" si="48"/>
        <v/>
      </c>
      <c r="X582" t="str">
        <f t="shared" si="49"/>
        <v/>
      </c>
      <c r="Y582" s="42" t="str">
        <f t="shared" si="50"/>
        <v/>
      </c>
      <c r="Z582" s="42" t="str">
        <f t="shared" si="51"/>
        <v/>
      </c>
    </row>
    <row r="583" spans="1:26" x14ac:dyDescent="0.25">
      <c r="G583" s="52" t="str">
        <f>IF(Summary_Exchange_Balances_00UTC!$B582="","",VLOOKUP(IF(ISERROR(SEARCH(" ", $B583)),UPPER($B583&amp;$C583&amp;IF(OR(NOT(ISERROR(SEARCH("trade",$D583))),NOT(ISERROR(SEARCH("balance",$D583)))),"",$D583)),UPPER(LEFT($B583, SEARCH(" ",$B583)-1)&amp;$C583&amp;IF(OR(NOT(ISERROR(SEARCH("trade",$D583))),NOT(ISERROR(SEARCH("balance",$D583)))),"",$D583))),$L:$T,MATCH("balance",$L$2:$S$2,0),FALSE))</f>
        <v/>
      </c>
      <c r="H583" s="35" t="str">
        <f>IF(Summary_Exchange_Balances_00UTC!$B582="","",(G583-E583)/E583)</f>
        <v/>
      </c>
      <c r="I583" s="165" t="str">
        <f>IF(Summary_Exchange_Balances_00UTC!$B582="","",IF(ISERROR($G583),$E583,$G583))</f>
        <v/>
      </c>
      <c r="L583" t="str">
        <f t="shared" ca="1" si="47"/>
        <v/>
      </c>
      <c r="N583" s="161" t="str">
        <f ca="1">IF(raw_exchange_data!$A582="","",OFFSET(raw_exchange_data!$A582,0,MATCH(N$2,raw_exchange_data!$1:$1,0)-1))</f>
        <v/>
      </c>
      <c r="O583" s="161" t="str">
        <f ca="1">IF(raw_exchange_data!$A582="","",OFFSET(raw_exchange_data!$A582,0,MATCH(O$2,raw_exchange_data!$1:$1,0)-1))</f>
        <v/>
      </c>
      <c r="P583" s="161" t="str">
        <f ca="1">IF(raw_exchange_data!$A582="","",OFFSET(raw_exchange_data!$A582,0,MATCH(P$2,raw_exchange_data!$1:$1,0)-1))</f>
        <v/>
      </c>
      <c r="Q583" s="161" t="str">
        <f ca="1">IF(raw_exchange_data!$A582="","",TEXT(OFFSET(raw_exchange_data!$A582,0,MATCH(Q$2,raw_exchange_data!$1:$1,0)-1),""))</f>
        <v/>
      </c>
      <c r="R583" s="162" t="str">
        <f ca="1">IF(raw_exchange_data!$A582="","",OFFSET(raw_exchange_data!$A582,0,MATCH(R$2,raw_exchange_data!$1:$1,0)-1))</f>
        <v/>
      </c>
      <c r="S583" s="190" t="str">
        <f ca="1">IF(raw_exchange_data!$A582="","",OFFSET(raw_exchange_data!$A582,0,MATCH(S$2,raw_exchange_data!$1:$1,0)-1))</f>
        <v/>
      </c>
      <c r="W583" t="str">
        <f t="shared" si="48"/>
        <v/>
      </c>
      <c r="X583" t="str">
        <f t="shared" si="49"/>
        <v/>
      </c>
      <c r="Y583" s="42" t="str">
        <f t="shared" si="50"/>
        <v/>
      </c>
      <c r="Z583" s="42" t="str">
        <f t="shared" si="51"/>
        <v/>
      </c>
    </row>
    <row r="584" spans="1:26" x14ac:dyDescent="0.25">
      <c r="G584" s="52" t="str">
        <f>IF(Summary_Exchange_Balances_00UTC!$B583="","",VLOOKUP(IF(ISERROR(SEARCH(" ", $B584)),UPPER($B584&amp;$C584&amp;IF(OR(NOT(ISERROR(SEARCH("trade",$D584))),NOT(ISERROR(SEARCH("balance",$D584)))),"",$D584)),UPPER(LEFT($B584, SEARCH(" ",$B584)-1)&amp;$C584&amp;IF(OR(NOT(ISERROR(SEARCH("trade",$D584))),NOT(ISERROR(SEARCH("balance",$D584)))),"",$D584))),$L:$T,MATCH("balance",$L$2:$S$2,0),FALSE))</f>
        <v/>
      </c>
      <c r="H584" s="35" t="str">
        <f>IF(Summary_Exchange_Balances_00UTC!$B583="","",(G584-E584)/E584)</f>
        <v/>
      </c>
      <c r="I584" s="165" t="str">
        <f>IF(Summary_Exchange_Balances_00UTC!$B583="","",IF(ISERROR($G584),$E584,$G584))</f>
        <v/>
      </c>
      <c r="L584" t="str">
        <f t="shared" ca="1" si="47"/>
        <v/>
      </c>
      <c r="N584" s="161" t="str">
        <f ca="1">IF(raw_exchange_data!$A583="","",OFFSET(raw_exchange_data!$A583,0,MATCH(N$2,raw_exchange_data!$1:$1,0)-1))</f>
        <v/>
      </c>
      <c r="O584" s="161" t="str">
        <f ca="1">IF(raw_exchange_data!$A583="","",OFFSET(raw_exchange_data!$A583,0,MATCH(O$2,raw_exchange_data!$1:$1,0)-1))</f>
        <v/>
      </c>
      <c r="P584" s="161" t="str">
        <f ca="1">IF(raw_exchange_data!$A583="","",OFFSET(raw_exchange_data!$A583,0,MATCH(P$2,raw_exchange_data!$1:$1,0)-1))</f>
        <v/>
      </c>
      <c r="Q584" s="161" t="str">
        <f ca="1">IF(raw_exchange_data!$A583="","",TEXT(OFFSET(raw_exchange_data!$A583,0,MATCH(Q$2,raw_exchange_data!$1:$1,0)-1),""))</f>
        <v/>
      </c>
      <c r="R584" s="162" t="str">
        <f ca="1">IF(raw_exchange_data!$A583="","",OFFSET(raw_exchange_data!$A583,0,MATCH(R$2,raw_exchange_data!$1:$1,0)-1))</f>
        <v/>
      </c>
      <c r="S584" s="190" t="str">
        <f ca="1">IF(raw_exchange_data!$A583="","",OFFSET(raw_exchange_data!$A583,0,MATCH(S$2,raw_exchange_data!$1:$1,0)-1))</f>
        <v/>
      </c>
      <c r="W584" t="str">
        <f t="shared" si="48"/>
        <v/>
      </c>
      <c r="X584" t="str">
        <f t="shared" si="49"/>
        <v/>
      </c>
      <c r="Y584" s="42" t="str">
        <f t="shared" si="50"/>
        <v/>
      </c>
      <c r="Z584" s="42" t="str">
        <f t="shared" si="51"/>
        <v/>
      </c>
    </row>
    <row r="585" spans="1:26" x14ac:dyDescent="0.25">
      <c r="G585" s="52" t="str">
        <f>IF(Summary_Exchange_Balances_00UTC!$B584="","",VLOOKUP(IF(ISERROR(SEARCH(" ", $B585)),UPPER($B585&amp;$C585&amp;IF(OR(NOT(ISERROR(SEARCH("trade",$D585))),NOT(ISERROR(SEARCH("balance",$D585)))),"",$D585)),UPPER(LEFT($B585, SEARCH(" ",$B585)-1)&amp;$C585&amp;IF(OR(NOT(ISERROR(SEARCH("trade",$D585))),NOT(ISERROR(SEARCH("balance",$D585)))),"",$D585))),$L:$T,MATCH("balance",$L$2:$S$2,0),FALSE))</f>
        <v/>
      </c>
      <c r="H585" s="35" t="str">
        <f>IF(Summary_Exchange_Balances_00UTC!$B584="","",(G585-E585)/E585)</f>
        <v/>
      </c>
      <c r="I585" s="165" t="str">
        <f>IF(Summary_Exchange_Balances_00UTC!$B584="","",IF(ISERROR($G585),$E585,$G585))</f>
        <v/>
      </c>
      <c r="L585" t="str">
        <f t="shared" ca="1" si="47"/>
        <v/>
      </c>
      <c r="N585" s="161" t="str">
        <f ca="1">IF(raw_exchange_data!$A584="","",OFFSET(raw_exchange_data!$A584,0,MATCH(N$2,raw_exchange_data!$1:$1,0)-1))</f>
        <v/>
      </c>
      <c r="O585" s="161" t="str">
        <f ca="1">IF(raw_exchange_data!$A584="","",OFFSET(raw_exchange_data!$A584,0,MATCH(O$2,raw_exchange_data!$1:$1,0)-1))</f>
        <v/>
      </c>
      <c r="P585" s="161" t="str">
        <f ca="1">IF(raw_exchange_data!$A584="","",OFFSET(raw_exchange_data!$A584,0,MATCH(P$2,raw_exchange_data!$1:$1,0)-1))</f>
        <v/>
      </c>
      <c r="Q585" s="161" t="str">
        <f ca="1">IF(raw_exchange_data!$A584="","",TEXT(OFFSET(raw_exchange_data!$A584,0,MATCH(Q$2,raw_exchange_data!$1:$1,0)-1),""))</f>
        <v/>
      </c>
      <c r="R585" s="162" t="str">
        <f ca="1">IF(raw_exchange_data!$A584="","",OFFSET(raw_exchange_data!$A584,0,MATCH(R$2,raw_exchange_data!$1:$1,0)-1))</f>
        <v/>
      </c>
      <c r="S585" s="190" t="str">
        <f ca="1">IF(raw_exchange_data!$A584="","",OFFSET(raw_exchange_data!$A584,0,MATCH(S$2,raw_exchange_data!$1:$1,0)-1))</f>
        <v/>
      </c>
      <c r="W585" t="str">
        <f t="shared" si="48"/>
        <v/>
      </c>
      <c r="X585" t="str">
        <f t="shared" si="49"/>
        <v/>
      </c>
      <c r="Y585" s="42" t="str">
        <f t="shared" si="50"/>
        <v/>
      </c>
      <c r="Z585" s="42" t="str">
        <f t="shared" si="51"/>
        <v/>
      </c>
    </row>
    <row r="586" spans="1:26" x14ac:dyDescent="0.25">
      <c r="G586" s="52" t="str">
        <f>IF(Summary_Exchange_Balances_00UTC!$B585="","",VLOOKUP(IF(ISERROR(SEARCH(" ", $B586)),UPPER($B586&amp;$C586&amp;IF(OR(NOT(ISERROR(SEARCH("trade",$D586))),NOT(ISERROR(SEARCH("balance",$D586)))),"",$D586)),UPPER(LEFT($B586, SEARCH(" ",$B586)-1)&amp;$C586&amp;IF(OR(NOT(ISERROR(SEARCH("trade",$D586))),NOT(ISERROR(SEARCH("balance",$D586)))),"",$D586))),$L:$T,MATCH("balance",$L$2:$S$2,0),FALSE))</f>
        <v/>
      </c>
      <c r="H586" s="35" t="str">
        <f>IF(Summary_Exchange_Balances_00UTC!$B585="","",(G586-E586)/E586)</f>
        <v/>
      </c>
      <c r="I586" s="165" t="str">
        <f>IF(Summary_Exchange_Balances_00UTC!$B585="","",IF(ISERROR($G586),$E586,$G586))</f>
        <v/>
      </c>
      <c r="L586" t="str">
        <f t="shared" ca="1" si="47"/>
        <v/>
      </c>
      <c r="N586" s="161" t="str">
        <f ca="1">IF(raw_exchange_data!$A585="","",OFFSET(raw_exchange_data!$A585,0,MATCH(N$2,raw_exchange_data!$1:$1,0)-1))</f>
        <v/>
      </c>
      <c r="O586" s="161" t="str">
        <f ca="1">IF(raw_exchange_data!$A585="","",OFFSET(raw_exchange_data!$A585,0,MATCH(O$2,raw_exchange_data!$1:$1,0)-1))</f>
        <v/>
      </c>
      <c r="P586" s="161" t="str">
        <f ca="1">IF(raw_exchange_data!$A585="","",OFFSET(raw_exchange_data!$A585,0,MATCH(P$2,raw_exchange_data!$1:$1,0)-1))</f>
        <v/>
      </c>
      <c r="Q586" s="161" t="str">
        <f ca="1">IF(raw_exchange_data!$A585="","",TEXT(OFFSET(raw_exchange_data!$A585,0,MATCH(Q$2,raw_exchange_data!$1:$1,0)-1),""))</f>
        <v/>
      </c>
      <c r="R586" s="162" t="str">
        <f ca="1">IF(raw_exchange_data!$A585="","",OFFSET(raw_exchange_data!$A585,0,MATCH(R$2,raw_exchange_data!$1:$1,0)-1))</f>
        <v/>
      </c>
      <c r="S586" s="190" t="str">
        <f ca="1">IF(raw_exchange_data!$A585="","",OFFSET(raw_exchange_data!$A585,0,MATCH(S$2,raw_exchange_data!$1:$1,0)-1))</f>
        <v/>
      </c>
      <c r="W586" t="str">
        <f t="shared" si="48"/>
        <v/>
      </c>
      <c r="X586" t="str">
        <f t="shared" si="49"/>
        <v/>
      </c>
      <c r="Y586" s="42" t="str">
        <f t="shared" si="50"/>
        <v/>
      </c>
      <c r="Z586" s="42" t="str">
        <f t="shared" si="51"/>
        <v/>
      </c>
    </row>
    <row r="587" spans="1:26" x14ac:dyDescent="0.25">
      <c r="G587" s="52" t="str">
        <f>IF(Summary_Exchange_Balances_00UTC!$B586="","",VLOOKUP(IF(ISERROR(SEARCH(" ", $B587)),UPPER($B587&amp;$C587&amp;IF(OR(NOT(ISERROR(SEARCH("trade",$D587))),NOT(ISERROR(SEARCH("balance",$D587)))),"",$D587)),UPPER(LEFT($B587, SEARCH(" ",$B587)-1)&amp;$C587&amp;IF(OR(NOT(ISERROR(SEARCH("trade",$D587))),NOT(ISERROR(SEARCH("balance",$D587)))),"",$D587))),$L:$T,MATCH("balance",$L$2:$S$2,0),FALSE))</f>
        <v/>
      </c>
      <c r="H587" s="35" t="str">
        <f>IF(Summary_Exchange_Balances_00UTC!$B586="","",(G587-E587)/E587)</f>
        <v/>
      </c>
      <c r="I587" s="165" t="str">
        <f>IF(Summary_Exchange_Balances_00UTC!$B586="","",IF(ISERROR($G587),$E587,$G587))</f>
        <v/>
      </c>
      <c r="L587" t="str">
        <f t="shared" ca="1" si="47"/>
        <v/>
      </c>
      <c r="N587" s="161" t="str">
        <f ca="1">IF(raw_exchange_data!$A586="","",OFFSET(raw_exchange_data!$A586,0,MATCH(N$2,raw_exchange_data!$1:$1,0)-1))</f>
        <v/>
      </c>
      <c r="O587" s="161" t="str">
        <f ca="1">IF(raw_exchange_data!$A586="","",OFFSET(raw_exchange_data!$A586,0,MATCH(O$2,raw_exchange_data!$1:$1,0)-1))</f>
        <v/>
      </c>
      <c r="P587" s="161" t="str">
        <f ca="1">IF(raw_exchange_data!$A586="","",OFFSET(raw_exchange_data!$A586,0,MATCH(P$2,raw_exchange_data!$1:$1,0)-1))</f>
        <v/>
      </c>
      <c r="Q587" s="161" t="str">
        <f ca="1">IF(raw_exchange_data!$A586="","",TEXT(OFFSET(raw_exchange_data!$A586,0,MATCH(Q$2,raw_exchange_data!$1:$1,0)-1),""))</f>
        <v/>
      </c>
      <c r="R587" s="162" t="str">
        <f ca="1">IF(raw_exchange_data!$A586="","",OFFSET(raw_exchange_data!$A586,0,MATCH(R$2,raw_exchange_data!$1:$1,0)-1))</f>
        <v/>
      </c>
      <c r="S587" s="190" t="str">
        <f ca="1">IF(raw_exchange_data!$A586="","",OFFSET(raw_exchange_data!$A586,0,MATCH(S$2,raw_exchange_data!$1:$1,0)-1))</f>
        <v/>
      </c>
      <c r="W587" t="str">
        <f t="shared" si="48"/>
        <v/>
      </c>
      <c r="X587" t="str">
        <f t="shared" si="49"/>
        <v/>
      </c>
      <c r="Y587" s="42" t="str">
        <f t="shared" si="50"/>
        <v/>
      </c>
      <c r="Z587" s="42" t="str">
        <f t="shared" si="51"/>
        <v/>
      </c>
    </row>
    <row r="588" spans="1:26" x14ac:dyDescent="0.25">
      <c r="G588" s="52" t="str">
        <f>IF(Summary_Exchange_Balances_00UTC!$B587="","",VLOOKUP(IF(ISERROR(SEARCH(" ", $B588)),UPPER($B588&amp;$C588&amp;IF(OR(NOT(ISERROR(SEARCH("trade",$D588))),NOT(ISERROR(SEARCH("balance",$D588)))),"",$D588)),UPPER(LEFT($B588, SEARCH(" ",$B588)-1)&amp;$C588&amp;IF(OR(NOT(ISERROR(SEARCH("trade",$D588))),NOT(ISERROR(SEARCH("balance",$D588)))),"",$D588))),$L:$T,MATCH("balance",$L$2:$S$2,0),FALSE))</f>
        <v/>
      </c>
      <c r="H588" s="35" t="str">
        <f>IF(Summary_Exchange_Balances_00UTC!$B587="","",(G588-E588)/E588)</f>
        <v/>
      </c>
      <c r="I588" s="165" t="str">
        <f>IF(Summary_Exchange_Balances_00UTC!$B587="","",IF(ISERROR($G588),$E588,$G588))</f>
        <v/>
      </c>
      <c r="L588" t="str">
        <f t="shared" ca="1" si="47"/>
        <v/>
      </c>
      <c r="N588" s="161" t="str">
        <f ca="1">IF(raw_exchange_data!$A587="","",OFFSET(raw_exchange_data!$A587,0,MATCH(N$2,raw_exchange_data!$1:$1,0)-1))</f>
        <v/>
      </c>
      <c r="O588" s="161" t="str">
        <f ca="1">IF(raw_exchange_data!$A587="","",OFFSET(raw_exchange_data!$A587,0,MATCH(O$2,raw_exchange_data!$1:$1,0)-1))</f>
        <v/>
      </c>
      <c r="P588" s="161" t="str">
        <f ca="1">IF(raw_exchange_data!$A587="","",OFFSET(raw_exchange_data!$A587,0,MATCH(P$2,raw_exchange_data!$1:$1,0)-1))</f>
        <v/>
      </c>
      <c r="Q588" s="161" t="str">
        <f ca="1">IF(raw_exchange_data!$A587="","",TEXT(OFFSET(raw_exchange_data!$A587,0,MATCH(Q$2,raw_exchange_data!$1:$1,0)-1),""))</f>
        <v/>
      </c>
      <c r="R588" s="162" t="str">
        <f ca="1">IF(raw_exchange_data!$A587="","",OFFSET(raw_exchange_data!$A587,0,MATCH(R$2,raw_exchange_data!$1:$1,0)-1))</f>
        <v/>
      </c>
      <c r="S588" s="190" t="str">
        <f ca="1">IF(raw_exchange_data!$A587="","",OFFSET(raw_exchange_data!$A587,0,MATCH(S$2,raw_exchange_data!$1:$1,0)-1))</f>
        <v/>
      </c>
      <c r="W588" t="str">
        <f t="shared" si="48"/>
        <v/>
      </c>
      <c r="X588" t="str">
        <f t="shared" si="49"/>
        <v/>
      </c>
      <c r="Y588" s="42" t="str">
        <f t="shared" si="50"/>
        <v/>
      </c>
      <c r="Z588" s="42" t="str">
        <f t="shared" si="51"/>
        <v/>
      </c>
    </row>
    <row r="589" spans="1:26" x14ac:dyDescent="0.25">
      <c r="G589" s="52" t="str">
        <f>IF(Summary_Exchange_Balances_00UTC!$B588="","",VLOOKUP(IF(ISERROR(SEARCH(" ", $B589)),UPPER($B589&amp;$C589&amp;IF(OR(NOT(ISERROR(SEARCH("trade",$D589))),NOT(ISERROR(SEARCH("balance",$D589)))),"",$D589)),UPPER(LEFT($B589, SEARCH(" ",$B589)-1)&amp;$C589&amp;IF(OR(NOT(ISERROR(SEARCH("trade",$D589))),NOT(ISERROR(SEARCH("balance",$D589)))),"",$D589))),$L:$T,MATCH("balance",$L$2:$S$2,0),FALSE))</f>
        <v/>
      </c>
      <c r="H589" s="35" t="str">
        <f>IF(Summary_Exchange_Balances_00UTC!$B588="","",(G589-E589)/E589)</f>
        <v/>
      </c>
      <c r="I589" s="165" t="str">
        <f>IF(Summary_Exchange_Balances_00UTC!$B588="","",IF(ISERROR($G589),$E589,$G589))</f>
        <v/>
      </c>
      <c r="L589" t="str">
        <f t="shared" ca="1" si="47"/>
        <v/>
      </c>
      <c r="N589" s="161" t="str">
        <f ca="1">IF(raw_exchange_data!$A588="","",OFFSET(raw_exchange_data!$A588,0,MATCH(N$2,raw_exchange_data!$1:$1,0)-1))</f>
        <v/>
      </c>
      <c r="O589" s="161" t="str">
        <f ca="1">IF(raw_exchange_data!$A588="","",OFFSET(raw_exchange_data!$A588,0,MATCH(O$2,raw_exchange_data!$1:$1,0)-1))</f>
        <v/>
      </c>
      <c r="P589" s="161" t="str">
        <f ca="1">IF(raw_exchange_data!$A588="","",OFFSET(raw_exchange_data!$A588,0,MATCH(P$2,raw_exchange_data!$1:$1,0)-1))</f>
        <v/>
      </c>
      <c r="Q589" s="161" t="str">
        <f ca="1">IF(raw_exchange_data!$A588="","",TEXT(OFFSET(raw_exchange_data!$A588,0,MATCH(Q$2,raw_exchange_data!$1:$1,0)-1),""))</f>
        <v/>
      </c>
      <c r="R589" s="162" t="str">
        <f ca="1">IF(raw_exchange_data!$A588="","",OFFSET(raw_exchange_data!$A588,0,MATCH(R$2,raw_exchange_data!$1:$1,0)-1))</f>
        <v/>
      </c>
      <c r="S589" s="190" t="str">
        <f ca="1">IF(raw_exchange_data!$A588="","",OFFSET(raw_exchange_data!$A588,0,MATCH(S$2,raw_exchange_data!$1:$1,0)-1))</f>
        <v/>
      </c>
      <c r="W589" t="str">
        <f t="shared" si="48"/>
        <v/>
      </c>
      <c r="X589" t="str">
        <f t="shared" si="49"/>
        <v/>
      </c>
      <c r="Y589" s="42" t="str">
        <f t="shared" si="50"/>
        <v/>
      </c>
      <c r="Z589" s="42" t="str">
        <f t="shared" si="51"/>
        <v/>
      </c>
    </row>
    <row r="590" spans="1:26" x14ac:dyDescent="0.25">
      <c r="G590" s="52" t="str">
        <f>IF(Summary_Exchange_Balances_00UTC!$B589="","",VLOOKUP(IF(ISERROR(SEARCH(" ", $B590)),UPPER($B590&amp;$C590&amp;IF(OR(NOT(ISERROR(SEARCH("trade",$D590))),NOT(ISERROR(SEARCH("balance",$D590)))),"",$D590)),UPPER(LEFT($B590, SEARCH(" ",$B590)-1)&amp;$C590&amp;IF(OR(NOT(ISERROR(SEARCH("trade",$D590))),NOT(ISERROR(SEARCH("balance",$D590)))),"",$D590))),$L:$T,MATCH("balance",$L$2:$S$2,0),FALSE))</f>
        <v/>
      </c>
      <c r="H590" s="35" t="str">
        <f>IF(Summary_Exchange_Balances_00UTC!$B589="","",(G590-E590)/E590)</f>
        <v/>
      </c>
      <c r="I590" s="165" t="str">
        <f>IF(Summary_Exchange_Balances_00UTC!$B589="","",IF(ISERROR($G590),$E590,$G590))</f>
        <v/>
      </c>
      <c r="L590" t="str">
        <f t="shared" ca="1" si="47"/>
        <v/>
      </c>
      <c r="N590" s="161" t="str">
        <f ca="1">IF(raw_exchange_data!$A589="","",OFFSET(raw_exchange_data!$A589,0,MATCH(N$2,raw_exchange_data!$1:$1,0)-1))</f>
        <v/>
      </c>
      <c r="O590" s="161" t="str">
        <f ca="1">IF(raw_exchange_data!$A589="","",OFFSET(raw_exchange_data!$A589,0,MATCH(O$2,raw_exchange_data!$1:$1,0)-1))</f>
        <v/>
      </c>
      <c r="P590" s="161" t="str">
        <f ca="1">IF(raw_exchange_data!$A589="","",OFFSET(raw_exchange_data!$A589,0,MATCH(P$2,raw_exchange_data!$1:$1,0)-1))</f>
        <v/>
      </c>
      <c r="Q590" s="161" t="str">
        <f ca="1">IF(raw_exchange_data!$A589="","",TEXT(OFFSET(raw_exchange_data!$A589,0,MATCH(Q$2,raw_exchange_data!$1:$1,0)-1),""))</f>
        <v/>
      </c>
      <c r="R590" s="162" t="str">
        <f ca="1">IF(raw_exchange_data!$A589="","",OFFSET(raw_exchange_data!$A589,0,MATCH(R$2,raw_exchange_data!$1:$1,0)-1))</f>
        <v/>
      </c>
      <c r="S590" s="190" t="str">
        <f ca="1">IF(raw_exchange_data!$A589="","",OFFSET(raw_exchange_data!$A589,0,MATCH(S$2,raw_exchange_data!$1:$1,0)-1))</f>
        <v/>
      </c>
      <c r="W590" t="str">
        <f t="shared" si="48"/>
        <v/>
      </c>
      <c r="X590" t="str">
        <f t="shared" si="49"/>
        <v/>
      </c>
      <c r="Y590" s="42" t="str">
        <f t="shared" si="50"/>
        <v/>
      </c>
      <c r="Z590" s="42" t="str">
        <f t="shared" si="51"/>
        <v/>
      </c>
    </row>
    <row r="591" spans="1:26" x14ac:dyDescent="0.25">
      <c r="G591" s="52" t="str">
        <f>IF(Summary_Exchange_Balances_00UTC!$B590="","",VLOOKUP(IF(ISERROR(SEARCH(" ", $B591)),UPPER($B591&amp;$C591&amp;IF(OR(NOT(ISERROR(SEARCH("trade",$D591))),NOT(ISERROR(SEARCH("balance",$D591)))),"",$D591)),UPPER(LEFT($B591, SEARCH(" ",$B591)-1)&amp;$C591&amp;IF(OR(NOT(ISERROR(SEARCH("trade",$D591))),NOT(ISERROR(SEARCH("balance",$D591)))),"",$D591))),$L:$T,MATCH("balance",$L$2:$S$2,0),FALSE))</f>
        <v/>
      </c>
      <c r="H591" s="35" t="str">
        <f>IF(Summary_Exchange_Balances_00UTC!$B590="","",(G591-E591)/E591)</f>
        <v/>
      </c>
      <c r="I591" s="165" t="str">
        <f>IF(Summary_Exchange_Balances_00UTC!$B590="","",IF(ISERROR($G591),$E591,$G591))</f>
        <v/>
      </c>
      <c r="L591" t="str">
        <f t="shared" ca="1" si="47"/>
        <v/>
      </c>
      <c r="N591" s="161" t="str">
        <f ca="1">IF(raw_exchange_data!$A590="","",OFFSET(raw_exchange_data!$A590,0,MATCH(N$2,raw_exchange_data!$1:$1,0)-1))</f>
        <v/>
      </c>
      <c r="O591" s="161" t="str">
        <f ca="1">IF(raw_exchange_data!$A590="","",OFFSET(raw_exchange_data!$A590,0,MATCH(O$2,raw_exchange_data!$1:$1,0)-1))</f>
        <v/>
      </c>
      <c r="P591" s="161" t="str">
        <f ca="1">IF(raw_exchange_data!$A590="","",OFFSET(raw_exchange_data!$A590,0,MATCH(P$2,raw_exchange_data!$1:$1,0)-1))</f>
        <v/>
      </c>
      <c r="Q591" s="161" t="str">
        <f ca="1">IF(raw_exchange_data!$A590="","",TEXT(OFFSET(raw_exchange_data!$A590,0,MATCH(Q$2,raw_exchange_data!$1:$1,0)-1),""))</f>
        <v/>
      </c>
      <c r="R591" s="162" t="str">
        <f ca="1">IF(raw_exchange_data!$A590="","",OFFSET(raw_exchange_data!$A590,0,MATCH(R$2,raw_exchange_data!$1:$1,0)-1))</f>
        <v/>
      </c>
      <c r="S591" s="190" t="str">
        <f ca="1">IF(raw_exchange_data!$A590="","",OFFSET(raw_exchange_data!$A590,0,MATCH(S$2,raw_exchange_data!$1:$1,0)-1))</f>
        <v/>
      </c>
      <c r="W591" t="str">
        <f t="shared" si="48"/>
        <v/>
      </c>
      <c r="X591" t="str">
        <f t="shared" si="49"/>
        <v/>
      </c>
      <c r="Y591" s="42" t="str">
        <f t="shared" si="50"/>
        <v/>
      </c>
      <c r="Z591" s="42" t="str">
        <f t="shared" si="51"/>
        <v/>
      </c>
    </row>
    <row r="592" spans="1:26" x14ac:dyDescent="0.25">
      <c r="G592" s="52" t="str">
        <f>IF(Summary_Exchange_Balances_00UTC!$B591="","",VLOOKUP(IF(ISERROR(SEARCH(" ", $B592)),UPPER($B592&amp;$C592&amp;IF(OR(NOT(ISERROR(SEARCH("trade",$D592))),NOT(ISERROR(SEARCH("balance",$D592)))),"",$D592)),UPPER(LEFT($B592, SEARCH(" ",$B592)-1)&amp;$C592&amp;IF(OR(NOT(ISERROR(SEARCH("trade",$D592))),NOT(ISERROR(SEARCH("balance",$D592)))),"",$D592))),$L:$T,MATCH("balance",$L$2:$S$2,0),FALSE))</f>
        <v/>
      </c>
      <c r="H592" s="35" t="str">
        <f>IF(Summary_Exchange_Balances_00UTC!$B591="","",(G592-E592)/E592)</f>
        <v/>
      </c>
      <c r="I592" s="165" t="str">
        <f>IF(Summary_Exchange_Balances_00UTC!$B591="","",IF(ISERROR($G592),$E592,$G592))</f>
        <v/>
      </c>
      <c r="L592" t="str">
        <f t="shared" ca="1" si="47"/>
        <v/>
      </c>
      <c r="N592" s="161" t="str">
        <f ca="1">IF(raw_exchange_data!$A591="","",OFFSET(raw_exchange_data!$A591,0,MATCH(N$2,raw_exchange_data!$1:$1,0)-1))</f>
        <v/>
      </c>
      <c r="O592" s="161" t="str">
        <f ca="1">IF(raw_exchange_data!$A591="","",OFFSET(raw_exchange_data!$A591,0,MATCH(O$2,raw_exchange_data!$1:$1,0)-1))</f>
        <v/>
      </c>
      <c r="P592" s="161" t="str">
        <f ca="1">IF(raw_exchange_data!$A591="","",OFFSET(raw_exchange_data!$A591,0,MATCH(P$2,raw_exchange_data!$1:$1,0)-1))</f>
        <v/>
      </c>
      <c r="Q592" s="161" t="str">
        <f ca="1">IF(raw_exchange_data!$A591="","",TEXT(OFFSET(raw_exchange_data!$A591,0,MATCH(Q$2,raw_exchange_data!$1:$1,0)-1),""))</f>
        <v/>
      </c>
      <c r="R592" s="162" t="str">
        <f ca="1">IF(raw_exchange_data!$A591="","",OFFSET(raw_exchange_data!$A591,0,MATCH(R$2,raw_exchange_data!$1:$1,0)-1))</f>
        <v/>
      </c>
      <c r="S592" s="190" t="str">
        <f ca="1">IF(raw_exchange_data!$A591="","",OFFSET(raw_exchange_data!$A591,0,MATCH(S$2,raw_exchange_data!$1:$1,0)-1))</f>
        <v/>
      </c>
      <c r="W592" t="str">
        <f t="shared" si="48"/>
        <v/>
      </c>
      <c r="X592" t="str">
        <f t="shared" si="49"/>
        <v/>
      </c>
      <c r="Y592" s="42" t="str">
        <f t="shared" si="50"/>
        <v/>
      </c>
      <c r="Z592" s="42" t="str">
        <f t="shared" si="51"/>
        <v/>
      </c>
    </row>
    <row r="593" spans="7:26" x14ac:dyDescent="0.25">
      <c r="G593" s="52" t="str">
        <f>IF(Summary_Exchange_Balances_00UTC!$B592="","",VLOOKUP(IF(ISERROR(SEARCH(" ", $B593)),UPPER($B593&amp;$C593&amp;IF(OR(NOT(ISERROR(SEARCH("trade",$D593))),NOT(ISERROR(SEARCH("balance",$D593)))),"",$D593)),UPPER(LEFT($B593, SEARCH(" ",$B593)-1)&amp;$C593&amp;IF(OR(NOT(ISERROR(SEARCH("trade",$D593))),NOT(ISERROR(SEARCH("balance",$D593)))),"",$D593))),$L:$T,MATCH("balance",$L$2:$S$2,0),FALSE))</f>
        <v/>
      </c>
      <c r="H593" s="35" t="str">
        <f>IF(Summary_Exchange_Balances_00UTC!$B592="","",(G593-E593)/E593)</f>
        <v/>
      </c>
      <c r="I593" s="165" t="str">
        <f>IF(Summary_Exchange_Balances_00UTC!$B592="","",IF(ISERROR($G593),$E593,$G593))</f>
        <v/>
      </c>
      <c r="L593" t="str">
        <f t="shared" ca="1" si="47"/>
        <v/>
      </c>
      <c r="N593" s="161" t="str">
        <f ca="1">IF(raw_exchange_data!$A592="","",OFFSET(raw_exchange_data!$A592,0,MATCH(N$2,raw_exchange_data!$1:$1,0)-1))</f>
        <v/>
      </c>
      <c r="O593" s="161" t="str">
        <f ca="1">IF(raw_exchange_data!$A592="","",OFFSET(raw_exchange_data!$A592,0,MATCH(O$2,raw_exchange_data!$1:$1,0)-1))</f>
        <v/>
      </c>
      <c r="P593" s="161" t="str">
        <f ca="1">IF(raw_exchange_data!$A592="","",OFFSET(raw_exchange_data!$A592,0,MATCH(P$2,raw_exchange_data!$1:$1,0)-1))</f>
        <v/>
      </c>
      <c r="Q593" s="161" t="str">
        <f ca="1">IF(raw_exchange_data!$A592="","",TEXT(OFFSET(raw_exchange_data!$A592,0,MATCH(Q$2,raw_exchange_data!$1:$1,0)-1),""))</f>
        <v/>
      </c>
      <c r="R593" s="162" t="str">
        <f ca="1">IF(raw_exchange_data!$A592="","",OFFSET(raw_exchange_data!$A592,0,MATCH(R$2,raw_exchange_data!$1:$1,0)-1))</f>
        <v/>
      </c>
      <c r="S593" s="190" t="str">
        <f ca="1">IF(raw_exchange_data!$A592="","",OFFSET(raw_exchange_data!$A592,0,MATCH(S$2,raw_exchange_data!$1:$1,0)-1))</f>
        <v/>
      </c>
      <c r="W593" t="str">
        <f t="shared" si="48"/>
        <v/>
      </c>
      <c r="X593" t="str">
        <f t="shared" si="49"/>
        <v/>
      </c>
      <c r="Y593" s="42" t="str">
        <f t="shared" si="50"/>
        <v/>
      </c>
      <c r="Z593" s="42" t="str">
        <f t="shared" si="51"/>
        <v/>
      </c>
    </row>
    <row r="594" spans="7:26" x14ac:dyDescent="0.25">
      <c r="G594" s="52" t="str">
        <f>IF(Summary_Exchange_Balances_00UTC!$B593="","",VLOOKUP(IF(ISERROR(SEARCH(" ", $B594)),UPPER($B594&amp;$C594&amp;IF(OR(NOT(ISERROR(SEARCH("trade",$D594))),NOT(ISERROR(SEARCH("balance",$D594)))),"",$D594)),UPPER(LEFT($B594, SEARCH(" ",$B594)-1)&amp;$C594&amp;IF(OR(NOT(ISERROR(SEARCH("trade",$D594))),NOT(ISERROR(SEARCH("balance",$D594)))),"",$D594))),$L:$T,MATCH("balance",$L$2:$S$2,0),FALSE))</f>
        <v/>
      </c>
      <c r="H594" s="35" t="str">
        <f>IF(Summary_Exchange_Balances_00UTC!$B593="","",(G594-E594)/E594)</f>
        <v/>
      </c>
      <c r="I594" s="165" t="str">
        <f>IF(Summary_Exchange_Balances_00UTC!$B593="","",IF(ISERROR($G594),$E594,$G594))</f>
        <v/>
      </c>
      <c r="L594" t="str">
        <f t="shared" ca="1" si="47"/>
        <v/>
      </c>
      <c r="N594" s="161" t="str">
        <f ca="1">IF(raw_exchange_data!$A593="","",OFFSET(raw_exchange_data!$A593,0,MATCH(N$2,raw_exchange_data!$1:$1,0)-1))</f>
        <v/>
      </c>
      <c r="O594" s="161" t="str">
        <f ca="1">IF(raw_exchange_data!$A593="","",OFFSET(raw_exchange_data!$A593,0,MATCH(O$2,raw_exchange_data!$1:$1,0)-1))</f>
        <v/>
      </c>
      <c r="P594" s="161" t="str">
        <f ca="1">IF(raw_exchange_data!$A593="","",OFFSET(raw_exchange_data!$A593,0,MATCH(P$2,raw_exchange_data!$1:$1,0)-1))</f>
        <v/>
      </c>
      <c r="Q594" s="161" t="str">
        <f ca="1">IF(raw_exchange_data!$A593="","",TEXT(OFFSET(raw_exchange_data!$A593,0,MATCH(Q$2,raw_exchange_data!$1:$1,0)-1),""))</f>
        <v/>
      </c>
      <c r="R594" s="162" t="str">
        <f ca="1">IF(raw_exchange_data!$A593="","",OFFSET(raw_exchange_data!$A593,0,MATCH(R$2,raw_exchange_data!$1:$1,0)-1))</f>
        <v/>
      </c>
      <c r="S594" s="190" t="str">
        <f ca="1">IF(raw_exchange_data!$A593="","",OFFSET(raw_exchange_data!$A593,0,MATCH(S$2,raw_exchange_data!$1:$1,0)-1))</f>
        <v/>
      </c>
      <c r="W594" t="str">
        <f t="shared" si="48"/>
        <v/>
      </c>
      <c r="X594" t="str">
        <f t="shared" si="49"/>
        <v/>
      </c>
      <c r="Y594" s="42" t="str">
        <f t="shared" si="50"/>
        <v/>
      </c>
      <c r="Z594" s="42" t="str">
        <f t="shared" si="51"/>
        <v/>
      </c>
    </row>
    <row r="595" spans="7:26" x14ac:dyDescent="0.25">
      <c r="G595" s="52" t="str">
        <f>IF(Summary_Exchange_Balances_00UTC!$B594="","",VLOOKUP(IF(ISERROR(SEARCH(" ", $B595)),UPPER($B595&amp;$C595&amp;IF(OR(NOT(ISERROR(SEARCH("trade",$D595))),NOT(ISERROR(SEARCH("balance",$D595)))),"",$D595)),UPPER(LEFT($B595, SEARCH(" ",$B595)-1)&amp;$C595&amp;IF(OR(NOT(ISERROR(SEARCH("trade",$D595))),NOT(ISERROR(SEARCH("balance",$D595)))),"",$D595))),$L:$T,MATCH("balance",$L$2:$S$2,0),FALSE))</f>
        <v/>
      </c>
      <c r="H595" s="35" t="str">
        <f>IF(Summary_Exchange_Balances_00UTC!$B594="","",(G595-E595)/E595)</f>
        <v/>
      </c>
      <c r="I595" s="165" t="str">
        <f>IF(Summary_Exchange_Balances_00UTC!$B594="","",IF(ISERROR($G595),$E595,$G595))</f>
        <v/>
      </c>
      <c r="L595" t="str">
        <f t="shared" ca="1" si="47"/>
        <v/>
      </c>
      <c r="N595" s="161" t="str">
        <f ca="1">IF(raw_exchange_data!$A594="","",OFFSET(raw_exchange_data!$A594,0,MATCH(N$2,raw_exchange_data!$1:$1,0)-1))</f>
        <v/>
      </c>
      <c r="O595" s="161" t="str">
        <f ca="1">IF(raw_exchange_data!$A594="","",OFFSET(raw_exchange_data!$A594,0,MATCH(O$2,raw_exchange_data!$1:$1,0)-1))</f>
        <v/>
      </c>
      <c r="P595" s="161" t="str">
        <f ca="1">IF(raw_exchange_data!$A594="","",OFFSET(raw_exchange_data!$A594,0,MATCH(P$2,raw_exchange_data!$1:$1,0)-1))</f>
        <v/>
      </c>
      <c r="Q595" s="161" t="str">
        <f ca="1">IF(raw_exchange_data!$A594="","",TEXT(OFFSET(raw_exchange_data!$A594,0,MATCH(Q$2,raw_exchange_data!$1:$1,0)-1),""))</f>
        <v/>
      </c>
      <c r="R595" s="162" t="str">
        <f ca="1">IF(raw_exchange_data!$A594="","",OFFSET(raw_exchange_data!$A594,0,MATCH(R$2,raw_exchange_data!$1:$1,0)-1))</f>
        <v/>
      </c>
      <c r="S595" s="190" t="str">
        <f ca="1">IF(raw_exchange_data!$A594="","",OFFSET(raw_exchange_data!$A594,0,MATCH(S$2,raw_exchange_data!$1:$1,0)-1))</f>
        <v/>
      </c>
      <c r="W595" t="str">
        <f t="shared" si="48"/>
        <v/>
      </c>
      <c r="X595" t="str">
        <f t="shared" si="49"/>
        <v/>
      </c>
      <c r="Y595" s="42" t="str">
        <f t="shared" si="50"/>
        <v/>
      </c>
      <c r="Z595" s="42" t="str">
        <f t="shared" si="51"/>
        <v/>
      </c>
    </row>
    <row r="596" spans="7:26" x14ac:dyDescent="0.25">
      <c r="G596" s="52" t="str">
        <f>IF(Summary_Exchange_Balances_00UTC!$B595="","",VLOOKUP(IF(ISERROR(SEARCH(" ", $B596)),UPPER($B596&amp;$C596&amp;IF(OR(NOT(ISERROR(SEARCH("trade",$D596))),NOT(ISERROR(SEARCH("balance",$D596)))),"",$D596)),UPPER(LEFT($B596, SEARCH(" ",$B596)-1)&amp;$C596&amp;IF(OR(NOT(ISERROR(SEARCH("trade",$D596))),NOT(ISERROR(SEARCH("balance",$D596)))),"",$D596))),$L:$T,MATCH("balance",$L$2:$S$2,0),FALSE))</f>
        <v/>
      </c>
      <c r="H596" s="35" t="str">
        <f>IF(Summary_Exchange_Balances_00UTC!$B595="","",(G596-E596)/E596)</f>
        <v/>
      </c>
      <c r="I596" s="165" t="str">
        <f>IF(Summary_Exchange_Balances_00UTC!$B595="","",IF(ISERROR($G596),$E596,$G596))</f>
        <v/>
      </c>
      <c r="N596" s="161" t="str">
        <f ca="1">IF(raw_exchange_data!$A595="","",OFFSET(raw_exchange_data!$A595,0,MATCH(N$2,raw_exchange_data!$1:$1,0)-1))</f>
        <v/>
      </c>
      <c r="O596" s="161" t="str">
        <f ca="1">IF(raw_exchange_data!$A595="","",OFFSET(raw_exchange_data!$A595,0,MATCH(O$2,raw_exchange_data!$1:$1,0)-1))</f>
        <v/>
      </c>
      <c r="P596" s="161" t="str">
        <f ca="1">IF(raw_exchange_data!$A595="","",OFFSET(raw_exchange_data!$A595,0,MATCH(P$2,raw_exchange_data!$1:$1,0)-1))</f>
        <v/>
      </c>
      <c r="Q596" s="161" t="str">
        <f ca="1">IF(raw_exchange_data!$A595="","",TEXT(OFFSET(raw_exchange_data!$A595,0,MATCH(Q$2,raw_exchange_data!$1:$1,0)-1),""))</f>
        <v/>
      </c>
      <c r="R596" s="162" t="str">
        <f ca="1">IF(raw_exchange_data!$A595="","",OFFSET(raw_exchange_data!$A595,0,MATCH(R$2,raw_exchange_data!$1:$1,0)-1))</f>
        <v/>
      </c>
      <c r="S596" s="190" t="str">
        <f ca="1">IF(raw_exchange_data!$A595="","",OFFSET(raw_exchange_data!$A595,0,MATCH(S$2,raw_exchange_data!$1:$1,0)-1))</f>
        <v/>
      </c>
      <c r="W596" t="str">
        <f t="shared" si="48"/>
        <v/>
      </c>
      <c r="X596" t="str">
        <f t="shared" si="49"/>
        <v/>
      </c>
      <c r="Y596" s="42" t="str">
        <f t="shared" si="50"/>
        <v/>
      </c>
      <c r="Z596" s="42" t="str">
        <f t="shared" si="51"/>
        <v/>
      </c>
    </row>
    <row r="597" spans="7:26" x14ac:dyDescent="0.25">
      <c r="G597" s="52" t="str">
        <f>IF(Summary_Exchange_Balances_00UTC!$B596="","",VLOOKUP(IF(ISERROR(SEARCH(" ", $B597)),UPPER($B597&amp;$C597&amp;IF(OR(NOT(ISERROR(SEARCH("trade",$D597))),NOT(ISERROR(SEARCH("balance",$D597)))),"",$D597)),UPPER(LEFT($B597, SEARCH(" ",$B597)-1)&amp;$C597&amp;IF(OR(NOT(ISERROR(SEARCH("trade",$D597))),NOT(ISERROR(SEARCH("balance",$D597)))),"",$D597))),$L:$T,MATCH("balance",$L$2:$S$2,0),FALSE))</f>
        <v/>
      </c>
      <c r="H597" s="35" t="str">
        <f>IF(Summary_Exchange_Balances_00UTC!$B596="","",(G597-E597)/E597)</f>
        <v/>
      </c>
      <c r="I597" s="165" t="str">
        <f>IF(Summary_Exchange_Balances_00UTC!$B596="","",IF(ISERROR($G597),$E597,$G597))</f>
        <v/>
      </c>
      <c r="N597" s="161" t="str">
        <f ca="1">IF(raw_exchange_data!$A596="","",OFFSET(raw_exchange_data!$A596,0,MATCH(N$2,raw_exchange_data!$1:$1,0)-1))</f>
        <v/>
      </c>
      <c r="O597" s="161" t="str">
        <f ca="1">IF(raw_exchange_data!$A596="","",OFFSET(raw_exchange_data!$A596,0,MATCH(O$2,raw_exchange_data!$1:$1,0)-1))</f>
        <v/>
      </c>
      <c r="P597" s="161" t="str">
        <f ca="1">IF(raw_exchange_data!$A596="","",OFFSET(raw_exchange_data!$A596,0,MATCH(P$2,raw_exchange_data!$1:$1,0)-1))</f>
        <v/>
      </c>
      <c r="Q597" s="161" t="str">
        <f ca="1">IF(raw_exchange_data!$A596="","",TEXT(OFFSET(raw_exchange_data!$A596,0,MATCH(Q$2,raw_exchange_data!$1:$1,0)-1),""))</f>
        <v/>
      </c>
      <c r="R597" s="162" t="str">
        <f ca="1">IF(raw_exchange_data!$A596="","",OFFSET(raw_exchange_data!$A596,0,MATCH(R$2,raw_exchange_data!$1:$1,0)-1))</f>
        <v/>
      </c>
      <c r="S597" s="190" t="str">
        <f ca="1">IF(raw_exchange_data!$A596="","",OFFSET(raw_exchange_data!$A596,0,MATCH(S$2,raw_exchange_data!$1:$1,0)-1))</f>
        <v/>
      </c>
      <c r="W597" t="str">
        <f t="shared" si="48"/>
        <v/>
      </c>
      <c r="X597" t="str">
        <f t="shared" si="49"/>
        <v/>
      </c>
      <c r="Y597" s="42" t="str">
        <f t="shared" si="50"/>
        <v/>
      </c>
      <c r="Z597" s="42" t="str">
        <f t="shared" si="51"/>
        <v/>
      </c>
    </row>
    <row r="598" spans="7:26" x14ac:dyDescent="0.25">
      <c r="G598" s="52" t="str">
        <f>IF(Summary_Exchange_Balances_00UTC!$B597="","",VLOOKUP(IF(ISERROR(SEARCH(" ", $B598)),UPPER($B598&amp;$C598&amp;IF(OR(NOT(ISERROR(SEARCH("trade",$D598))),NOT(ISERROR(SEARCH("balance",$D598)))),"",$D598)),UPPER(LEFT($B598, SEARCH(" ",$B598)-1)&amp;$C598&amp;IF(OR(NOT(ISERROR(SEARCH("trade",$D598))),NOT(ISERROR(SEARCH("balance",$D598)))),"",$D598))),$L:$T,MATCH("balance",$L$2:$S$2,0),FALSE))</f>
        <v/>
      </c>
      <c r="H598" s="35" t="str">
        <f>IF(Summary_Exchange_Balances_00UTC!$B597="","",(G598-E598)/E598)</f>
        <v/>
      </c>
      <c r="I598" s="165" t="str">
        <f>IF(Summary_Exchange_Balances_00UTC!$B597="","",IF(ISERROR($G598),$E598,$G598))</f>
        <v/>
      </c>
      <c r="N598" s="161" t="str">
        <f ca="1">IF(raw_exchange_data!$A597="","",OFFSET(raw_exchange_data!$A597,0,MATCH(N$2,raw_exchange_data!$1:$1,0)-1))</f>
        <v/>
      </c>
      <c r="O598" s="161" t="str">
        <f ca="1">IF(raw_exchange_data!$A597="","",OFFSET(raw_exchange_data!$A597,0,MATCH(O$2,raw_exchange_data!$1:$1,0)-1))</f>
        <v/>
      </c>
      <c r="P598" s="161" t="str">
        <f ca="1">IF(raw_exchange_data!$A597="","",OFFSET(raw_exchange_data!$A597,0,MATCH(P$2,raw_exchange_data!$1:$1,0)-1))</f>
        <v/>
      </c>
      <c r="Q598" s="161" t="str">
        <f ca="1">IF(raw_exchange_data!$A597="","",TEXT(OFFSET(raw_exchange_data!$A597,0,MATCH(Q$2,raw_exchange_data!$1:$1,0)-1),""))</f>
        <v/>
      </c>
      <c r="R598" s="162" t="str">
        <f ca="1">IF(raw_exchange_data!$A597="","",OFFSET(raw_exchange_data!$A597,0,MATCH(R$2,raw_exchange_data!$1:$1,0)-1))</f>
        <v/>
      </c>
      <c r="S598" s="190" t="str">
        <f ca="1">IF(raw_exchange_data!$A597="","",OFFSET(raw_exchange_data!$A597,0,MATCH(S$2,raw_exchange_data!$1:$1,0)-1))</f>
        <v/>
      </c>
      <c r="W598" t="str">
        <f t="shared" si="48"/>
        <v/>
      </c>
      <c r="X598" t="str">
        <f t="shared" si="49"/>
        <v/>
      </c>
      <c r="Y598" s="42" t="str">
        <f t="shared" si="50"/>
        <v/>
      </c>
      <c r="Z598" s="42" t="str">
        <f t="shared" si="51"/>
        <v/>
      </c>
    </row>
    <row r="599" spans="7:26" x14ac:dyDescent="0.25">
      <c r="G599" s="52" t="str">
        <f>IF(Summary_Exchange_Balances_00UTC!$B598="","",VLOOKUP(IF(ISERROR(SEARCH(" ", $B599)),UPPER($B599&amp;$C599&amp;IF(OR(NOT(ISERROR(SEARCH("trade",$D599))),NOT(ISERROR(SEARCH("balance",$D599)))),"",$D599)),UPPER(LEFT($B599, SEARCH(" ",$B599)-1)&amp;$C599&amp;IF(OR(NOT(ISERROR(SEARCH("trade",$D599))),NOT(ISERROR(SEARCH("balance",$D599)))),"",$D599))),$L:$T,MATCH("balance",$L$2:$S$2,0),FALSE))</f>
        <v/>
      </c>
      <c r="H599" s="35" t="str">
        <f>IF(Summary_Exchange_Balances_00UTC!$B598="","",(G599-E599)/E599)</f>
        <v/>
      </c>
      <c r="I599" s="165" t="str">
        <f>IF(Summary_Exchange_Balances_00UTC!$B598="","",IF(ISERROR($G599),$E599,$G599))</f>
        <v/>
      </c>
      <c r="N599" s="161" t="str">
        <f ca="1">IF(raw_exchange_data!$A598="","",OFFSET(raw_exchange_data!$A598,0,MATCH(N$2,raw_exchange_data!$1:$1,0)-1))</f>
        <v/>
      </c>
      <c r="O599" s="161" t="str">
        <f ca="1">IF(raw_exchange_data!$A598="","",OFFSET(raw_exchange_data!$A598,0,MATCH(O$2,raw_exchange_data!$1:$1,0)-1))</f>
        <v/>
      </c>
      <c r="P599" s="161" t="str">
        <f ca="1">IF(raw_exchange_data!$A598="","",OFFSET(raw_exchange_data!$A598,0,MATCH(P$2,raw_exchange_data!$1:$1,0)-1))</f>
        <v/>
      </c>
      <c r="Q599" s="161" t="str">
        <f ca="1">IF(raw_exchange_data!$A598="","",TEXT(OFFSET(raw_exchange_data!$A598,0,MATCH(Q$2,raw_exchange_data!$1:$1,0)-1),""))</f>
        <v/>
      </c>
      <c r="R599" s="162" t="str">
        <f ca="1">IF(raw_exchange_data!$A598="","",OFFSET(raw_exchange_data!$A598,0,MATCH(R$2,raw_exchange_data!$1:$1,0)-1))</f>
        <v/>
      </c>
      <c r="S599" s="190" t="str">
        <f ca="1">IF(raw_exchange_data!$A598="","",OFFSET(raw_exchange_data!$A598,0,MATCH(S$2,raw_exchange_data!$1:$1,0)-1))</f>
        <v/>
      </c>
      <c r="W599" t="str">
        <f t="shared" si="48"/>
        <v/>
      </c>
      <c r="X599" t="str">
        <f t="shared" si="49"/>
        <v/>
      </c>
      <c r="Y599" s="42" t="str">
        <f t="shared" si="50"/>
        <v/>
      </c>
      <c r="Z599" s="42" t="str">
        <f t="shared" si="51"/>
        <v/>
      </c>
    </row>
    <row r="600" spans="7:26" x14ac:dyDescent="0.25">
      <c r="G600" s="52" t="str">
        <f>IF(Summary_Exchange_Balances_00UTC!$B599="","",VLOOKUP(IF(ISERROR(SEARCH(" ", $B600)),UPPER($B600&amp;$C600&amp;IF(OR(NOT(ISERROR(SEARCH("trade",$D600))),NOT(ISERROR(SEARCH("balance",$D600)))),"",$D600)),UPPER(LEFT($B600, SEARCH(" ",$B600)-1)&amp;$C600&amp;IF(OR(NOT(ISERROR(SEARCH("trade",$D600))),NOT(ISERROR(SEARCH("balance",$D600)))),"",$D600))),$L:$T,MATCH("balance",$L$2:$S$2,0),FALSE))</f>
        <v/>
      </c>
      <c r="H600" s="35" t="str">
        <f>IF(Summary_Exchange_Balances_00UTC!$B599="","",(G600-E600)/E600)</f>
        <v/>
      </c>
      <c r="I600" s="165" t="str">
        <f>IF(Summary_Exchange_Balances_00UTC!$B599="","",IF(ISERROR($G600),$E600,$G600))</f>
        <v/>
      </c>
      <c r="N600" s="161" t="str">
        <f ca="1">IF(raw_exchange_data!$A599="","",OFFSET(raw_exchange_data!$A599,0,MATCH(N$2,raw_exchange_data!$1:$1,0)-1))</f>
        <v/>
      </c>
      <c r="O600" s="161" t="str">
        <f ca="1">IF(raw_exchange_data!$A599="","",OFFSET(raw_exchange_data!$A599,0,MATCH(O$2,raw_exchange_data!$1:$1,0)-1))</f>
        <v/>
      </c>
      <c r="P600" s="161" t="str">
        <f ca="1">IF(raw_exchange_data!$A599="","",OFFSET(raw_exchange_data!$A599,0,MATCH(P$2,raw_exchange_data!$1:$1,0)-1))</f>
        <v/>
      </c>
      <c r="Q600" s="161" t="str">
        <f ca="1">IF(raw_exchange_data!$A599="","",TEXT(OFFSET(raw_exchange_data!$A599,0,MATCH(Q$2,raw_exchange_data!$1:$1,0)-1),""))</f>
        <v/>
      </c>
      <c r="R600" s="162" t="str">
        <f ca="1">IF(raw_exchange_data!$A599="","",OFFSET(raw_exchange_data!$A599,0,MATCH(R$2,raw_exchange_data!$1:$1,0)-1))</f>
        <v/>
      </c>
      <c r="S600" s="190" t="str">
        <f ca="1">IF(raw_exchange_data!$A599="","",OFFSET(raw_exchange_data!$A599,0,MATCH(S$2,raw_exchange_data!$1:$1,0)-1))</f>
        <v/>
      </c>
      <c r="W600" t="str">
        <f t="shared" si="48"/>
        <v/>
      </c>
      <c r="X600" t="str">
        <f t="shared" si="49"/>
        <v/>
      </c>
      <c r="Y600" s="42" t="str">
        <f t="shared" si="50"/>
        <v/>
      </c>
      <c r="Z600" s="42" t="str">
        <f t="shared" si="51"/>
        <v/>
      </c>
    </row>
    <row r="601" spans="7:26" x14ac:dyDescent="0.25">
      <c r="G601" s="52" t="str">
        <f>IF(Summary_Exchange_Balances_00UTC!$B600="","",VLOOKUP(IF(ISERROR(SEARCH(" ", $B601)),UPPER($B601&amp;$C601&amp;IF(OR(NOT(ISERROR(SEARCH("trade",$D601))),NOT(ISERROR(SEARCH("balance",$D601)))),"",$D601)),UPPER(LEFT($B601, SEARCH(" ",$B601)-1)&amp;$C601&amp;IF(OR(NOT(ISERROR(SEARCH("trade",$D601))),NOT(ISERROR(SEARCH("balance",$D601)))),"",$D601))),$L:$T,MATCH("balance",$L$2:$S$2,0),FALSE))</f>
        <v/>
      </c>
      <c r="H601" s="35" t="str">
        <f>IF(Summary_Exchange_Balances_00UTC!$B600="","",(G601-E601)/E601)</f>
        <v/>
      </c>
      <c r="I601" s="165" t="str">
        <f>IF(Summary_Exchange_Balances_00UTC!$B600="","",IF(ISERROR($G601),$E601,$G601))</f>
        <v/>
      </c>
      <c r="N601" s="161" t="str">
        <f ca="1">IF(raw_exchange_data!$A600="","",OFFSET(raw_exchange_data!$A600,0,MATCH(N$2,raw_exchange_data!$1:$1,0)-1))</f>
        <v/>
      </c>
      <c r="O601" s="161" t="str">
        <f ca="1">IF(raw_exchange_data!$A600="","",OFFSET(raw_exchange_data!$A600,0,MATCH(O$2,raw_exchange_data!$1:$1,0)-1))</f>
        <v/>
      </c>
      <c r="P601" s="161" t="str">
        <f ca="1">IF(raw_exchange_data!$A600="","",OFFSET(raw_exchange_data!$A600,0,MATCH(P$2,raw_exchange_data!$1:$1,0)-1))</f>
        <v/>
      </c>
      <c r="Q601" s="161" t="str">
        <f ca="1">IF(raw_exchange_data!$A600="","",TEXT(OFFSET(raw_exchange_data!$A600,0,MATCH(Q$2,raw_exchange_data!$1:$1,0)-1),""))</f>
        <v/>
      </c>
      <c r="R601" s="162" t="str">
        <f ca="1">IF(raw_exchange_data!$A600="","",OFFSET(raw_exchange_data!$A600,0,MATCH(R$2,raw_exchange_data!$1:$1,0)-1))</f>
        <v/>
      </c>
      <c r="S601" s="190" t="str">
        <f ca="1">IF(raw_exchange_data!$A600="","",OFFSET(raw_exchange_data!$A600,0,MATCH(S$2,raw_exchange_data!$1:$1,0)-1))</f>
        <v/>
      </c>
      <c r="W601" t="str">
        <f t="shared" si="48"/>
        <v/>
      </c>
      <c r="X601" t="str">
        <f t="shared" si="49"/>
        <v/>
      </c>
      <c r="Y601" s="42" t="str">
        <f t="shared" si="50"/>
        <v/>
      </c>
      <c r="Z601" s="42" t="str">
        <f t="shared" si="51"/>
        <v/>
      </c>
    </row>
    <row r="602" spans="7:26" x14ac:dyDescent="0.25">
      <c r="G602" s="52" t="str">
        <f>IF(Summary_Exchange_Balances_00UTC!$B601="","",VLOOKUP(IF(ISERROR(SEARCH(" ", $B602)),UPPER($B602&amp;$C602&amp;IF(OR(NOT(ISERROR(SEARCH("trade",$D602))),NOT(ISERROR(SEARCH("balance",$D602)))),"",$D602)),UPPER(LEFT($B602, SEARCH(" ",$B602)-1)&amp;$C602&amp;IF(OR(NOT(ISERROR(SEARCH("trade",$D602))),NOT(ISERROR(SEARCH("balance",$D602)))),"",$D602))),$L:$T,MATCH("balance",$L$2:$S$2,0),FALSE))</f>
        <v/>
      </c>
      <c r="H602" s="35" t="str">
        <f>IF(Summary_Exchange_Balances_00UTC!$B601="","",(G602-E602)/E602)</f>
        <v/>
      </c>
      <c r="I602" s="165" t="str">
        <f>IF(Summary_Exchange_Balances_00UTC!$B601="","",IF(ISERROR($G602),$E602,$G602))</f>
        <v/>
      </c>
      <c r="N602" s="161" t="str">
        <f ca="1">IF(raw_exchange_data!$A601="","",OFFSET(raw_exchange_data!$A601,0,MATCH(N$2,raw_exchange_data!$1:$1,0)-1))</f>
        <v/>
      </c>
      <c r="O602" s="161" t="str">
        <f ca="1">IF(raw_exchange_data!$A601="","",OFFSET(raw_exchange_data!$A601,0,MATCH(O$2,raw_exchange_data!$1:$1,0)-1))</f>
        <v/>
      </c>
      <c r="P602" s="161" t="str">
        <f ca="1">IF(raw_exchange_data!$A601="","",OFFSET(raw_exchange_data!$A601,0,MATCH(P$2,raw_exchange_data!$1:$1,0)-1))</f>
        <v/>
      </c>
      <c r="Q602" s="161" t="str">
        <f ca="1">IF(raw_exchange_data!$A601="","",TEXT(OFFSET(raw_exchange_data!$A601,0,MATCH(Q$2,raw_exchange_data!$1:$1,0)-1),""))</f>
        <v/>
      </c>
      <c r="R602" s="162" t="str">
        <f ca="1">IF(raw_exchange_data!$A601="","",OFFSET(raw_exchange_data!$A601,0,MATCH(R$2,raw_exchange_data!$1:$1,0)-1))</f>
        <v/>
      </c>
      <c r="S602" s="190" t="str">
        <f ca="1">IF(raw_exchange_data!$A601="","",OFFSET(raw_exchange_data!$A601,0,MATCH(S$2,raw_exchange_data!$1:$1,0)-1))</f>
        <v/>
      </c>
      <c r="W602" t="str">
        <f t="shared" si="48"/>
        <v/>
      </c>
      <c r="X602" t="str">
        <f t="shared" si="49"/>
        <v/>
      </c>
      <c r="Y602" s="42" t="str">
        <f t="shared" si="50"/>
        <v/>
      </c>
      <c r="Z602" s="42" t="str">
        <f t="shared" si="51"/>
        <v/>
      </c>
    </row>
    <row r="603" spans="7:26" x14ac:dyDescent="0.25">
      <c r="G603" s="52" t="str">
        <f>IF(Summary_Exchange_Balances_00UTC!$B602="","",VLOOKUP(IF(ISERROR(SEARCH(" ", $B603)),UPPER($B603&amp;$C603&amp;IF(OR(NOT(ISERROR(SEARCH("trade",$D603))),NOT(ISERROR(SEARCH("balance",$D603)))),"",$D603)),UPPER(LEFT($B603, SEARCH(" ",$B603)-1)&amp;$C603&amp;IF(OR(NOT(ISERROR(SEARCH("trade",$D603))),NOT(ISERROR(SEARCH("balance",$D603)))),"",$D603))),$L:$T,MATCH("balance",$L$2:$S$2,0),FALSE))</f>
        <v/>
      </c>
      <c r="H603" s="35" t="str">
        <f>IF(Summary_Exchange_Balances_00UTC!$B602="","",(G603-E603)/E603)</f>
        <v/>
      </c>
      <c r="I603" s="165" t="str">
        <f>IF(Summary_Exchange_Balances_00UTC!$B602="","",IF(ISERROR($G603),$E603,$G603))</f>
        <v/>
      </c>
      <c r="N603" s="161" t="str">
        <f ca="1">IF(raw_exchange_data!$A602="","",OFFSET(raw_exchange_data!$A602,0,MATCH(N$2,raw_exchange_data!$1:$1,0)-1))</f>
        <v/>
      </c>
      <c r="O603" s="161" t="str">
        <f ca="1">IF(raw_exchange_data!$A602="","",OFFSET(raw_exchange_data!$A602,0,MATCH(O$2,raw_exchange_data!$1:$1,0)-1))</f>
        <v/>
      </c>
      <c r="P603" s="161" t="str">
        <f ca="1">IF(raw_exchange_data!$A602="","",OFFSET(raw_exchange_data!$A602,0,MATCH(P$2,raw_exchange_data!$1:$1,0)-1))</f>
        <v/>
      </c>
      <c r="Q603" s="161" t="str">
        <f ca="1">IF(raw_exchange_data!$A602="","",TEXT(OFFSET(raw_exchange_data!$A602,0,MATCH(Q$2,raw_exchange_data!$1:$1,0)-1),""))</f>
        <v/>
      </c>
      <c r="R603" s="162" t="str">
        <f ca="1">IF(raw_exchange_data!$A602="","",OFFSET(raw_exchange_data!$A602,0,MATCH(R$2,raw_exchange_data!$1:$1,0)-1))</f>
        <v/>
      </c>
      <c r="S603" s="190" t="str">
        <f ca="1">IF(raw_exchange_data!$A602="","",OFFSET(raw_exchange_data!$A602,0,MATCH(S$2,raw_exchange_data!$1:$1,0)-1))</f>
        <v/>
      </c>
      <c r="W603" t="str">
        <f t="shared" si="48"/>
        <v/>
      </c>
      <c r="X603" t="str">
        <f t="shared" si="49"/>
        <v/>
      </c>
      <c r="Y603" s="42" t="str">
        <f t="shared" si="50"/>
        <v/>
      </c>
      <c r="Z603" s="42" t="str">
        <f t="shared" si="51"/>
        <v/>
      </c>
    </row>
    <row r="604" spans="7:26" x14ac:dyDescent="0.25">
      <c r="G604" s="52" t="str">
        <f>IF(Summary_Exchange_Balances_00UTC!$B603="","",VLOOKUP(IF(ISERROR(SEARCH(" ", $B604)),UPPER($B604&amp;$C604&amp;IF(OR(NOT(ISERROR(SEARCH("trade",$D604))),NOT(ISERROR(SEARCH("balance",$D604)))),"",$D604)),UPPER(LEFT($B604, SEARCH(" ",$B604)-1)&amp;$C604&amp;IF(OR(NOT(ISERROR(SEARCH("trade",$D604))),NOT(ISERROR(SEARCH("balance",$D604)))),"",$D604))),$L:$T,MATCH("balance",$L$2:$S$2,0),FALSE))</f>
        <v/>
      </c>
      <c r="H604" s="35" t="str">
        <f>IF(Summary_Exchange_Balances_00UTC!$B603="","",(G604-E604)/E604)</f>
        <v/>
      </c>
      <c r="I604" s="165" t="str">
        <f>IF(Summary_Exchange_Balances_00UTC!$B603="","",IF(ISERROR($G604),$E604,$G604))</f>
        <v/>
      </c>
      <c r="N604" s="161" t="str">
        <f ca="1">IF(raw_exchange_data!$A603="","",OFFSET(raw_exchange_data!$A603,0,MATCH(N$2,raw_exchange_data!$1:$1,0)-1))</f>
        <v/>
      </c>
      <c r="O604" s="161" t="str">
        <f ca="1">IF(raw_exchange_data!$A603="","",OFFSET(raw_exchange_data!$A603,0,MATCH(O$2,raw_exchange_data!$1:$1,0)-1))</f>
        <v/>
      </c>
      <c r="P604" s="161" t="str">
        <f ca="1">IF(raw_exchange_data!$A603="","",OFFSET(raw_exchange_data!$A603,0,MATCH(P$2,raw_exchange_data!$1:$1,0)-1))</f>
        <v/>
      </c>
      <c r="Q604" s="161" t="str">
        <f ca="1">IF(raw_exchange_data!$A603="","",TEXT(OFFSET(raw_exchange_data!$A603,0,MATCH(Q$2,raw_exchange_data!$1:$1,0)-1),""))</f>
        <v/>
      </c>
      <c r="R604" s="162" t="str">
        <f ca="1">IF(raw_exchange_data!$A603="","",OFFSET(raw_exchange_data!$A603,0,MATCH(R$2,raw_exchange_data!$1:$1,0)-1))</f>
        <v/>
      </c>
      <c r="S604" s="190" t="str">
        <f ca="1">IF(raw_exchange_data!$A603="","",OFFSET(raw_exchange_data!$A603,0,MATCH(S$2,raw_exchange_data!$1:$1,0)-1))</f>
        <v/>
      </c>
      <c r="W604" t="str">
        <f t="shared" si="48"/>
        <v/>
      </c>
      <c r="X604" t="str">
        <f t="shared" si="49"/>
        <v/>
      </c>
      <c r="Y604" s="42" t="str">
        <f t="shared" si="50"/>
        <v/>
      </c>
      <c r="Z604" s="42" t="str">
        <f t="shared" si="51"/>
        <v/>
      </c>
    </row>
    <row r="605" spans="7:26" x14ac:dyDescent="0.25">
      <c r="G605" s="52" t="str">
        <f>IF(Summary_Exchange_Balances_00UTC!$B604="","",VLOOKUP(IF(ISERROR(SEARCH(" ", $B605)),UPPER($B605&amp;$C605&amp;IF(OR(NOT(ISERROR(SEARCH("trade",$D605))),NOT(ISERROR(SEARCH("balance",$D605)))),"",$D605)),UPPER(LEFT($B605, SEARCH(" ",$B605)-1)&amp;$C605&amp;IF(OR(NOT(ISERROR(SEARCH("trade",$D605))),NOT(ISERROR(SEARCH("balance",$D605)))),"",$D605))),$L:$T,MATCH("balance",$L$2:$S$2,0),FALSE))</f>
        <v/>
      </c>
      <c r="H605" s="35" t="str">
        <f>IF(Summary_Exchange_Balances_00UTC!$B604="","",(G605-E605)/E605)</f>
        <v/>
      </c>
      <c r="I605" s="165" t="str">
        <f>IF(Summary_Exchange_Balances_00UTC!$B604="","",IF(ISERROR($G605),$E605,$G605))</f>
        <v/>
      </c>
      <c r="N605" s="161" t="str">
        <f ca="1">IF(raw_exchange_data!$A604="","",OFFSET(raw_exchange_data!$A604,0,MATCH(N$2,raw_exchange_data!$1:$1,0)-1))</f>
        <v/>
      </c>
      <c r="O605" s="161" t="str">
        <f ca="1">IF(raw_exchange_data!$A604="","",OFFSET(raw_exchange_data!$A604,0,MATCH(O$2,raw_exchange_data!$1:$1,0)-1))</f>
        <v/>
      </c>
      <c r="P605" s="161" t="str">
        <f ca="1">IF(raw_exchange_data!$A604="","",OFFSET(raw_exchange_data!$A604,0,MATCH(P$2,raw_exchange_data!$1:$1,0)-1))</f>
        <v/>
      </c>
      <c r="Q605" s="161" t="str">
        <f ca="1">IF(raw_exchange_data!$A604="","",TEXT(OFFSET(raw_exchange_data!$A604,0,MATCH(Q$2,raw_exchange_data!$1:$1,0)-1),""))</f>
        <v/>
      </c>
      <c r="R605" s="162" t="str">
        <f ca="1">IF(raw_exchange_data!$A604="","",OFFSET(raw_exchange_data!$A604,0,MATCH(R$2,raw_exchange_data!$1:$1,0)-1))</f>
        <v/>
      </c>
      <c r="S605" s="190" t="str">
        <f ca="1">IF(raw_exchange_data!$A604="","",OFFSET(raw_exchange_data!$A604,0,MATCH(S$2,raw_exchange_data!$1:$1,0)-1))</f>
        <v/>
      </c>
      <c r="W605" t="str">
        <f t="shared" si="48"/>
        <v/>
      </c>
      <c r="X605" t="str">
        <f t="shared" si="49"/>
        <v/>
      </c>
      <c r="Y605" s="42" t="str">
        <f t="shared" si="50"/>
        <v/>
      </c>
      <c r="Z605" s="42" t="str">
        <f t="shared" si="51"/>
        <v/>
      </c>
    </row>
    <row r="606" spans="7:26" x14ac:dyDescent="0.25">
      <c r="G606" s="52" t="str">
        <f>IF(Summary_Exchange_Balances_00UTC!$B605="","",VLOOKUP(IF(ISERROR(SEARCH(" ", $B606)),UPPER($B606&amp;$C606&amp;IF(OR(NOT(ISERROR(SEARCH("trade",$D606))),NOT(ISERROR(SEARCH("balance",$D606)))),"",$D606)),UPPER(LEFT($B606, SEARCH(" ",$B606)-1)&amp;$C606&amp;IF(OR(NOT(ISERROR(SEARCH("trade",$D606))),NOT(ISERROR(SEARCH("balance",$D606)))),"",$D606))),$L:$T,MATCH("balance",$L$2:$S$2,0),FALSE))</f>
        <v/>
      </c>
      <c r="H606" s="35" t="str">
        <f>IF(Summary_Exchange_Balances_00UTC!$B605="","",(G606-E606)/E606)</f>
        <v/>
      </c>
      <c r="I606" s="165" t="str">
        <f>IF(Summary_Exchange_Balances_00UTC!$B605="","",IF(ISERROR($G606),$E606,$G606))</f>
        <v/>
      </c>
      <c r="N606" s="161" t="str">
        <f ca="1">IF(raw_exchange_data!$A605="","",OFFSET(raw_exchange_data!$A605,0,MATCH(N$2,raw_exchange_data!$1:$1,0)-1))</f>
        <v/>
      </c>
      <c r="O606" s="161" t="str">
        <f ca="1">IF(raw_exchange_data!$A605="","",OFFSET(raw_exchange_data!$A605,0,MATCH(O$2,raw_exchange_data!$1:$1,0)-1))</f>
        <v/>
      </c>
      <c r="P606" s="161" t="str">
        <f ca="1">IF(raw_exchange_data!$A605="","",OFFSET(raw_exchange_data!$A605,0,MATCH(P$2,raw_exchange_data!$1:$1,0)-1))</f>
        <v/>
      </c>
      <c r="Q606" s="161" t="str">
        <f ca="1">IF(raw_exchange_data!$A605="","",TEXT(OFFSET(raw_exchange_data!$A605,0,MATCH(Q$2,raw_exchange_data!$1:$1,0)-1),""))</f>
        <v/>
      </c>
      <c r="R606" s="162" t="str">
        <f ca="1">IF(raw_exchange_data!$A605="","",OFFSET(raw_exchange_data!$A605,0,MATCH(R$2,raw_exchange_data!$1:$1,0)-1))</f>
        <v/>
      </c>
      <c r="S606" s="190" t="str">
        <f ca="1">IF(raw_exchange_data!$A605="","",OFFSET(raw_exchange_data!$A605,0,MATCH(S$2,raw_exchange_data!$1:$1,0)-1))</f>
        <v/>
      </c>
      <c r="W606" t="str">
        <f t="shared" si="48"/>
        <v/>
      </c>
      <c r="X606" t="str">
        <f t="shared" si="49"/>
        <v/>
      </c>
      <c r="Y606" s="42" t="str">
        <f t="shared" si="50"/>
        <v/>
      </c>
      <c r="Z606" s="42" t="str">
        <f t="shared" si="51"/>
        <v/>
      </c>
    </row>
    <row r="607" spans="7:26" x14ac:dyDescent="0.25">
      <c r="G607" s="52" t="str">
        <f>IF(Summary_Exchange_Balances_00UTC!$B606="","",VLOOKUP(IF(ISERROR(SEARCH(" ", $B607)),UPPER($B607&amp;$C607&amp;IF(OR(NOT(ISERROR(SEARCH("trade",$D607))),NOT(ISERROR(SEARCH("balance",$D607)))),"",$D607)),UPPER(LEFT($B607, SEARCH(" ",$B607)-1)&amp;$C607&amp;IF(OR(NOT(ISERROR(SEARCH("trade",$D607))),NOT(ISERROR(SEARCH("balance",$D607)))),"",$D607))),$L:$T,MATCH("balance",$L$2:$S$2,0),FALSE))</f>
        <v/>
      </c>
      <c r="H607" s="35" t="str">
        <f>IF(Summary_Exchange_Balances_00UTC!$B606="","",(G607-E607)/E607)</f>
        <v/>
      </c>
      <c r="I607" s="165" t="str">
        <f>IF(Summary_Exchange_Balances_00UTC!$B606="","",IF(ISERROR($G607),$E607,$G607))</f>
        <v/>
      </c>
      <c r="N607" s="161" t="str">
        <f ca="1">IF(raw_exchange_data!$A606="","",OFFSET(raw_exchange_data!$A606,0,MATCH(N$2,raw_exchange_data!$1:$1,0)-1))</f>
        <v/>
      </c>
      <c r="O607" s="161" t="str">
        <f ca="1">IF(raw_exchange_data!$A606="","",OFFSET(raw_exchange_data!$A606,0,MATCH(O$2,raw_exchange_data!$1:$1,0)-1))</f>
        <v/>
      </c>
      <c r="P607" s="161" t="str">
        <f ca="1">IF(raw_exchange_data!$A606="","",OFFSET(raw_exchange_data!$A606,0,MATCH(P$2,raw_exchange_data!$1:$1,0)-1))</f>
        <v/>
      </c>
      <c r="Q607" s="161" t="str">
        <f ca="1">IF(raw_exchange_data!$A606="","",TEXT(OFFSET(raw_exchange_data!$A606,0,MATCH(Q$2,raw_exchange_data!$1:$1,0)-1),""))</f>
        <v/>
      </c>
      <c r="R607" s="162" t="str">
        <f ca="1">IF(raw_exchange_data!$A606="","",OFFSET(raw_exchange_data!$A606,0,MATCH(R$2,raw_exchange_data!$1:$1,0)-1))</f>
        <v/>
      </c>
      <c r="S607" s="190" t="str">
        <f ca="1">IF(raw_exchange_data!$A606="","",OFFSET(raw_exchange_data!$A606,0,MATCH(S$2,raw_exchange_data!$1:$1,0)-1))</f>
        <v/>
      </c>
      <c r="W607" t="str">
        <f t="shared" si="48"/>
        <v/>
      </c>
      <c r="X607" t="str">
        <f t="shared" si="49"/>
        <v/>
      </c>
      <c r="Y607" s="42" t="str">
        <f t="shared" si="50"/>
        <v/>
      </c>
      <c r="Z607" s="42" t="str">
        <f t="shared" si="51"/>
        <v/>
      </c>
    </row>
    <row r="608" spans="7:26" x14ac:dyDescent="0.25">
      <c r="G608" s="52" t="str">
        <f>IF(Summary_Exchange_Balances_00UTC!$B607="","",VLOOKUP(IF(ISERROR(SEARCH(" ", $B608)),UPPER($B608&amp;$C608&amp;IF(OR(NOT(ISERROR(SEARCH("trade",$D608))),NOT(ISERROR(SEARCH("balance",$D608)))),"",$D608)),UPPER(LEFT($B608, SEARCH(" ",$B608)-1)&amp;$C608&amp;IF(OR(NOT(ISERROR(SEARCH("trade",$D608))),NOT(ISERROR(SEARCH("balance",$D608)))),"",$D608))),$L:$T,MATCH("balance",$L$2:$S$2,0),FALSE))</f>
        <v/>
      </c>
      <c r="H608" s="35" t="str">
        <f>IF(Summary_Exchange_Balances_00UTC!$B607="","",(G608-E608)/E608)</f>
        <v/>
      </c>
      <c r="I608" s="165" t="str">
        <f>IF(Summary_Exchange_Balances_00UTC!$B607="","",IF(ISERROR($G608),$E608,$G608))</f>
        <v/>
      </c>
      <c r="N608" s="161" t="str">
        <f ca="1">IF(raw_exchange_data!$A607="","",OFFSET(raw_exchange_data!$A607,0,MATCH(N$2,raw_exchange_data!$1:$1,0)-1))</f>
        <v/>
      </c>
      <c r="O608" s="161" t="str">
        <f ca="1">IF(raw_exchange_data!$A607="","",OFFSET(raw_exchange_data!$A607,0,MATCH(O$2,raw_exchange_data!$1:$1,0)-1))</f>
        <v/>
      </c>
      <c r="P608" s="161" t="str">
        <f ca="1">IF(raw_exchange_data!$A607="","",OFFSET(raw_exchange_data!$A607,0,MATCH(P$2,raw_exchange_data!$1:$1,0)-1))</f>
        <v/>
      </c>
      <c r="Q608" s="161" t="str">
        <f ca="1">IF(raw_exchange_data!$A607="","",TEXT(OFFSET(raw_exchange_data!$A607,0,MATCH(Q$2,raw_exchange_data!$1:$1,0)-1),""))</f>
        <v/>
      </c>
      <c r="R608" s="162" t="str">
        <f ca="1">IF(raw_exchange_data!$A607="","",OFFSET(raw_exchange_data!$A607,0,MATCH(R$2,raw_exchange_data!$1:$1,0)-1))</f>
        <v/>
      </c>
      <c r="S608" s="190" t="str">
        <f ca="1">IF(raw_exchange_data!$A607="","",OFFSET(raw_exchange_data!$A607,0,MATCH(S$2,raw_exchange_data!$1:$1,0)-1))</f>
        <v/>
      </c>
      <c r="W608" t="str">
        <f t="shared" si="48"/>
        <v/>
      </c>
      <c r="X608" t="str">
        <f t="shared" si="49"/>
        <v/>
      </c>
      <c r="Y608" s="42" t="str">
        <f t="shared" si="50"/>
        <v/>
      </c>
      <c r="Z608" s="42" t="str">
        <f t="shared" si="51"/>
        <v/>
      </c>
    </row>
    <row r="609" spans="7:26" x14ac:dyDescent="0.25">
      <c r="G609" s="52" t="str">
        <f>IF(Summary_Exchange_Balances_00UTC!$B608="","",VLOOKUP(IF(ISERROR(SEARCH(" ", $B609)),UPPER($B609&amp;$C609&amp;IF(OR(NOT(ISERROR(SEARCH("trade",$D609))),NOT(ISERROR(SEARCH("balance",$D609)))),"",$D609)),UPPER(LEFT($B609, SEARCH(" ",$B609)-1)&amp;$C609&amp;IF(OR(NOT(ISERROR(SEARCH("trade",$D609))),NOT(ISERROR(SEARCH("balance",$D609)))),"",$D609))),$L:$T,MATCH("balance",$L$2:$S$2,0),FALSE))</f>
        <v/>
      </c>
      <c r="H609" s="35" t="str">
        <f>IF(Summary_Exchange_Balances_00UTC!$B608="","",(G609-E609)/E609)</f>
        <v/>
      </c>
      <c r="I609" s="165" t="str">
        <f>IF(Summary_Exchange_Balances_00UTC!$B608="","",IF(ISERROR($G609),$E609,$G609))</f>
        <v/>
      </c>
      <c r="N609" s="161" t="str">
        <f ca="1">IF(raw_exchange_data!$A608="","",OFFSET(raw_exchange_data!$A608,0,MATCH(N$2,raw_exchange_data!$1:$1,0)-1))</f>
        <v/>
      </c>
      <c r="O609" s="161" t="str">
        <f ca="1">IF(raw_exchange_data!$A608="","",OFFSET(raw_exchange_data!$A608,0,MATCH(O$2,raw_exchange_data!$1:$1,0)-1))</f>
        <v/>
      </c>
      <c r="P609" s="161" t="str">
        <f ca="1">IF(raw_exchange_data!$A608="","",OFFSET(raw_exchange_data!$A608,0,MATCH(P$2,raw_exchange_data!$1:$1,0)-1))</f>
        <v/>
      </c>
      <c r="Q609" s="161" t="str">
        <f ca="1">IF(raw_exchange_data!$A608="","",TEXT(OFFSET(raw_exchange_data!$A608,0,MATCH(Q$2,raw_exchange_data!$1:$1,0)-1),""))</f>
        <v/>
      </c>
      <c r="R609" s="162" t="str">
        <f ca="1">IF(raw_exchange_data!$A608="","",OFFSET(raw_exchange_data!$A608,0,MATCH(R$2,raw_exchange_data!$1:$1,0)-1))</f>
        <v/>
      </c>
      <c r="S609" s="190" t="str">
        <f ca="1">IF(raw_exchange_data!$A608="","",OFFSET(raw_exchange_data!$A608,0,MATCH(S$2,raw_exchange_data!$1:$1,0)-1))</f>
        <v/>
      </c>
      <c r="W609" t="str">
        <f t="shared" si="48"/>
        <v/>
      </c>
      <c r="X609" t="str">
        <f t="shared" si="49"/>
        <v/>
      </c>
      <c r="Y609" s="42" t="str">
        <f t="shared" si="50"/>
        <v/>
      </c>
      <c r="Z609" s="42" t="str">
        <f t="shared" si="51"/>
        <v/>
      </c>
    </row>
    <row r="610" spans="7:26" x14ac:dyDescent="0.25">
      <c r="G610" s="52" t="str">
        <f>IF(Summary_Exchange_Balances_00UTC!$B609="","",VLOOKUP(IF(ISERROR(SEARCH(" ", $B610)),UPPER($B610&amp;$C610&amp;IF(OR(NOT(ISERROR(SEARCH("trade",$D610))),NOT(ISERROR(SEARCH("balance",$D610)))),"",$D610)),UPPER(LEFT($B610, SEARCH(" ",$B610)-1)&amp;$C610&amp;IF(OR(NOT(ISERROR(SEARCH("trade",$D610))),NOT(ISERROR(SEARCH("balance",$D610)))),"",$D610))),$L:$T,MATCH("balance",$L$2:$S$2,0),FALSE))</f>
        <v/>
      </c>
      <c r="H610" s="35" t="str">
        <f>IF(Summary_Exchange_Balances_00UTC!$B609="","",(G610-E610)/E610)</f>
        <v/>
      </c>
      <c r="I610" s="165" t="str">
        <f>IF(Summary_Exchange_Balances_00UTC!$B609="","",IF(ISERROR($G610),$E610,$G610))</f>
        <v/>
      </c>
      <c r="N610" s="161" t="str">
        <f ca="1">IF(raw_exchange_data!$A609="","",OFFSET(raw_exchange_data!$A609,0,MATCH(N$2,raw_exchange_data!$1:$1,0)-1))</f>
        <v/>
      </c>
      <c r="O610" s="161" t="str">
        <f ca="1">IF(raw_exchange_data!$A609="","",OFFSET(raw_exchange_data!$A609,0,MATCH(O$2,raw_exchange_data!$1:$1,0)-1))</f>
        <v/>
      </c>
      <c r="P610" s="161" t="str">
        <f ca="1">IF(raw_exchange_data!$A609="","",OFFSET(raw_exchange_data!$A609,0,MATCH(P$2,raw_exchange_data!$1:$1,0)-1))</f>
        <v/>
      </c>
      <c r="Q610" s="161" t="str">
        <f ca="1">IF(raw_exchange_data!$A609="","",TEXT(OFFSET(raw_exchange_data!$A609,0,MATCH(Q$2,raw_exchange_data!$1:$1,0)-1),""))</f>
        <v/>
      </c>
      <c r="R610" s="162" t="str">
        <f ca="1">IF(raw_exchange_data!$A609="","",OFFSET(raw_exchange_data!$A609,0,MATCH(R$2,raw_exchange_data!$1:$1,0)-1))</f>
        <v/>
      </c>
      <c r="S610" s="190" t="str">
        <f ca="1">IF(raw_exchange_data!$A609="","",OFFSET(raw_exchange_data!$A609,0,MATCH(S$2,raw_exchange_data!$1:$1,0)-1))</f>
        <v/>
      </c>
      <c r="W610" t="str">
        <f t="shared" si="48"/>
        <v/>
      </c>
      <c r="X610" t="str">
        <f t="shared" si="49"/>
        <v/>
      </c>
      <c r="Y610" s="42" t="str">
        <f t="shared" si="50"/>
        <v/>
      </c>
      <c r="Z610" s="42" t="str">
        <f t="shared" si="51"/>
        <v/>
      </c>
    </row>
    <row r="611" spans="7:26" x14ac:dyDescent="0.25">
      <c r="G611" s="52" t="str">
        <f>IF(Summary_Exchange_Balances_00UTC!$B610="","",VLOOKUP(IF(ISERROR(SEARCH(" ", $B611)),UPPER($B611&amp;$C611&amp;IF(OR(NOT(ISERROR(SEARCH("trade",$D611))),NOT(ISERROR(SEARCH("balance",$D611)))),"",$D611)),UPPER(LEFT($B611, SEARCH(" ",$B611)-1)&amp;$C611&amp;IF(OR(NOT(ISERROR(SEARCH("trade",$D611))),NOT(ISERROR(SEARCH("balance",$D611)))),"",$D611))),$L:$T,MATCH("balance",$L$2:$S$2,0),FALSE))</f>
        <v/>
      </c>
      <c r="H611" s="35" t="str">
        <f>IF(Summary_Exchange_Balances_00UTC!$B610="","",(G611-E611)/E611)</f>
        <v/>
      </c>
      <c r="I611" s="165" t="str">
        <f>IF(Summary_Exchange_Balances_00UTC!$B610="","",IF(ISERROR($G611),$E611,$G611))</f>
        <v/>
      </c>
      <c r="N611" s="161" t="str">
        <f ca="1">IF(raw_exchange_data!$A610="","",OFFSET(raw_exchange_data!$A610,0,MATCH(N$2,raw_exchange_data!$1:$1,0)-1))</f>
        <v/>
      </c>
      <c r="O611" s="161" t="str">
        <f ca="1">IF(raw_exchange_data!$A610="","",OFFSET(raw_exchange_data!$A610,0,MATCH(O$2,raw_exchange_data!$1:$1,0)-1))</f>
        <v/>
      </c>
      <c r="P611" s="161" t="str">
        <f ca="1">IF(raw_exchange_data!$A610="","",OFFSET(raw_exchange_data!$A610,0,MATCH(P$2,raw_exchange_data!$1:$1,0)-1))</f>
        <v/>
      </c>
      <c r="Q611" s="161" t="str">
        <f ca="1">IF(raw_exchange_data!$A610="","",TEXT(OFFSET(raw_exchange_data!$A610,0,MATCH(Q$2,raw_exchange_data!$1:$1,0)-1),""))</f>
        <v/>
      </c>
      <c r="R611" s="162" t="str">
        <f ca="1">IF(raw_exchange_data!$A610="","",OFFSET(raw_exchange_data!$A610,0,MATCH(R$2,raw_exchange_data!$1:$1,0)-1))</f>
        <v/>
      </c>
      <c r="S611" s="190" t="str">
        <f ca="1">IF(raw_exchange_data!$A610="","",OFFSET(raw_exchange_data!$A610,0,MATCH(S$2,raw_exchange_data!$1:$1,0)-1))</f>
        <v/>
      </c>
      <c r="W611" t="str">
        <f t="shared" si="48"/>
        <v/>
      </c>
      <c r="X611" t="str">
        <f t="shared" si="49"/>
        <v/>
      </c>
      <c r="Y611" s="42" t="str">
        <f t="shared" si="50"/>
        <v/>
      </c>
      <c r="Z611" s="42" t="str">
        <f t="shared" si="51"/>
        <v/>
      </c>
    </row>
    <row r="612" spans="7:26" x14ac:dyDescent="0.25">
      <c r="G612" s="52" t="str">
        <f>IF(Summary_Exchange_Balances_00UTC!$B611="","",VLOOKUP(IF(ISERROR(SEARCH(" ", $B612)),UPPER($B612&amp;$C612&amp;IF(OR(NOT(ISERROR(SEARCH("trade",$D612))),NOT(ISERROR(SEARCH("balance",$D612)))),"",$D612)),UPPER(LEFT($B612, SEARCH(" ",$B612)-1)&amp;$C612&amp;IF(OR(NOT(ISERROR(SEARCH("trade",$D612))),NOT(ISERROR(SEARCH("balance",$D612)))),"",$D612))),$L:$T,MATCH("balance",$L$2:$S$2,0),FALSE))</f>
        <v/>
      </c>
      <c r="H612" s="35" t="str">
        <f>IF(Summary_Exchange_Balances_00UTC!$B611="","",(G612-E612)/E612)</f>
        <v/>
      </c>
      <c r="I612" s="165" t="str">
        <f>IF(Summary_Exchange_Balances_00UTC!$B611="","",IF(ISERROR($G612),$E612,$G612))</f>
        <v/>
      </c>
      <c r="N612" s="161" t="str">
        <f ca="1">IF(raw_exchange_data!$A611="","",OFFSET(raw_exchange_data!$A611,0,MATCH(N$2,raw_exchange_data!$1:$1,0)-1))</f>
        <v/>
      </c>
      <c r="O612" s="161" t="str">
        <f ca="1">IF(raw_exchange_data!$A611="","",OFFSET(raw_exchange_data!$A611,0,MATCH(O$2,raw_exchange_data!$1:$1,0)-1))</f>
        <v/>
      </c>
      <c r="P612" s="161" t="str">
        <f ca="1">IF(raw_exchange_data!$A611="","",OFFSET(raw_exchange_data!$A611,0,MATCH(P$2,raw_exchange_data!$1:$1,0)-1))</f>
        <v/>
      </c>
      <c r="Q612" s="161" t="str">
        <f ca="1">IF(raw_exchange_data!$A611="","",TEXT(OFFSET(raw_exchange_data!$A611,0,MATCH(Q$2,raw_exchange_data!$1:$1,0)-1),""))</f>
        <v/>
      </c>
      <c r="R612" s="162" t="str">
        <f ca="1">IF(raw_exchange_data!$A611="","",OFFSET(raw_exchange_data!$A611,0,MATCH(R$2,raw_exchange_data!$1:$1,0)-1))</f>
        <v/>
      </c>
      <c r="S612" s="190" t="str">
        <f ca="1">IF(raw_exchange_data!$A611="","",OFFSET(raw_exchange_data!$A611,0,MATCH(S$2,raw_exchange_data!$1:$1,0)-1))</f>
        <v/>
      </c>
      <c r="W612" t="str">
        <f t="shared" si="48"/>
        <v/>
      </c>
      <c r="X612" t="str">
        <f t="shared" si="49"/>
        <v/>
      </c>
      <c r="Y612" s="42" t="str">
        <f t="shared" si="50"/>
        <v/>
      </c>
      <c r="Z612" s="42" t="str">
        <f t="shared" si="51"/>
        <v/>
      </c>
    </row>
    <row r="613" spans="7:26" x14ac:dyDescent="0.25">
      <c r="G613" s="52" t="str">
        <f>IF(Summary_Exchange_Balances_00UTC!$B612="","",VLOOKUP(IF(ISERROR(SEARCH(" ", $B613)),UPPER($B613&amp;$C613&amp;IF(OR(NOT(ISERROR(SEARCH("trade",$D613))),NOT(ISERROR(SEARCH("balance",$D613)))),"",$D613)),UPPER(LEFT($B613, SEARCH(" ",$B613)-1)&amp;$C613&amp;IF(OR(NOT(ISERROR(SEARCH("trade",$D613))),NOT(ISERROR(SEARCH("balance",$D613)))),"",$D613))),$L:$T,MATCH("balance",$L$2:$S$2,0),FALSE))</f>
        <v/>
      </c>
      <c r="H613" s="35" t="str">
        <f>IF(Summary_Exchange_Balances_00UTC!$B612="","",(G613-E613)/E613)</f>
        <v/>
      </c>
      <c r="I613" s="165" t="str">
        <f>IF(Summary_Exchange_Balances_00UTC!$B612="","",IF(ISERROR($G613),$E613,$G613))</f>
        <v/>
      </c>
      <c r="N613" s="161" t="str">
        <f ca="1">IF(raw_exchange_data!$A612="","",OFFSET(raw_exchange_data!$A612,0,MATCH(N$2,raw_exchange_data!$1:$1,0)-1))</f>
        <v/>
      </c>
      <c r="O613" s="161" t="str">
        <f ca="1">IF(raw_exchange_data!$A612="","",OFFSET(raw_exchange_data!$A612,0,MATCH(O$2,raw_exchange_data!$1:$1,0)-1))</f>
        <v/>
      </c>
      <c r="P613" s="161" t="str">
        <f ca="1">IF(raw_exchange_data!$A612="","",OFFSET(raw_exchange_data!$A612,0,MATCH(P$2,raw_exchange_data!$1:$1,0)-1))</f>
        <v/>
      </c>
      <c r="Q613" s="161" t="str">
        <f ca="1">IF(raw_exchange_data!$A612="","",TEXT(OFFSET(raw_exchange_data!$A612,0,MATCH(Q$2,raw_exchange_data!$1:$1,0)-1),""))</f>
        <v/>
      </c>
      <c r="R613" s="162" t="str">
        <f ca="1">IF(raw_exchange_data!$A612="","",OFFSET(raw_exchange_data!$A612,0,MATCH(R$2,raw_exchange_data!$1:$1,0)-1))</f>
        <v/>
      </c>
      <c r="S613" s="190" t="str">
        <f ca="1">IF(raw_exchange_data!$A612="","",OFFSET(raw_exchange_data!$A612,0,MATCH(S$2,raw_exchange_data!$1:$1,0)-1))</f>
        <v/>
      </c>
      <c r="W613" t="str">
        <f t="shared" si="48"/>
        <v/>
      </c>
      <c r="X613" t="str">
        <f t="shared" si="49"/>
        <v/>
      </c>
      <c r="Y613" s="42" t="str">
        <f t="shared" si="50"/>
        <v/>
      </c>
      <c r="Z613" s="42" t="str">
        <f t="shared" si="51"/>
        <v/>
      </c>
    </row>
    <row r="614" spans="7:26" x14ac:dyDescent="0.25">
      <c r="G614" s="52" t="str">
        <f>IF(Summary_Exchange_Balances_00UTC!$B613="","",VLOOKUP(IF(ISERROR(SEARCH(" ", $B614)),UPPER($B614&amp;$C614&amp;IF(OR(NOT(ISERROR(SEARCH("trade",$D614))),NOT(ISERROR(SEARCH("balance",$D614)))),"",$D614)),UPPER(LEFT($B614, SEARCH(" ",$B614)-1)&amp;$C614&amp;IF(OR(NOT(ISERROR(SEARCH("trade",$D614))),NOT(ISERROR(SEARCH("balance",$D614)))),"",$D614))),$L:$T,MATCH("balance",$L$2:$S$2,0),FALSE))</f>
        <v/>
      </c>
      <c r="H614" s="35" t="str">
        <f>IF(Summary_Exchange_Balances_00UTC!$B613="","",(G614-E614)/E614)</f>
        <v/>
      </c>
      <c r="I614" s="165" t="str">
        <f>IF(Summary_Exchange_Balances_00UTC!$B613="","",IF(ISERROR($G614),$E614,$G614))</f>
        <v/>
      </c>
      <c r="N614" s="161" t="str">
        <f ca="1">IF(raw_exchange_data!$A613="","",OFFSET(raw_exchange_data!$A613,0,MATCH(N$2,raw_exchange_data!$1:$1,0)-1))</f>
        <v/>
      </c>
      <c r="O614" s="161" t="str">
        <f ca="1">IF(raw_exchange_data!$A613="","",OFFSET(raw_exchange_data!$A613,0,MATCH(O$2,raw_exchange_data!$1:$1,0)-1))</f>
        <v/>
      </c>
      <c r="P614" s="161" t="str">
        <f ca="1">IF(raw_exchange_data!$A613="","",OFFSET(raw_exchange_data!$A613,0,MATCH(P$2,raw_exchange_data!$1:$1,0)-1))</f>
        <v/>
      </c>
      <c r="Q614" s="161" t="str">
        <f ca="1">IF(raw_exchange_data!$A613="","",TEXT(OFFSET(raw_exchange_data!$A613,0,MATCH(Q$2,raw_exchange_data!$1:$1,0)-1),""))</f>
        <v/>
      </c>
      <c r="R614" s="162" t="str">
        <f ca="1">IF(raw_exchange_data!$A613="","",OFFSET(raw_exchange_data!$A613,0,MATCH(R$2,raw_exchange_data!$1:$1,0)-1))</f>
        <v/>
      </c>
      <c r="S614" s="190" t="str">
        <f ca="1">IF(raw_exchange_data!$A613="","",OFFSET(raw_exchange_data!$A613,0,MATCH(S$2,raw_exchange_data!$1:$1,0)-1))</f>
        <v/>
      </c>
      <c r="W614" t="str">
        <f t="shared" si="48"/>
        <v/>
      </c>
      <c r="X614" t="str">
        <f t="shared" si="49"/>
        <v/>
      </c>
      <c r="Y614" s="42" t="str">
        <f t="shared" si="50"/>
        <v/>
      </c>
      <c r="Z614" s="42" t="str">
        <f t="shared" si="51"/>
        <v/>
      </c>
    </row>
    <row r="615" spans="7:26" x14ac:dyDescent="0.25">
      <c r="G615" s="52" t="str">
        <f>IF(Summary_Exchange_Balances_00UTC!$B614="","",VLOOKUP(IF(ISERROR(SEARCH(" ", $B615)),UPPER($B615&amp;$C615&amp;IF(OR(NOT(ISERROR(SEARCH("trade",$D615))),NOT(ISERROR(SEARCH("balance",$D615)))),"",$D615)),UPPER(LEFT($B615, SEARCH(" ",$B615)-1)&amp;$C615&amp;IF(OR(NOT(ISERROR(SEARCH("trade",$D615))),NOT(ISERROR(SEARCH("balance",$D615)))),"",$D615))),$L:$T,MATCH("balance",$L$2:$S$2,0),FALSE))</f>
        <v/>
      </c>
      <c r="H615" s="35" t="str">
        <f>IF(Summary_Exchange_Balances_00UTC!$B614="","",(G615-E615)/E615)</f>
        <v/>
      </c>
      <c r="I615" s="165" t="str">
        <f>IF(Summary_Exchange_Balances_00UTC!$B614="","",IF(ISERROR($G615),$E615,$G615))</f>
        <v/>
      </c>
      <c r="N615" s="161" t="str">
        <f ca="1">IF(raw_exchange_data!$A614="","",OFFSET(raw_exchange_data!$A614,0,MATCH(N$2,raw_exchange_data!$1:$1,0)-1))</f>
        <v/>
      </c>
      <c r="O615" s="161" t="str">
        <f ca="1">IF(raw_exchange_data!$A614="","",OFFSET(raw_exchange_data!$A614,0,MATCH(O$2,raw_exchange_data!$1:$1,0)-1))</f>
        <v/>
      </c>
      <c r="P615" s="161" t="str">
        <f ca="1">IF(raw_exchange_data!$A614="","",OFFSET(raw_exchange_data!$A614,0,MATCH(P$2,raw_exchange_data!$1:$1,0)-1))</f>
        <v/>
      </c>
      <c r="Q615" s="161" t="str">
        <f ca="1">IF(raw_exchange_data!$A614="","",TEXT(OFFSET(raw_exchange_data!$A614,0,MATCH(Q$2,raw_exchange_data!$1:$1,0)-1),""))</f>
        <v/>
      </c>
      <c r="R615" s="162" t="str">
        <f ca="1">IF(raw_exchange_data!$A614="","",OFFSET(raw_exchange_data!$A614,0,MATCH(R$2,raw_exchange_data!$1:$1,0)-1))</f>
        <v/>
      </c>
      <c r="S615" s="190" t="str">
        <f ca="1">IF(raw_exchange_data!$A614="","",OFFSET(raw_exchange_data!$A614,0,MATCH(S$2,raw_exchange_data!$1:$1,0)-1))</f>
        <v/>
      </c>
      <c r="W615" t="str">
        <f t="shared" si="48"/>
        <v/>
      </c>
      <c r="X615" t="str">
        <f t="shared" si="49"/>
        <v/>
      </c>
      <c r="Y615" s="42" t="str">
        <f t="shared" si="50"/>
        <v/>
      </c>
      <c r="Z615" s="42" t="str">
        <f t="shared" si="51"/>
        <v/>
      </c>
    </row>
    <row r="616" spans="7:26" x14ac:dyDescent="0.25">
      <c r="G616" s="52" t="str">
        <f>IF(Summary_Exchange_Balances_00UTC!$B615="","",VLOOKUP(IF(ISERROR(SEARCH(" ", $B616)),UPPER($B616&amp;$C616&amp;IF(OR(NOT(ISERROR(SEARCH("trade",$D616))),NOT(ISERROR(SEARCH("balance",$D616)))),"",$D616)),UPPER(LEFT($B616, SEARCH(" ",$B616)-1)&amp;$C616&amp;IF(OR(NOT(ISERROR(SEARCH("trade",$D616))),NOT(ISERROR(SEARCH("balance",$D616)))),"",$D616))),$L:$T,MATCH("balance",$L$2:$S$2,0),FALSE))</f>
        <v/>
      </c>
      <c r="H616" s="35" t="str">
        <f>IF(Summary_Exchange_Balances_00UTC!$B615="","",(G616-E616)/E616)</f>
        <v/>
      </c>
      <c r="I616" s="165" t="str">
        <f>IF(Summary_Exchange_Balances_00UTC!$B615="","",IF(ISERROR($G616),$E616,$G616))</f>
        <v/>
      </c>
      <c r="N616" s="161" t="str">
        <f ca="1">IF(raw_exchange_data!$A615="","",OFFSET(raw_exchange_data!$A615,0,MATCH(N$2,raw_exchange_data!$1:$1,0)-1))</f>
        <v/>
      </c>
      <c r="O616" s="161" t="str">
        <f ca="1">IF(raw_exchange_data!$A615="","",OFFSET(raw_exchange_data!$A615,0,MATCH(O$2,raw_exchange_data!$1:$1,0)-1))</f>
        <v/>
      </c>
      <c r="P616" s="161" t="str">
        <f ca="1">IF(raw_exchange_data!$A615="","",OFFSET(raw_exchange_data!$A615,0,MATCH(P$2,raw_exchange_data!$1:$1,0)-1))</f>
        <v/>
      </c>
      <c r="Q616" s="161" t="str">
        <f ca="1">IF(raw_exchange_data!$A615="","",TEXT(OFFSET(raw_exchange_data!$A615,0,MATCH(Q$2,raw_exchange_data!$1:$1,0)-1),""))</f>
        <v/>
      </c>
      <c r="R616" s="162" t="str">
        <f ca="1">IF(raw_exchange_data!$A615="","",OFFSET(raw_exchange_data!$A615,0,MATCH(R$2,raw_exchange_data!$1:$1,0)-1))</f>
        <v/>
      </c>
      <c r="S616" s="190" t="str">
        <f ca="1">IF(raw_exchange_data!$A615="","",OFFSET(raw_exchange_data!$A615,0,MATCH(S$2,raw_exchange_data!$1:$1,0)-1))</f>
        <v/>
      </c>
      <c r="W616" t="str">
        <f t="shared" si="48"/>
        <v/>
      </c>
      <c r="X616" t="str">
        <f t="shared" si="49"/>
        <v/>
      </c>
      <c r="Y616" s="42" t="str">
        <f t="shared" si="50"/>
        <v/>
      </c>
      <c r="Z616" s="42" t="str">
        <f t="shared" si="51"/>
        <v/>
      </c>
    </row>
    <row r="617" spans="7:26" x14ac:dyDescent="0.25">
      <c r="G617" s="52" t="str">
        <f>IF(Summary_Exchange_Balances_00UTC!$B616="","",VLOOKUP(IF(ISERROR(SEARCH(" ", $B617)),UPPER($B617&amp;$C617&amp;IF(OR(NOT(ISERROR(SEARCH("trade",$D617))),NOT(ISERROR(SEARCH("balance",$D617)))),"",$D617)),UPPER(LEFT($B617, SEARCH(" ",$B617)-1)&amp;$C617&amp;IF(OR(NOT(ISERROR(SEARCH("trade",$D617))),NOT(ISERROR(SEARCH("balance",$D617)))),"",$D617))),$L:$T,MATCH("balance",$L$2:$S$2,0),FALSE))</f>
        <v/>
      </c>
      <c r="H617" s="35" t="str">
        <f>IF(Summary_Exchange_Balances_00UTC!$B616="","",(G617-E617)/E617)</f>
        <v/>
      </c>
      <c r="I617" s="165" t="str">
        <f>IF(Summary_Exchange_Balances_00UTC!$B616="","",IF(ISERROR($G617),$E617,$G617))</f>
        <v/>
      </c>
      <c r="N617" s="161" t="str">
        <f ca="1">IF(raw_exchange_data!$A616="","",OFFSET(raw_exchange_data!$A616,0,MATCH(N$2,raw_exchange_data!$1:$1,0)-1))</f>
        <v/>
      </c>
      <c r="O617" s="161" t="str">
        <f ca="1">IF(raw_exchange_data!$A616="","",OFFSET(raw_exchange_data!$A616,0,MATCH(O$2,raw_exchange_data!$1:$1,0)-1))</f>
        <v/>
      </c>
      <c r="P617" s="161" t="str">
        <f ca="1">IF(raw_exchange_data!$A616="","",OFFSET(raw_exchange_data!$A616,0,MATCH(P$2,raw_exchange_data!$1:$1,0)-1))</f>
        <v/>
      </c>
      <c r="Q617" s="161" t="str">
        <f ca="1">IF(raw_exchange_data!$A616="","",TEXT(OFFSET(raw_exchange_data!$A616,0,MATCH(Q$2,raw_exchange_data!$1:$1,0)-1),""))</f>
        <v/>
      </c>
      <c r="R617" s="162" t="str">
        <f ca="1">IF(raw_exchange_data!$A616="","",OFFSET(raw_exchange_data!$A616,0,MATCH(R$2,raw_exchange_data!$1:$1,0)-1))</f>
        <v/>
      </c>
      <c r="S617" s="190" t="str">
        <f ca="1">IF(raw_exchange_data!$A616="","",OFFSET(raw_exchange_data!$A616,0,MATCH(S$2,raw_exchange_data!$1:$1,0)-1))</f>
        <v/>
      </c>
      <c r="W617" t="str">
        <f t="shared" si="48"/>
        <v/>
      </c>
      <c r="X617" t="str">
        <f t="shared" si="49"/>
        <v/>
      </c>
      <c r="Y617" s="42" t="str">
        <f t="shared" si="50"/>
        <v/>
      </c>
      <c r="Z617" s="42" t="str">
        <f t="shared" si="51"/>
        <v/>
      </c>
    </row>
    <row r="618" spans="7:26" x14ac:dyDescent="0.25">
      <c r="G618" s="52" t="str">
        <f>IF(Summary_Exchange_Balances_00UTC!$B617="","",VLOOKUP(IF(ISERROR(SEARCH(" ", $B618)),UPPER($B618&amp;$C618&amp;IF(OR(NOT(ISERROR(SEARCH("trade",$D618))),NOT(ISERROR(SEARCH("balance",$D618)))),"",$D618)),UPPER(LEFT($B618, SEARCH(" ",$B618)-1)&amp;$C618&amp;IF(OR(NOT(ISERROR(SEARCH("trade",$D618))),NOT(ISERROR(SEARCH("balance",$D618)))),"",$D618))),$L:$T,MATCH("balance",$L$2:$S$2,0),FALSE))</f>
        <v/>
      </c>
      <c r="H618" s="35" t="str">
        <f>IF(Summary_Exchange_Balances_00UTC!$B617="","",(G618-E618)/E618)</f>
        <v/>
      </c>
      <c r="I618" s="165" t="str">
        <f>IF(Summary_Exchange_Balances_00UTC!$B617="","",IF(ISERROR($G618),$E618,$G618))</f>
        <v/>
      </c>
      <c r="N618" s="161" t="str">
        <f ca="1">IF(raw_exchange_data!$A617="","",OFFSET(raw_exchange_data!$A617,0,MATCH(N$2,raw_exchange_data!$1:$1,0)-1))</f>
        <v/>
      </c>
      <c r="O618" s="161" t="str">
        <f ca="1">IF(raw_exchange_data!$A617="","",OFFSET(raw_exchange_data!$A617,0,MATCH(O$2,raw_exchange_data!$1:$1,0)-1))</f>
        <v/>
      </c>
      <c r="P618" s="161" t="str">
        <f ca="1">IF(raw_exchange_data!$A617="","",OFFSET(raw_exchange_data!$A617,0,MATCH(P$2,raw_exchange_data!$1:$1,0)-1))</f>
        <v/>
      </c>
      <c r="Q618" s="161" t="str">
        <f ca="1">IF(raw_exchange_data!$A617="","",TEXT(OFFSET(raw_exchange_data!$A617,0,MATCH(Q$2,raw_exchange_data!$1:$1,0)-1),""))</f>
        <v/>
      </c>
      <c r="R618" s="162" t="str">
        <f ca="1">IF(raw_exchange_data!$A617="","",OFFSET(raw_exchange_data!$A617,0,MATCH(R$2,raw_exchange_data!$1:$1,0)-1))</f>
        <v/>
      </c>
      <c r="S618" s="190" t="str">
        <f ca="1">IF(raw_exchange_data!$A617="","",OFFSET(raw_exchange_data!$A617,0,MATCH(S$2,raw_exchange_data!$1:$1,0)-1))</f>
        <v/>
      </c>
      <c r="W618" t="str">
        <f t="shared" si="48"/>
        <v/>
      </c>
      <c r="X618" t="str">
        <f t="shared" si="49"/>
        <v/>
      </c>
      <c r="Y618" s="42" t="str">
        <f t="shared" si="50"/>
        <v/>
      </c>
      <c r="Z618" s="42" t="str">
        <f t="shared" si="51"/>
        <v/>
      </c>
    </row>
    <row r="619" spans="7:26" x14ac:dyDescent="0.25">
      <c r="G619" s="52" t="str">
        <f>IF(Summary_Exchange_Balances_00UTC!$B618="","",VLOOKUP(IF(ISERROR(SEARCH(" ", $B619)),UPPER($B619&amp;$C619&amp;IF(OR(NOT(ISERROR(SEARCH("trade",$D619))),NOT(ISERROR(SEARCH("balance",$D619)))),"",$D619)),UPPER(LEFT($B619, SEARCH(" ",$B619)-1)&amp;$C619&amp;IF(OR(NOT(ISERROR(SEARCH("trade",$D619))),NOT(ISERROR(SEARCH("balance",$D619)))),"",$D619))),$L:$T,MATCH("balance",$L$2:$S$2,0),FALSE))</f>
        <v/>
      </c>
      <c r="H619" s="35" t="str">
        <f>IF(Summary_Exchange_Balances_00UTC!$B618="","",(G619-E619)/E619)</f>
        <v/>
      </c>
      <c r="I619" s="165" t="str">
        <f>IF(Summary_Exchange_Balances_00UTC!$B618="","",IF(ISERROR($G619),$E619,$G619))</f>
        <v/>
      </c>
      <c r="N619" s="161" t="str">
        <f ca="1">IF(raw_exchange_data!$A618="","",OFFSET(raw_exchange_data!$A618,0,MATCH(N$2,raw_exchange_data!$1:$1,0)-1))</f>
        <v/>
      </c>
      <c r="O619" s="161" t="str">
        <f ca="1">IF(raw_exchange_data!$A618="","",OFFSET(raw_exchange_data!$A618,0,MATCH(O$2,raw_exchange_data!$1:$1,0)-1))</f>
        <v/>
      </c>
      <c r="P619" s="161" t="str">
        <f ca="1">IF(raw_exchange_data!$A618="","",OFFSET(raw_exchange_data!$A618,0,MATCH(P$2,raw_exchange_data!$1:$1,0)-1))</f>
        <v/>
      </c>
      <c r="Q619" s="161" t="str">
        <f ca="1">IF(raw_exchange_data!$A618="","",TEXT(OFFSET(raw_exchange_data!$A618,0,MATCH(Q$2,raw_exchange_data!$1:$1,0)-1),""))</f>
        <v/>
      </c>
      <c r="R619" s="162" t="str">
        <f ca="1">IF(raw_exchange_data!$A618="","",OFFSET(raw_exchange_data!$A618,0,MATCH(R$2,raw_exchange_data!$1:$1,0)-1))</f>
        <v/>
      </c>
      <c r="S619" s="190" t="str">
        <f ca="1">IF(raw_exchange_data!$A618="","",OFFSET(raw_exchange_data!$A618,0,MATCH(S$2,raw_exchange_data!$1:$1,0)-1))</f>
        <v/>
      </c>
      <c r="W619" t="str">
        <f t="shared" si="48"/>
        <v/>
      </c>
      <c r="X619" t="str">
        <f t="shared" si="49"/>
        <v/>
      </c>
      <c r="Y619" s="42" t="str">
        <f t="shared" si="50"/>
        <v/>
      </c>
      <c r="Z619" s="42" t="str">
        <f t="shared" si="51"/>
        <v/>
      </c>
    </row>
    <row r="620" spans="7:26" x14ac:dyDescent="0.25">
      <c r="G620" s="52" t="str">
        <f>IF(Summary_Exchange_Balances_00UTC!$B619="","",VLOOKUP(IF(ISERROR(SEARCH(" ", $B620)),UPPER($B620&amp;$C620&amp;IF(OR(NOT(ISERROR(SEARCH("trade",$D620))),NOT(ISERROR(SEARCH("balance",$D620)))),"",$D620)),UPPER(LEFT($B620, SEARCH(" ",$B620)-1)&amp;$C620&amp;IF(OR(NOT(ISERROR(SEARCH("trade",$D620))),NOT(ISERROR(SEARCH("balance",$D620)))),"",$D620))),$L:$T,MATCH("balance",$L$2:$S$2,0),FALSE))</f>
        <v/>
      </c>
      <c r="H620" s="35" t="str">
        <f>IF(Summary_Exchange_Balances_00UTC!$B619="","",(G620-E620)/E620)</f>
        <v/>
      </c>
      <c r="I620" s="165" t="str">
        <f>IF(Summary_Exchange_Balances_00UTC!$B619="","",IF(ISERROR($G620),$E620,$G620))</f>
        <v/>
      </c>
      <c r="N620" s="161" t="str">
        <f ca="1">IF(raw_exchange_data!$A619="","",OFFSET(raw_exchange_data!$A619,0,MATCH(N$2,raw_exchange_data!$1:$1,0)-1))</f>
        <v/>
      </c>
      <c r="O620" s="161" t="str">
        <f ca="1">IF(raw_exchange_data!$A619="","",OFFSET(raw_exchange_data!$A619,0,MATCH(O$2,raw_exchange_data!$1:$1,0)-1))</f>
        <v/>
      </c>
      <c r="P620" s="161" t="str">
        <f ca="1">IF(raw_exchange_data!$A619="","",OFFSET(raw_exchange_data!$A619,0,MATCH(P$2,raw_exchange_data!$1:$1,0)-1))</f>
        <v/>
      </c>
      <c r="Q620" s="161" t="str">
        <f ca="1">IF(raw_exchange_data!$A619="","",TEXT(OFFSET(raw_exchange_data!$A619,0,MATCH(Q$2,raw_exchange_data!$1:$1,0)-1),""))</f>
        <v/>
      </c>
      <c r="R620" s="162" t="str">
        <f ca="1">IF(raw_exchange_data!$A619="","",OFFSET(raw_exchange_data!$A619,0,MATCH(R$2,raw_exchange_data!$1:$1,0)-1))</f>
        <v/>
      </c>
      <c r="S620" s="190" t="str">
        <f ca="1">IF(raw_exchange_data!$A619="","",OFFSET(raw_exchange_data!$A619,0,MATCH(S$2,raw_exchange_data!$1:$1,0)-1))</f>
        <v/>
      </c>
      <c r="W620" t="str">
        <f t="shared" si="48"/>
        <v/>
      </c>
      <c r="X620" t="str">
        <f t="shared" si="49"/>
        <v/>
      </c>
      <c r="Y620" s="42" t="str">
        <f t="shared" si="50"/>
        <v/>
      </c>
      <c r="Z620" s="42" t="str">
        <f t="shared" si="51"/>
        <v/>
      </c>
    </row>
    <row r="621" spans="7:26" x14ac:dyDescent="0.25">
      <c r="G621" s="52" t="str">
        <f>IF(Summary_Exchange_Balances_00UTC!$B620="","",VLOOKUP(IF(ISERROR(SEARCH(" ", $B621)),UPPER($B621&amp;$C621&amp;IF(OR(NOT(ISERROR(SEARCH("trade",$D621))),NOT(ISERROR(SEARCH("balance",$D621)))),"",$D621)),UPPER(LEFT($B621, SEARCH(" ",$B621)-1)&amp;$C621&amp;IF(OR(NOT(ISERROR(SEARCH("trade",$D621))),NOT(ISERROR(SEARCH("balance",$D621)))),"",$D621))),$L:$T,MATCH("balance",$L$2:$S$2,0),FALSE))</f>
        <v/>
      </c>
      <c r="H621" s="35" t="str">
        <f>IF(Summary_Exchange_Balances_00UTC!$B620="","",(G621-E621)/E621)</f>
        <v/>
      </c>
      <c r="I621" s="165" t="str">
        <f>IF(Summary_Exchange_Balances_00UTC!$B620="","",IF(ISERROR($G621),$E621,$G621))</f>
        <v/>
      </c>
      <c r="N621" s="161" t="str">
        <f ca="1">IF(raw_exchange_data!$A620="","",OFFSET(raw_exchange_data!$A620,0,MATCH(N$2,raw_exchange_data!$1:$1,0)-1))</f>
        <v/>
      </c>
      <c r="O621" s="161" t="str">
        <f ca="1">IF(raw_exchange_data!$A620="","",OFFSET(raw_exchange_data!$A620,0,MATCH(O$2,raw_exchange_data!$1:$1,0)-1))</f>
        <v/>
      </c>
      <c r="P621" s="161" t="str">
        <f ca="1">IF(raw_exchange_data!$A620="","",OFFSET(raw_exchange_data!$A620,0,MATCH(P$2,raw_exchange_data!$1:$1,0)-1))</f>
        <v/>
      </c>
      <c r="Q621" s="161" t="str">
        <f ca="1">IF(raw_exchange_data!$A620="","",TEXT(OFFSET(raw_exchange_data!$A620,0,MATCH(Q$2,raw_exchange_data!$1:$1,0)-1),""))</f>
        <v/>
      </c>
      <c r="R621" s="162" t="str">
        <f ca="1">IF(raw_exchange_data!$A620="","",OFFSET(raw_exchange_data!$A620,0,MATCH(R$2,raw_exchange_data!$1:$1,0)-1))</f>
        <v/>
      </c>
      <c r="S621" s="190" t="str">
        <f ca="1">IF(raw_exchange_data!$A620="","",OFFSET(raw_exchange_data!$A620,0,MATCH(S$2,raw_exchange_data!$1:$1,0)-1))</f>
        <v/>
      </c>
      <c r="W621" t="str">
        <f t="shared" si="48"/>
        <v/>
      </c>
      <c r="X621" t="str">
        <f t="shared" si="49"/>
        <v/>
      </c>
      <c r="Y621" s="42" t="str">
        <f t="shared" si="50"/>
        <v/>
      </c>
      <c r="Z621" s="42" t="str">
        <f t="shared" si="51"/>
        <v/>
      </c>
    </row>
    <row r="622" spans="7:26" x14ac:dyDescent="0.25">
      <c r="G622" s="52" t="str">
        <f>IF(Summary_Exchange_Balances_00UTC!$B621="","",VLOOKUP(IF(ISERROR(SEARCH(" ", $B622)),UPPER($B622&amp;$C622&amp;IF(OR(NOT(ISERROR(SEARCH("trade",$D622))),NOT(ISERROR(SEARCH("balance",$D622)))),"",$D622)),UPPER(LEFT($B622, SEARCH(" ",$B622)-1)&amp;$C622&amp;IF(OR(NOT(ISERROR(SEARCH("trade",$D622))),NOT(ISERROR(SEARCH("balance",$D622)))),"",$D622))),$L:$T,MATCH("balance",$L$2:$S$2,0),FALSE))</f>
        <v/>
      </c>
      <c r="H622" s="35" t="str">
        <f>IF(Summary_Exchange_Balances_00UTC!$B621="","",(G622-E622)/E622)</f>
        <v/>
      </c>
      <c r="I622" s="165" t="str">
        <f>IF(Summary_Exchange_Balances_00UTC!$B621="","",IF(ISERROR($G622),$E622,$G622))</f>
        <v/>
      </c>
      <c r="N622" s="161" t="str">
        <f ca="1">IF(raw_exchange_data!$A621="","",OFFSET(raw_exchange_data!$A621,0,MATCH(N$2,raw_exchange_data!$1:$1,0)-1))</f>
        <v/>
      </c>
      <c r="O622" s="161" t="str">
        <f ca="1">IF(raw_exchange_data!$A621="","",OFFSET(raw_exchange_data!$A621,0,MATCH(O$2,raw_exchange_data!$1:$1,0)-1))</f>
        <v/>
      </c>
      <c r="P622" s="161" t="str">
        <f ca="1">IF(raw_exchange_data!$A621="","",OFFSET(raw_exchange_data!$A621,0,MATCH(P$2,raw_exchange_data!$1:$1,0)-1))</f>
        <v/>
      </c>
      <c r="Q622" s="161" t="str">
        <f ca="1">IF(raw_exchange_data!$A621="","",TEXT(OFFSET(raw_exchange_data!$A621,0,MATCH(Q$2,raw_exchange_data!$1:$1,0)-1),""))</f>
        <v/>
      </c>
      <c r="R622" s="162" t="str">
        <f ca="1">IF(raw_exchange_data!$A621="","",OFFSET(raw_exchange_data!$A621,0,MATCH(R$2,raw_exchange_data!$1:$1,0)-1))</f>
        <v/>
      </c>
      <c r="S622" s="190" t="str">
        <f ca="1">IF(raw_exchange_data!$A621="","",OFFSET(raw_exchange_data!$A621,0,MATCH(S$2,raw_exchange_data!$1:$1,0)-1))</f>
        <v/>
      </c>
      <c r="W622" t="str">
        <f t="shared" si="48"/>
        <v/>
      </c>
      <c r="X622" t="str">
        <f t="shared" si="49"/>
        <v/>
      </c>
      <c r="Y622" s="42" t="str">
        <f t="shared" si="50"/>
        <v/>
      </c>
      <c r="Z622" s="42" t="str">
        <f t="shared" si="51"/>
        <v/>
      </c>
    </row>
    <row r="623" spans="7:26" x14ac:dyDescent="0.25">
      <c r="G623" s="52" t="str">
        <f>IF(Summary_Exchange_Balances_00UTC!$B622="","",VLOOKUP(IF(ISERROR(SEARCH(" ", $B623)),UPPER($B623&amp;$C623&amp;IF(OR(NOT(ISERROR(SEARCH("trade",$D623))),NOT(ISERROR(SEARCH("balance",$D623)))),"",$D623)),UPPER(LEFT($B623, SEARCH(" ",$B623)-1)&amp;$C623&amp;IF(OR(NOT(ISERROR(SEARCH("trade",$D623))),NOT(ISERROR(SEARCH("balance",$D623)))),"",$D623))),$L:$T,MATCH("balance",$L$2:$S$2,0),FALSE))</f>
        <v/>
      </c>
      <c r="H623" s="35" t="str">
        <f>IF(Summary_Exchange_Balances_00UTC!$B622="","",(G623-E623)/E623)</f>
        <v/>
      </c>
      <c r="I623" s="165" t="str">
        <f>IF(Summary_Exchange_Balances_00UTC!$B622="","",IF(ISERROR($G623),$E623,$G623))</f>
        <v/>
      </c>
      <c r="N623" s="161" t="str">
        <f ca="1">IF(raw_exchange_data!$A622="","",OFFSET(raw_exchange_data!$A622,0,MATCH(N$2,raw_exchange_data!$1:$1,0)-1))</f>
        <v/>
      </c>
      <c r="O623" s="161" t="str">
        <f ca="1">IF(raw_exchange_data!$A622="","",OFFSET(raw_exchange_data!$A622,0,MATCH(O$2,raw_exchange_data!$1:$1,0)-1))</f>
        <v/>
      </c>
      <c r="P623" s="161" t="str">
        <f ca="1">IF(raw_exchange_data!$A622="","",OFFSET(raw_exchange_data!$A622,0,MATCH(P$2,raw_exchange_data!$1:$1,0)-1))</f>
        <v/>
      </c>
      <c r="Q623" s="161" t="str">
        <f ca="1">IF(raw_exchange_data!$A622="","",TEXT(OFFSET(raw_exchange_data!$A622,0,MATCH(Q$2,raw_exchange_data!$1:$1,0)-1),""))</f>
        <v/>
      </c>
      <c r="R623" s="162" t="str">
        <f ca="1">IF(raw_exchange_data!$A622="","",OFFSET(raw_exchange_data!$A622,0,MATCH(R$2,raw_exchange_data!$1:$1,0)-1))</f>
        <v/>
      </c>
      <c r="S623" s="190" t="str">
        <f ca="1">IF(raw_exchange_data!$A622="","",OFFSET(raw_exchange_data!$A622,0,MATCH(S$2,raw_exchange_data!$1:$1,0)-1))</f>
        <v/>
      </c>
      <c r="W623" t="str">
        <f t="shared" si="48"/>
        <v/>
      </c>
      <c r="X623" t="str">
        <f t="shared" si="49"/>
        <v/>
      </c>
      <c r="Y623" s="42" t="str">
        <f t="shared" si="50"/>
        <v/>
      </c>
      <c r="Z623" s="42" t="str">
        <f t="shared" si="51"/>
        <v/>
      </c>
    </row>
    <row r="624" spans="7:26" x14ac:dyDescent="0.25">
      <c r="G624" s="52" t="str">
        <f>IF(Summary_Exchange_Balances_00UTC!$B623="","",VLOOKUP(IF(ISERROR(SEARCH(" ", $B624)),UPPER($B624&amp;$C624&amp;IF(OR(NOT(ISERROR(SEARCH("trade",$D624))),NOT(ISERROR(SEARCH("balance",$D624)))),"",$D624)),UPPER(LEFT($B624, SEARCH(" ",$B624)-1)&amp;$C624&amp;IF(OR(NOT(ISERROR(SEARCH("trade",$D624))),NOT(ISERROR(SEARCH("balance",$D624)))),"",$D624))),$L:$T,MATCH("balance",$L$2:$S$2,0),FALSE))</f>
        <v/>
      </c>
      <c r="H624" s="35" t="str">
        <f>IF(Summary_Exchange_Balances_00UTC!$B623="","",(G624-E624)/E624)</f>
        <v/>
      </c>
      <c r="I624" s="165" t="str">
        <f>IF(Summary_Exchange_Balances_00UTC!$B623="","",IF(ISERROR($G624),$E624,$G624))</f>
        <v/>
      </c>
      <c r="N624" s="161" t="str">
        <f ca="1">IF(raw_exchange_data!$A623="","",OFFSET(raw_exchange_data!$A623,0,MATCH(N$2,raw_exchange_data!$1:$1,0)-1))</f>
        <v/>
      </c>
      <c r="O624" s="161" t="str">
        <f ca="1">IF(raw_exchange_data!$A623="","",OFFSET(raw_exchange_data!$A623,0,MATCH(O$2,raw_exchange_data!$1:$1,0)-1))</f>
        <v/>
      </c>
      <c r="P624" s="161" t="str">
        <f ca="1">IF(raw_exchange_data!$A623="","",OFFSET(raw_exchange_data!$A623,0,MATCH(P$2,raw_exchange_data!$1:$1,0)-1))</f>
        <v/>
      </c>
      <c r="Q624" s="161" t="str">
        <f ca="1">IF(raw_exchange_data!$A623="","",TEXT(OFFSET(raw_exchange_data!$A623,0,MATCH(Q$2,raw_exchange_data!$1:$1,0)-1),""))</f>
        <v/>
      </c>
      <c r="R624" s="162" t="str">
        <f ca="1">IF(raw_exchange_data!$A623="","",OFFSET(raw_exchange_data!$A623,0,MATCH(R$2,raw_exchange_data!$1:$1,0)-1))</f>
        <v/>
      </c>
      <c r="S624" s="190" t="str">
        <f ca="1">IF(raw_exchange_data!$A623="","",OFFSET(raw_exchange_data!$A623,0,MATCH(S$2,raw_exchange_data!$1:$1,0)-1))</f>
        <v/>
      </c>
      <c r="W624" t="str">
        <f t="shared" si="48"/>
        <v/>
      </c>
      <c r="X624" t="str">
        <f t="shared" si="49"/>
        <v/>
      </c>
      <c r="Y624" s="42" t="str">
        <f t="shared" si="50"/>
        <v/>
      </c>
      <c r="Z624" s="42" t="str">
        <f t="shared" si="51"/>
        <v/>
      </c>
    </row>
    <row r="625" spans="7:26" x14ac:dyDescent="0.25">
      <c r="G625" s="52" t="str">
        <f>IF(Summary_Exchange_Balances_00UTC!$B624="","",VLOOKUP(IF(ISERROR(SEARCH(" ", $B625)),UPPER($B625&amp;$C625&amp;IF(OR(NOT(ISERROR(SEARCH("trade",$D625))),NOT(ISERROR(SEARCH("balance",$D625)))),"",$D625)),UPPER(LEFT($B625, SEARCH(" ",$B625)-1)&amp;$C625&amp;IF(OR(NOT(ISERROR(SEARCH("trade",$D625))),NOT(ISERROR(SEARCH("balance",$D625)))),"",$D625))),$L:$T,MATCH("balance",$L$2:$S$2,0),FALSE))</f>
        <v/>
      </c>
      <c r="H625" s="35" t="str">
        <f>IF(Summary_Exchange_Balances_00UTC!$B624="","",(G625-E625)/E625)</f>
        <v/>
      </c>
      <c r="I625" s="165" t="str">
        <f>IF(Summary_Exchange_Balances_00UTC!$B624="","",IF(ISERROR($G625),$E625,$G625))</f>
        <v/>
      </c>
      <c r="N625" s="161" t="str">
        <f ca="1">IF(raw_exchange_data!$A624="","",OFFSET(raw_exchange_data!$A624,0,MATCH(N$2,raw_exchange_data!$1:$1,0)-1))</f>
        <v/>
      </c>
      <c r="O625" s="161" t="str">
        <f ca="1">IF(raw_exchange_data!$A624="","",OFFSET(raw_exchange_data!$A624,0,MATCH(O$2,raw_exchange_data!$1:$1,0)-1))</f>
        <v/>
      </c>
      <c r="P625" s="161" t="str">
        <f ca="1">IF(raw_exchange_data!$A624="","",OFFSET(raw_exchange_data!$A624,0,MATCH(P$2,raw_exchange_data!$1:$1,0)-1))</f>
        <v/>
      </c>
      <c r="Q625" s="161" t="str">
        <f ca="1">IF(raw_exchange_data!$A624="","",TEXT(OFFSET(raw_exchange_data!$A624,0,MATCH(Q$2,raw_exchange_data!$1:$1,0)-1),""))</f>
        <v/>
      </c>
      <c r="R625" s="162" t="str">
        <f ca="1">IF(raw_exchange_data!$A624="","",OFFSET(raw_exchange_data!$A624,0,MATCH(R$2,raw_exchange_data!$1:$1,0)-1))</f>
        <v/>
      </c>
      <c r="S625" s="190" t="str">
        <f ca="1">IF(raw_exchange_data!$A624="","",OFFSET(raw_exchange_data!$A624,0,MATCH(S$2,raw_exchange_data!$1:$1,0)-1))</f>
        <v/>
      </c>
      <c r="W625" t="str">
        <f t="shared" si="48"/>
        <v/>
      </c>
      <c r="X625" t="str">
        <f t="shared" si="49"/>
        <v/>
      </c>
      <c r="Y625" s="42" t="str">
        <f t="shared" si="50"/>
        <v/>
      </c>
      <c r="Z625" s="42" t="str">
        <f t="shared" si="51"/>
        <v/>
      </c>
    </row>
    <row r="626" spans="7:26" x14ac:dyDescent="0.25">
      <c r="G626" s="52" t="str">
        <f>IF(Summary_Exchange_Balances_00UTC!$B625="","",VLOOKUP(IF(ISERROR(SEARCH(" ", $B626)),UPPER($B626&amp;$C626&amp;IF(OR(NOT(ISERROR(SEARCH("trade",$D626))),NOT(ISERROR(SEARCH("balance",$D626)))),"",$D626)),UPPER(LEFT($B626, SEARCH(" ",$B626)-1)&amp;$C626&amp;IF(OR(NOT(ISERROR(SEARCH("trade",$D626))),NOT(ISERROR(SEARCH("balance",$D626)))),"",$D626))),$L:$T,MATCH("balance",$L$2:$S$2,0),FALSE))</f>
        <v/>
      </c>
      <c r="H626" s="35" t="str">
        <f>IF(Summary_Exchange_Balances_00UTC!$B625="","",(G626-E626)/E626)</f>
        <v/>
      </c>
      <c r="I626" s="165" t="str">
        <f>IF(Summary_Exchange_Balances_00UTC!$B625="","",IF(ISERROR($G626),$E626,$G626))</f>
        <v/>
      </c>
      <c r="N626" s="161" t="str">
        <f ca="1">IF(raw_exchange_data!$A625="","",OFFSET(raw_exchange_data!$A625,0,MATCH(N$2,raw_exchange_data!$1:$1,0)-1))</f>
        <v/>
      </c>
      <c r="O626" s="161" t="str">
        <f ca="1">IF(raw_exchange_data!$A625="","",OFFSET(raw_exchange_data!$A625,0,MATCH(O$2,raw_exchange_data!$1:$1,0)-1))</f>
        <v/>
      </c>
      <c r="P626" s="161" t="str">
        <f ca="1">IF(raw_exchange_data!$A625="","",OFFSET(raw_exchange_data!$A625,0,MATCH(P$2,raw_exchange_data!$1:$1,0)-1))</f>
        <v/>
      </c>
      <c r="Q626" s="161" t="str">
        <f ca="1">IF(raw_exchange_data!$A625="","",TEXT(OFFSET(raw_exchange_data!$A625,0,MATCH(Q$2,raw_exchange_data!$1:$1,0)-1),""))</f>
        <v/>
      </c>
      <c r="R626" s="162" t="str">
        <f ca="1">IF(raw_exchange_data!$A625="","",OFFSET(raw_exchange_data!$A625,0,MATCH(R$2,raw_exchange_data!$1:$1,0)-1))</f>
        <v/>
      </c>
      <c r="S626" s="190" t="str">
        <f ca="1">IF(raw_exchange_data!$A625="","",OFFSET(raw_exchange_data!$A625,0,MATCH(S$2,raw_exchange_data!$1:$1,0)-1))</f>
        <v/>
      </c>
      <c r="W626" t="str">
        <f t="shared" si="48"/>
        <v/>
      </c>
      <c r="X626" t="str">
        <f t="shared" si="49"/>
        <v/>
      </c>
      <c r="Y626" s="42" t="str">
        <f t="shared" si="50"/>
        <v/>
      </c>
      <c r="Z626" s="42" t="str">
        <f t="shared" si="51"/>
        <v/>
      </c>
    </row>
    <row r="627" spans="7:26" x14ac:dyDescent="0.25">
      <c r="G627" s="52" t="str">
        <f>IF(Summary_Exchange_Balances_00UTC!$B626="","",VLOOKUP(IF(ISERROR(SEARCH(" ", $B627)),UPPER($B627&amp;$C627&amp;IF(OR(NOT(ISERROR(SEARCH("trade",$D627))),NOT(ISERROR(SEARCH("balance",$D627)))),"",$D627)),UPPER(LEFT($B627, SEARCH(" ",$B627)-1)&amp;$C627&amp;IF(OR(NOT(ISERROR(SEARCH("trade",$D627))),NOT(ISERROR(SEARCH("balance",$D627)))),"",$D627))),$L:$T,MATCH("balance",$L$2:$S$2,0),FALSE))</f>
        <v/>
      </c>
      <c r="H627" s="35" t="str">
        <f>IF(Summary_Exchange_Balances_00UTC!$B626="","",(G627-E627)/E627)</f>
        <v/>
      </c>
      <c r="I627" s="165" t="str">
        <f>IF(Summary_Exchange_Balances_00UTC!$B626="","",IF(ISERROR($G627),$E627,$G627))</f>
        <v/>
      </c>
      <c r="N627" s="161" t="str">
        <f ca="1">IF(raw_exchange_data!$A626="","",OFFSET(raw_exchange_data!$A626,0,MATCH(N$2,raw_exchange_data!$1:$1,0)-1))</f>
        <v/>
      </c>
      <c r="O627" s="161" t="str">
        <f ca="1">IF(raw_exchange_data!$A626="","",OFFSET(raw_exchange_data!$A626,0,MATCH(O$2,raw_exchange_data!$1:$1,0)-1))</f>
        <v/>
      </c>
      <c r="P627" s="161" t="str">
        <f ca="1">IF(raw_exchange_data!$A626="","",OFFSET(raw_exchange_data!$A626,0,MATCH(P$2,raw_exchange_data!$1:$1,0)-1))</f>
        <v/>
      </c>
      <c r="Q627" s="161" t="str">
        <f ca="1">IF(raw_exchange_data!$A626="","",TEXT(OFFSET(raw_exchange_data!$A626,0,MATCH(Q$2,raw_exchange_data!$1:$1,0)-1),""))</f>
        <v/>
      </c>
      <c r="R627" s="162" t="str">
        <f ca="1">IF(raw_exchange_data!$A626="","",OFFSET(raw_exchange_data!$A626,0,MATCH(R$2,raw_exchange_data!$1:$1,0)-1))</f>
        <v/>
      </c>
      <c r="S627" s="190" t="str">
        <f ca="1">IF(raw_exchange_data!$A626="","",OFFSET(raw_exchange_data!$A626,0,MATCH(S$2,raw_exchange_data!$1:$1,0)-1))</f>
        <v/>
      </c>
      <c r="W627" t="str">
        <f t="shared" si="48"/>
        <v/>
      </c>
      <c r="X627" t="str">
        <f t="shared" si="49"/>
        <v/>
      </c>
      <c r="Y627" s="42" t="str">
        <f t="shared" si="50"/>
        <v/>
      </c>
      <c r="Z627" s="42" t="str">
        <f t="shared" si="51"/>
        <v/>
      </c>
    </row>
    <row r="628" spans="7:26" x14ac:dyDescent="0.25">
      <c r="G628" s="52" t="str">
        <f>IF(Summary_Exchange_Balances_00UTC!$B627="","",VLOOKUP(IF(ISERROR(SEARCH(" ", $B628)),UPPER($B628&amp;$C628&amp;IF(OR(NOT(ISERROR(SEARCH("trade",$D628))),NOT(ISERROR(SEARCH("balance",$D628)))),"",$D628)),UPPER(LEFT($B628, SEARCH(" ",$B628)-1)&amp;$C628&amp;IF(OR(NOT(ISERROR(SEARCH("trade",$D628))),NOT(ISERROR(SEARCH("balance",$D628)))),"",$D628))),$L:$T,MATCH("balance",$L$2:$S$2,0),FALSE))</f>
        <v/>
      </c>
      <c r="H628" s="35" t="str">
        <f>IF(Summary_Exchange_Balances_00UTC!$B627="","",(G628-E628)/E628)</f>
        <v/>
      </c>
      <c r="I628" s="165" t="str">
        <f>IF(Summary_Exchange_Balances_00UTC!$B627="","",IF(ISERROR($G628),$E628,$G628))</f>
        <v/>
      </c>
      <c r="N628" s="161" t="str">
        <f ca="1">IF(raw_exchange_data!$A627="","",OFFSET(raw_exchange_data!$A627,0,MATCH(N$2,raw_exchange_data!$1:$1,0)-1))</f>
        <v/>
      </c>
      <c r="O628" s="161" t="str">
        <f ca="1">IF(raw_exchange_data!$A627="","",OFFSET(raw_exchange_data!$A627,0,MATCH(O$2,raw_exchange_data!$1:$1,0)-1))</f>
        <v/>
      </c>
      <c r="P628" s="161" t="str">
        <f ca="1">IF(raw_exchange_data!$A627="","",OFFSET(raw_exchange_data!$A627,0,MATCH(P$2,raw_exchange_data!$1:$1,0)-1))</f>
        <v/>
      </c>
      <c r="Q628" s="161" t="str">
        <f ca="1">IF(raw_exchange_data!$A627="","",TEXT(OFFSET(raw_exchange_data!$A627,0,MATCH(Q$2,raw_exchange_data!$1:$1,0)-1),""))</f>
        <v/>
      </c>
      <c r="R628" s="162" t="str">
        <f ca="1">IF(raw_exchange_data!$A627="","",OFFSET(raw_exchange_data!$A627,0,MATCH(R$2,raw_exchange_data!$1:$1,0)-1))</f>
        <v/>
      </c>
      <c r="S628" s="190" t="str">
        <f ca="1">IF(raw_exchange_data!$A627="","",OFFSET(raw_exchange_data!$A627,0,MATCH(S$2,raw_exchange_data!$1:$1,0)-1))</f>
        <v/>
      </c>
      <c r="W628" t="str">
        <f t="shared" si="48"/>
        <v/>
      </c>
      <c r="X628" t="str">
        <f t="shared" si="49"/>
        <v/>
      </c>
      <c r="Y628" s="42" t="str">
        <f t="shared" si="50"/>
        <v/>
      </c>
      <c r="Z628" s="42" t="str">
        <f t="shared" si="51"/>
        <v/>
      </c>
    </row>
    <row r="629" spans="7:26" x14ac:dyDescent="0.25">
      <c r="G629" s="52" t="str">
        <f>IF(Summary_Exchange_Balances_00UTC!$B628="","",VLOOKUP(IF(ISERROR(SEARCH(" ", $B629)),UPPER($B629&amp;$C629&amp;IF(OR(NOT(ISERROR(SEARCH("trade",$D629))),NOT(ISERROR(SEARCH("balance",$D629)))),"",$D629)),UPPER(LEFT($B629, SEARCH(" ",$B629)-1)&amp;$C629&amp;IF(OR(NOT(ISERROR(SEARCH("trade",$D629))),NOT(ISERROR(SEARCH("balance",$D629)))),"",$D629))),$L:$T,MATCH("balance",$L$2:$S$2,0),FALSE))</f>
        <v/>
      </c>
      <c r="H629" s="35" t="str">
        <f>IF(Summary_Exchange_Balances_00UTC!$B628="","",(G629-E629)/E629)</f>
        <v/>
      </c>
      <c r="I629" s="165" t="str">
        <f>IF(Summary_Exchange_Balances_00UTC!$B628="","",IF(ISERROR($G629),$E629,$G629))</f>
        <v/>
      </c>
      <c r="N629" s="161" t="str">
        <f ca="1">IF(raw_exchange_data!$A628="","",OFFSET(raw_exchange_data!$A628,0,MATCH(N$2,raw_exchange_data!$1:$1,0)-1))</f>
        <v/>
      </c>
      <c r="O629" s="161" t="str">
        <f ca="1">IF(raw_exchange_data!$A628="","",OFFSET(raw_exchange_data!$A628,0,MATCH(O$2,raw_exchange_data!$1:$1,0)-1))</f>
        <v/>
      </c>
      <c r="P629" s="161" t="str">
        <f ca="1">IF(raw_exchange_data!$A628="","",OFFSET(raw_exchange_data!$A628,0,MATCH(P$2,raw_exchange_data!$1:$1,0)-1))</f>
        <v/>
      </c>
      <c r="Q629" s="161" t="str">
        <f ca="1">IF(raw_exchange_data!$A628="","",TEXT(OFFSET(raw_exchange_data!$A628,0,MATCH(Q$2,raw_exchange_data!$1:$1,0)-1),""))</f>
        <v/>
      </c>
      <c r="R629" s="162" t="str">
        <f ca="1">IF(raw_exchange_data!$A628="","",OFFSET(raw_exchange_data!$A628,0,MATCH(R$2,raw_exchange_data!$1:$1,0)-1))</f>
        <v/>
      </c>
      <c r="S629" s="190" t="str">
        <f ca="1">IF(raw_exchange_data!$A628="","",OFFSET(raw_exchange_data!$A628,0,MATCH(S$2,raw_exchange_data!$1:$1,0)-1))</f>
        <v/>
      </c>
      <c r="W629" t="str">
        <f t="shared" si="48"/>
        <v/>
      </c>
      <c r="X629" t="str">
        <f t="shared" si="49"/>
        <v/>
      </c>
      <c r="Y629" s="42" t="str">
        <f t="shared" si="50"/>
        <v/>
      </c>
      <c r="Z629" s="42" t="str">
        <f t="shared" si="51"/>
        <v/>
      </c>
    </row>
    <row r="630" spans="7:26" x14ac:dyDescent="0.25">
      <c r="G630" s="52" t="str">
        <f>IF(Summary_Exchange_Balances_00UTC!$B629="","",VLOOKUP(IF(ISERROR(SEARCH(" ", $B630)),UPPER($B630&amp;$C630&amp;IF(OR(NOT(ISERROR(SEARCH("trade",$D630))),NOT(ISERROR(SEARCH("balance",$D630)))),"",$D630)),UPPER(LEFT($B630, SEARCH(" ",$B630)-1)&amp;$C630&amp;IF(OR(NOT(ISERROR(SEARCH("trade",$D630))),NOT(ISERROR(SEARCH("balance",$D630)))),"",$D630))),$L:$T,MATCH("balance",$L$2:$S$2,0),FALSE))</f>
        <v/>
      </c>
      <c r="H630" s="35" t="str">
        <f>IF(Summary_Exchange_Balances_00UTC!$B629="","",(G630-E630)/E630)</f>
        <v/>
      </c>
      <c r="I630" s="165" t="str">
        <f>IF(Summary_Exchange_Balances_00UTC!$B629="","",IF(ISERROR($G630),$E630,$G630))</f>
        <v/>
      </c>
      <c r="N630" s="161" t="str">
        <f ca="1">IF(raw_exchange_data!$A629="","",OFFSET(raw_exchange_data!$A629,0,MATCH(N$2,raw_exchange_data!$1:$1,0)-1))</f>
        <v/>
      </c>
      <c r="O630" s="161" t="str">
        <f ca="1">IF(raw_exchange_data!$A629="","",OFFSET(raw_exchange_data!$A629,0,MATCH(O$2,raw_exchange_data!$1:$1,0)-1))</f>
        <v/>
      </c>
      <c r="P630" s="161" t="str">
        <f ca="1">IF(raw_exchange_data!$A629="","",OFFSET(raw_exchange_data!$A629,0,MATCH(P$2,raw_exchange_data!$1:$1,0)-1))</f>
        <v/>
      </c>
      <c r="Q630" s="161" t="str">
        <f ca="1">IF(raw_exchange_data!$A629="","",TEXT(OFFSET(raw_exchange_data!$A629,0,MATCH(Q$2,raw_exchange_data!$1:$1,0)-1),""))</f>
        <v/>
      </c>
      <c r="R630" s="162" t="str">
        <f ca="1">IF(raw_exchange_data!$A629="","",OFFSET(raw_exchange_data!$A629,0,MATCH(R$2,raw_exchange_data!$1:$1,0)-1))</f>
        <v/>
      </c>
      <c r="S630" s="190" t="str">
        <f ca="1">IF(raw_exchange_data!$A629="","",OFFSET(raw_exchange_data!$A629,0,MATCH(S$2,raw_exchange_data!$1:$1,0)-1))</f>
        <v/>
      </c>
      <c r="W630" t="str">
        <f t="shared" si="48"/>
        <v/>
      </c>
      <c r="X630" t="str">
        <f t="shared" si="49"/>
        <v/>
      </c>
      <c r="Y630" s="42" t="str">
        <f t="shared" si="50"/>
        <v/>
      </c>
      <c r="Z630" s="42" t="str">
        <f t="shared" si="51"/>
        <v/>
      </c>
    </row>
    <row r="631" spans="7:26" x14ac:dyDescent="0.25">
      <c r="G631" s="52" t="str">
        <f>IF(Summary_Exchange_Balances_00UTC!$B630="","",VLOOKUP(IF(ISERROR(SEARCH(" ", $B631)),UPPER($B631&amp;$C631&amp;IF(OR(NOT(ISERROR(SEARCH("trade",$D631))),NOT(ISERROR(SEARCH("balance",$D631)))),"",$D631)),UPPER(LEFT($B631, SEARCH(" ",$B631)-1)&amp;$C631&amp;IF(OR(NOT(ISERROR(SEARCH("trade",$D631))),NOT(ISERROR(SEARCH("balance",$D631)))),"",$D631))),$L:$T,MATCH("balance",$L$2:$S$2,0),FALSE))</f>
        <v/>
      </c>
      <c r="H631" s="35" t="str">
        <f>IF(Summary_Exchange_Balances_00UTC!$B630="","",(G631-E631)/E631)</f>
        <v/>
      </c>
      <c r="I631" s="165" t="str">
        <f>IF(Summary_Exchange_Balances_00UTC!$B630="","",IF(ISERROR($G631),$E631,$G631))</f>
        <v/>
      </c>
      <c r="N631" s="161" t="str">
        <f ca="1">IF(raw_exchange_data!$A630="","",OFFSET(raw_exchange_data!$A630,0,MATCH(N$2,raw_exchange_data!$1:$1,0)-1))</f>
        <v/>
      </c>
      <c r="O631" s="161" t="str">
        <f ca="1">IF(raw_exchange_data!$A630="","",OFFSET(raw_exchange_data!$A630,0,MATCH(O$2,raw_exchange_data!$1:$1,0)-1))</f>
        <v/>
      </c>
      <c r="P631" s="161" t="str">
        <f ca="1">IF(raw_exchange_data!$A630="","",OFFSET(raw_exchange_data!$A630,0,MATCH(P$2,raw_exchange_data!$1:$1,0)-1))</f>
        <v/>
      </c>
      <c r="Q631" s="161" t="str">
        <f ca="1">IF(raw_exchange_data!$A630="","",TEXT(OFFSET(raw_exchange_data!$A630,0,MATCH(Q$2,raw_exchange_data!$1:$1,0)-1),""))</f>
        <v/>
      </c>
      <c r="R631" s="162" t="str">
        <f ca="1">IF(raw_exchange_data!$A630="","",OFFSET(raw_exchange_data!$A630,0,MATCH(R$2,raw_exchange_data!$1:$1,0)-1))</f>
        <v/>
      </c>
      <c r="S631" s="190" t="str">
        <f ca="1">IF(raw_exchange_data!$A630="","",OFFSET(raw_exchange_data!$A630,0,MATCH(S$2,raw_exchange_data!$1:$1,0)-1))</f>
        <v/>
      </c>
      <c r="W631" t="str">
        <f t="shared" si="48"/>
        <v/>
      </c>
      <c r="X631" t="str">
        <f t="shared" si="49"/>
        <v/>
      </c>
      <c r="Y631" s="42" t="str">
        <f t="shared" si="50"/>
        <v/>
      </c>
      <c r="Z631" s="42" t="str">
        <f t="shared" si="51"/>
        <v/>
      </c>
    </row>
    <row r="632" spans="7:26" x14ac:dyDescent="0.25">
      <c r="G632" s="52" t="str">
        <f>IF(Summary_Exchange_Balances_00UTC!$B631="","",VLOOKUP(IF(ISERROR(SEARCH(" ", $B632)),UPPER($B632&amp;$C632&amp;IF(OR(NOT(ISERROR(SEARCH("trade",$D632))),NOT(ISERROR(SEARCH("balance",$D632)))),"",$D632)),UPPER(LEFT($B632, SEARCH(" ",$B632)-1)&amp;$C632&amp;IF(OR(NOT(ISERROR(SEARCH("trade",$D632))),NOT(ISERROR(SEARCH("balance",$D632)))),"",$D632))),$L:$T,MATCH("balance",$L$2:$S$2,0),FALSE))</f>
        <v/>
      </c>
      <c r="H632" s="35" t="str">
        <f>IF(Summary_Exchange_Balances_00UTC!$B631="","",(G632-E632)/E632)</f>
        <v/>
      </c>
      <c r="I632" s="165" t="str">
        <f>IF(Summary_Exchange_Balances_00UTC!$B631="","",IF(ISERROR($G632),$E632,$G632))</f>
        <v/>
      </c>
      <c r="N632" s="161" t="str">
        <f ca="1">IF(raw_exchange_data!$A631="","",OFFSET(raw_exchange_data!$A631,0,MATCH(N$2,raw_exchange_data!$1:$1,0)-1))</f>
        <v/>
      </c>
      <c r="O632" s="161" t="str">
        <f ca="1">IF(raw_exchange_data!$A631="","",OFFSET(raw_exchange_data!$A631,0,MATCH(O$2,raw_exchange_data!$1:$1,0)-1))</f>
        <v/>
      </c>
      <c r="P632" s="161" t="str">
        <f ca="1">IF(raw_exchange_data!$A631="","",OFFSET(raw_exchange_data!$A631,0,MATCH(P$2,raw_exchange_data!$1:$1,0)-1))</f>
        <v/>
      </c>
      <c r="Q632" s="161" t="str">
        <f ca="1">IF(raw_exchange_data!$A631="","",TEXT(OFFSET(raw_exchange_data!$A631,0,MATCH(Q$2,raw_exchange_data!$1:$1,0)-1),""))</f>
        <v/>
      </c>
      <c r="R632" s="162" t="str">
        <f ca="1">IF(raw_exchange_data!$A631="","",OFFSET(raw_exchange_data!$A631,0,MATCH(R$2,raw_exchange_data!$1:$1,0)-1))</f>
        <v/>
      </c>
      <c r="S632" s="190" t="str">
        <f ca="1">IF(raw_exchange_data!$A631="","",OFFSET(raw_exchange_data!$A631,0,MATCH(S$2,raw_exchange_data!$1:$1,0)-1))</f>
        <v/>
      </c>
      <c r="W632" t="str">
        <f t="shared" si="48"/>
        <v/>
      </c>
      <c r="X632" t="str">
        <f t="shared" si="49"/>
        <v/>
      </c>
      <c r="Y632" s="42" t="str">
        <f t="shared" si="50"/>
        <v/>
      </c>
      <c r="Z632" s="42" t="str">
        <f t="shared" si="51"/>
        <v/>
      </c>
    </row>
    <row r="633" spans="7:26" x14ac:dyDescent="0.25">
      <c r="G633" s="52" t="str">
        <f>IF(Summary_Exchange_Balances_00UTC!$B632="","",VLOOKUP(IF(ISERROR(SEARCH(" ", $B633)),UPPER($B633&amp;$C633&amp;IF(OR(NOT(ISERROR(SEARCH("trade",$D633))),NOT(ISERROR(SEARCH("balance",$D633)))),"",$D633)),UPPER(LEFT($B633, SEARCH(" ",$B633)-1)&amp;$C633&amp;IF(OR(NOT(ISERROR(SEARCH("trade",$D633))),NOT(ISERROR(SEARCH("balance",$D633)))),"",$D633))),$L:$T,MATCH("balance",$L$2:$S$2,0),FALSE))</f>
        <v/>
      </c>
      <c r="H633" s="35" t="str">
        <f>IF(Summary_Exchange_Balances_00UTC!$B632="","",(G633-E633)/E633)</f>
        <v/>
      </c>
      <c r="I633" s="165" t="str">
        <f>IF(Summary_Exchange_Balances_00UTC!$B632="","",IF(ISERROR($G633),$E633,$G633))</f>
        <v/>
      </c>
      <c r="N633" s="161" t="str">
        <f ca="1">IF(raw_exchange_data!$A632="","",OFFSET(raw_exchange_data!$A632,0,MATCH(N$2,raw_exchange_data!$1:$1,0)-1))</f>
        <v/>
      </c>
      <c r="O633" s="161" t="str">
        <f ca="1">IF(raw_exchange_data!$A632="","",OFFSET(raw_exchange_data!$A632,0,MATCH(O$2,raw_exchange_data!$1:$1,0)-1))</f>
        <v/>
      </c>
      <c r="P633" s="161" t="str">
        <f ca="1">IF(raw_exchange_data!$A632="","",OFFSET(raw_exchange_data!$A632,0,MATCH(P$2,raw_exchange_data!$1:$1,0)-1))</f>
        <v/>
      </c>
      <c r="Q633" s="161" t="str">
        <f ca="1">IF(raw_exchange_data!$A632="","",TEXT(OFFSET(raw_exchange_data!$A632,0,MATCH(Q$2,raw_exchange_data!$1:$1,0)-1),""))</f>
        <v/>
      </c>
      <c r="R633" s="162" t="str">
        <f ca="1">IF(raw_exchange_data!$A632="","",OFFSET(raw_exchange_data!$A632,0,MATCH(R$2,raw_exchange_data!$1:$1,0)-1))</f>
        <v/>
      </c>
      <c r="S633" s="190" t="str">
        <f ca="1">IF(raw_exchange_data!$A632="","",OFFSET(raw_exchange_data!$A632,0,MATCH(S$2,raw_exchange_data!$1:$1,0)-1))</f>
        <v/>
      </c>
      <c r="W633" t="str">
        <f t="shared" si="48"/>
        <v/>
      </c>
      <c r="X633" t="str">
        <f t="shared" si="49"/>
        <v/>
      </c>
      <c r="Y633" s="42" t="str">
        <f t="shared" si="50"/>
        <v/>
      </c>
      <c r="Z633" s="42" t="str">
        <f t="shared" si="51"/>
        <v/>
      </c>
    </row>
    <row r="634" spans="7:26" x14ac:dyDescent="0.25">
      <c r="G634" s="52" t="str">
        <f>IF(Summary_Exchange_Balances_00UTC!$B633="","",VLOOKUP(IF(ISERROR(SEARCH(" ", $B634)),UPPER($B634&amp;$C634&amp;IF(OR(NOT(ISERROR(SEARCH("trade",$D634))),NOT(ISERROR(SEARCH("balance",$D634)))),"",$D634)),UPPER(LEFT($B634, SEARCH(" ",$B634)-1)&amp;$C634&amp;IF(OR(NOT(ISERROR(SEARCH("trade",$D634))),NOT(ISERROR(SEARCH("balance",$D634)))),"",$D634))),$L:$T,MATCH("balance",$L$2:$S$2,0),FALSE))</f>
        <v/>
      </c>
      <c r="H634" s="35" t="str">
        <f>IF(Summary_Exchange_Balances_00UTC!$B633="","",(G634-E634)/E634)</f>
        <v/>
      </c>
      <c r="I634" s="165" t="str">
        <f>IF(Summary_Exchange_Balances_00UTC!$B633="","",IF(ISERROR($G634),$E634,$G634))</f>
        <v/>
      </c>
      <c r="N634" s="161" t="str">
        <f ca="1">IF(raw_exchange_data!$A633="","",OFFSET(raw_exchange_data!$A633,0,MATCH(N$2,raw_exchange_data!$1:$1,0)-1))</f>
        <v/>
      </c>
      <c r="O634" s="161" t="str">
        <f ca="1">IF(raw_exchange_data!$A633="","",OFFSET(raw_exchange_data!$A633,0,MATCH(O$2,raw_exchange_data!$1:$1,0)-1))</f>
        <v/>
      </c>
      <c r="P634" s="161" t="str">
        <f ca="1">IF(raw_exchange_data!$A633="","",OFFSET(raw_exchange_data!$A633,0,MATCH(P$2,raw_exchange_data!$1:$1,0)-1))</f>
        <v/>
      </c>
      <c r="Q634" s="161" t="str">
        <f ca="1">IF(raw_exchange_data!$A633="","",TEXT(OFFSET(raw_exchange_data!$A633,0,MATCH(Q$2,raw_exchange_data!$1:$1,0)-1),""))</f>
        <v/>
      </c>
      <c r="R634" s="162" t="str">
        <f ca="1">IF(raw_exchange_data!$A633="","",OFFSET(raw_exchange_data!$A633,0,MATCH(R$2,raw_exchange_data!$1:$1,0)-1))</f>
        <v/>
      </c>
      <c r="S634" s="190" t="str">
        <f ca="1">IF(raw_exchange_data!$A633="","",OFFSET(raw_exchange_data!$A633,0,MATCH(S$2,raw_exchange_data!$1:$1,0)-1))</f>
        <v/>
      </c>
      <c r="W634" t="str">
        <f t="shared" si="48"/>
        <v/>
      </c>
      <c r="X634" t="str">
        <f t="shared" si="49"/>
        <v/>
      </c>
      <c r="Y634" s="42" t="str">
        <f t="shared" si="50"/>
        <v/>
      </c>
      <c r="Z634" s="42" t="str">
        <f t="shared" si="51"/>
        <v/>
      </c>
    </row>
    <row r="635" spans="7:26" x14ac:dyDescent="0.25">
      <c r="G635" s="52" t="str">
        <f>IF(Summary_Exchange_Balances_00UTC!$B634="","",VLOOKUP(IF(ISERROR(SEARCH(" ", $B635)),UPPER($B635&amp;$C635&amp;IF(OR(NOT(ISERROR(SEARCH("trade",$D635))),NOT(ISERROR(SEARCH("balance",$D635)))),"",$D635)),UPPER(LEFT($B635, SEARCH(" ",$B635)-1)&amp;$C635&amp;IF(OR(NOT(ISERROR(SEARCH("trade",$D635))),NOT(ISERROR(SEARCH("balance",$D635)))),"",$D635))),$L:$T,MATCH("balance",$L$2:$S$2,0),FALSE))</f>
        <v/>
      </c>
      <c r="H635" s="35" t="str">
        <f>IF(Summary_Exchange_Balances_00UTC!$B634="","",(G635-E635)/E635)</f>
        <v/>
      </c>
      <c r="I635" s="165" t="str">
        <f>IF(Summary_Exchange_Balances_00UTC!$B634="","",IF(ISERROR($G635),$E635,$G635))</f>
        <v/>
      </c>
      <c r="N635" s="161" t="str">
        <f ca="1">IF(raw_exchange_data!$A634="","",OFFSET(raw_exchange_data!$A634,0,MATCH(N$2,raw_exchange_data!$1:$1,0)-1))</f>
        <v/>
      </c>
      <c r="O635" s="161" t="str">
        <f ca="1">IF(raw_exchange_data!$A634="","",OFFSET(raw_exchange_data!$A634,0,MATCH(O$2,raw_exchange_data!$1:$1,0)-1))</f>
        <v/>
      </c>
      <c r="P635" s="161" t="str">
        <f ca="1">IF(raw_exchange_data!$A634="","",OFFSET(raw_exchange_data!$A634,0,MATCH(P$2,raw_exchange_data!$1:$1,0)-1))</f>
        <v/>
      </c>
      <c r="Q635" s="161" t="str">
        <f ca="1">IF(raw_exchange_data!$A634="","",TEXT(OFFSET(raw_exchange_data!$A634,0,MATCH(Q$2,raw_exchange_data!$1:$1,0)-1),""))</f>
        <v/>
      </c>
      <c r="R635" s="162" t="str">
        <f ca="1">IF(raw_exchange_data!$A634="","",OFFSET(raw_exchange_data!$A634,0,MATCH(R$2,raw_exchange_data!$1:$1,0)-1))</f>
        <v/>
      </c>
      <c r="S635" s="190" t="str">
        <f ca="1">IF(raw_exchange_data!$A634="","",OFFSET(raw_exchange_data!$A634,0,MATCH(S$2,raw_exchange_data!$1:$1,0)-1))</f>
        <v/>
      </c>
      <c r="W635" t="str">
        <f t="shared" si="48"/>
        <v/>
      </c>
      <c r="X635" t="str">
        <f t="shared" si="49"/>
        <v/>
      </c>
      <c r="Y635" s="42" t="str">
        <f t="shared" si="50"/>
        <v/>
      </c>
      <c r="Z635" s="42" t="str">
        <f t="shared" si="51"/>
        <v/>
      </c>
    </row>
    <row r="636" spans="7:26" x14ac:dyDescent="0.25">
      <c r="G636" s="52" t="str">
        <f>IF(Summary_Exchange_Balances_00UTC!$B635="","",VLOOKUP(IF(ISERROR(SEARCH(" ", $B636)),UPPER($B636&amp;$C636&amp;IF(OR(NOT(ISERROR(SEARCH("trade",$D636))),NOT(ISERROR(SEARCH("balance",$D636)))),"",$D636)),UPPER(LEFT($B636, SEARCH(" ",$B636)-1)&amp;$C636&amp;IF(OR(NOT(ISERROR(SEARCH("trade",$D636))),NOT(ISERROR(SEARCH("balance",$D636)))),"",$D636))),$L:$T,MATCH("balance",$L$2:$S$2,0),FALSE))</f>
        <v/>
      </c>
      <c r="H636" s="35" t="str">
        <f>IF(Summary_Exchange_Balances_00UTC!$B635="","",(G636-E636)/E636)</f>
        <v/>
      </c>
      <c r="I636" s="165" t="str">
        <f>IF(Summary_Exchange_Balances_00UTC!$B635="","",IF(ISERROR($G636),$E636,$G636))</f>
        <v/>
      </c>
      <c r="N636" s="161" t="str">
        <f ca="1">IF(raw_exchange_data!$A635="","",OFFSET(raw_exchange_data!$A635,0,MATCH(N$2,raw_exchange_data!$1:$1,0)-1))</f>
        <v/>
      </c>
      <c r="O636" s="161" t="str">
        <f ca="1">IF(raw_exchange_data!$A635="","",OFFSET(raw_exchange_data!$A635,0,MATCH(O$2,raw_exchange_data!$1:$1,0)-1))</f>
        <v/>
      </c>
      <c r="P636" s="161" t="str">
        <f ca="1">IF(raw_exchange_data!$A635="","",OFFSET(raw_exchange_data!$A635,0,MATCH(P$2,raw_exchange_data!$1:$1,0)-1))</f>
        <v/>
      </c>
      <c r="Q636" s="161" t="str">
        <f ca="1">IF(raw_exchange_data!$A635="","",TEXT(OFFSET(raw_exchange_data!$A635,0,MATCH(Q$2,raw_exchange_data!$1:$1,0)-1),""))</f>
        <v/>
      </c>
      <c r="R636" s="162" t="str">
        <f ca="1">IF(raw_exchange_data!$A635="","",OFFSET(raw_exchange_data!$A635,0,MATCH(R$2,raw_exchange_data!$1:$1,0)-1))</f>
        <v/>
      </c>
      <c r="S636" s="190" t="str">
        <f ca="1">IF(raw_exchange_data!$A635="","",OFFSET(raw_exchange_data!$A635,0,MATCH(S$2,raw_exchange_data!$1:$1,0)-1))</f>
        <v/>
      </c>
      <c r="W636" t="str">
        <f t="shared" si="48"/>
        <v/>
      </c>
      <c r="X636" t="str">
        <f t="shared" si="49"/>
        <v/>
      </c>
      <c r="Y636" s="42" t="str">
        <f t="shared" si="50"/>
        <v/>
      </c>
      <c r="Z636" s="42" t="str">
        <f t="shared" si="51"/>
        <v/>
      </c>
    </row>
    <row r="637" spans="7:26" x14ac:dyDescent="0.25">
      <c r="G637" s="52" t="str">
        <f>IF(Summary_Exchange_Balances_00UTC!$B636="","",VLOOKUP(IF(ISERROR(SEARCH(" ", $B637)),UPPER($B637&amp;$C637&amp;IF(OR(NOT(ISERROR(SEARCH("trade",$D637))),NOT(ISERROR(SEARCH("balance",$D637)))),"",$D637)),UPPER(LEFT($B637, SEARCH(" ",$B637)-1)&amp;$C637&amp;IF(OR(NOT(ISERROR(SEARCH("trade",$D637))),NOT(ISERROR(SEARCH("balance",$D637)))),"",$D637))),$L:$T,MATCH("balance",$L$2:$S$2,0),FALSE))</f>
        <v/>
      </c>
      <c r="H637" s="35" t="str">
        <f>IF(Summary_Exchange_Balances_00UTC!$B636="","",(G637-E637)/E637)</f>
        <v/>
      </c>
      <c r="I637" s="165" t="str">
        <f>IF(Summary_Exchange_Balances_00UTC!$B636="","",IF(ISERROR($G637),$E637,$G637))</f>
        <v/>
      </c>
      <c r="N637" s="161" t="str">
        <f ca="1">IF(raw_exchange_data!$A636="","",OFFSET(raw_exchange_data!$A636,0,MATCH(N$2,raw_exchange_data!$1:$1,0)-1))</f>
        <v/>
      </c>
      <c r="O637" s="161" t="str">
        <f ca="1">IF(raw_exchange_data!$A636="","",OFFSET(raw_exchange_data!$A636,0,MATCH(O$2,raw_exchange_data!$1:$1,0)-1))</f>
        <v/>
      </c>
      <c r="P637" s="161" t="str">
        <f ca="1">IF(raw_exchange_data!$A636="","",OFFSET(raw_exchange_data!$A636,0,MATCH(P$2,raw_exchange_data!$1:$1,0)-1))</f>
        <v/>
      </c>
      <c r="Q637" s="161" t="str">
        <f ca="1">IF(raw_exchange_data!$A636="","",TEXT(OFFSET(raw_exchange_data!$A636,0,MATCH(Q$2,raw_exchange_data!$1:$1,0)-1),""))</f>
        <v/>
      </c>
      <c r="R637" s="162" t="str">
        <f ca="1">IF(raw_exchange_data!$A636="","",OFFSET(raw_exchange_data!$A636,0,MATCH(R$2,raw_exchange_data!$1:$1,0)-1))</f>
        <v/>
      </c>
      <c r="S637" s="190" t="str">
        <f ca="1">IF(raw_exchange_data!$A636="","",OFFSET(raw_exchange_data!$A636,0,MATCH(S$2,raw_exchange_data!$1:$1,0)-1))</f>
        <v/>
      </c>
      <c r="W637" t="str">
        <f t="shared" si="48"/>
        <v/>
      </c>
      <c r="X637" t="str">
        <f t="shared" si="49"/>
        <v/>
      </c>
      <c r="Y637" s="42" t="str">
        <f t="shared" si="50"/>
        <v/>
      </c>
      <c r="Z637" s="42" t="str">
        <f t="shared" si="51"/>
        <v/>
      </c>
    </row>
    <row r="638" spans="7:26" x14ac:dyDescent="0.25">
      <c r="G638" s="52" t="str">
        <f>IF(Summary_Exchange_Balances_00UTC!$B637="","",VLOOKUP(IF(ISERROR(SEARCH(" ", $B638)),UPPER($B638&amp;$C638&amp;IF(OR(NOT(ISERROR(SEARCH("trade",$D638))),NOT(ISERROR(SEARCH("balance",$D638)))),"",$D638)),UPPER(LEFT($B638, SEARCH(" ",$B638)-1)&amp;$C638&amp;IF(OR(NOT(ISERROR(SEARCH("trade",$D638))),NOT(ISERROR(SEARCH("balance",$D638)))),"",$D638))),$L:$T,MATCH("balance",$L$2:$S$2,0),FALSE))</f>
        <v/>
      </c>
      <c r="H638" s="35" t="str">
        <f>IF(Summary_Exchange_Balances_00UTC!$B637="","",(G638-E638)/E638)</f>
        <v/>
      </c>
      <c r="I638" s="165" t="str">
        <f>IF(Summary_Exchange_Balances_00UTC!$B637="","",IF(ISERROR($G638),$E638,$G638))</f>
        <v/>
      </c>
      <c r="N638" s="161" t="str">
        <f ca="1">IF(raw_exchange_data!$A637="","",OFFSET(raw_exchange_data!$A637,0,MATCH(N$2,raw_exchange_data!$1:$1,0)-1))</f>
        <v/>
      </c>
      <c r="O638" s="161" t="str">
        <f ca="1">IF(raw_exchange_data!$A637="","",OFFSET(raw_exchange_data!$A637,0,MATCH(O$2,raw_exchange_data!$1:$1,0)-1))</f>
        <v/>
      </c>
      <c r="P638" s="161" t="str">
        <f ca="1">IF(raw_exchange_data!$A637="","",OFFSET(raw_exchange_data!$A637,0,MATCH(P$2,raw_exchange_data!$1:$1,0)-1))</f>
        <v/>
      </c>
      <c r="Q638" s="161" t="str">
        <f ca="1">IF(raw_exchange_data!$A637="","",TEXT(OFFSET(raw_exchange_data!$A637,0,MATCH(Q$2,raw_exchange_data!$1:$1,0)-1),""))</f>
        <v/>
      </c>
      <c r="R638" s="162" t="str">
        <f ca="1">IF(raw_exchange_data!$A637="","",OFFSET(raw_exchange_data!$A637,0,MATCH(R$2,raw_exchange_data!$1:$1,0)-1))</f>
        <v/>
      </c>
      <c r="S638" s="190" t="str">
        <f ca="1">IF(raw_exchange_data!$A637="","",OFFSET(raw_exchange_data!$A637,0,MATCH(S$2,raw_exchange_data!$1:$1,0)-1))</f>
        <v/>
      </c>
      <c r="W638" t="str">
        <f t="shared" si="48"/>
        <v/>
      </c>
      <c r="X638" t="str">
        <f t="shared" si="49"/>
        <v/>
      </c>
      <c r="Y638" s="42" t="str">
        <f t="shared" si="50"/>
        <v/>
      </c>
      <c r="Z638" s="42" t="str">
        <f t="shared" si="51"/>
        <v/>
      </c>
    </row>
    <row r="639" spans="7:26" x14ac:dyDescent="0.25">
      <c r="G639" s="52" t="str">
        <f>IF(Summary_Exchange_Balances_00UTC!$B638="","",VLOOKUP(IF(ISERROR(SEARCH(" ", $B639)),UPPER($B639&amp;$C639&amp;IF(OR(NOT(ISERROR(SEARCH("trade",$D639))),NOT(ISERROR(SEARCH("balance",$D639)))),"",$D639)),UPPER(LEFT($B639, SEARCH(" ",$B639)-1)&amp;$C639&amp;IF(OR(NOT(ISERROR(SEARCH("trade",$D639))),NOT(ISERROR(SEARCH("balance",$D639)))),"",$D639))),$L:$T,MATCH("balance",$L$2:$S$2,0),FALSE))</f>
        <v/>
      </c>
      <c r="H639" s="35" t="str">
        <f>IF(Summary_Exchange_Balances_00UTC!$B638="","",(G639-E639)/E639)</f>
        <v/>
      </c>
      <c r="I639" s="165" t="str">
        <f>IF(Summary_Exchange_Balances_00UTC!$B638="","",IF(ISERROR($G639),$E639,$G639))</f>
        <v/>
      </c>
      <c r="N639" s="161" t="str">
        <f ca="1">IF(raw_exchange_data!$A638="","",OFFSET(raw_exchange_data!$A638,0,MATCH(N$2,raw_exchange_data!$1:$1,0)-1))</f>
        <v/>
      </c>
      <c r="O639" s="161" t="str">
        <f ca="1">IF(raw_exchange_data!$A638="","",OFFSET(raw_exchange_data!$A638,0,MATCH(O$2,raw_exchange_data!$1:$1,0)-1))</f>
        <v/>
      </c>
      <c r="P639" s="161" t="str">
        <f ca="1">IF(raw_exchange_data!$A638="","",OFFSET(raw_exchange_data!$A638,0,MATCH(P$2,raw_exchange_data!$1:$1,0)-1))</f>
        <v/>
      </c>
      <c r="Q639" s="161" t="str">
        <f ca="1">IF(raw_exchange_data!$A638="","",TEXT(OFFSET(raw_exchange_data!$A638,0,MATCH(Q$2,raw_exchange_data!$1:$1,0)-1),""))</f>
        <v/>
      </c>
      <c r="R639" s="162" t="str">
        <f ca="1">IF(raw_exchange_data!$A638="","",OFFSET(raw_exchange_data!$A638,0,MATCH(R$2,raw_exchange_data!$1:$1,0)-1))</f>
        <v/>
      </c>
      <c r="S639" s="190" t="str">
        <f ca="1">IF(raw_exchange_data!$A638="","",OFFSET(raw_exchange_data!$A638,0,MATCH(S$2,raw_exchange_data!$1:$1,0)-1))</f>
        <v/>
      </c>
      <c r="W639" t="str">
        <f t="shared" si="48"/>
        <v/>
      </c>
      <c r="X639" t="str">
        <f t="shared" si="49"/>
        <v/>
      </c>
      <c r="Y639" s="42" t="str">
        <f t="shared" si="50"/>
        <v/>
      </c>
      <c r="Z639" s="42" t="str">
        <f t="shared" si="51"/>
        <v/>
      </c>
    </row>
    <row r="640" spans="7:26" x14ac:dyDescent="0.25">
      <c r="G640" s="52" t="str">
        <f>IF(Summary_Exchange_Balances_00UTC!$B639="","",VLOOKUP(IF(ISERROR(SEARCH(" ", $B640)),UPPER($B640&amp;$C640&amp;IF(OR(NOT(ISERROR(SEARCH("trade",$D640))),NOT(ISERROR(SEARCH("balance",$D640)))),"",$D640)),UPPER(LEFT($B640, SEARCH(" ",$B640)-1)&amp;$C640&amp;IF(OR(NOT(ISERROR(SEARCH("trade",$D640))),NOT(ISERROR(SEARCH("balance",$D640)))),"",$D640))),$L:$T,MATCH("balance",$L$2:$S$2,0),FALSE))</f>
        <v/>
      </c>
      <c r="H640" s="35" t="str">
        <f>IF(Summary_Exchange_Balances_00UTC!$B639="","",(G640-E640)/E640)</f>
        <v/>
      </c>
      <c r="I640" s="165" t="str">
        <f>IF(Summary_Exchange_Balances_00UTC!$B639="","",IF(ISERROR($G640),$E640,$G640))</f>
        <v/>
      </c>
      <c r="N640" s="161" t="str">
        <f ca="1">IF(raw_exchange_data!$A639="","",OFFSET(raw_exchange_data!$A639,0,MATCH(N$2,raw_exchange_data!$1:$1,0)-1))</f>
        <v/>
      </c>
      <c r="O640" s="161" t="str">
        <f ca="1">IF(raw_exchange_data!$A639="","",OFFSET(raw_exchange_data!$A639,0,MATCH(O$2,raw_exchange_data!$1:$1,0)-1))</f>
        <v/>
      </c>
      <c r="P640" s="161" t="str">
        <f ca="1">IF(raw_exchange_data!$A639="","",OFFSET(raw_exchange_data!$A639,0,MATCH(P$2,raw_exchange_data!$1:$1,0)-1))</f>
        <v/>
      </c>
      <c r="Q640" s="161" t="str">
        <f ca="1">IF(raw_exchange_data!$A639="","",TEXT(OFFSET(raw_exchange_data!$A639,0,MATCH(Q$2,raw_exchange_data!$1:$1,0)-1),""))</f>
        <v/>
      </c>
      <c r="R640" s="162" t="str">
        <f ca="1">IF(raw_exchange_data!$A639="","",OFFSET(raw_exchange_data!$A639,0,MATCH(R$2,raw_exchange_data!$1:$1,0)-1))</f>
        <v/>
      </c>
      <c r="S640" s="190" t="str">
        <f ca="1">IF(raw_exchange_data!$A639="","",OFFSET(raw_exchange_data!$A639,0,MATCH(S$2,raw_exchange_data!$1:$1,0)-1))</f>
        <v/>
      </c>
      <c r="W640" t="str">
        <f t="shared" si="48"/>
        <v/>
      </c>
      <c r="X640" t="str">
        <f t="shared" si="49"/>
        <v/>
      </c>
      <c r="Y640" s="42" t="str">
        <f t="shared" si="50"/>
        <v/>
      </c>
      <c r="Z640" s="42" t="str">
        <f t="shared" si="51"/>
        <v/>
      </c>
    </row>
    <row r="641" spans="7:26" x14ac:dyDescent="0.25">
      <c r="G641" s="52" t="str">
        <f>IF(Summary_Exchange_Balances_00UTC!$B640="","",VLOOKUP(IF(ISERROR(SEARCH(" ", $B641)),UPPER($B641&amp;$C641&amp;IF(OR(NOT(ISERROR(SEARCH("trade",$D641))),NOT(ISERROR(SEARCH("balance",$D641)))),"",$D641)),UPPER(LEFT($B641, SEARCH(" ",$B641)-1)&amp;$C641&amp;IF(OR(NOT(ISERROR(SEARCH("trade",$D641))),NOT(ISERROR(SEARCH("balance",$D641)))),"",$D641))),$L:$T,MATCH("balance",$L$2:$S$2,0),FALSE))</f>
        <v/>
      </c>
      <c r="H641" s="35" t="str">
        <f>IF(Summary_Exchange_Balances_00UTC!$B640="","",(G641-E641)/E641)</f>
        <v/>
      </c>
      <c r="I641" s="165" t="str">
        <f>IF(Summary_Exchange_Balances_00UTC!$B640="","",IF(ISERROR($G641),$E641,$G641))</f>
        <v/>
      </c>
      <c r="N641" s="161" t="str">
        <f ca="1">IF(raw_exchange_data!$A640="","",OFFSET(raw_exchange_data!$A640,0,MATCH(N$2,raw_exchange_data!$1:$1,0)-1))</f>
        <v/>
      </c>
      <c r="O641" s="161" t="str">
        <f ca="1">IF(raw_exchange_data!$A640="","",OFFSET(raw_exchange_data!$A640,0,MATCH(O$2,raw_exchange_data!$1:$1,0)-1))</f>
        <v/>
      </c>
      <c r="P641" s="161" t="str">
        <f ca="1">IF(raw_exchange_data!$A640="","",OFFSET(raw_exchange_data!$A640,0,MATCH(P$2,raw_exchange_data!$1:$1,0)-1))</f>
        <v/>
      </c>
      <c r="Q641" s="161" t="str">
        <f ca="1">IF(raw_exchange_data!$A640="","",TEXT(OFFSET(raw_exchange_data!$A640,0,MATCH(Q$2,raw_exchange_data!$1:$1,0)-1),""))</f>
        <v/>
      </c>
      <c r="R641" s="162" t="str">
        <f ca="1">IF(raw_exchange_data!$A640="","",OFFSET(raw_exchange_data!$A640,0,MATCH(R$2,raw_exchange_data!$1:$1,0)-1))</f>
        <v/>
      </c>
      <c r="S641" s="190" t="str">
        <f ca="1">IF(raw_exchange_data!$A640="","",OFFSET(raw_exchange_data!$A640,0,MATCH(S$2,raw_exchange_data!$1:$1,0)-1))</f>
        <v/>
      </c>
      <c r="W641" t="str">
        <f t="shared" si="48"/>
        <v/>
      </c>
      <c r="X641" t="str">
        <f t="shared" si="49"/>
        <v/>
      </c>
      <c r="Y641" s="42" t="str">
        <f t="shared" si="50"/>
        <v/>
      </c>
      <c r="Z641" s="42" t="str">
        <f t="shared" si="51"/>
        <v/>
      </c>
    </row>
    <row r="642" spans="7:26" x14ac:dyDescent="0.25">
      <c r="G642" s="52" t="str">
        <f>IF(Summary_Exchange_Balances_00UTC!$B641="","",VLOOKUP(IF(ISERROR(SEARCH(" ", $B642)),UPPER($B642&amp;$C642&amp;IF(OR(NOT(ISERROR(SEARCH("trade",$D642))),NOT(ISERROR(SEARCH("balance",$D642)))),"",$D642)),UPPER(LEFT($B642, SEARCH(" ",$B642)-1)&amp;$C642&amp;IF(OR(NOT(ISERROR(SEARCH("trade",$D642))),NOT(ISERROR(SEARCH("balance",$D642)))),"",$D642))),$L:$T,MATCH("balance",$L$2:$S$2,0),FALSE))</f>
        <v/>
      </c>
      <c r="H642" s="35" t="str">
        <f>IF(Summary_Exchange_Balances_00UTC!$B641="","",(G642-E642)/E642)</f>
        <v/>
      </c>
      <c r="I642" s="165" t="str">
        <f>IF(Summary_Exchange_Balances_00UTC!$B641="","",IF(ISERROR($G642),$E642,$G642))</f>
        <v/>
      </c>
      <c r="N642" s="161" t="str">
        <f ca="1">IF(raw_exchange_data!$A641="","",OFFSET(raw_exchange_data!$A641,0,MATCH(N$2,raw_exchange_data!$1:$1,0)-1))</f>
        <v/>
      </c>
      <c r="O642" s="161" t="str">
        <f ca="1">IF(raw_exchange_data!$A641="","",OFFSET(raw_exchange_data!$A641,0,MATCH(O$2,raw_exchange_data!$1:$1,0)-1))</f>
        <v/>
      </c>
      <c r="P642" s="161" t="str">
        <f ca="1">IF(raw_exchange_data!$A641="","",OFFSET(raw_exchange_data!$A641,0,MATCH(P$2,raw_exchange_data!$1:$1,0)-1))</f>
        <v/>
      </c>
      <c r="Q642" s="161" t="str">
        <f ca="1">IF(raw_exchange_data!$A641="","",TEXT(OFFSET(raw_exchange_data!$A641,0,MATCH(Q$2,raw_exchange_data!$1:$1,0)-1),""))</f>
        <v/>
      </c>
      <c r="R642" s="162" t="str">
        <f ca="1">IF(raw_exchange_data!$A641="","",OFFSET(raw_exchange_data!$A641,0,MATCH(R$2,raw_exchange_data!$1:$1,0)-1))</f>
        <v/>
      </c>
      <c r="S642" s="190" t="str">
        <f ca="1">IF(raw_exchange_data!$A641="","",OFFSET(raw_exchange_data!$A641,0,MATCH(S$2,raw_exchange_data!$1:$1,0)-1))</f>
        <v/>
      </c>
      <c r="W642" t="str">
        <f t="shared" si="48"/>
        <v/>
      </c>
      <c r="X642" t="str">
        <f t="shared" si="49"/>
        <v/>
      </c>
      <c r="Y642" s="42" t="str">
        <f t="shared" si="50"/>
        <v/>
      </c>
      <c r="Z642" s="42" t="str">
        <f t="shared" si="51"/>
        <v/>
      </c>
    </row>
    <row r="643" spans="7:26" x14ac:dyDescent="0.25">
      <c r="G643" s="52" t="str">
        <f>IF(Summary_Exchange_Balances_00UTC!$B642="","",VLOOKUP(IF(ISERROR(SEARCH(" ", $B643)),UPPER($B643&amp;$C643&amp;IF(OR(NOT(ISERROR(SEARCH("trade",$D643))),NOT(ISERROR(SEARCH("balance",$D643)))),"",$D643)),UPPER(LEFT($B643, SEARCH(" ",$B643)-1)&amp;$C643&amp;IF(OR(NOT(ISERROR(SEARCH("trade",$D643))),NOT(ISERROR(SEARCH("balance",$D643)))),"",$D643))),$L:$T,MATCH("balance",$L$2:$S$2,0),FALSE))</f>
        <v/>
      </c>
      <c r="H643" s="35" t="str">
        <f>IF(Summary_Exchange_Balances_00UTC!$B642="","",(G643-E643)/E643)</f>
        <v/>
      </c>
      <c r="I643" s="165" t="str">
        <f>IF(Summary_Exchange_Balances_00UTC!$B642="","",IF(ISERROR($G643),$E643,$G643))</f>
        <v/>
      </c>
      <c r="N643" s="161" t="str">
        <f ca="1">IF(raw_exchange_data!$A642="","",OFFSET(raw_exchange_data!$A642,0,MATCH(N$2,raw_exchange_data!$1:$1,0)-1))</f>
        <v/>
      </c>
      <c r="O643" s="161" t="str">
        <f ca="1">IF(raw_exchange_data!$A642="","",OFFSET(raw_exchange_data!$A642,0,MATCH(O$2,raw_exchange_data!$1:$1,0)-1))</f>
        <v/>
      </c>
      <c r="P643" s="161" t="str">
        <f ca="1">IF(raw_exchange_data!$A642="","",OFFSET(raw_exchange_data!$A642,0,MATCH(P$2,raw_exchange_data!$1:$1,0)-1))</f>
        <v/>
      </c>
      <c r="Q643" s="161" t="str">
        <f ca="1">IF(raw_exchange_data!$A642="","",TEXT(OFFSET(raw_exchange_data!$A642,0,MATCH(Q$2,raw_exchange_data!$1:$1,0)-1),""))</f>
        <v/>
      </c>
      <c r="R643" s="162" t="str">
        <f ca="1">IF(raw_exchange_data!$A642="","",OFFSET(raw_exchange_data!$A642,0,MATCH(R$2,raw_exchange_data!$1:$1,0)-1))</f>
        <v/>
      </c>
      <c r="S643" s="190" t="str">
        <f ca="1">IF(raw_exchange_data!$A642="","",OFFSET(raw_exchange_data!$A642,0,MATCH(S$2,raw_exchange_data!$1:$1,0)-1))</f>
        <v/>
      </c>
      <c r="W643" t="str">
        <f t="shared" si="48"/>
        <v/>
      </c>
      <c r="X643" t="str">
        <f t="shared" si="49"/>
        <v/>
      </c>
      <c r="Y643" s="42" t="str">
        <f t="shared" si="50"/>
        <v/>
      </c>
      <c r="Z643" s="42" t="str">
        <f t="shared" si="51"/>
        <v/>
      </c>
    </row>
    <row r="644" spans="7:26" x14ac:dyDescent="0.25">
      <c r="G644" s="52" t="str">
        <f>IF(Summary_Exchange_Balances_00UTC!$B643="","",VLOOKUP(IF(ISERROR(SEARCH(" ", $B644)),UPPER($B644&amp;$C644&amp;IF(OR(NOT(ISERROR(SEARCH("trade",$D644))),NOT(ISERROR(SEARCH("balance",$D644)))),"",$D644)),UPPER(LEFT($B644, SEARCH(" ",$B644)-1)&amp;$C644&amp;IF(OR(NOT(ISERROR(SEARCH("trade",$D644))),NOT(ISERROR(SEARCH("balance",$D644)))),"",$D644))),$L:$T,MATCH("balance",$L$2:$S$2,0),FALSE))</f>
        <v/>
      </c>
      <c r="H644" s="35" t="str">
        <f>IF(Summary_Exchange_Balances_00UTC!$B643="","",(G644-E644)/E644)</f>
        <v/>
      </c>
      <c r="I644" s="165" t="str">
        <f>IF(Summary_Exchange_Balances_00UTC!$B643="","",IF(ISERROR($G644),$E644,$G644))</f>
        <v/>
      </c>
      <c r="N644" s="161" t="str">
        <f ca="1">IF(raw_exchange_data!$A643="","",OFFSET(raw_exchange_data!$A643,0,MATCH(N$2,raw_exchange_data!$1:$1,0)-1))</f>
        <v/>
      </c>
      <c r="O644" s="161" t="str">
        <f ca="1">IF(raw_exchange_data!$A643="","",OFFSET(raw_exchange_data!$A643,0,MATCH(O$2,raw_exchange_data!$1:$1,0)-1))</f>
        <v/>
      </c>
      <c r="P644" s="161" t="str">
        <f ca="1">IF(raw_exchange_data!$A643="","",OFFSET(raw_exchange_data!$A643,0,MATCH(P$2,raw_exchange_data!$1:$1,0)-1))</f>
        <v/>
      </c>
      <c r="Q644" s="161" t="str">
        <f ca="1">IF(raw_exchange_data!$A643="","",TEXT(OFFSET(raw_exchange_data!$A643,0,MATCH(Q$2,raw_exchange_data!$1:$1,0)-1),""))</f>
        <v/>
      </c>
      <c r="R644" s="162" t="str">
        <f ca="1">IF(raw_exchange_data!$A643="","",OFFSET(raw_exchange_data!$A643,0,MATCH(R$2,raw_exchange_data!$1:$1,0)-1))</f>
        <v/>
      </c>
      <c r="S644" s="190" t="str">
        <f ca="1">IF(raw_exchange_data!$A643="","",OFFSET(raw_exchange_data!$A643,0,MATCH(S$2,raw_exchange_data!$1:$1,0)-1))</f>
        <v/>
      </c>
      <c r="W644" t="str">
        <f t="shared" ref="W644:W707" si="52">IF($A644="","",$A644)</f>
        <v/>
      </c>
      <c r="X644" t="str">
        <f t="shared" ref="X644:X707" si="53">IF($A644="","",$C644)</f>
        <v/>
      </c>
      <c r="Y644" s="42" t="str">
        <f t="shared" ref="Y644:Y707" si="54">IF($A644="","",$E644)</f>
        <v/>
      </c>
      <c r="Z644" s="42" t="str">
        <f t="shared" ref="Z644:Z707" si="55">IF($A644="","",IF(ISERROR($G644),0,$G644))</f>
        <v/>
      </c>
    </row>
    <row r="645" spans="7:26" x14ac:dyDescent="0.25">
      <c r="G645" s="52" t="str">
        <f>IF(Summary_Exchange_Balances_00UTC!$B644="","",VLOOKUP(IF(ISERROR(SEARCH(" ", $B645)),UPPER($B645&amp;$C645&amp;IF(OR(NOT(ISERROR(SEARCH("trade",$D645))),NOT(ISERROR(SEARCH("balance",$D645)))),"",$D645)),UPPER(LEFT($B645, SEARCH(" ",$B645)-1)&amp;$C645&amp;IF(OR(NOT(ISERROR(SEARCH("trade",$D645))),NOT(ISERROR(SEARCH("balance",$D645)))),"",$D645))),$L:$T,MATCH("balance",$L$2:$S$2,0),FALSE))</f>
        <v/>
      </c>
      <c r="H645" s="35" t="str">
        <f>IF(Summary_Exchange_Balances_00UTC!$B644="","",(G645-E645)/E645)</f>
        <v/>
      </c>
      <c r="I645" s="165" t="str">
        <f>IF(Summary_Exchange_Balances_00UTC!$B644="","",IF(ISERROR($G645),$E645,$G645))</f>
        <v/>
      </c>
      <c r="N645" s="161" t="str">
        <f ca="1">IF(raw_exchange_data!$A644="","",OFFSET(raw_exchange_data!$A644,0,MATCH(N$2,raw_exchange_data!$1:$1,0)-1))</f>
        <v/>
      </c>
      <c r="O645" s="161" t="str">
        <f ca="1">IF(raw_exchange_data!$A644="","",OFFSET(raw_exchange_data!$A644,0,MATCH(O$2,raw_exchange_data!$1:$1,0)-1))</f>
        <v/>
      </c>
      <c r="P645" s="161" t="str">
        <f ca="1">IF(raw_exchange_data!$A644="","",OFFSET(raw_exchange_data!$A644,0,MATCH(P$2,raw_exchange_data!$1:$1,0)-1))</f>
        <v/>
      </c>
      <c r="Q645" s="161" t="str">
        <f ca="1">IF(raw_exchange_data!$A644="","",TEXT(OFFSET(raw_exchange_data!$A644,0,MATCH(Q$2,raw_exchange_data!$1:$1,0)-1),""))</f>
        <v/>
      </c>
      <c r="R645" s="162" t="str">
        <f ca="1">IF(raw_exchange_data!$A644="","",OFFSET(raw_exchange_data!$A644,0,MATCH(R$2,raw_exchange_data!$1:$1,0)-1))</f>
        <v/>
      </c>
      <c r="S645" s="190" t="str">
        <f ca="1">IF(raw_exchange_data!$A644="","",OFFSET(raw_exchange_data!$A644,0,MATCH(S$2,raw_exchange_data!$1:$1,0)-1))</f>
        <v/>
      </c>
      <c r="W645" t="str">
        <f t="shared" si="52"/>
        <v/>
      </c>
      <c r="X645" t="str">
        <f t="shared" si="53"/>
        <v/>
      </c>
      <c r="Y645" s="42" t="str">
        <f t="shared" si="54"/>
        <v/>
      </c>
      <c r="Z645" s="42" t="str">
        <f t="shared" si="55"/>
        <v/>
      </c>
    </row>
    <row r="646" spans="7:26" x14ac:dyDescent="0.25">
      <c r="G646" s="52" t="str">
        <f>IF(Summary_Exchange_Balances_00UTC!$B645="","",VLOOKUP(IF(ISERROR(SEARCH(" ", $B646)),UPPER($B646&amp;$C646&amp;IF(OR(NOT(ISERROR(SEARCH("trade",$D646))),NOT(ISERROR(SEARCH("balance",$D646)))),"",$D646)),UPPER(LEFT($B646, SEARCH(" ",$B646)-1)&amp;$C646&amp;IF(OR(NOT(ISERROR(SEARCH("trade",$D646))),NOT(ISERROR(SEARCH("balance",$D646)))),"",$D646))),$L:$T,MATCH("balance",$L$2:$S$2,0),FALSE))</f>
        <v/>
      </c>
      <c r="H646" s="35" t="str">
        <f>IF(Summary_Exchange_Balances_00UTC!$B645="","",(G646-E646)/E646)</f>
        <v/>
      </c>
      <c r="I646" s="165" t="str">
        <f>IF(Summary_Exchange_Balances_00UTC!$B645="","",IF(ISERROR($G646),$E646,$G646))</f>
        <v/>
      </c>
      <c r="N646" s="161" t="str">
        <f ca="1">IF(raw_exchange_data!$A645="","",OFFSET(raw_exchange_data!$A645,0,MATCH(N$2,raw_exchange_data!$1:$1,0)-1))</f>
        <v/>
      </c>
      <c r="O646" s="161" t="str">
        <f ca="1">IF(raw_exchange_data!$A645="","",OFFSET(raw_exchange_data!$A645,0,MATCH(O$2,raw_exchange_data!$1:$1,0)-1))</f>
        <v/>
      </c>
      <c r="P646" s="161" t="str">
        <f ca="1">IF(raw_exchange_data!$A645="","",OFFSET(raw_exchange_data!$A645,0,MATCH(P$2,raw_exchange_data!$1:$1,0)-1))</f>
        <v/>
      </c>
      <c r="Q646" s="161" t="str">
        <f ca="1">IF(raw_exchange_data!$A645="","",TEXT(OFFSET(raw_exchange_data!$A645,0,MATCH(Q$2,raw_exchange_data!$1:$1,0)-1),""))</f>
        <v/>
      </c>
      <c r="R646" s="162" t="str">
        <f ca="1">IF(raw_exchange_data!$A645="","",OFFSET(raw_exchange_data!$A645,0,MATCH(R$2,raw_exchange_data!$1:$1,0)-1))</f>
        <v/>
      </c>
      <c r="S646" s="190" t="str">
        <f ca="1">IF(raw_exchange_data!$A645="","",OFFSET(raw_exchange_data!$A645,0,MATCH(S$2,raw_exchange_data!$1:$1,0)-1))</f>
        <v/>
      </c>
      <c r="W646" t="str">
        <f t="shared" si="52"/>
        <v/>
      </c>
      <c r="X646" t="str">
        <f t="shared" si="53"/>
        <v/>
      </c>
      <c r="Y646" s="42" t="str">
        <f t="shared" si="54"/>
        <v/>
      </c>
      <c r="Z646" s="42" t="str">
        <f t="shared" si="55"/>
        <v/>
      </c>
    </row>
    <row r="647" spans="7:26" x14ac:dyDescent="0.25">
      <c r="G647" s="52" t="str">
        <f>IF(Summary_Exchange_Balances_00UTC!$B646="","",VLOOKUP(IF(ISERROR(SEARCH(" ", $B647)),UPPER($B647&amp;$C647&amp;IF(OR(NOT(ISERROR(SEARCH("trade",$D647))),NOT(ISERROR(SEARCH("balance",$D647)))),"",$D647)),UPPER(LEFT($B647, SEARCH(" ",$B647)-1)&amp;$C647&amp;IF(OR(NOT(ISERROR(SEARCH("trade",$D647))),NOT(ISERROR(SEARCH("balance",$D647)))),"",$D647))),$L:$T,MATCH("balance",$L$2:$S$2,0),FALSE))</f>
        <v/>
      </c>
      <c r="H647" s="35" t="str">
        <f>IF(Summary_Exchange_Balances_00UTC!$B646="","",(G647-E647)/E647)</f>
        <v/>
      </c>
      <c r="I647" s="165" t="str">
        <f>IF(Summary_Exchange_Balances_00UTC!$B646="","",IF(ISERROR($G647),$E647,$G647))</f>
        <v/>
      </c>
      <c r="N647" s="161" t="str">
        <f ca="1">IF(raw_exchange_data!$A646="","",OFFSET(raw_exchange_data!$A646,0,MATCH(N$2,raw_exchange_data!$1:$1,0)-1))</f>
        <v/>
      </c>
      <c r="O647" s="161" t="str">
        <f ca="1">IF(raw_exchange_data!$A646="","",OFFSET(raw_exchange_data!$A646,0,MATCH(O$2,raw_exchange_data!$1:$1,0)-1))</f>
        <v/>
      </c>
      <c r="P647" s="161" t="str">
        <f ca="1">IF(raw_exchange_data!$A646="","",OFFSET(raw_exchange_data!$A646,0,MATCH(P$2,raw_exchange_data!$1:$1,0)-1))</f>
        <v/>
      </c>
      <c r="Q647" s="161" t="str">
        <f ca="1">IF(raw_exchange_data!$A646="","",TEXT(OFFSET(raw_exchange_data!$A646,0,MATCH(Q$2,raw_exchange_data!$1:$1,0)-1),""))</f>
        <v/>
      </c>
      <c r="R647" s="162" t="str">
        <f ca="1">IF(raw_exchange_data!$A646="","",OFFSET(raw_exchange_data!$A646,0,MATCH(R$2,raw_exchange_data!$1:$1,0)-1))</f>
        <v/>
      </c>
      <c r="S647" s="190" t="str">
        <f ca="1">IF(raw_exchange_data!$A646="","",OFFSET(raw_exchange_data!$A646,0,MATCH(S$2,raw_exchange_data!$1:$1,0)-1))</f>
        <v/>
      </c>
      <c r="W647" t="str">
        <f t="shared" si="52"/>
        <v/>
      </c>
      <c r="X647" t="str">
        <f t="shared" si="53"/>
        <v/>
      </c>
      <c r="Y647" s="42" t="str">
        <f t="shared" si="54"/>
        <v/>
      </c>
      <c r="Z647" s="42" t="str">
        <f t="shared" si="55"/>
        <v/>
      </c>
    </row>
    <row r="648" spans="7:26" x14ac:dyDescent="0.25">
      <c r="G648" s="52" t="str">
        <f>IF(Summary_Exchange_Balances_00UTC!$B647="","",VLOOKUP(IF(ISERROR(SEARCH(" ", $B648)),UPPER($B648&amp;$C648&amp;IF(OR(NOT(ISERROR(SEARCH("trade",$D648))),NOT(ISERROR(SEARCH("balance",$D648)))),"",$D648)),UPPER(LEFT($B648, SEARCH(" ",$B648)-1)&amp;$C648&amp;IF(OR(NOT(ISERROR(SEARCH("trade",$D648))),NOT(ISERROR(SEARCH("balance",$D648)))),"",$D648))),$L:$T,MATCH("balance",$L$2:$S$2,0),FALSE))</f>
        <v/>
      </c>
      <c r="H648" s="35" t="str">
        <f>IF(Summary_Exchange_Balances_00UTC!$B647="","",(G648-E648)/E648)</f>
        <v/>
      </c>
      <c r="I648" s="165" t="str">
        <f>IF(Summary_Exchange_Balances_00UTC!$B647="","",IF(ISERROR($G648),$E648,$G648))</f>
        <v/>
      </c>
      <c r="N648" s="161" t="str">
        <f ca="1">IF(raw_exchange_data!$A647="","",OFFSET(raw_exchange_data!$A647,0,MATCH(N$2,raw_exchange_data!$1:$1,0)-1))</f>
        <v/>
      </c>
      <c r="O648" s="161" t="str">
        <f ca="1">IF(raw_exchange_data!$A647="","",OFFSET(raw_exchange_data!$A647,0,MATCH(O$2,raw_exchange_data!$1:$1,0)-1))</f>
        <v/>
      </c>
      <c r="P648" s="161" t="str">
        <f ca="1">IF(raw_exchange_data!$A647="","",OFFSET(raw_exchange_data!$A647,0,MATCH(P$2,raw_exchange_data!$1:$1,0)-1))</f>
        <v/>
      </c>
      <c r="Q648" s="161" t="str">
        <f ca="1">IF(raw_exchange_data!$A647="","",TEXT(OFFSET(raw_exchange_data!$A647,0,MATCH(Q$2,raw_exchange_data!$1:$1,0)-1),""))</f>
        <v/>
      </c>
      <c r="R648" s="162" t="str">
        <f ca="1">IF(raw_exchange_data!$A647="","",OFFSET(raw_exchange_data!$A647,0,MATCH(R$2,raw_exchange_data!$1:$1,0)-1))</f>
        <v/>
      </c>
      <c r="S648" s="190" t="str">
        <f ca="1">IF(raw_exchange_data!$A647="","",OFFSET(raw_exchange_data!$A647,0,MATCH(S$2,raw_exchange_data!$1:$1,0)-1))</f>
        <v/>
      </c>
      <c r="W648" t="str">
        <f t="shared" si="52"/>
        <v/>
      </c>
      <c r="X648" t="str">
        <f t="shared" si="53"/>
        <v/>
      </c>
      <c r="Y648" s="42" t="str">
        <f t="shared" si="54"/>
        <v/>
      </c>
      <c r="Z648" s="42" t="str">
        <f t="shared" si="55"/>
        <v/>
      </c>
    </row>
    <row r="649" spans="7:26" x14ac:dyDescent="0.25">
      <c r="G649" s="52" t="str">
        <f>IF(Summary_Exchange_Balances_00UTC!$B648="","",VLOOKUP(IF(ISERROR(SEARCH(" ", $B649)),UPPER($B649&amp;$C649&amp;IF(OR(NOT(ISERROR(SEARCH("trade",$D649))),NOT(ISERROR(SEARCH("balance",$D649)))),"",$D649)),UPPER(LEFT($B649, SEARCH(" ",$B649)-1)&amp;$C649&amp;IF(OR(NOT(ISERROR(SEARCH("trade",$D649))),NOT(ISERROR(SEARCH("balance",$D649)))),"",$D649))),$L:$T,MATCH("balance",$L$2:$S$2,0),FALSE))</f>
        <v/>
      </c>
      <c r="H649" s="35" t="str">
        <f>IF(Summary_Exchange_Balances_00UTC!$B648="","",(G649-E649)/E649)</f>
        <v/>
      </c>
      <c r="I649" s="165" t="str">
        <f>IF(Summary_Exchange_Balances_00UTC!$B648="","",IF(ISERROR($G649),$E649,$G649))</f>
        <v/>
      </c>
      <c r="N649" s="161" t="str">
        <f ca="1">IF(raw_exchange_data!$A648="","",OFFSET(raw_exchange_data!$A648,0,MATCH(N$2,raw_exchange_data!$1:$1,0)-1))</f>
        <v/>
      </c>
      <c r="O649" s="161" t="str">
        <f ca="1">IF(raw_exchange_data!$A648="","",OFFSET(raw_exchange_data!$A648,0,MATCH(O$2,raw_exchange_data!$1:$1,0)-1))</f>
        <v/>
      </c>
      <c r="P649" s="161" t="str">
        <f ca="1">IF(raw_exchange_data!$A648="","",OFFSET(raw_exchange_data!$A648,0,MATCH(P$2,raw_exchange_data!$1:$1,0)-1))</f>
        <v/>
      </c>
      <c r="Q649" s="161" t="str">
        <f ca="1">IF(raw_exchange_data!$A648="","",TEXT(OFFSET(raw_exchange_data!$A648,0,MATCH(Q$2,raw_exchange_data!$1:$1,0)-1),""))</f>
        <v/>
      </c>
      <c r="R649" s="162" t="str">
        <f ca="1">IF(raw_exchange_data!$A648="","",OFFSET(raw_exchange_data!$A648,0,MATCH(R$2,raw_exchange_data!$1:$1,0)-1))</f>
        <v/>
      </c>
      <c r="S649" s="190" t="str">
        <f ca="1">IF(raw_exchange_data!$A648="","",OFFSET(raw_exchange_data!$A648,0,MATCH(S$2,raw_exchange_data!$1:$1,0)-1))</f>
        <v/>
      </c>
      <c r="W649" t="str">
        <f t="shared" si="52"/>
        <v/>
      </c>
      <c r="X649" t="str">
        <f t="shared" si="53"/>
        <v/>
      </c>
      <c r="Y649" s="42" t="str">
        <f t="shared" si="54"/>
        <v/>
      </c>
      <c r="Z649" s="42" t="str">
        <f t="shared" si="55"/>
        <v/>
      </c>
    </row>
    <row r="650" spans="7:26" x14ac:dyDescent="0.25">
      <c r="G650" s="52" t="str">
        <f>IF(Summary_Exchange_Balances_00UTC!$B649="","",VLOOKUP(IF(ISERROR(SEARCH(" ", $B650)),UPPER($B650&amp;$C650&amp;IF(OR(NOT(ISERROR(SEARCH("trade",$D650))),NOT(ISERROR(SEARCH("balance",$D650)))),"",$D650)),UPPER(LEFT($B650, SEARCH(" ",$B650)-1)&amp;$C650&amp;IF(OR(NOT(ISERROR(SEARCH("trade",$D650))),NOT(ISERROR(SEARCH("balance",$D650)))),"",$D650))),$L:$T,MATCH("balance",$L$2:$S$2,0),FALSE))</f>
        <v/>
      </c>
      <c r="H650" s="35" t="str">
        <f>IF(Summary_Exchange_Balances_00UTC!$B649="","",(G650-E650)/E650)</f>
        <v/>
      </c>
      <c r="I650" s="165" t="str">
        <f>IF(Summary_Exchange_Balances_00UTC!$B649="","",IF(ISERROR($G650),$E650,$G650))</f>
        <v/>
      </c>
      <c r="N650" s="161" t="str">
        <f ca="1">IF(raw_exchange_data!$A649="","",OFFSET(raw_exchange_data!$A649,0,MATCH(N$2,raw_exchange_data!$1:$1,0)-1))</f>
        <v/>
      </c>
      <c r="O650" s="161" t="str">
        <f ca="1">IF(raw_exchange_data!$A649="","",OFFSET(raw_exchange_data!$A649,0,MATCH(O$2,raw_exchange_data!$1:$1,0)-1))</f>
        <v/>
      </c>
      <c r="P650" s="161" t="str">
        <f ca="1">IF(raw_exchange_data!$A649="","",OFFSET(raw_exchange_data!$A649,0,MATCH(P$2,raw_exchange_data!$1:$1,0)-1))</f>
        <v/>
      </c>
      <c r="Q650" s="161" t="str">
        <f ca="1">IF(raw_exchange_data!$A649="","",TEXT(OFFSET(raw_exchange_data!$A649,0,MATCH(Q$2,raw_exchange_data!$1:$1,0)-1),""))</f>
        <v/>
      </c>
      <c r="R650" s="162" t="str">
        <f ca="1">IF(raw_exchange_data!$A649="","",OFFSET(raw_exchange_data!$A649,0,MATCH(R$2,raw_exchange_data!$1:$1,0)-1))</f>
        <v/>
      </c>
      <c r="S650" s="190" t="str">
        <f ca="1">IF(raw_exchange_data!$A649="","",OFFSET(raw_exchange_data!$A649,0,MATCH(S$2,raw_exchange_data!$1:$1,0)-1))</f>
        <v/>
      </c>
      <c r="W650" t="str">
        <f t="shared" si="52"/>
        <v/>
      </c>
      <c r="X650" t="str">
        <f t="shared" si="53"/>
        <v/>
      </c>
      <c r="Y650" s="42" t="str">
        <f t="shared" si="54"/>
        <v/>
      </c>
      <c r="Z650" s="42" t="str">
        <f t="shared" si="55"/>
        <v/>
      </c>
    </row>
    <row r="651" spans="7:26" x14ac:dyDescent="0.25">
      <c r="G651" s="52" t="str">
        <f>IF(Summary_Exchange_Balances_00UTC!$B650="","",VLOOKUP(IF(ISERROR(SEARCH(" ", $B651)),UPPER($B651&amp;$C651&amp;IF(OR(NOT(ISERROR(SEARCH("trade",$D651))),NOT(ISERROR(SEARCH("balance",$D651)))),"",$D651)),UPPER(LEFT($B651, SEARCH(" ",$B651)-1)&amp;$C651&amp;IF(OR(NOT(ISERROR(SEARCH("trade",$D651))),NOT(ISERROR(SEARCH("balance",$D651)))),"",$D651))),$L:$T,MATCH("balance",$L$2:$S$2,0),FALSE))</f>
        <v/>
      </c>
      <c r="H651" s="35" t="str">
        <f>IF(Summary_Exchange_Balances_00UTC!$B650="","",(G651-E651)/E651)</f>
        <v/>
      </c>
      <c r="I651" s="165" t="str">
        <f>IF(Summary_Exchange_Balances_00UTC!$B650="","",IF(ISERROR($G651),$E651,$G651))</f>
        <v/>
      </c>
      <c r="N651" s="161" t="str">
        <f ca="1">IF(raw_exchange_data!$A650="","",OFFSET(raw_exchange_data!$A650,0,MATCH(N$2,raw_exchange_data!$1:$1,0)-1))</f>
        <v/>
      </c>
      <c r="O651" s="161" t="str">
        <f ca="1">IF(raw_exchange_data!$A650="","",OFFSET(raw_exchange_data!$A650,0,MATCH(O$2,raw_exchange_data!$1:$1,0)-1))</f>
        <v/>
      </c>
      <c r="P651" s="161" t="str">
        <f ca="1">IF(raw_exchange_data!$A650="","",OFFSET(raw_exchange_data!$A650,0,MATCH(P$2,raw_exchange_data!$1:$1,0)-1))</f>
        <v/>
      </c>
      <c r="Q651" s="161" t="str">
        <f ca="1">IF(raw_exchange_data!$A650="","",TEXT(OFFSET(raw_exchange_data!$A650,0,MATCH(Q$2,raw_exchange_data!$1:$1,0)-1),""))</f>
        <v/>
      </c>
      <c r="R651" s="162" t="str">
        <f ca="1">IF(raw_exchange_data!$A650="","",OFFSET(raw_exchange_data!$A650,0,MATCH(R$2,raw_exchange_data!$1:$1,0)-1))</f>
        <v/>
      </c>
      <c r="S651" s="190" t="str">
        <f ca="1">IF(raw_exchange_data!$A650="","",OFFSET(raw_exchange_data!$A650,0,MATCH(S$2,raw_exchange_data!$1:$1,0)-1))</f>
        <v/>
      </c>
      <c r="W651" t="str">
        <f t="shared" si="52"/>
        <v/>
      </c>
      <c r="X651" t="str">
        <f t="shared" si="53"/>
        <v/>
      </c>
      <c r="Y651" s="42" t="str">
        <f t="shared" si="54"/>
        <v/>
      </c>
      <c r="Z651" s="42" t="str">
        <f t="shared" si="55"/>
        <v/>
      </c>
    </row>
    <row r="652" spans="7:26" x14ac:dyDescent="0.25">
      <c r="G652" s="52" t="str">
        <f>IF(Summary_Exchange_Balances_00UTC!$B651="","",VLOOKUP(IF(ISERROR(SEARCH(" ", $B652)),UPPER($B652&amp;$C652&amp;IF(OR(NOT(ISERROR(SEARCH("trade",$D652))),NOT(ISERROR(SEARCH("balance",$D652)))),"",$D652)),UPPER(LEFT($B652, SEARCH(" ",$B652)-1)&amp;$C652&amp;IF(OR(NOT(ISERROR(SEARCH("trade",$D652))),NOT(ISERROR(SEARCH("balance",$D652)))),"",$D652))),$L:$T,MATCH("balance",$L$2:$S$2,0),FALSE))</f>
        <v/>
      </c>
      <c r="H652" s="35" t="str">
        <f>IF(Summary_Exchange_Balances_00UTC!$B651="","",(G652-E652)/E652)</f>
        <v/>
      </c>
      <c r="I652" s="165" t="str">
        <f>IF(Summary_Exchange_Balances_00UTC!$B651="","",IF(ISERROR($G652),$E652,$G652))</f>
        <v/>
      </c>
      <c r="N652" s="161" t="str">
        <f ca="1">IF(raw_exchange_data!$A651="","",OFFSET(raw_exchange_data!$A651,0,MATCH(N$2,raw_exchange_data!$1:$1,0)-1))</f>
        <v/>
      </c>
      <c r="O652" s="161" t="str">
        <f ca="1">IF(raw_exchange_data!$A651="","",OFFSET(raw_exchange_data!$A651,0,MATCH(O$2,raw_exchange_data!$1:$1,0)-1))</f>
        <v/>
      </c>
      <c r="P652" s="161" t="str">
        <f ca="1">IF(raw_exchange_data!$A651="","",OFFSET(raw_exchange_data!$A651,0,MATCH(P$2,raw_exchange_data!$1:$1,0)-1))</f>
        <v/>
      </c>
      <c r="Q652" s="161" t="str">
        <f ca="1">IF(raw_exchange_data!$A651="","",TEXT(OFFSET(raw_exchange_data!$A651,0,MATCH(Q$2,raw_exchange_data!$1:$1,0)-1),""))</f>
        <v/>
      </c>
      <c r="R652" s="162" t="str">
        <f ca="1">IF(raw_exchange_data!$A651="","",OFFSET(raw_exchange_data!$A651,0,MATCH(R$2,raw_exchange_data!$1:$1,0)-1))</f>
        <v/>
      </c>
      <c r="S652" s="190" t="str">
        <f ca="1">IF(raw_exchange_data!$A651="","",OFFSET(raw_exchange_data!$A651,0,MATCH(S$2,raw_exchange_data!$1:$1,0)-1))</f>
        <v/>
      </c>
      <c r="W652" t="str">
        <f t="shared" si="52"/>
        <v/>
      </c>
      <c r="X652" t="str">
        <f t="shared" si="53"/>
        <v/>
      </c>
      <c r="Y652" s="42" t="str">
        <f t="shared" si="54"/>
        <v/>
      </c>
      <c r="Z652" s="42" t="str">
        <f t="shared" si="55"/>
        <v/>
      </c>
    </row>
    <row r="653" spans="7:26" x14ac:dyDescent="0.25">
      <c r="G653" s="52" t="str">
        <f>IF(Summary_Exchange_Balances_00UTC!$B652="","",VLOOKUP(IF(ISERROR(SEARCH(" ", $B653)),UPPER($B653&amp;$C653&amp;IF(OR(NOT(ISERROR(SEARCH("trade",$D653))),NOT(ISERROR(SEARCH("balance",$D653)))),"",$D653)),UPPER(LEFT($B653, SEARCH(" ",$B653)-1)&amp;$C653&amp;IF(OR(NOT(ISERROR(SEARCH("trade",$D653))),NOT(ISERROR(SEARCH("balance",$D653)))),"",$D653))),$L:$T,MATCH("balance",$L$2:$S$2,0),FALSE))</f>
        <v/>
      </c>
      <c r="H653" s="35" t="str">
        <f>IF(Summary_Exchange_Balances_00UTC!$B652="","",(G653-E653)/E653)</f>
        <v/>
      </c>
      <c r="I653" s="165" t="str">
        <f>IF(Summary_Exchange_Balances_00UTC!$B652="","",IF(ISERROR($G653),$E653,$G653))</f>
        <v/>
      </c>
      <c r="N653" s="161" t="str">
        <f ca="1">IF(raw_exchange_data!$A652="","",OFFSET(raw_exchange_data!$A652,0,MATCH(N$2,raw_exchange_data!$1:$1,0)-1))</f>
        <v/>
      </c>
      <c r="O653" s="161" t="str">
        <f ca="1">IF(raw_exchange_data!$A652="","",OFFSET(raw_exchange_data!$A652,0,MATCH(O$2,raw_exchange_data!$1:$1,0)-1))</f>
        <v/>
      </c>
      <c r="P653" s="161" t="str">
        <f ca="1">IF(raw_exchange_data!$A652="","",OFFSET(raw_exchange_data!$A652,0,MATCH(P$2,raw_exchange_data!$1:$1,0)-1))</f>
        <v/>
      </c>
      <c r="Q653" s="161" t="str">
        <f ca="1">IF(raw_exchange_data!$A652="","",TEXT(OFFSET(raw_exchange_data!$A652,0,MATCH(Q$2,raw_exchange_data!$1:$1,0)-1),""))</f>
        <v/>
      </c>
      <c r="R653" s="162" t="str">
        <f ca="1">IF(raw_exchange_data!$A652="","",OFFSET(raw_exchange_data!$A652,0,MATCH(R$2,raw_exchange_data!$1:$1,0)-1))</f>
        <v/>
      </c>
      <c r="S653" s="190" t="str">
        <f ca="1">IF(raw_exchange_data!$A652="","",OFFSET(raw_exchange_data!$A652,0,MATCH(S$2,raw_exchange_data!$1:$1,0)-1))</f>
        <v/>
      </c>
      <c r="W653" t="str">
        <f t="shared" si="52"/>
        <v/>
      </c>
      <c r="X653" t="str">
        <f t="shared" si="53"/>
        <v/>
      </c>
      <c r="Y653" s="42" t="str">
        <f t="shared" si="54"/>
        <v/>
      </c>
      <c r="Z653" s="42" t="str">
        <f t="shared" si="55"/>
        <v/>
      </c>
    </row>
    <row r="654" spans="7:26" x14ac:dyDescent="0.25">
      <c r="G654" s="52" t="str">
        <f>IF(Summary_Exchange_Balances_00UTC!$B653="","",VLOOKUP(IF(ISERROR(SEARCH(" ", $B654)),UPPER($B654&amp;$C654&amp;IF(OR(NOT(ISERROR(SEARCH("trade",$D654))),NOT(ISERROR(SEARCH("balance",$D654)))),"",$D654)),UPPER(LEFT($B654, SEARCH(" ",$B654)-1)&amp;$C654&amp;IF(OR(NOT(ISERROR(SEARCH("trade",$D654))),NOT(ISERROR(SEARCH("balance",$D654)))),"",$D654))),$L:$T,MATCH("balance",$L$2:$S$2,0),FALSE))</f>
        <v/>
      </c>
      <c r="H654" s="35" t="str">
        <f>IF(Summary_Exchange_Balances_00UTC!$B653="","",(G654-E654)/E654)</f>
        <v/>
      </c>
      <c r="I654" s="165" t="str">
        <f>IF(Summary_Exchange_Balances_00UTC!$B653="","",IF(ISERROR($G654),$E654,$G654))</f>
        <v/>
      </c>
      <c r="N654" s="161" t="str">
        <f ca="1">IF(raw_exchange_data!$A653="","",OFFSET(raw_exchange_data!$A653,0,MATCH(N$2,raw_exchange_data!$1:$1,0)-1))</f>
        <v/>
      </c>
      <c r="O654" s="161" t="str">
        <f ca="1">IF(raw_exchange_data!$A653="","",OFFSET(raw_exchange_data!$A653,0,MATCH(O$2,raw_exchange_data!$1:$1,0)-1))</f>
        <v/>
      </c>
      <c r="P654" s="161" t="str">
        <f ca="1">IF(raw_exchange_data!$A653="","",OFFSET(raw_exchange_data!$A653,0,MATCH(P$2,raw_exchange_data!$1:$1,0)-1))</f>
        <v/>
      </c>
      <c r="Q654" s="161" t="str">
        <f ca="1">IF(raw_exchange_data!$A653="","",TEXT(OFFSET(raw_exchange_data!$A653,0,MATCH(Q$2,raw_exchange_data!$1:$1,0)-1),""))</f>
        <v/>
      </c>
      <c r="R654" s="162" t="str">
        <f ca="1">IF(raw_exchange_data!$A653="","",OFFSET(raw_exchange_data!$A653,0,MATCH(R$2,raw_exchange_data!$1:$1,0)-1))</f>
        <v/>
      </c>
      <c r="S654" s="190" t="str">
        <f ca="1">IF(raw_exchange_data!$A653="","",OFFSET(raw_exchange_data!$A653,0,MATCH(S$2,raw_exchange_data!$1:$1,0)-1))</f>
        <v/>
      </c>
      <c r="W654" t="str">
        <f t="shared" si="52"/>
        <v/>
      </c>
      <c r="X654" t="str">
        <f t="shared" si="53"/>
        <v/>
      </c>
      <c r="Y654" s="42" t="str">
        <f t="shared" si="54"/>
        <v/>
      </c>
      <c r="Z654" s="42" t="str">
        <f t="shared" si="55"/>
        <v/>
      </c>
    </row>
    <row r="655" spans="7:26" x14ac:dyDescent="0.25">
      <c r="G655" s="52" t="str">
        <f>IF(Summary_Exchange_Balances_00UTC!$B654="","",VLOOKUP(IF(ISERROR(SEARCH(" ", $B655)),UPPER($B655&amp;$C655&amp;IF(OR(NOT(ISERROR(SEARCH("trade",$D655))),NOT(ISERROR(SEARCH("balance",$D655)))),"",$D655)),UPPER(LEFT($B655, SEARCH(" ",$B655)-1)&amp;$C655&amp;IF(OR(NOT(ISERROR(SEARCH("trade",$D655))),NOT(ISERROR(SEARCH("balance",$D655)))),"",$D655))),$L:$T,MATCH("balance",$L$2:$S$2,0),FALSE))</f>
        <v/>
      </c>
      <c r="H655" s="35" t="str">
        <f>IF(Summary_Exchange_Balances_00UTC!$B654="","",(G655-E655)/E655)</f>
        <v/>
      </c>
      <c r="I655" s="165" t="str">
        <f>IF(Summary_Exchange_Balances_00UTC!$B654="","",IF(ISERROR($G655),$E655,$G655))</f>
        <v/>
      </c>
      <c r="N655" s="161" t="str">
        <f ca="1">IF(raw_exchange_data!$A654="","",OFFSET(raw_exchange_data!$A654,0,MATCH(N$2,raw_exchange_data!$1:$1,0)-1))</f>
        <v/>
      </c>
      <c r="O655" s="161" t="str">
        <f ca="1">IF(raw_exchange_data!$A654="","",OFFSET(raw_exchange_data!$A654,0,MATCH(O$2,raw_exchange_data!$1:$1,0)-1))</f>
        <v/>
      </c>
      <c r="P655" s="161" t="str">
        <f ca="1">IF(raw_exchange_data!$A654="","",OFFSET(raw_exchange_data!$A654,0,MATCH(P$2,raw_exchange_data!$1:$1,0)-1))</f>
        <v/>
      </c>
      <c r="Q655" s="161" t="str">
        <f ca="1">IF(raw_exchange_data!$A654="","",TEXT(OFFSET(raw_exchange_data!$A654,0,MATCH(Q$2,raw_exchange_data!$1:$1,0)-1),""))</f>
        <v/>
      </c>
      <c r="R655" s="162" t="str">
        <f ca="1">IF(raw_exchange_data!$A654="","",OFFSET(raw_exchange_data!$A654,0,MATCH(R$2,raw_exchange_data!$1:$1,0)-1))</f>
        <v/>
      </c>
      <c r="S655" s="190" t="str">
        <f ca="1">IF(raw_exchange_data!$A654="","",OFFSET(raw_exchange_data!$A654,0,MATCH(S$2,raw_exchange_data!$1:$1,0)-1))</f>
        <v/>
      </c>
      <c r="W655" t="str">
        <f t="shared" si="52"/>
        <v/>
      </c>
      <c r="X655" t="str">
        <f t="shared" si="53"/>
        <v/>
      </c>
      <c r="Y655" s="42" t="str">
        <f t="shared" si="54"/>
        <v/>
      </c>
      <c r="Z655" s="42" t="str">
        <f t="shared" si="55"/>
        <v/>
      </c>
    </row>
    <row r="656" spans="7:26" x14ac:dyDescent="0.25">
      <c r="G656" s="52" t="str">
        <f>IF(Summary_Exchange_Balances_00UTC!$B655="","",VLOOKUP(IF(ISERROR(SEARCH(" ", $B656)),UPPER($B656&amp;$C656&amp;IF(OR(NOT(ISERROR(SEARCH("trade",$D656))),NOT(ISERROR(SEARCH("balance",$D656)))),"",$D656)),UPPER(LEFT($B656, SEARCH(" ",$B656)-1)&amp;$C656&amp;IF(OR(NOT(ISERROR(SEARCH("trade",$D656))),NOT(ISERROR(SEARCH("balance",$D656)))),"",$D656))),$L:$T,MATCH("balance",$L$2:$S$2,0),FALSE))</f>
        <v/>
      </c>
      <c r="H656" s="35" t="str">
        <f>IF(Summary_Exchange_Balances_00UTC!$B655="","",(G656-E656)/E656)</f>
        <v/>
      </c>
      <c r="I656" s="165" t="str">
        <f>IF(Summary_Exchange_Balances_00UTC!$B655="","",IF(ISERROR($G656),$E656,$G656))</f>
        <v/>
      </c>
      <c r="N656" s="161" t="str">
        <f ca="1">IF(raw_exchange_data!$A655="","",OFFSET(raw_exchange_data!$A655,0,MATCH(N$2,raw_exchange_data!$1:$1,0)-1))</f>
        <v/>
      </c>
      <c r="O656" s="161" t="str">
        <f ca="1">IF(raw_exchange_data!$A655="","",OFFSET(raw_exchange_data!$A655,0,MATCH(O$2,raw_exchange_data!$1:$1,0)-1))</f>
        <v/>
      </c>
      <c r="P656" s="161" t="str">
        <f ca="1">IF(raw_exchange_data!$A655="","",OFFSET(raw_exchange_data!$A655,0,MATCH(P$2,raw_exchange_data!$1:$1,0)-1))</f>
        <v/>
      </c>
      <c r="Q656" s="161" t="str">
        <f ca="1">IF(raw_exchange_data!$A655="","",TEXT(OFFSET(raw_exchange_data!$A655,0,MATCH(Q$2,raw_exchange_data!$1:$1,0)-1),""))</f>
        <v/>
      </c>
      <c r="R656" s="162" t="str">
        <f ca="1">IF(raw_exchange_data!$A655="","",OFFSET(raw_exchange_data!$A655,0,MATCH(R$2,raw_exchange_data!$1:$1,0)-1))</f>
        <v/>
      </c>
      <c r="S656" s="190" t="str">
        <f ca="1">IF(raw_exchange_data!$A655="","",OFFSET(raw_exchange_data!$A655,0,MATCH(S$2,raw_exchange_data!$1:$1,0)-1))</f>
        <v/>
      </c>
      <c r="W656" t="str">
        <f t="shared" si="52"/>
        <v/>
      </c>
      <c r="X656" t="str">
        <f t="shared" si="53"/>
        <v/>
      </c>
      <c r="Y656" s="42" t="str">
        <f t="shared" si="54"/>
        <v/>
      </c>
      <c r="Z656" s="42" t="str">
        <f t="shared" si="55"/>
        <v/>
      </c>
    </row>
    <row r="657" spans="7:26" x14ac:dyDescent="0.25">
      <c r="G657" s="52" t="str">
        <f>IF(Summary_Exchange_Balances_00UTC!$B656="","",VLOOKUP(IF(ISERROR(SEARCH(" ", $B657)),UPPER($B657&amp;$C657&amp;IF(OR(NOT(ISERROR(SEARCH("trade",$D657))),NOT(ISERROR(SEARCH("balance",$D657)))),"",$D657)),UPPER(LEFT($B657, SEARCH(" ",$B657)-1)&amp;$C657&amp;IF(OR(NOT(ISERROR(SEARCH("trade",$D657))),NOT(ISERROR(SEARCH("balance",$D657)))),"",$D657))),$L:$T,MATCH("balance",$L$2:$S$2,0),FALSE))</f>
        <v/>
      </c>
      <c r="H657" s="35" t="str">
        <f>IF(Summary_Exchange_Balances_00UTC!$B656="","",(G657-E657)/E657)</f>
        <v/>
      </c>
      <c r="I657" s="165" t="str">
        <f>IF(Summary_Exchange_Balances_00UTC!$B656="","",IF(ISERROR($G657),$E657,$G657))</f>
        <v/>
      </c>
      <c r="N657" s="161" t="str">
        <f ca="1">IF(raw_exchange_data!$A656="","",OFFSET(raw_exchange_data!$A656,0,MATCH(N$2,raw_exchange_data!$1:$1,0)-1))</f>
        <v/>
      </c>
      <c r="O657" s="161" t="str">
        <f ca="1">IF(raw_exchange_data!$A656="","",OFFSET(raw_exchange_data!$A656,0,MATCH(O$2,raw_exchange_data!$1:$1,0)-1))</f>
        <v/>
      </c>
      <c r="P657" s="161" t="str">
        <f ca="1">IF(raw_exchange_data!$A656="","",OFFSET(raw_exchange_data!$A656,0,MATCH(P$2,raw_exchange_data!$1:$1,0)-1))</f>
        <v/>
      </c>
      <c r="Q657" s="161" t="str">
        <f ca="1">IF(raw_exchange_data!$A656="","",TEXT(OFFSET(raw_exchange_data!$A656,0,MATCH(Q$2,raw_exchange_data!$1:$1,0)-1),""))</f>
        <v/>
      </c>
      <c r="R657" s="162" t="str">
        <f ca="1">IF(raw_exchange_data!$A656="","",OFFSET(raw_exchange_data!$A656,0,MATCH(R$2,raw_exchange_data!$1:$1,0)-1))</f>
        <v/>
      </c>
      <c r="S657" s="190" t="str">
        <f ca="1">IF(raw_exchange_data!$A656="","",OFFSET(raw_exchange_data!$A656,0,MATCH(S$2,raw_exchange_data!$1:$1,0)-1))</f>
        <v/>
      </c>
      <c r="W657" t="str">
        <f t="shared" si="52"/>
        <v/>
      </c>
      <c r="X657" t="str">
        <f t="shared" si="53"/>
        <v/>
      </c>
      <c r="Y657" s="42" t="str">
        <f t="shared" si="54"/>
        <v/>
      </c>
      <c r="Z657" s="42" t="str">
        <f t="shared" si="55"/>
        <v/>
      </c>
    </row>
    <row r="658" spans="7:26" x14ac:dyDescent="0.25">
      <c r="G658" s="52" t="str">
        <f>IF(Summary_Exchange_Balances_00UTC!$B657="","",VLOOKUP(IF(ISERROR(SEARCH(" ", $B658)),UPPER($B658&amp;$C658&amp;IF(OR(NOT(ISERROR(SEARCH("trade",$D658))),NOT(ISERROR(SEARCH("balance",$D658)))),"",$D658)),UPPER(LEFT($B658, SEARCH(" ",$B658)-1)&amp;$C658&amp;IF(OR(NOT(ISERROR(SEARCH("trade",$D658))),NOT(ISERROR(SEARCH("balance",$D658)))),"",$D658))),$L:$T,MATCH("balance",$L$2:$S$2,0),FALSE))</f>
        <v/>
      </c>
      <c r="H658" s="35" t="str">
        <f>IF(Summary_Exchange_Balances_00UTC!$B657="","",(G658-E658)/E658)</f>
        <v/>
      </c>
      <c r="I658" s="165" t="str">
        <f>IF(Summary_Exchange_Balances_00UTC!$B657="","",IF(ISERROR($G658),$E658,$G658))</f>
        <v/>
      </c>
      <c r="N658" s="161" t="str">
        <f ca="1">IF(raw_exchange_data!$A657="","",OFFSET(raw_exchange_data!$A657,0,MATCH(N$2,raw_exchange_data!$1:$1,0)-1))</f>
        <v/>
      </c>
      <c r="O658" s="161" t="str">
        <f ca="1">IF(raw_exchange_data!$A657="","",OFFSET(raw_exchange_data!$A657,0,MATCH(O$2,raw_exchange_data!$1:$1,0)-1))</f>
        <v/>
      </c>
      <c r="P658" s="161" t="str">
        <f ca="1">IF(raw_exchange_data!$A657="","",OFFSET(raw_exchange_data!$A657,0,MATCH(P$2,raw_exchange_data!$1:$1,0)-1))</f>
        <v/>
      </c>
      <c r="Q658" s="161" t="str">
        <f ca="1">IF(raw_exchange_data!$A657="","",TEXT(OFFSET(raw_exchange_data!$A657,0,MATCH(Q$2,raw_exchange_data!$1:$1,0)-1),""))</f>
        <v/>
      </c>
      <c r="R658" s="162" t="str">
        <f ca="1">IF(raw_exchange_data!$A657="","",OFFSET(raw_exchange_data!$A657,0,MATCH(R$2,raw_exchange_data!$1:$1,0)-1))</f>
        <v/>
      </c>
      <c r="S658" s="190" t="str">
        <f ca="1">IF(raw_exchange_data!$A657="","",OFFSET(raw_exchange_data!$A657,0,MATCH(S$2,raw_exchange_data!$1:$1,0)-1))</f>
        <v/>
      </c>
      <c r="W658" t="str">
        <f t="shared" si="52"/>
        <v/>
      </c>
      <c r="X658" t="str">
        <f t="shared" si="53"/>
        <v/>
      </c>
      <c r="Y658" s="42" t="str">
        <f t="shared" si="54"/>
        <v/>
      </c>
      <c r="Z658" s="42" t="str">
        <f t="shared" si="55"/>
        <v/>
      </c>
    </row>
    <row r="659" spans="7:26" x14ac:dyDescent="0.25">
      <c r="G659" s="52" t="str">
        <f>IF(Summary_Exchange_Balances_00UTC!$B658="","",VLOOKUP(IF(ISERROR(SEARCH(" ", $B659)),UPPER($B659&amp;$C659&amp;IF(OR(NOT(ISERROR(SEARCH("trade",$D659))),NOT(ISERROR(SEARCH("balance",$D659)))),"",$D659)),UPPER(LEFT($B659, SEARCH(" ",$B659)-1)&amp;$C659&amp;IF(OR(NOT(ISERROR(SEARCH("trade",$D659))),NOT(ISERROR(SEARCH("balance",$D659)))),"",$D659))),$L:$T,MATCH("balance",$L$2:$S$2,0),FALSE))</f>
        <v/>
      </c>
      <c r="H659" s="35" t="str">
        <f>IF(Summary_Exchange_Balances_00UTC!$B658="","",(G659-E659)/E659)</f>
        <v/>
      </c>
      <c r="I659" s="165" t="str">
        <f>IF(Summary_Exchange_Balances_00UTC!$B658="","",IF(ISERROR($G659),$E659,$G659))</f>
        <v/>
      </c>
      <c r="N659" s="161" t="str">
        <f ca="1">IF(raw_exchange_data!$A658="","",OFFSET(raw_exchange_data!$A658,0,MATCH(N$2,raw_exchange_data!$1:$1,0)-1))</f>
        <v/>
      </c>
      <c r="O659" s="161" t="str">
        <f ca="1">IF(raw_exchange_data!$A658="","",OFFSET(raw_exchange_data!$A658,0,MATCH(O$2,raw_exchange_data!$1:$1,0)-1))</f>
        <v/>
      </c>
      <c r="P659" s="161" t="str">
        <f ca="1">IF(raw_exchange_data!$A658="","",OFFSET(raw_exchange_data!$A658,0,MATCH(P$2,raw_exchange_data!$1:$1,0)-1))</f>
        <v/>
      </c>
      <c r="Q659" s="161" t="str">
        <f ca="1">IF(raw_exchange_data!$A658="","",TEXT(OFFSET(raw_exchange_data!$A658,0,MATCH(Q$2,raw_exchange_data!$1:$1,0)-1),""))</f>
        <v/>
      </c>
      <c r="R659" s="162" t="str">
        <f ca="1">IF(raw_exchange_data!$A658="","",OFFSET(raw_exchange_data!$A658,0,MATCH(R$2,raw_exchange_data!$1:$1,0)-1))</f>
        <v/>
      </c>
      <c r="S659" s="190" t="str">
        <f ca="1">IF(raw_exchange_data!$A658="","",OFFSET(raw_exchange_data!$A658,0,MATCH(S$2,raw_exchange_data!$1:$1,0)-1))</f>
        <v/>
      </c>
      <c r="W659" t="str">
        <f t="shared" si="52"/>
        <v/>
      </c>
      <c r="X659" t="str">
        <f t="shared" si="53"/>
        <v/>
      </c>
      <c r="Y659" s="42" t="str">
        <f t="shared" si="54"/>
        <v/>
      </c>
      <c r="Z659" s="42" t="str">
        <f t="shared" si="55"/>
        <v/>
      </c>
    </row>
    <row r="660" spans="7:26" x14ac:dyDescent="0.25">
      <c r="G660" s="52" t="str">
        <f>IF(Summary_Exchange_Balances_00UTC!$B659="","",VLOOKUP(IF(ISERROR(SEARCH(" ", $B660)),UPPER($B660&amp;$C660&amp;IF(OR(NOT(ISERROR(SEARCH("trade",$D660))),NOT(ISERROR(SEARCH("balance",$D660)))),"",$D660)),UPPER(LEFT($B660, SEARCH(" ",$B660)-1)&amp;$C660&amp;IF(OR(NOT(ISERROR(SEARCH("trade",$D660))),NOT(ISERROR(SEARCH("balance",$D660)))),"",$D660))),$L:$T,MATCH("balance",$L$2:$S$2,0),FALSE))</f>
        <v/>
      </c>
      <c r="H660" s="35" t="str">
        <f>IF(Summary_Exchange_Balances_00UTC!$B659="","",(G660-E660)/E660)</f>
        <v/>
      </c>
      <c r="I660" s="165" t="str">
        <f>IF(Summary_Exchange_Balances_00UTC!$B659="","",IF(ISERROR($G660),$E660,$G660))</f>
        <v/>
      </c>
      <c r="N660" s="161" t="str">
        <f ca="1">IF(raw_exchange_data!$A659="","",OFFSET(raw_exchange_data!$A659,0,MATCH(N$2,raw_exchange_data!$1:$1,0)-1))</f>
        <v/>
      </c>
      <c r="O660" s="161" t="str">
        <f ca="1">IF(raw_exchange_data!$A659="","",OFFSET(raw_exchange_data!$A659,0,MATCH(O$2,raw_exchange_data!$1:$1,0)-1))</f>
        <v/>
      </c>
      <c r="P660" s="161" t="str">
        <f ca="1">IF(raw_exchange_data!$A659="","",OFFSET(raw_exchange_data!$A659,0,MATCH(P$2,raw_exchange_data!$1:$1,0)-1))</f>
        <v/>
      </c>
      <c r="Q660" s="161" t="str">
        <f ca="1">IF(raw_exchange_data!$A659="","",TEXT(OFFSET(raw_exchange_data!$A659,0,MATCH(Q$2,raw_exchange_data!$1:$1,0)-1),""))</f>
        <v/>
      </c>
      <c r="R660" s="162" t="str">
        <f ca="1">IF(raw_exchange_data!$A659="","",OFFSET(raw_exchange_data!$A659,0,MATCH(R$2,raw_exchange_data!$1:$1,0)-1))</f>
        <v/>
      </c>
      <c r="S660" s="190" t="str">
        <f ca="1">IF(raw_exchange_data!$A659="","",OFFSET(raw_exchange_data!$A659,0,MATCH(S$2,raw_exchange_data!$1:$1,0)-1))</f>
        <v/>
      </c>
      <c r="W660" t="str">
        <f t="shared" si="52"/>
        <v/>
      </c>
      <c r="X660" t="str">
        <f t="shared" si="53"/>
        <v/>
      </c>
      <c r="Y660" s="42" t="str">
        <f t="shared" si="54"/>
        <v/>
      </c>
      <c r="Z660" s="42" t="str">
        <f t="shared" si="55"/>
        <v/>
      </c>
    </row>
    <row r="661" spans="7:26" x14ac:dyDescent="0.25">
      <c r="G661" s="52" t="str">
        <f>IF(Summary_Exchange_Balances_00UTC!$B660="","",VLOOKUP(IF(ISERROR(SEARCH(" ", $B661)),UPPER($B661&amp;$C661&amp;IF(OR(NOT(ISERROR(SEARCH("trade",$D661))),NOT(ISERROR(SEARCH("balance",$D661)))),"",$D661)),UPPER(LEFT($B661, SEARCH(" ",$B661)-1)&amp;$C661&amp;IF(OR(NOT(ISERROR(SEARCH("trade",$D661))),NOT(ISERROR(SEARCH("balance",$D661)))),"",$D661))),$L:$T,MATCH("balance",$L$2:$S$2,0),FALSE))</f>
        <v/>
      </c>
      <c r="H661" s="35" t="str">
        <f>IF(Summary_Exchange_Balances_00UTC!$B660="","",(G661-E661)/E661)</f>
        <v/>
      </c>
      <c r="I661" s="165" t="str">
        <f>IF(Summary_Exchange_Balances_00UTC!$B660="","",IF(ISERROR($G661),$E661,$G661))</f>
        <v/>
      </c>
      <c r="N661" s="161" t="str">
        <f ca="1">IF(raw_exchange_data!$A660="","",OFFSET(raw_exchange_data!$A660,0,MATCH(N$2,raw_exchange_data!$1:$1,0)-1))</f>
        <v/>
      </c>
      <c r="O661" s="161" t="str">
        <f ca="1">IF(raw_exchange_data!$A660="","",OFFSET(raw_exchange_data!$A660,0,MATCH(O$2,raw_exchange_data!$1:$1,0)-1))</f>
        <v/>
      </c>
      <c r="P661" s="161" t="str">
        <f ca="1">IF(raw_exchange_data!$A660="","",OFFSET(raw_exchange_data!$A660,0,MATCH(P$2,raw_exchange_data!$1:$1,0)-1))</f>
        <v/>
      </c>
      <c r="Q661" s="161" t="str">
        <f ca="1">IF(raw_exchange_data!$A660="","",TEXT(OFFSET(raw_exchange_data!$A660,0,MATCH(Q$2,raw_exchange_data!$1:$1,0)-1),""))</f>
        <v/>
      </c>
      <c r="R661" s="162" t="str">
        <f ca="1">IF(raw_exchange_data!$A660="","",OFFSET(raw_exchange_data!$A660,0,MATCH(R$2,raw_exchange_data!$1:$1,0)-1))</f>
        <v/>
      </c>
      <c r="S661" s="190" t="str">
        <f ca="1">IF(raw_exchange_data!$A660="","",OFFSET(raw_exchange_data!$A660,0,MATCH(S$2,raw_exchange_data!$1:$1,0)-1))</f>
        <v/>
      </c>
      <c r="W661" t="str">
        <f t="shared" si="52"/>
        <v/>
      </c>
      <c r="X661" t="str">
        <f t="shared" si="53"/>
        <v/>
      </c>
      <c r="Y661" s="42" t="str">
        <f t="shared" si="54"/>
        <v/>
      </c>
      <c r="Z661" s="42" t="str">
        <f t="shared" si="55"/>
        <v/>
      </c>
    </row>
    <row r="662" spans="7:26" x14ac:dyDescent="0.25">
      <c r="G662" s="52" t="str">
        <f>IF(Summary_Exchange_Balances_00UTC!$B661="","",VLOOKUP(IF(ISERROR(SEARCH(" ", $B662)),UPPER($B662&amp;$C662&amp;IF(OR(NOT(ISERROR(SEARCH("trade",$D662))),NOT(ISERROR(SEARCH("balance",$D662)))),"",$D662)),UPPER(LEFT($B662, SEARCH(" ",$B662)-1)&amp;$C662&amp;IF(OR(NOT(ISERROR(SEARCH("trade",$D662))),NOT(ISERROR(SEARCH("balance",$D662)))),"",$D662))),$L:$T,MATCH("balance",$L$2:$S$2,0),FALSE))</f>
        <v/>
      </c>
      <c r="H662" s="35" t="str">
        <f>IF(Summary_Exchange_Balances_00UTC!$B661="","",(G662-E662)/E662)</f>
        <v/>
      </c>
      <c r="I662" s="165" t="str">
        <f>IF(Summary_Exchange_Balances_00UTC!$B661="","",IF(ISERROR($G662),$E662,$G662))</f>
        <v/>
      </c>
      <c r="N662" s="161" t="str">
        <f ca="1">IF(raw_exchange_data!$A661="","",OFFSET(raw_exchange_data!$A661,0,MATCH(N$2,raw_exchange_data!$1:$1,0)-1))</f>
        <v/>
      </c>
      <c r="O662" s="161" t="str">
        <f ca="1">IF(raw_exchange_data!$A661="","",OFFSET(raw_exchange_data!$A661,0,MATCH(O$2,raw_exchange_data!$1:$1,0)-1))</f>
        <v/>
      </c>
      <c r="P662" s="161" t="str">
        <f ca="1">IF(raw_exchange_data!$A661="","",OFFSET(raw_exchange_data!$A661,0,MATCH(P$2,raw_exchange_data!$1:$1,0)-1))</f>
        <v/>
      </c>
      <c r="Q662" s="161" t="str">
        <f ca="1">IF(raw_exchange_data!$A661="","",TEXT(OFFSET(raw_exchange_data!$A661,0,MATCH(Q$2,raw_exchange_data!$1:$1,0)-1),""))</f>
        <v/>
      </c>
      <c r="R662" s="162" t="str">
        <f ca="1">IF(raw_exchange_data!$A661="","",OFFSET(raw_exchange_data!$A661,0,MATCH(R$2,raw_exchange_data!$1:$1,0)-1))</f>
        <v/>
      </c>
      <c r="S662" s="190" t="str">
        <f ca="1">IF(raw_exchange_data!$A661="","",OFFSET(raw_exchange_data!$A661,0,MATCH(S$2,raw_exchange_data!$1:$1,0)-1))</f>
        <v/>
      </c>
      <c r="W662" t="str">
        <f t="shared" si="52"/>
        <v/>
      </c>
      <c r="X662" t="str">
        <f t="shared" si="53"/>
        <v/>
      </c>
      <c r="Y662" s="42" t="str">
        <f t="shared" si="54"/>
        <v/>
      </c>
      <c r="Z662" s="42" t="str">
        <f t="shared" si="55"/>
        <v/>
      </c>
    </row>
    <row r="663" spans="7:26" x14ac:dyDescent="0.25">
      <c r="G663" s="52" t="str">
        <f>IF(Summary_Exchange_Balances_00UTC!$B662="","",VLOOKUP(IF(ISERROR(SEARCH(" ", $B663)),UPPER($B663&amp;$C663&amp;IF(OR(NOT(ISERROR(SEARCH("trade",$D663))),NOT(ISERROR(SEARCH("balance",$D663)))),"",$D663)),UPPER(LEFT($B663, SEARCH(" ",$B663)-1)&amp;$C663&amp;IF(OR(NOT(ISERROR(SEARCH("trade",$D663))),NOT(ISERROR(SEARCH("balance",$D663)))),"",$D663))),$L:$T,MATCH("balance",$L$2:$S$2,0),FALSE))</f>
        <v/>
      </c>
      <c r="H663" s="35" t="str">
        <f>IF(Summary_Exchange_Balances_00UTC!$B662="","",(G663-E663)/E663)</f>
        <v/>
      </c>
      <c r="I663" s="165" t="str">
        <f>IF(Summary_Exchange_Balances_00UTC!$B662="","",IF(ISERROR($G663),$E663,$G663))</f>
        <v/>
      </c>
      <c r="N663" s="161" t="str">
        <f ca="1">IF(raw_exchange_data!$A662="","",OFFSET(raw_exchange_data!$A662,0,MATCH(N$2,raw_exchange_data!$1:$1,0)-1))</f>
        <v/>
      </c>
      <c r="O663" s="161" t="str">
        <f ca="1">IF(raw_exchange_data!$A662="","",OFFSET(raw_exchange_data!$A662,0,MATCH(O$2,raw_exchange_data!$1:$1,0)-1))</f>
        <v/>
      </c>
      <c r="P663" s="161" t="str">
        <f ca="1">IF(raw_exchange_data!$A662="","",OFFSET(raw_exchange_data!$A662,0,MATCH(P$2,raw_exchange_data!$1:$1,0)-1))</f>
        <v/>
      </c>
      <c r="Q663" s="161" t="str">
        <f ca="1">IF(raw_exchange_data!$A662="","",TEXT(OFFSET(raw_exchange_data!$A662,0,MATCH(Q$2,raw_exchange_data!$1:$1,0)-1),""))</f>
        <v/>
      </c>
      <c r="R663" s="162" t="str">
        <f ca="1">IF(raw_exchange_data!$A662="","",OFFSET(raw_exchange_data!$A662,0,MATCH(R$2,raw_exchange_data!$1:$1,0)-1))</f>
        <v/>
      </c>
      <c r="S663" s="190" t="str">
        <f ca="1">IF(raw_exchange_data!$A662="","",OFFSET(raw_exchange_data!$A662,0,MATCH(S$2,raw_exchange_data!$1:$1,0)-1))</f>
        <v/>
      </c>
      <c r="W663" t="str">
        <f t="shared" si="52"/>
        <v/>
      </c>
      <c r="X663" t="str">
        <f t="shared" si="53"/>
        <v/>
      </c>
      <c r="Y663" s="42" t="str">
        <f t="shared" si="54"/>
        <v/>
      </c>
      <c r="Z663" s="42" t="str">
        <f t="shared" si="55"/>
        <v/>
      </c>
    </row>
    <row r="664" spans="7:26" x14ac:dyDescent="0.25">
      <c r="G664" s="52" t="str">
        <f>IF(Summary_Exchange_Balances_00UTC!$B663="","",VLOOKUP(IF(ISERROR(SEARCH(" ", $B664)),UPPER($B664&amp;$C664&amp;IF(OR(NOT(ISERROR(SEARCH("trade",$D664))),NOT(ISERROR(SEARCH("balance",$D664)))),"",$D664)),UPPER(LEFT($B664, SEARCH(" ",$B664)-1)&amp;$C664&amp;IF(OR(NOT(ISERROR(SEARCH("trade",$D664))),NOT(ISERROR(SEARCH("balance",$D664)))),"",$D664))),$L:$T,MATCH("balance",$L$2:$S$2,0),FALSE))</f>
        <v/>
      </c>
      <c r="H664" s="35" t="str">
        <f>IF(Summary_Exchange_Balances_00UTC!$B663="","",(G664-E664)/E664)</f>
        <v/>
      </c>
      <c r="I664" s="165" t="str">
        <f>IF(Summary_Exchange_Balances_00UTC!$B663="","",IF(ISERROR($G664),$E664,$G664))</f>
        <v/>
      </c>
      <c r="N664" s="161" t="str">
        <f ca="1">IF(raw_exchange_data!$A663="","",OFFSET(raw_exchange_data!$A663,0,MATCH(N$2,raw_exchange_data!$1:$1,0)-1))</f>
        <v/>
      </c>
      <c r="O664" s="161" t="str">
        <f ca="1">IF(raw_exchange_data!$A663="","",OFFSET(raw_exchange_data!$A663,0,MATCH(O$2,raw_exchange_data!$1:$1,0)-1))</f>
        <v/>
      </c>
      <c r="P664" s="161" t="str">
        <f ca="1">IF(raw_exchange_data!$A663="","",OFFSET(raw_exchange_data!$A663,0,MATCH(P$2,raw_exchange_data!$1:$1,0)-1))</f>
        <v/>
      </c>
      <c r="Q664" s="161" t="str">
        <f ca="1">IF(raw_exchange_data!$A663="","",TEXT(OFFSET(raw_exchange_data!$A663,0,MATCH(Q$2,raw_exchange_data!$1:$1,0)-1),""))</f>
        <v/>
      </c>
      <c r="R664" s="162" t="str">
        <f ca="1">IF(raw_exchange_data!$A663="","",OFFSET(raw_exchange_data!$A663,0,MATCH(R$2,raw_exchange_data!$1:$1,0)-1))</f>
        <v/>
      </c>
      <c r="S664" s="190" t="str">
        <f ca="1">IF(raw_exchange_data!$A663="","",OFFSET(raw_exchange_data!$A663,0,MATCH(S$2,raw_exchange_data!$1:$1,0)-1))</f>
        <v/>
      </c>
      <c r="W664" t="str">
        <f t="shared" si="52"/>
        <v/>
      </c>
      <c r="X664" t="str">
        <f t="shared" si="53"/>
        <v/>
      </c>
      <c r="Y664" s="42" t="str">
        <f t="shared" si="54"/>
        <v/>
      </c>
      <c r="Z664" s="42" t="str">
        <f t="shared" si="55"/>
        <v/>
      </c>
    </row>
    <row r="665" spans="7:26" x14ac:dyDescent="0.25">
      <c r="G665" s="52" t="str">
        <f>IF(Summary_Exchange_Balances_00UTC!$B664="","",VLOOKUP(IF(ISERROR(SEARCH(" ", $B665)),UPPER($B665&amp;$C665&amp;IF(OR(NOT(ISERROR(SEARCH("trade",$D665))),NOT(ISERROR(SEARCH("balance",$D665)))),"",$D665)),UPPER(LEFT($B665, SEARCH(" ",$B665)-1)&amp;$C665&amp;IF(OR(NOT(ISERROR(SEARCH("trade",$D665))),NOT(ISERROR(SEARCH("balance",$D665)))),"",$D665))),$L:$T,MATCH("balance",$L$2:$S$2,0),FALSE))</f>
        <v/>
      </c>
      <c r="H665" s="35" t="str">
        <f>IF(Summary_Exchange_Balances_00UTC!$B664="","",(G665-E665)/E665)</f>
        <v/>
      </c>
      <c r="I665" s="165" t="str">
        <f>IF(Summary_Exchange_Balances_00UTC!$B664="","",IF(ISERROR($G665),$E665,$G665))</f>
        <v/>
      </c>
      <c r="N665" s="161" t="str">
        <f ca="1">IF(raw_exchange_data!$A664="","",OFFSET(raw_exchange_data!$A664,0,MATCH(N$2,raw_exchange_data!$1:$1,0)-1))</f>
        <v/>
      </c>
      <c r="O665" s="161" t="str">
        <f ca="1">IF(raw_exchange_data!$A664="","",OFFSET(raw_exchange_data!$A664,0,MATCH(O$2,raw_exchange_data!$1:$1,0)-1))</f>
        <v/>
      </c>
      <c r="P665" s="161" t="str">
        <f ca="1">IF(raw_exchange_data!$A664="","",OFFSET(raw_exchange_data!$A664,0,MATCH(P$2,raw_exchange_data!$1:$1,0)-1))</f>
        <v/>
      </c>
      <c r="Q665" s="161" t="str">
        <f ca="1">IF(raw_exchange_data!$A664="","",TEXT(OFFSET(raw_exchange_data!$A664,0,MATCH(Q$2,raw_exchange_data!$1:$1,0)-1),""))</f>
        <v/>
      </c>
      <c r="R665" s="162" t="str">
        <f ca="1">IF(raw_exchange_data!$A664="","",OFFSET(raw_exchange_data!$A664,0,MATCH(R$2,raw_exchange_data!$1:$1,0)-1))</f>
        <v/>
      </c>
      <c r="S665" s="190" t="str">
        <f ca="1">IF(raw_exchange_data!$A664="","",OFFSET(raw_exchange_data!$A664,0,MATCH(S$2,raw_exchange_data!$1:$1,0)-1))</f>
        <v/>
      </c>
      <c r="W665" t="str">
        <f t="shared" si="52"/>
        <v/>
      </c>
      <c r="X665" t="str">
        <f t="shared" si="53"/>
        <v/>
      </c>
      <c r="Y665" s="42" t="str">
        <f t="shared" si="54"/>
        <v/>
      </c>
      <c r="Z665" s="42" t="str">
        <f t="shared" si="55"/>
        <v/>
      </c>
    </row>
    <row r="666" spans="7:26" x14ac:dyDescent="0.25">
      <c r="G666" s="52" t="str">
        <f>IF(Summary_Exchange_Balances_00UTC!$B665="","",VLOOKUP(IF(ISERROR(SEARCH(" ", $B666)),UPPER($B666&amp;$C666&amp;IF(OR(NOT(ISERROR(SEARCH("trade",$D666))),NOT(ISERROR(SEARCH("balance",$D666)))),"",$D666)),UPPER(LEFT($B666, SEARCH(" ",$B666)-1)&amp;$C666&amp;IF(OR(NOT(ISERROR(SEARCH("trade",$D666))),NOT(ISERROR(SEARCH("balance",$D666)))),"",$D666))),$L:$T,MATCH("balance",$L$2:$S$2,0),FALSE))</f>
        <v/>
      </c>
      <c r="H666" s="35" t="str">
        <f>IF(Summary_Exchange_Balances_00UTC!$B665="","",(G666-E666)/E666)</f>
        <v/>
      </c>
      <c r="I666" s="165" t="str">
        <f>IF(Summary_Exchange_Balances_00UTC!$B665="","",IF(ISERROR($G666),$E666,$G666))</f>
        <v/>
      </c>
      <c r="N666" s="161" t="str">
        <f ca="1">IF(raw_exchange_data!$A665="","",OFFSET(raw_exchange_data!$A665,0,MATCH(N$2,raw_exchange_data!$1:$1,0)-1))</f>
        <v/>
      </c>
      <c r="O666" s="161" t="str">
        <f ca="1">IF(raw_exchange_data!$A665="","",OFFSET(raw_exchange_data!$A665,0,MATCH(O$2,raw_exchange_data!$1:$1,0)-1))</f>
        <v/>
      </c>
      <c r="P666" s="161" t="str">
        <f ca="1">IF(raw_exchange_data!$A665="","",OFFSET(raw_exchange_data!$A665,0,MATCH(P$2,raw_exchange_data!$1:$1,0)-1))</f>
        <v/>
      </c>
      <c r="Q666" s="161" t="str">
        <f ca="1">IF(raw_exchange_data!$A665="","",TEXT(OFFSET(raw_exchange_data!$A665,0,MATCH(Q$2,raw_exchange_data!$1:$1,0)-1),""))</f>
        <v/>
      </c>
      <c r="R666" s="162" t="str">
        <f ca="1">IF(raw_exchange_data!$A665="","",OFFSET(raw_exchange_data!$A665,0,MATCH(R$2,raw_exchange_data!$1:$1,0)-1))</f>
        <v/>
      </c>
      <c r="S666" s="190" t="str">
        <f ca="1">IF(raw_exchange_data!$A665="","",OFFSET(raw_exchange_data!$A665,0,MATCH(S$2,raw_exchange_data!$1:$1,0)-1))</f>
        <v/>
      </c>
      <c r="W666" t="str">
        <f t="shared" si="52"/>
        <v/>
      </c>
      <c r="X666" t="str">
        <f t="shared" si="53"/>
        <v/>
      </c>
      <c r="Y666" s="42" t="str">
        <f t="shared" si="54"/>
        <v/>
      </c>
      <c r="Z666" s="42" t="str">
        <f t="shared" si="55"/>
        <v/>
      </c>
    </row>
    <row r="667" spans="7:26" x14ac:dyDescent="0.25">
      <c r="G667" s="52" t="str">
        <f>IF(Summary_Exchange_Balances_00UTC!$B666="","",VLOOKUP(IF(ISERROR(SEARCH(" ", $B667)),UPPER($B667&amp;$C667&amp;IF(OR(NOT(ISERROR(SEARCH("trade",$D667))),NOT(ISERROR(SEARCH("balance",$D667)))),"",$D667)),UPPER(LEFT($B667, SEARCH(" ",$B667)-1)&amp;$C667&amp;IF(OR(NOT(ISERROR(SEARCH("trade",$D667))),NOT(ISERROR(SEARCH("balance",$D667)))),"",$D667))),$L:$T,MATCH("balance",$L$2:$S$2,0),FALSE))</f>
        <v/>
      </c>
      <c r="H667" s="35" t="str">
        <f>IF(Summary_Exchange_Balances_00UTC!$B666="","",(G667-E667)/E667)</f>
        <v/>
      </c>
      <c r="I667" s="165" t="str">
        <f>IF(Summary_Exchange_Balances_00UTC!$B666="","",IF(ISERROR($G667),$E667,$G667))</f>
        <v/>
      </c>
      <c r="N667" s="161" t="str">
        <f ca="1">IF(raw_exchange_data!$A666="","",OFFSET(raw_exchange_data!$A666,0,MATCH(N$2,raw_exchange_data!$1:$1,0)-1))</f>
        <v/>
      </c>
      <c r="O667" s="161" t="str">
        <f ca="1">IF(raw_exchange_data!$A666="","",OFFSET(raw_exchange_data!$A666,0,MATCH(O$2,raw_exchange_data!$1:$1,0)-1))</f>
        <v/>
      </c>
      <c r="P667" s="161" t="str">
        <f ca="1">IF(raw_exchange_data!$A666="","",OFFSET(raw_exchange_data!$A666,0,MATCH(P$2,raw_exchange_data!$1:$1,0)-1))</f>
        <v/>
      </c>
      <c r="Q667" s="161" t="str">
        <f ca="1">IF(raw_exchange_data!$A666="","",TEXT(OFFSET(raw_exchange_data!$A666,0,MATCH(Q$2,raw_exchange_data!$1:$1,0)-1),""))</f>
        <v/>
      </c>
      <c r="R667" s="162" t="str">
        <f ca="1">IF(raw_exchange_data!$A666="","",OFFSET(raw_exchange_data!$A666,0,MATCH(R$2,raw_exchange_data!$1:$1,0)-1))</f>
        <v/>
      </c>
      <c r="S667" s="190" t="str">
        <f ca="1">IF(raw_exchange_data!$A666="","",OFFSET(raw_exchange_data!$A666,0,MATCH(S$2,raw_exchange_data!$1:$1,0)-1))</f>
        <v/>
      </c>
      <c r="W667" t="str">
        <f t="shared" si="52"/>
        <v/>
      </c>
      <c r="X667" t="str">
        <f t="shared" si="53"/>
        <v/>
      </c>
      <c r="Y667" s="42" t="str">
        <f t="shared" si="54"/>
        <v/>
      </c>
      <c r="Z667" s="42" t="str">
        <f t="shared" si="55"/>
        <v/>
      </c>
    </row>
    <row r="668" spans="7:26" x14ac:dyDescent="0.25">
      <c r="N668" s="161" t="str">
        <f ca="1">IF(raw_exchange_data!$A667="","",OFFSET(raw_exchange_data!$A667,0,MATCH(N$2,raw_exchange_data!$1:$1,0)-1))</f>
        <v/>
      </c>
      <c r="O668" s="161" t="str">
        <f ca="1">IF(raw_exchange_data!$A667="","",OFFSET(raw_exchange_data!$A667,0,MATCH(O$2,raw_exchange_data!$1:$1,0)-1))</f>
        <v/>
      </c>
      <c r="P668" s="161" t="str">
        <f ca="1">IF(raw_exchange_data!$A667="","",OFFSET(raw_exchange_data!$A667,0,MATCH(P$2,raw_exchange_data!$1:$1,0)-1))</f>
        <v/>
      </c>
      <c r="Q668" s="161" t="str">
        <f ca="1">IF(raw_exchange_data!$A667="","",TEXT(OFFSET(raw_exchange_data!$A667,0,MATCH(Q$2,raw_exchange_data!$1:$1,0)-1),""))</f>
        <v/>
      </c>
      <c r="R668" s="162" t="str">
        <f ca="1">IF(raw_exchange_data!$A667="","",OFFSET(raw_exchange_data!$A667,0,MATCH(R$2,raw_exchange_data!$1:$1,0)-1))</f>
        <v/>
      </c>
      <c r="S668" s="190" t="str">
        <f ca="1">IF(raw_exchange_data!$A667="","",OFFSET(raw_exchange_data!$A667,0,MATCH(S$2,raw_exchange_data!$1:$1,0)-1))</f>
        <v/>
      </c>
      <c r="W668" t="str">
        <f t="shared" si="52"/>
        <v/>
      </c>
      <c r="X668" t="str">
        <f t="shared" si="53"/>
        <v/>
      </c>
      <c r="Y668" s="42" t="str">
        <f t="shared" si="54"/>
        <v/>
      </c>
      <c r="Z668" s="42" t="str">
        <f t="shared" si="55"/>
        <v/>
      </c>
    </row>
    <row r="669" spans="7:26" x14ac:dyDescent="0.25">
      <c r="N669" s="161" t="str">
        <f ca="1">IF(raw_exchange_data!$A668="","",OFFSET(raw_exchange_data!$A668,0,MATCH(N$2,raw_exchange_data!$1:$1,0)-1))</f>
        <v/>
      </c>
      <c r="O669" s="161" t="str">
        <f ca="1">IF(raw_exchange_data!$A668="","",OFFSET(raw_exchange_data!$A668,0,MATCH(O$2,raw_exchange_data!$1:$1,0)-1))</f>
        <v/>
      </c>
      <c r="P669" s="161" t="str">
        <f ca="1">IF(raw_exchange_data!$A668="","",OFFSET(raw_exchange_data!$A668,0,MATCH(P$2,raw_exchange_data!$1:$1,0)-1))</f>
        <v/>
      </c>
      <c r="Q669" s="161" t="str">
        <f ca="1">IF(raw_exchange_data!$A668="","",TEXT(OFFSET(raw_exchange_data!$A668,0,MATCH(Q$2,raw_exchange_data!$1:$1,0)-1),""))</f>
        <v/>
      </c>
      <c r="R669" s="162" t="str">
        <f ca="1">IF(raw_exchange_data!$A668="","",OFFSET(raw_exchange_data!$A668,0,MATCH(R$2,raw_exchange_data!$1:$1,0)-1))</f>
        <v/>
      </c>
      <c r="S669" s="190" t="str">
        <f ca="1">IF(raw_exchange_data!$A668="","",OFFSET(raw_exchange_data!$A668,0,MATCH(S$2,raw_exchange_data!$1:$1,0)-1))</f>
        <v/>
      </c>
      <c r="W669" t="str">
        <f t="shared" si="52"/>
        <v/>
      </c>
      <c r="X669" t="str">
        <f t="shared" si="53"/>
        <v/>
      </c>
      <c r="Y669" s="42" t="str">
        <f t="shared" si="54"/>
        <v/>
      </c>
      <c r="Z669" s="42" t="str">
        <f t="shared" si="55"/>
        <v/>
      </c>
    </row>
    <row r="670" spans="7:26" x14ac:dyDescent="0.25">
      <c r="N670" s="161" t="str">
        <f ca="1">IF(raw_exchange_data!$A669="","",OFFSET(raw_exchange_data!$A669,0,MATCH(N$2,raw_exchange_data!$1:$1,0)-1))</f>
        <v/>
      </c>
      <c r="O670" s="161" t="str">
        <f ca="1">IF(raw_exchange_data!$A669="","",OFFSET(raw_exchange_data!$A669,0,MATCH(O$2,raw_exchange_data!$1:$1,0)-1))</f>
        <v/>
      </c>
      <c r="P670" s="161" t="str">
        <f ca="1">IF(raw_exchange_data!$A669="","",OFFSET(raw_exchange_data!$A669,0,MATCH(P$2,raw_exchange_data!$1:$1,0)-1))</f>
        <v/>
      </c>
      <c r="Q670" s="161" t="str">
        <f ca="1">IF(raw_exchange_data!$A669="","",TEXT(OFFSET(raw_exchange_data!$A669,0,MATCH(Q$2,raw_exchange_data!$1:$1,0)-1),""))</f>
        <v/>
      </c>
      <c r="R670" s="162" t="str">
        <f ca="1">IF(raw_exchange_data!$A669="","",OFFSET(raw_exchange_data!$A669,0,MATCH(R$2,raw_exchange_data!$1:$1,0)-1))</f>
        <v/>
      </c>
      <c r="S670" s="190" t="str">
        <f ca="1">IF(raw_exchange_data!$A669="","",OFFSET(raw_exchange_data!$A669,0,MATCH(S$2,raw_exchange_data!$1:$1,0)-1))</f>
        <v/>
      </c>
      <c r="W670" t="str">
        <f t="shared" si="52"/>
        <v/>
      </c>
      <c r="X670" t="str">
        <f t="shared" si="53"/>
        <v/>
      </c>
      <c r="Y670" s="42" t="str">
        <f t="shared" si="54"/>
        <v/>
      </c>
      <c r="Z670" s="42" t="str">
        <f t="shared" si="55"/>
        <v/>
      </c>
    </row>
    <row r="671" spans="7:26" x14ac:dyDescent="0.25">
      <c r="N671" s="161" t="str">
        <f ca="1">IF(raw_exchange_data!$A670="","",OFFSET(raw_exchange_data!$A670,0,MATCH(N$2,raw_exchange_data!$1:$1,0)-1))</f>
        <v/>
      </c>
      <c r="O671" s="161" t="str">
        <f ca="1">IF(raw_exchange_data!$A670="","",OFFSET(raw_exchange_data!$A670,0,MATCH(O$2,raw_exchange_data!$1:$1,0)-1))</f>
        <v/>
      </c>
      <c r="P671" s="161" t="str">
        <f ca="1">IF(raw_exchange_data!$A670="","",OFFSET(raw_exchange_data!$A670,0,MATCH(P$2,raw_exchange_data!$1:$1,0)-1))</f>
        <v/>
      </c>
      <c r="Q671" s="161" t="str">
        <f ca="1">IF(raw_exchange_data!$A670="","",TEXT(OFFSET(raw_exchange_data!$A670,0,MATCH(Q$2,raw_exchange_data!$1:$1,0)-1),""))</f>
        <v/>
      </c>
      <c r="R671" s="162" t="str">
        <f ca="1">IF(raw_exchange_data!$A670="","",OFFSET(raw_exchange_data!$A670,0,MATCH(R$2,raw_exchange_data!$1:$1,0)-1))</f>
        <v/>
      </c>
      <c r="S671" s="190" t="str">
        <f ca="1">IF(raw_exchange_data!$A670="","",OFFSET(raw_exchange_data!$A670,0,MATCH(S$2,raw_exchange_data!$1:$1,0)-1))</f>
        <v/>
      </c>
      <c r="W671" t="str">
        <f t="shared" si="52"/>
        <v/>
      </c>
      <c r="X671" t="str">
        <f t="shared" si="53"/>
        <v/>
      </c>
      <c r="Y671" s="42" t="str">
        <f t="shared" si="54"/>
        <v/>
      </c>
      <c r="Z671" s="42" t="str">
        <f t="shared" si="55"/>
        <v/>
      </c>
    </row>
    <row r="672" spans="7:26" x14ac:dyDescent="0.25">
      <c r="N672" s="161" t="str">
        <f ca="1">IF(raw_exchange_data!$A671="","",OFFSET(raw_exchange_data!$A671,0,MATCH(N$2,raw_exchange_data!$1:$1,0)-1))</f>
        <v/>
      </c>
      <c r="O672" s="161" t="str">
        <f ca="1">IF(raw_exchange_data!$A671="","",OFFSET(raw_exchange_data!$A671,0,MATCH(O$2,raw_exchange_data!$1:$1,0)-1))</f>
        <v/>
      </c>
      <c r="P672" s="161" t="str">
        <f ca="1">IF(raw_exchange_data!$A671="","",OFFSET(raw_exchange_data!$A671,0,MATCH(P$2,raw_exchange_data!$1:$1,0)-1))</f>
        <v/>
      </c>
      <c r="Q672" s="161" t="str">
        <f ca="1">IF(raw_exchange_data!$A671="","",TEXT(OFFSET(raw_exchange_data!$A671,0,MATCH(Q$2,raw_exchange_data!$1:$1,0)-1),""))</f>
        <v/>
      </c>
      <c r="R672" s="162" t="str">
        <f ca="1">IF(raw_exchange_data!$A671="","",OFFSET(raw_exchange_data!$A671,0,MATCH(R$2,raw_exchange_data!$1:$1,0)-1))</f>
        <v/>
      </c>
      <c r="S672" s="190" t="str">
        <f ca="1">IF(raw_exchange_data!$A671="","",OFFSET(raw_exchange_data!$A671,0,MATCH(S$2,raw_exchange_data!$1:$1,0)-1))</f>
        <v/>
      </c>
      <c r="W672" t="str">
        <f t="shared" si="52"/>
        <v/>
      </c>
      <c r="X672" t="str">
        <f t="shared" si="53"/>
        <v/>
      </c>
      <c r="Y672" s="42" t="str">
        <f t="shared" si="54"/>
        <v/>
      </c>
      <c r="Z672" s="42" t="str">
        <f t="shared" si="55"/>
        <v/>
      </c>
    </row>
    <row r="673" spans="14:26" x14ac:dyDescent="0.25">
      <c r="N673" s="161" t="str">
        <f ca="1">IF(raw_exchange_data!$A672="","",OFFSET(raw_exchange_data!$A672,0,MATCH(N$2,raw_exchange_data!$1:$1,0)-1))</f>
        <v/>
      </c>
      <c r="O673" s="161" t="str">
        <f ca="1">IF(raw_exchange_data!$A672="","",OFFSET(raw_exchange_data!$A672,0,MATCH(O$2,raw_exchange_data!$1:$1,0)-1))</f>
        <v/>
      </c>
      <c r="P673" s="161" t="str">
        <f ca="1">IF(raw_exchange_data!$A672="","",OFFSET(raw_exchange_data!$A672,0,MATCH(P$2,raw_exchange_data!$1:$1,0)-1))</f>
        <v/>
      </c>
      <c r="Q673" s="161" t="str">
        <f ca="1">IF(raw_exchange_data!$A672="","",TEXT(OFFSET(raw_exchange_data!$A672,0,MATCH(Q$2,raw_exchange_data!$1:$1,0)-1),""))</f>
        <v/>
      </c>
      <c r="R673" s="162" t="str">
        <f ca="1">IF(raw_exchange_data!$A672="","",OFFSET(raw_exchange_data!$A672,0,MATCH(R$2,raw_exchange_data!$1:$1,0)-1))</f>
        <v/>
      </c>
      <c r="S673" s="190" t="str">
        <f ca="1">IF(raw_exchange_data!$A672="","",OFFSET(raw_exchange_data!$A672,0,MATCH(S$2,raw_exchange_data!$1:$1,0)-1))</f>
        <v/>
      </c>
      <c r="W673" t="str">
        <f t="shared" si="52"/>
        <v/>
      </c>
      <c r="X673" t="str">
        <f t="shared" si="53"/>
        <v/>
      </c>
      <c r="Y673" s="42" t="str">
        <f t="shared" si="54"/>
        <v/>
      </c>
      <c r="Z673" s="42" t="str">
        <f t="shared" si="55"/>
        <v/>
      </c>
    </row>
    <row r="674" spans="14:26" x14ac:dyDescent="0.25">
      <c r="N674" s="161" t="str">
        <f ca="1">IF(raw_exchange_data!$A673="","",OFFSET(raw_exchange_data!$A673,0,MATCH(N$2,raw_exchange_data!$1:$1,0)-1))</f>
        <v/>
      </c>
      <c r="O674" s="161" t="str">
        <f ca="1">IF(raw_exchange_data!$A673="","",OFFSET(raw_exchange_data!$A673,0,MATCH(O$2,raw_exchange_data!$1:$1,0)-1))</f>
        <v/>
      </c>
      <c r="P674" s="161" t="str">
        <f ca="1">IF(raw_exchange_data!$A673="","",OFFSET(raw_exchange_data!$A673,0,MATCH(P$2,raw_exchange_data!$1:$1,0)-1))</f>
        <v/>
      </c>
      <c r="Q674" s="161" t="str">
        <f ca="1">IF(raw_exchange_data!$A673="","",TEXT(OFFSET(raw_exchange_data!$A673,0,MATCH(Q$2,raw_exchange_data!$1:$1,0)-1),""))</f>
        <v/>
      </c>
      <c r="R674" s="162" t="str">
        <f ca="1">IF(raw_exchange_data!$A673="","",OFFSET(raw_exchange_data!$A673,0,MATCH(R$2,raw_exchange_data!$1:$1,0)-1))</f>
        <v/>
      </c>
      <c r="S674" s="190" t="str">
        <f ca="1">IF(raw_exchange_data!$A673="","",OFFSET(raw_exchange_data!$A673,0,MATCH(S$2,raw_exchange_data!$1:$1,0)-1))</f>
        <v/>
      </c>
      <c r="W674" t="str">
        <f t="shared" si="52"/>
        <v/>
      </c>
      <c r="X674" t="str">
        <f t="shared" si="53"/>
        <v/>
      </c>
      <c r="Y674" s="42" t="str">
        <f t="shared" si="54"/>
        <v/>
      </c>
      <c r="Z674" s="42" t="str">
        <f t="shared" si="55"/>
        <v/>
      </c>
    </row>
    <row r="675" spans="14:26" x14ac:dyDescent="0.25">
      <c r="N675" s="161" t="str">
        <f ca="1">IF(raw_exchange_data!$A674="","",OFFSET(raw_exchange_data!$A674,0,MATCH(N$2,raw_exchange_data!$1:$1,0)-1))</f>
        <v/>
      </c>
      <c r="O675" s="161" t="str">
        <f ca="1">IF(raw_exchange_data!$A674="","",OFFSET(raw_exchange_data!$A674,0,MATCH(O$2,raw_exchange_data!$1:$1,0)-1))</f>
        <v/>
      </c>
      <c r="P675" s="161" t="str">
        <f ca="1">IF(raw_exchange_data!$A674="","",OFFSET(raw_exchange_data!$A674,0,MATCH(P$2,raw_exchange_data!$1:$1,0)-1))</f>
        <v/>
      </c>
      <c r="Q675" s="161" t="str">
        <f ca="1">IF(raw_exchange_data!$A674="","",TEXT(OFFSET(raw_exchange_data!$A674,0,MATCH(Q$2,raw_exchange_data!$1:$1,0)-1),""))</f>
        <v/>
      </c>
      <c r="R675" s="162" t="str">
        <f ca="1">IF(raw_exchange_data!$A674="","",OFFSET(raw_exchange_data!$A674,0,MATCH(R$2,raw_exchange_data!$1:$1,0)-1))</f>
        <v/>
      </c>
      <c r="S675" s="190" t="str">
        <f ca="1">IF(raw_exchange_data!$A674="","",OFFSET(raw_exchange_data!$A674,0,MATCH(S$2,raw_exchange_data!$1:$1,0)-1))</f>
        <v/>
      </c>
      <c r="W675" t="str">
        <f t="shared" si="52"/>
        <v/>
      </c>
      <c r="X675" t="str">
        <f t="shared" si="53"/>
        <v/>
      </c>
      <c r="Y675" s="42" t="str">
        <f t="shared" si="54"/>
        <v/>
      </c>
      <c r="Z675" s="42" t="str">
        <f t="shared" si="55"/>
        <v/>
      </c>
    </row>
    <row r="676" spans="14:26" x14ac:dyDescent="0.25">
      <c r="N676" s="161" t="str">
        <f ca="1">IF(raw_exchange_data!$A675="","",OFFSET(raw_exchange_data!$A675,0,MATCH(N$2,raw_exchange_data!$1:$1,0)-1))</f>
        <v/>
      </c>
      <c r="O676" s="161" t="str">
        <f ca="1">IF(raw_exchange_data!$A675="","",OFFSET(raw_exchange_data!$A675,0,MATCH(O$2,raw_exchange_data!$1:$1,0)-1))</f>
        <v/>
      </c>
      <c r="P676" s="161" t="str">
        <f ca="1">IF(raw_exchange_data!$A675="","",OFFSET(raw_exchange_data!$A675,0,MATCH(P$2,raw_exchange_data!$1:$1,0)-1))</f>
        <v/>
      </c>
      <c r="Q676" s="161" t="str">
        <f ca="1">IF(raw_exchange_data!$A675="","",TEXT(OFFSET(raw_exchange_data!$A675,0,MATCH(Q$2,raw_exchange_data!$1:$1,0)-1),""))</f>
        <v/>
      </c>
      <c r="R676" s="162" t="str">
        <f ca="1">IF(raw_exchange_data!$A675="","",OFFSET(raw_exchange_data!$A675,0,MATCH(R$2,raw_exchange_data!$1:$1,0)-1))</f>
        <v/>
      </c>
      <c r="S676" s="190" t="str">
        <f ca="1">IF(raw_exchange_data!$A675="","",OFFSET(raw_exchange_data!$A675,0,MATCH(S$2,raw_exchange_data!$1:$1,0)-1))</f>
        <v/>
      </c>
      <c r="W676" t="str">
        <f t="shared" si="52"/>
        <v/>
      </c>
      <c r="X676" t="str">
        <f t="shared" si="53"/>
        <v/>
      </c>
      <c r="Y676" s="42" t="str">
        <f t="shared" si="54"/>
        <v/>
      </c>
      <c r="Z676" s="42" t="str">
        <f t="shared" si="55"/>
        <v/>
      </c>
    </row>
    <row r="677" spans="14:26" x14ac:dyDescent="0.25">
      <c r="N677" s="161" t="str">
        <f ca="1">IF(raw_exchange_data!$A676="","",OFFSET(raw_exchange_data!$A676,0,MATCH(N$2,raw_exchange_data!$1:$1,0)-1))</f>
        <v/>
      </c>
      <c r="O677" s="161" t="str">
        <f ca="1">IF(raw_exchange_data!$A676="","",OFFSET(raw_exchange_data!$A676,0,MATCH(O$2,raw_exchange_data!$1:$1,0)-1))</f>
        <v/>
      </c>
      <c r="P677" s="161" t="str">
        <f ca="1">IF(raw_exchange_data!$A676="","",OFFSET(raw_exchange_data!$A676,0,MATCH(P$2,raw_exchange_data!$1:$1,0)-1))</f>
        <v/>
      </c>
      <c r="Q677" s="161" t="str">
        <f ca="1">IF(raw_exchange_data!$A676="","",TEXT(OFFSET(raw_exchange_data!$A676,0,MATCH(Q$2,raw_exchange_data!$1:$1,0)-1),""))</f>
        <v/>
      </c>
      <c r="R677" s="162" t="str">
        <f ca="1">IF(raw_exchange_data!$A676="","",OFFSET(raw_exchange_data!$A676,0,MATCH(R$2,raw_exchange_data!$1:$1,0)-1))</f>
        <v/>
      </c>
      <c r="S677" s="190" t="str">
        <f ca="1">IF(raw_exchange_data!$A676="","",OFFSET(raw_exchange_data!$A676,0,MATCH(S$2,raw_exchange_data!$1:$1,0)-1))</f>
        <v/>
      </c>
      <c r="W677" t="str">
        <f t="shared" si="52"/>
        <v/>
      </c>
      <c r="X677" t="str">
        <f t="shared" si="53"/>
        <v/>
      </c>
      <c r="Y677" s="42" t="str">
        <f t="shared" si="54"/>
        <v/>
      </c>
      <c r="Z677" s="42" t="str">
        <f t="shared" si="55"/>
        <v/>
      </c>
    </row>
    <row r="678" spans="14:26" x14ac:dyDescent="0.25">
      <c r="N678" s="161" t="str">
        <f ca="1">IF(raw_exchange_data!$A677="","",OFFSET(raw_exchange_data!$A677,0,MATCH(N$2,raw_exchange_data!$1:$1,0)-1))</f>
        <v/>
      </c>
      <c r="O678" s="161" t="str">
        <f ca="1">IF(raw_exchange_data!$A677="","",OFFSET(raw_exchange_data!$A677,0,MATCH(O$2,raw_exchange_data!$1:$1,0)-1))</f>
        <v/>
      </c>
      <c r="P678" s="161" t="str">
        <f ca="1">IF(raw_exchange_data!$A677="","",OFFSET(raw_exchange_data!$A677,0,MATCH(P$2,raw_exchange_data!$1:$1,0)-1))</f>
        <v/>
      </c>
      <c r="Q678" s="161" t="str">
        <f ca="1">IF(raw_exchange_data!$A677="","",TEXT(OFFSET(raw_exchange_data!$A677,0,MATCH(Q$2,raw_exchange_data!$1:$1,0)-1),""))</f>
        <v/>
      </c>
      <c r="R678" s="162" t="str">
        <f ca="1">IF(raw_exchange_data!$A677="","",OFFSET(raw_exchange_data!$A677,0,MATCH(R$2,raw_exchange_data!$1:$1,0)-1))</f>
        <v/>
      </c>
      <c r="S678" s="190" t="str">
        <f ca="1">IF(raw_exchange_data!$A677="","",OFFSET(raw_exchange_data!$A677,0,MATCH(S$2,raw_exchange_data!$1:$1,0)-1))</f>
        <v/>
      </c>
      <c r="W678" t="str">
        <f t="shared" si="52"/>
        <v/>
      </c>
      <c r="X678" t="str">
        <f t="shared" si="53"/>
        <v/>
      </c>
      <c r="Y678" s="42" t="str">
        <f t="shared" si="54"/>
        <v/>
      </c>
      <c r="Z678" s="42" t="str">
        <f t="shared" si="55"/>
        <v/>
      </c>
    </row>
    <row r="679" spans="14:26" x14ac:dyDescent="0.25">
      <c r="N679" s="161" t="str">
        <f ca="1">IF(raw_exchange_data!$A678="","",OFFSET(raw_exchange_data!$A678,0,MATCH(N$2,raw_exchange_data!$1:$1,0)-1))</f>
        <v/>
      </c>
      <c r="O679" s="161" t="str">
        <f ca="1">IF(raw_exchange_data!$A678="","",OFFSET(raw_exchange_data!$A678,0,MATCH(O$2,raw_exchange_data!$1:$1,0)-1))</f>
        <v/>
      </c>
      <c r="P679" s="161" t="str">
        <f ca="1">IF(raw_exchange_data!$A678="","",OFFSET(raw_exchange_data!$A678,0,MATCH(P$2,raw_exchange_data!$1:$1,0)-1))</f>
        <v/>
      </c>
      <c r="Q679" s="161" t="str">
        <f ca="1">IF(raw_exchange_data!$A678="","",TEXT(OFFSET(raw_exchange_data!$A678,0,MATCH(Q$2,raw_exchange_data!$1:$1,0)-1),""))</f>
        <v/>
      </c>
      <c r="R679" s="162" t="str">
        <f ca="1">IF(raw_exchange_data!$A678="","",OFFSET(raw_exchange_data!$A678,0,MATCH(R$2,raw_exchange_data!$1:$1,0)-1))</f>
        <v/>
      </c>
      <c r="S679" s="190" t="str">
        <f ca="1">IF(raw_exchange_data!$A678="","",OFFSET(raw_exchange_data!$A678,0,MATCH(S$2,raw_exchange_data!$1:$1,0)-1))</f>
        <v/>
      </c>
      <c r="W679" t="str">
        <f t="shared" si="52"/>
        <v/>
      </c>
      <c r="X679" t="str">
        <f t="shared" si="53"/>
        <v/>
      </c>
      <c r="Y679" s="42" t="str">
        <f t="shared" si="54"/>
        <v/>
      </c>
      <c r="Z679" s="42" t="str">
        <f t="shared" si="55"/>
        <v/>
      </c>
    </row>
    <row r="680" spans="14:26" x14ac:dyDescent="0.25">
      <c r="N680" s="161" t="str">
        <f ca="1">IF(raw_exchange_data!$A679="","",OFFSET(raw_exchange_data!$A679,0,MATCH(N$2,raw_exchange_data!$1:$1,0)-1))</f>
        <v/>
      </c>
      <c r="O680" s="161" t="str">
        <f ca="1">IF(raw_exchange_data!$A679="","",OFFSET(raw_exchange_data!$A679,0,MATCH(O$2,raw_exchange_data!$1:$1,0)-1))</f>
        <v/>
      </c>
      <c r="P680" s="161" t="str">
        <f ca="1">IF(raw_exchange_data!$A679="","",OFFSET(raw_exchange_data!$A679,0,MATCH(P$2,raw_exchange_data!$1:$1,0)-1))</f>
        <v/>
      </c>
      <c r="Q680" s="161" t="str">
        <f ca="1">IF(raw_exchange_data!$A679="","",TEXT(OFFSET(raw_exchange_data!$A679,0,MATCH(Q$2,raw_exchange_data!$1:$1,0)-1),""))</f>
        <v/>
      </c>
      <c r="R680" s="162" t="str">
        <f ca="1">IF(raw_exchange_data!$A679="","",OFFSET(raw_exchange_data!$A679,0,MATCH(R$2,raw_exchange_data!$1:$1,0)-1))</f>
        <v/>
      </c>
      <c r="S680" s="190" t="str">
        <f ca="1">IF(raw_exchange_data!$A679="","",OFFSET(raw_exchange_data!$A679,0,MATCH(S$2,raw_exchange_data!$1:$1,0)-1))</f>
        <v/>
      </c>
      <c r="W680" t="str">
        <f t="shared" si="52"/>
        <v/>
      </c>
      <c r="X680" t="str">
        <f t="shared" si="53"/>
        <v/>
      </c>
      <c r="Y680" s="42" t="str">
        <f t="shared" si="54"/>
        <v/>
      </c>
      <c r="Z680" s="42" t="str">
        <f t="shared" si="55"/>
        <v/>
      </c>
    </row>
    <row r="681" spans="14:26" x14ac:dyDescent="0.25">
      <c r="N681" s="161" t="str">
        <f ca="1">IF(raw_exchange_data!$A680="","",OFFSET(raw_exchange_data!$A680,0,MATCH(N$2,raw_exchange_data!$1:$1,0)-1))</f>
        <v/>
      </c>
      <c r="O681" s="161" t="str">
        <f ca="1">IF(raw_exchange_data!$A680="","",OFFSET(raw_exchange_data!$A680,0,MATCH(O$2,raw_exchange_data!$1:$1,0)-1))</f>
        <v/>
      </c>
      <c r="P681" s="161" t="str">
        <f ca="1">IF(raw_exchange_data!$A680="","",OFFSET(raw_exchange_data!$A680,0,MATCH(P$2,raw_exchange_data!$1:$1,0)-1))</f>
        <v/>
      </c>
      <c r="Q681" s="161" t="str">
        <f ca="1">IF(raw_exchange_data!$A680="","",TEXT(OFFSET(raw_exchange_data!$A680,0,MATCH(Q$2,raw_exchange_data!$1:$1,0)-1),""))</f>
        <v/>
      </c>
      <c r="R681" s="162" t="str">
        <f ca="1">IF(raw_exchange_data!$A680="","",OFFSET(raw_exchange_data!$A680,0,MATCH(R$2,raw_exchange_data!$1:$1,0)-1))</f>
        <v/>
      </c>
      <c r="S681" s="190" t="str">
        <f ca="1">IF(raw_exchange_data!$A680="","",OFFSET(raw_exchange_data!$A680,0,MATCH(S$2,raw_exchange_data!$1:$1,0)-1))</f>
        <v/>
      </c>
      <c r="W681" t="str">
        <f t="shared" si="52"/>
        <v/>
      </c>
      <c r="X681" t="str">
        <f t="shared" si="53"/>
        <v/>
      </c>
      <c r="Y681" s="42" t="str">
        <f t="shared" si="54"/>
        <v/>
      </c>
      <c r="Z681" s="42" t="str">
        <f t="shared" si="55"/>
        <v/>
      </c>
    </row>
    <row r="682" spans="14:26" x14ac:dyDescent="0.25">
      <c r="N682" s="161" t="str">
        <f ca="1">IF(raw_exchange_data!$A681="","",OFFSET(raw_exchange_data!$A681,0,MATCH(N$2,raw_exchange_data!$1:$1,0)-1))</f>
        <v/>
      </c>
      <c r="O682" s="161" t="str">
        <f ca="1">IF(raw_exchange_data!$A681="","",OFFSET(raw_exchange_data!$A681,0,MATCH(O$2,raw_exchange_data!$1:$1,0)-1))</f>
        <v/>
      </c>
      <c r="P682" s="161" t="str">
        <f ca="1">IF(raw_exchange_data!$A681="","",OFFSET(raw_exchange_data!$A681,0,MATCH(P$2,raw_exchange_data!$1:$1,0)-1))</f>
        <v/>
      </c>
      <c r="Q682" s="161" t="str">
        <f ca="1">IF(raw_exchange_data!$A681="","",TEXT(OFFSET(raw_exchange_data!$A681,0,MATCH(Q$2,raw_exchange_data!$1:$1,0)-1),""))</f>
        <v/>
      </c>
      <c r="R682" s="162" t="str">
        <f ca="1">IF(raw_exchange_data!$A681="","",OFFSET(raw_exchange_data!$A681,0,MATCH(R$2,raw_exchange_data!$1:$1,0)-1))</f>
        <v/>
      </c>
      <c r="S682" s="190" t="str">
        <f ca="1">IF(raw_exchange_data!$A681="","",OFFSET(raw_exchange_data!$A681,0,MATCH(S$2,raw_exchange_data!$1:$1,0)-1))</f>
        <v/>
      </c>
      <c r="W682" t="str">
        <f t="shared" si="52"/>
        <v/>
      </c>
      <c r="X682" t="str">
        <f t="shared" si="53"/>
        <v/>
      </c>
      <c r="Y682" s="42" t="str">
        <f t="shared" si="54"/>
        <v/>
      </c>
      <c r="Z682" s="42" t="str">
        <f t="shared" si="55"/>
        <v/>
      </c>
    </row>
    <row r="683" spans="14:26" x14ac:dyDescent="0.25">
      <c r="N683" s="161" t="str">
        <f ca="1">IF(raw_exchange_data!$A682="","",OFFSET(raw_exchange_data!$A682,0,MATCH(N$2,raw_exchange_data!$1:$1,0)-1))</f>
        <v/>
      </c>
      <c r="O683" s="161" t="str">
        <f ca="1">IF(raw_exchange_data!$A682="","",OFFSET(raw_exchange_data!$A682,0,MATCH(O$2,raw_exchange_data!$1:$1,0)-1))</f>
        <v/>
      </c>
      <c r="P683" s="161" t="str">
        <f ca="1">IF(raw_exchange_data!$A682="","",OFFSET(raw_exchange_data!$A682,0,MATCH(P$2,raw_exchange_data!$1:$1,0)-1))</f>
        <v/>
      </c>
      <c r="Q683" s="161" t="str">
        <f ca="1">IF(raw_exchange_data!$A682="","",TEXT(OFFSET(raw_exchange_data!$A682,0,MATCH(Q$2,raw_exchange_data!$1:$1,0)-1),""))</f>
        <v/>
      </c>
      <c r="R683" s="162" t="str">
        <f ca="1">IF(raw_exchange_data!$A682="","",OFFSET(raw_exchange_data!$A682,0,MATCH(R$2,raw_exchange_data!$1:$1,0)-1))</f>
        <v/>
      </c>
      <c r="S683" s="190" t="str">
        <f ca="1">IF(raw_exchange_data!$A682="","",OFFSET(raw_exchange_data!$A682,0,MATCH(S$2,raw_exchange_data!$1:$1,0)-1))</f>
        <v/>
      </c>
      <c r="W683" t="str">
        <f t="shared" si="52"/>
        <v/>
      </c>
      <c r="X683" t="str">
        <f t="shared" si="53"/>
        <v/>
      </c>
      <c r="Y683" s="42" t="str">
        <f t="shared" si="54"/>
        <v/>
      </c>
      <c r="Z683" s="42" t="str">
        <f t="shared" si="55"/>
        <v/>
      </c>
    </row>
    <row r="684" spans="14:26" x14ac:dyDescent="0.25">
      <c r="N684" s="161" t="str">
        <f ca="1">IF(raw_exchange_data!$A683="","",OFFSET(raw_exchange_data!$A683,0,MATCH(N$2,raw_exchange_data!$1:$1,0)-1))</f>
        <v/>
      </c>
      <c r="O684" s="161" t="str">
        <f ca="1">IF(raw_exchange_data!$A683="","",OFFSET(raw_exchange_data!$A683,0,MATCH(O$2,raw_exchange_data!$1:$1,0)-1))</f>
        <v/>
      </c>
      <c r="P684" s="161" t="str">
        <f ca="1">IF(raw_exchange_data!$A683="","",OFFSET(raw_exchange_data!$A683,0,MATCH(P$2,raw_exchange_data!$1:$1,0)-1))</f>
        <v/>
      </c>
      <c r="Q684" s="161" t="str">
        <f ca="1">IF(raw_exchange_data!$A683="","",TEXT(OFFSET(raw_exchange_data!$A683,0,MATCH(Q$2,raw_exchange_data!$1:$1,0)-1),""))</f>
        <v/>
      </c>
      <c r="R684" s="162" t="str">
        <f ca="1">IF(raw_exchange_data!$A683="","",OFFSET(raw_exchange_data!$A683,0,MATCH(R$2,raw_exchange_data!$1:$1,0)-1))</f>
        <v/>
      </c>
      <c r="S684" s="190" t="str">
        <f ca="1">IF(raw_exchange_data!$A683="","",OFFSET(raw_exchange_data!$A683,0,MATCH(S$2,raw_exchange_data!$1:$1,0)-1))</f>
        <v/>
      </c>
      <c r="W684" t="str">
        <f t="shared" si="52"/>
        <v/>
      </c>
      <c r="X684" t="str">
        <f t="shared" si="53"/>
        <v/>
      </c>
      <c r="Y684" s="42" t="str">
        <f t="shared" si="54"/>
        <v/>
      </c>
      <c r="Z684" s="42" t="str">
        <f t="shared" si="55"/>
        <v/>
      </c>
    </row>
    <row r="685" spans="14:26" x14ac:dyDescent="0.25">
      <c r="N685" s="161" t="str">
        <f ca="1">IF(raw_exchange_data!$A684="","",OFFSET(raw_exchange_data!$A684,0,MATCH(N$2,raw_exchange_data!$1:$1,0)-1))</f>
        <v/>
      </c>
      <c r="O685" s="161" t="str">
        <f ca="1">IF(raw_exchange_data!$A684="","",OFFSET(raw_exchange_data!$A684,0,MATCH(O$2,raw_exchange_data!$1:$1,0)-1))</f>
        <v/>
      </c>
      <c r="P685" s="161" t="str">
        <f ca="1">IF(raw_exchange_data!$A684="","",OFFSET(raw_exchange_data!$A684,0,MATCH(P$2,raw_exchange_data!$1:$1,0)-1))</f>
        <v/>
      </c>
      <c r="Q685" s="161" t="str">
        <f ca="1">IF(raw_exchange_data!$A684="","",TEXT(OFFSET(raw_exchange_data!$A684,0,MATCH(Q$2,raw_exchange_data!$1:$1,0)-1),""))</f>
        <v/>
      </c>
      <c r="R685" s="162" t="str">
        <f ca="1">IF(raw_exchange_data!$A684="","",OFFSET(raw_exchange_data!$A684,0,MATCH(R$2,raw_exchange_data!$1:$1,0)-1))</f>
        <v/>
      </c>
      <c r="S685" s="190" t="str">
        <f ca="1">IF(raw_exchange_data!$A684="","",OFFSET(raw_exchange_data!$A684,0,MATCH(S$2,raw_exchange_data!$1:$1,0)-1))</f>
        <v/>
      </c>
      <c r="W685" t="str">
        <f t="shared" si="52"/>
        <v/>
      </c>
      <c r="X685" t="str">
        <f t="shared" si="53"/>
        <v/>
      </c>
      <c r="Y685" s="42" t="str">
        <f t="shared" si="54"/>
        <v/>
      </c>
      <c r="Z685" s="42" t="str">
        <f t="shared" si="55"/>
        <v/>
      </c>
    </row>
    <row r="686" spans="14:26" x14ac:dyDescent="0.25">
      <c r="N686" s="161" t="str">
        <f ca="1">IF(raw_exchange_data!$A685="","",OFFSET(raw_exchange_data!$A685,0,MATCH(N$2,raw_exchange_data!$1:$1,0)-1))</f>
        <v/>
      </c>
      <c r="O686" s="161" t="str">
        <f ca="1">IF(raw_exchange_data!$A685="","",OFFSET(raw_exchange_data!$A685,0,MATCH(O$2,raw_exchange_data!$1:$1,0)-1))</f>
        <v/>
      </c>
      <c r="P686" s="161" t="str">
        <f ca="1">IF(raw_exchange_data!$A685="","",OFFSET(raw_exchange_data!$A685,0,MATCH(P$2,raw_exchange_data!$1:$1,0)-1))</f>
        <v/>
      </c>
      <c r="Q686" s="161" t="str">
        <f ca="1">IF(raw_exchange_data!$A685="","",TEXT(OFFSET(raw_exchange_data!$A685,0,MATCH(Q$2,raw_exchange_data!$1:$1,0)-1),""))</f>
        <v/>
      </c>
      <c r="R686" s="162" t="str">
        <f ca="1">IF(raw_exchange_data!$A685="","",OFFSET(raw_exchange_data!$A685,0,MATCH(R$2,raw_exchange_data!$1:$1,0)-1))</f>
        <v/>
      </c>
      <c r="S686" s="190" t="str">
        <f ca="1">IF(raw_exchange_data!$A685="","",OFFSET(raw_exchange_data!$A685,0,MATCH(S$2,raw_exchange_data!$1:$1,0)-1))</f>
        <v/>
      </c>
      <c r="W686" t="str">
        <f t="shared" si="52"/>
        <v/>
      </c>
      <c r="X686" t="str">
        <f t="shared" si="53"/>
        <v/>
      </c>
      <c r="Y686" s="42" t="str">
        <f t="shared" si="54"/>
        <v/>
      </c>
      <c r="Z686" s="42" t="str">
        <f t="shared" si="55"/>
        <v/>
      </c>
    </row>
    <row r="687" spans="14:26" x14ac:dyDescent="0.25">
      <c r="N687" s="161" t="str">
        <f ca="1">IF(raw_exchange_data!$A686="","",OFFSET(raw_exchange_data!$A686,0,MATCH(N$2,raw_exchange_data!$1:$1,0)-1))</f>
        <v/>
      </c>
      <c r="O687" s="161" t="str">
        <f ca="1">IF(raw_exchange_data!$A686="","",OFFSET(raw_exchange_data!$A686,0,MATCH(O$2,raw_exchange_data!$1:$1,0)-1))</f>
        <v/>
      </c>
      <c r="P687" s="161" t="str">
        <f ca="1">IF(raw_exchange_data!$A686="","",OFFSET(raw_exchange_data!$A686,0,MATCH(P$2,raw_exchange_data!$1:$1,0)-1))</f>
        <v/>
      </c>
      <c r="Q687" s="161" t="str">
        <f ca="1">IF(raw_exchange_data!$A686="","",TEXT(OFFSET(raw_exchange_data!$A686,0,MATCH(Q$2,raw_exchange_data!$1:$1,0)-1),""))</f>
        <v/>
      </c>
      <c r="R687" s="162" t="str">
        <f ca="1">IF(raw_exchange_data!$A686="","",OFFSET(raw_exchange_data!$A686,0,MATCH(R$2,raw_exchange_data!$1:$1,0)-1))</f>
        <v/>
      </c>
      <c r="S687" s="190" t="str">
        <f ca="1">IF(raw_exchange_data!$A686="","",OFFSET(raw_exchange_data!$A686,0,MATCH(S$2,raw_exchange_data!$1:$1,0)-1))</f>
        <v/>
      </c>
      <c r="W687" t="str">
        <f t="shared" si="52"/>
        <v/>
      </c>
      <c r="X687" t="str">
        <f t="shared" si="53"/>
        <v/>
      </c>
      <c r="Y687" s="42" t="str">
        <f t="shared" si="54"/>
        <v/>
      </c>
      <c r="Z687" s="42" t="str">
        <f t="shared" si="55"/>
        <v/>
      </c>
    </row>
    <row r="688" spans="14:26" x14ac:dyDescent="0.25">
      <c r="N688" s="161" t="str">
        <f ca="1">IF(raw_exchange_data!$A687="","",OFFSET(raw_exchange_data!$A687,0,MATCH(N$2,raw_exchange_data!$1:$1,0)-1))</f>
        <v/>
      </c>
      <c r="O688" s="161" t="str">
        <f ca="1">IF(raw_exchange_data!$A687="","",OFFSET(raw_exchange_data!$A687,0,MATCH(O$2,raw_exchange_data!$1:$1,0)-1))</f>
        <v/>
      </c>
      <c r="P688" s="161" t="str">
        <f ca="1">IF(raw_exchange_data!$A687="","",OFFSET(raw_exchange_data!$A687,0,MATCH(P$2,raw_exchange_data!$1:$1,0)-1))</f>
        <v/>
      </c>
      <c r="Q688" s="161" t="str">
        <f ca="1">IF(raw_exchange_data!$A687="","",TEXT(OFFSET(raw_exchange_data!$A687,0,MATCH(Q$2,raw_exchange_data!$1:$1,0)-1),""))</f>
        <v/>
      </c>
      <c r="R688" s="162" t="str">
        <f ca="1">IF(raw_exchange_data!$A687="","",OFFSET(raw_exchange_data!$A687,0,MATCH(R$2,raw_exchange_data!$1:$1,0)-1))</f>
        <v/>
      </c>
      <c r="S688" s="190" t="str">
        <f ca="1">IF(raw_exchange_data!$A687="","",OFFSET(raw_exchange_data!$A687,0,MATCH(S$2,raw_exchange_data!$1:$1,0)-1))</f>
        <v/>
      </c>
      <c r="W688" t="str">
        <f t="shared" si="52"/>
        <v/>
      </c>
      <c r="X688" t="str">
        <f t="shared" si="53"/>
        <v/>
      </c>
      <c r="Y688" s="42" t="str">
        <f t="shared" si="54"/>
        <v/>
      </c>
      <c r="Z688" s="42" t="str">
        <f t="shared" si="55"/>
        <v/>
      </c>
    </row>
    <row r="689" spans="14:26" x14ac:dyDescent="0.25">
      <c r="N689" s="161" t="str">
        <f ca="1">IF(raw_exchange_data!$A688="","",OFFSET(raw_exchange_data!$A688,0,MATCH(N$2,raw_exchange_data!$1:$1,0)-1))</f>
        <v/>
      </c>
      <c r="O689" s="161" t="str">
        <f ca="1">IF(raw_exchange_data!$A688="","",OFFSET(raw_exchange_data!$A688,0,MATCH(O$2,raw_exchange_data!$1:$1,0)-1))</f>
        <v/>
      </c>
      <c r="P689" s="161" t="str">
        <f ca="1">IF(raw_exchange_data!$A688="","",OFFSET(raw_exchange_data!$A688,0,MATCH(P$2,raw_exchange_data!$1:$1,0)-1))</f>
        <v/>
      </c>
      <c r="Q689" s="161" t="str">
        <f ca="1">IF(raw_exchange_data!$A688="","",TEXT(OFFSET(raw_exchange_data!$A688,0,MATCH(Q$2,raw_exchange_data!$1:$1,0)-1),""))</f>
        <v/>
      </c>
      <c r="R689" s="162" t="str">
        <f ca="1">IF(raw_exchange_data!$A688="","",OFFSET(raw_exchange_data!$A688,0,MATCH(R$2,raw_exchange_data!$1:$1,0)-1))</f>
        <v/>
      </c>
      <c r="S689" s="190" t="str">
        <f ca="1">IF(raw_exchange_data!$A688="","",OFFSET(raw_exchange_data!$A688,0,MATCH(S$2,raw_exchange_data!$1:$1,0)-1))</f>
        <v/>
      </c>
      <c r="W689" t="str">
        <f t="shared" si="52"/>
        <v/>
      </c>
      <c r="X689" t="str">
        <f t="shared" si="53"/>
        <v/>
      </c>
      <c r="Y689" s="42" t="str">
        <f t="shared" si="54"/>
        <v/>
      </c>
      <c r="Z689" s="42" t="str">
        <f t="shared" si="55"/>
        <v/>
      </c>
    </row>
    <row r="690" spans="14:26" x14ac:dyDescent="0.25">
      <c r="N690" s="161" t="str">
        <f ca="1">IF(raw_exchange_data!$A689="","",OFFSET(raw_exchange_data!$A689,0,MATCH(N$2,raw_exchange_data!$1:$1,0)-1))</f>
        <v/>
      </c>
      <c r="O690" s="161" t="str">
        <f ca="1">IF(raw_exchange_data!$A689="","",OFFSET(raw_exchange_data!$A689,0,MATCH(O$2,raw_exchange_data!$1:$1,0)-1))</f>
        <v/>
      </c>
      <c r="P690" s="161" t="str">
        <f ca="1">IF(raw_exchange_data!$A689="","",OFFSET(raw_exchange_data!$A689,0,MATCH(P$2,raw_exchange_data!$1:$1,0)-1))</f>
        <v/>
      </c>
      <c r="Q690" s="161" t="str">
        <f ca="1">IF(raw_exchange_data!$A689="","",TEXT(OFFSET(raw_exchange_data!$A689,0,MATCH(Q$2,raw_exchange_data!$1:$1,0)-1),""))</f>
        <v/>
      </c>
      <c r="R690" s="162" t="str">
        <f ca="1">IF(raw_exchange_data!$A689="","",OFFSET(raw_exchange_data!$A689,0,MATCH(R$2,raw_exchange_data!$1:$1,0)-1))</f>
        <v/>
      </c>
      <c r="S690" s="190" t="str">
        <f ca="1">IF(raw_exchange_data!$A689="","",OFFSET(raw_exchange_data!$A689,0,MATCH(S$2,raw_exchange_data!$1:$1,0)-1))</f>
        <v/>
      </c>
      <c r="W690" t="str">
        <f t="shared" si="52"/>
        <v/>
      </c>
      <c r="X690" t="str">
        <f t="shared" si="53"/>
        <v/>
      </c>
      <c r="Y690" s="42" t="str">
        <f t="shared" si="54"/>
        <v/>
      </c>
      <c r="Z690" s="42" t="str">
        <f t="shared" si="55"/>
        <v/>
      </c>
    </row>
    <row r="691" spans="14:26" x14ac:dyDescent="0.25">
      <c r="N691" s="161" t="str">
        <f ca="1">IF(raw_exchange_data!$A690="","",OFFSET(raw_exchange_data!$A690,0,MATCH(N$2,raw_exchange_data!$1:$1,0)-1))</f>
        <v/>
      </c>
      <c r="O691" s="161" t="str">
        <f ca="1">IF(raw_exchange_data!$A690="","",OFFSET(raw_exchange_data!$A690,0,MATCH(O$2,raw_exchange_data!$1:$1,0)-1))</f>
        <v/>
      </c>
      <c r="P691" s="161" t="str">
        <f ca="1">IF(raw_exchange_data!$A690="","",OFFSET(raw_exchange_data!$A690,0,MATCH(P$2,raw_exchange_data!$1:$1,0)-1))</f>
        <v/>
      </c>
      <c r="Q691" s="161" t="str">
        <f ca="1">IF(raw_exchange_data!$A690="","",TEXT(OFFSET(raw_exchange_data!$A690,0,MATCH(Q$2,raw_exchange_data!$1:$1,0)-1),""))</f>
        <v/>
      </c>
      <c r="R691" s="162" t="str">
        <f ca="1">IF(raw_exchange_data!$A690="","",OFFSET(raw_exchange_data!$A690,0,MATCH(R$2,raw_exchange_data!$1:$1,0)-1))</f>
        <v/>
      </c>
      <c r="S691" s="190" t="str">
        <f ca="1">IF(raw_exchange_data!$A690="","",OFFSET(raw_exchange_data!$A690,0,MATCH(S$2,raw_exchange_data!$1:$1,0)-1))</f>
        <v/>
      </c>
      <c r="W691" t="str">
        <f t="shared" si="52"/>
        <v/>
      </c>
      <c r="X691" t="str">
        <f t="shared" si="53"/>
        <v/>
      </c>
      <c r="Y691" s="42" t="str">
        <f t="shared" si="54"/>
        <v/>
      </c>
      <c r="Z691" s="42" t="str">
        <f t="shared" si="55"/>
        <v/>
      </c>
    </row>
    <row r="692" spans="14:26" x14ac:dyDescent="0.25">
      <c r="N692" s="161" t="str">
        <f ca="1">IF(raw_exchange_data!$A691="","",OFFSET(raw_exchange_data!$A691,0,MATCH(N$2,raw_exchange_data!$1:$1,0)-1))</f>
        <v/>
      </c>
      <c r="O692" s="161" t="str">
        <f ca="1">IF(raw_exchange_data!$A691="","",OFFSET(raw_exchange_data!$A691,0,MATCH(O$2,raw_exchange_data!$1:$1,0)-1))</f>
        <v/>
      </c>
      <c r="P692" s="161" t="str">
        <f ca="1">IF(raw_exchange_data!$A691="","",OFFSET(raw_exchange_data!$A691,0,MATCH(P$2,raw_exchange_data!$1:$1,0)-1))</f>
        <v/>
      </c>
      <c r="Q692" s="161" t="str">
        <f ca="1">IF(raw_exchange_data!$A691="","",TEXT(OFFSET(raw_exchange_data!$A691,0,MATCH(Q$2,raw_exchange_data!$1:$1,0)-1),""))</f>
        <v/>
      </c>
      <c r="R692" s="162" t="str">
        <f ca="1">IF(raw_exchange_data!$A691="","",OFFSET(raw_exchange_data!$A691,0,MATCH(R$2,raw_exchange_data!$1:$1,0)-1))</f>
        <v/>
      </c>
      <c r="S692" s="190" t="str">
        <f ca="1">IF(raw_exchange_data!$A691="","",OFFSET(raw_exchange_data!$A691,0,MATCH(S$2,raw_exchange_data!$1:$1,0)-1))</f>
        <v/>
      </c>
      <c r="W692" t="str">
        <f t="shared" si="52"/>
        <v/>
      </c>
      <c r="X692" t="str">
        <f t="shared" si="53"/>
        <v/>
      </c>
      <c r="Y692" s="42" t="str">
        <f t="shared" si="54"/>
        <v/>
      </c>
      <c r="Z692" s="42" t="str">
        <f t="shared" si="55"/>
        <v/>
      </c>
    </row>
    <row r="693" spans="14:26" x14ac:dyDescent="0.25">
      <c r="N693" s="161" t="str">
        <f ca="1">IF(raw_exchange_data!$A692="","",OFFSET(raw_exchange_data!$A692,0,MATCH(N$2,raw_exchange_data!$1:$1,0)-1))</f>
        <v/>
      </c>
      <c r="O693" s="161" t="str">
        <f ca="1">IF(raw_exchange_data!$A692="","",OFFSET(raw_exchange_data!$A692,0,MATCH(O$2,raw_exchange_data!$1:$1,0)-1))</f>
        <v/>
      </c>
      <c r="P693" s="161" t="str">
        <f ca="1">IF(raw_exchange_data!$A692="","",OFFSET(raw_exchange_data!$A692,0,MATCH(P$2,raw_exchange_data!$1:$1,0)-1))</f>
        <v/>
      </c>
      <c r="Q693" s="161" t="str">
        <f ca="1">IF(raw_exchange_data!$A692="","",TEXT(OFFSET(raw_exchange_data!$A692,0,MATCH(Q$2,raw_exchange_data!$1:$1,0)-1),""))</f>
        <v/>
      </c>
      <c r="R693" s="162" t="str">
        <f ca="1">IF(raw_exchange_data!$A692="","",OFFSET(raw_exchange_data!$A692,0,MATCH(R$2,raw_exchange_data!$1:$1,0)-1))</f>
        <v/>
      </c>
      <c r="S693" s="190" t="str">
        <f ca="1">IF(raw_exchange_data!$A692="","",OFFSET(raw_exchange_data!$A692,0,MATCH(S$2,raw_exchange_data!$1:$1,0)-1))</f>
        <v/>
      </c>
      <c r="W693" t="str">
        <f t="shared" si="52"/>
        <v/>
      </c>
      <c r="X693" t="str">
        <f t="shared" si="53"/>
        <v/>
      </c>
      <c r="Y693" s="42" t="str">
        <f t="shared" si="54"/>
        <v/>
      </c>
      <c r="Z693" s="42" t="str">
        <f t="shared" si="55"/>
        <v/>
      </c>
    </row>
    <row r="694" spans="14:26" x14ac:dyDescent="0.25">
      <c r="N694" s="161" t="str">
        <f ca="1">IF(raw_exchange_data!$A693="","",OFFSET(raw_exchange_data!$A693,0,MATCH(N$2,raw_exchange_data!$1:$1,0)-1))</f>
        <v/>
      </c>
      <c r="O694" s="161" t="str">
        <f ca="1">IF(raw_exchange_data!$A693="","",OFFSET(raw_exchange_data!$A693,0,MATCH(O$2,raw_exchange_data!$1:$1,0)-1))</f>
        <v/>
      </c>
      <c r="P694" s="161" t="str">
        <f ca="1">IF(raw_exchange_data!$A693="","",OFFSET(raw_exchange_data!$A693,0,MATCH(P$2,raw_exchange_data!$1:$1,0)-1))</f>
        <v/>
      </c>
      <c r="Q694" s="161" t="str">
        <f ca="1">IF(raw_exchange_data!$A693="","",TEXT(OFFSET(raw_exchange_data!$A693,0,MATCH(Q$2,raw_exchange_data!$1:$1,0)-1),""))</f>
        <v/>
      </c>
      <c r="R694" s="162" t="str">
        <f ca="1">IF(raw_exchange_data!$A693="","",OFFSET(raw_exchange_data!$A693,0,MATCH(R$2,raw_exchange_data!$1:$1,0)-1))</f>
        <v/>
      </c>
      <c r="S694" s="190" t="str">
        <f ca="1">IF(raw_exchange_data!$A693="","",OFFSET(raw_exchange_data!$A693,0,MATCH(S$2,raw_exchange_data!$1:$1,0)-1))</f>
        <v/>
      </c>
      <c r="W694" t="str">
        <f t="shared" si="52"/>
        <v/>
      </c>
      <c r="X694" t="str">
        <f t="shared" si="53"/>
        <v/>
      </c>
      <c r="Y694" s="42" t="str">
        <f t="shared" si="54"/>
        <v/>
      </c>
      <c r="Z694" s="42" t="str">
        <f t="shared" si="55"/>
        <v/>
      </c>
    </row>
    <row r="695" spans="14:26" x14ac:dyDescent="0.25">
      <c r="N695" s="161" t="str">
        <f ca="1">IF(raw_exchange_data!$A694="","",OFFSET(raw_exchange_data!$A694,0,MATCH(N$2,raw_exchange_data!$1:$1,0)-1))</f>
        <v/>
      </c>
      <c r="O695" s="161" t="str">
        <f ca="1">IF(raw_exchange_data!$A694="","",OFFSET(raw_exchange_data!$A694,0,MATCH(O$2,raw_exchange_data!$1:$1,0)-1))</f>
        <v/>
      </c>
      <c r="P695" s="161" t="str">
        <f ca="1">IF(raw_exchange_data!$A694="","",OFFSET(raw_exchange_data!$A694,0,MATCH(P$2,raw_exchange_data!$1:$1,0)-1))</f>
        <v/>
      </c>
      <c r="Q695" s="161" t="str">
        <f ca="1">IF(raw_exchange_data!$A694="","",TEXT(OFFSET(raw_exchange_data!$A694,0,MATCH(Q$2,raw_exchange_data!$1:$1,0)-1),""))</f>
        <v/>
      </c>
      <c r="R695" s="162" t="str">
        <f ca="1">IF(raw_exchange_data!$A694="","",OFFSET(raw_exchange_data!$A694,0,MATCH(R$2,raw_exchange_data!$1:$1,0)-1))</f>
        <v/>
      </c>
      <c r="S695" s="190" t="str">
        <f ca="1">IF(raw_exchange_data!$A694="","",OFFSET(raw_exchange_data!$A694,0,MATCH(S$2,raw_exchange_data!$1:$1,0)-1))</f>
        <v/>
      </c>
      <c r="W695" t="str">
        <f t="shared" si="52"/>
        <v/>
      </c>
      <c r="X695" t="str">
        <f t="shared" si="53"/>
        <v/>
      </c>
      <c r="Y695" s="42" t="str">
        <f t="shared" si="54"/>
        <v/>
      </c>
      <c r="Z695" s="42" t="str">
        <f t="shared" si="55"/>
        <v/>
      </c>
    </row>
    <row r="696" spans="14:26" x14ac:dyDescent="0.25">
      <c r="N696" s="161" t="str">
        <f ca="1">IF(raw_exchange_data!$A695="","",OFFSET(raw_exchange_data!$A695,0,MATCH(N$2,raw_exchange_data!$1:$1,0)-1))</f>
        <v/>
      </c>
      <c r="O696" s="161" t="str">
        <f ca="1">IF(raw_exchange_data!$A695="","",OFFSET(raw_exchange_data!$A695,0,MATCH(O$2,raw_exchange_data!$1:$1,0)-1))</f>
        <v/>
      </c>
      <c r="P696" s="161" t="str">
        <f ca="1">IF(raw_exchange_data!$A695="","",OFFSET(raw_exchange_data!$A695,0,MATCH(P$2,raw_exchange_data!$1:$1,0)-1))</f>
        <v/>
      </c>
      <c r="Q696" s="161" t="str">
        <f ca="1">IF(raw_exchange_data!$A695="","",TEXT(OFFSET(raw_exchange_data!$A695,0,MATCH(Q$2,raw_exchange_data!$1:$1,0)-1),""))</f>
        <v/>
      </c>
      <c r="R696" s="162" t="str">
        <f ca="1">IF(raw_exchange_data!$A695="","",OFFSET(raw_exchange_data!$A695,0,MATCH(R$2,raw_exchange_data!$1:$1,0)-1))</f>
        <v/>
      </c>
      <c r="S696" s="190" t="str">
        <f ca="1">IF(raw_exchange_data!$A695="","",OFFSET(raw_exchange_data!$A695,0,MATCH(S$2,raw_exchange_data!$1:$1,0)-1))</f>
        <v/>
      </c>
      <c r="W696" t="str">
        <f t="shared" si="52"/>
        <v/>
      </c>
      <c r="X696" t="str">
        <f t="shared" si="53"/>
        <v/>
      </c>
      <c r="Y696" s="42" t="str">
        <f t="shared" si="54"/>
        <v/>
      </c>
      <c r="Z696" s="42" t="str">
        <f t="shared" si="55"/>
        <v/>
      </c>
    </row>
    <row r="697" spans="14:26" x14ac:dyDescent="0.25">
      <c r="N697" s="161" t="str">
        <f ca="1">IF(raw_exchange_data!$A696="","",OFFSET(raw_exchange_data!$A696,0,MATCH(N$2,raw_exchange_data!$1:$1,0)-1))</f>
        <v/>
      </c>
      <c r="O697" s="161" t="str">
        <f ca="1">IF(raw_exchange_data!$A696="","",OFFSET(raw_exchange_data!$A696,0,MATCH(O$2,raw_exchange_data!$1:$1,0)-1))</f>
        <v/>
      </c>
      <c r="P697" s="161" t="str">
        <f ca="1">IF(raw_exchange_data!$A696="","",OFFSET(raw_exchange_data!$A696,0,MATCH(P$2,raw_exchange_data!$1:$1,0)-1))</f>
        <v/>
      </c>
      <c r="Q697" s="161" t="str">
        <f ca="1">IF(raw_exchange_data!$A696="","",TEXT(OFFSET(raw_exchange_data!$A696,0,MATCH(Q$2,raw_exchange_data!$1:$1,0)-1),""))</f>
        <v/>
      </c>
      <c r="R697" s="162" t="str">
        <f ca="1">IF(raw_exchange_data!$A696="","",OFFSET(raw_exchange_data!$A696,0,MATCH(R$2,raw_exchange_data!$1:$1,0)-1))</f>
        <v/>
      </c>
      <c r="S697" s="190" t="str">
        <f ca="1">IF(raw_exchange_data!$A696="","",OFFSET(raw_exchange_data!$A696,0,MATCH(S$2,raw_exchange_data!$1:$1,0)-1))</f>
        <v/>
      </c>
      <c r="W697" t="str">
        <f t="shared" si="52"/>
        <v/>
      </c>
      <c r="X697" t="str">
        <f t="shared" si="53"/>
        <v/>
      </c>
      <c r="Y697" s="42" t="str">
        <f t="shared" si="54"/>
        <v/>
      </c>
      <c r="Z697" s="42" t="str">
        <f t="shared" si="55"/>
        <v/>
      </c>
    </row>
    <row r="698" spans="14:26" x14ac:dyDescent="0.25">
      <c r="N698" s="161" t="str">
        <f ca="1">IF(raw_exchange_data!$A697="","",OFFSET(raw_exchange_data!$A697,0,MATCH(N$2,raw_exchange_data!$1:$1,0)-1))</f>
        <v/>
      </c>
      <c r="O698" s="161" t="str">
        <f ca="1">IF(raw_exchange_data!$A697="","",OFFSET(raw_exchange_data!$A697,0,MATCH(O$2,raw_exchange_data!$1:$1,0)-1))</f>
        <v/>
      </c>
      <c r="P698" s="161" t="str">
        <f ca="1">IF(raw_exchange_data!$A697="","",OFFSET(raw_exchange_data!$A697,0,MATCH(P$2,raw_exchange_data!$1:$1,0)-1))</f>
        <v/>
      </c>
      <c r="Q698" s="161" t="str">
        <f ca="1">IF(raw_exchange_data!$A697="","",TEXT(OFFSET(raw_exchange_data!$A697,0,MATCH(Q$2,raw_exchange_data!$1:$1,0)-1),""))</f>
        <v/>
      </c>
      <c r="R698" s="162" t="str">
        <f ca="1">IF(raw_exchange_data!$A697="","",OFFSET(raw_exchange_data!$A697,0,MATCH(R$2,raw_exchange_data!$1:$1,0)-1))</f>
        <v/>
      </c>
      <c r="S698" s="190" t="str">
        <f ca="1">IF(raw_exchange_data!$A697="","",OFFSET(raw_exchange_data!$A697,0,MATCH(S$2,raw_exchange_data!$1:$1,0)-1))</f>
        <v/>
      </c>
      <c r="W698" t="str">
        <f t="shared" si="52"/>
        <v/>
      </c>
      <c r="X698" t="str">
        <f t="shared" si="53"/>
        <v/>
      </c>
      <c r="Y698" s="42" t="str">
        <f t="shared" si="54"/>
        <v/>
      </c>
      <c r="Z698" s="42" t="str">
        <f t="shared" si="55"/>
        <v/>
      </c>
    </row>
    <row r="699" spans="14:26" x14ac:dyDescent="0.25">
      <c r="N699" s="161" t="str">
        <f ca="1">IF(raw_exchange_data!$A698="","",OFFSET(raw_exchange_data!$A698,0,MATCH(N$2,raw_exchange_data!$1:$1,0)-1))</f>
        <v/>
      </c>
      <c r="O699" s="161" t="str">
        <f ca="1">IF(raw_exchange_data!$A698="","",OFFSET(raw_exchange_data!$A698,0,MATCH(O$2,raw_exchange_data!$1:$1,0)-1))</f>
        <v/>
      </c>
      <c r="P699" s="161" t="str">
        <f ca="1">IF(raw_exchange_data!$A698="","",OFFSET(raw_exchange_data!$A698,0,MATCH(P$2,raw_exchange_data!$1:$1,0)-1))</f>
        <v/>
      </c>
      <c r="Q699" s="161" t="str">
        <f ca="1">IF(raw_exchange_data!$A698="","",TEXT(OFFSET(raw_exchange_data!$A698,0,MATCH(Q$2,raw_exchange_data!$1:$1,0)-1),""))</f>
        <v/>
      </c>
      <c r="R699" s="162" t="str">
        <f ca="1">IF(raw_exchange_data!$A698="","",OFFSET(raw_exchange_data!$A698,0,MATCH(R$2,raw_exchange_data!$1:$1,0)-1))</f>
        <v/>
      </c>
      <c r="S699" s="190" t="str">
        <f ca="1">IF(raw_exchange_data!$A698="","",OFFSET(raw_exchange_data!$A698,0,MATCH(S$2,raw_exchange_data!$1:$1,0)-1))</f>
        <v/>
      </c>
      <c r="W699" t="str">
        <f t="shared" si="52"/>
        <v/>
      </c>
      <c r="X699" t="str">
        <f t="shared" si="53"/>
        <v/>
      </c>
      <c r="Y699" s="42" t="str">
        <f t="shared" si="54"/>
        <v/>
      </c>
      <c r="Z699" s="42" t="str">
        <f t="shared" si="55"/>
        <v/>
      </c>
    </row>
    <row r="700" spans="14:26" x14ac:dyDescent="0.25">
      <c r="N700" s="161" t="str">
        <f ca="1">IF(raw_exchange_data!$A699="","",OFFSET(raw_exchange_data!$A699,0,MATCH(N$2,raw_exchange_data!$1:$1,0)-1))</f>
        <v/>
      </c>
      <c r="O700" s="161" t="str">
        <f ca="1">IF(raw_exchange_data!$A699="","",OFFSET(raw_exchange_data!$A699,0,MATCH(O$2,raw_exchange_data!$1:$1,0)-1))</f>
        <v/>
      </c>
      <c r="P700" s="161" t="str">
        <f ca="1">IF(raw_exchange_data!$A699="","",OFFSET(raw_exchange_data!$A699,0,MATCH(P$2,raw_exchange_data!$1:$1,0)-1))</f>
        <v/>
      </c>
      <c r="Q700" s="161" t="str">
        <f ca="1">IF(raw_exchange_data!$A699="","",TEXT(OFFSET(raw_exchange_data!$A699,0,MATCH(Q$2,raw_exchange_data!$1:$1,0)-1),""))</f>
        <v/>
      </c>
      <c r="R700" s="162" t="str">
        <f ca="1">IF(raw_exchange_data!$A699="","",OFFSET(raw_exchange_data!$A699,0,MATCH(R$2,raw_exchange_data!$1:$1,0)-1))</f>
        <v/>
      </c>
      <c r="S700" s="190" t="str">
        <f ca="1">IF(raw_exchange_data!$A699="","",OFFSET(raw_exchange_data!$A699,0,MATCH(S$2,raw_exchange_data!$1:$1,0)-1))</f>
        <v/>
      </c>
      <c r="W700" t="str">
        <f t="shared" si="52"/>
        <v/>
      </c>
      <c r="X700" t="str">
        <f t="shared" si="53"/>
        <v/>
      </c>
      <c r="Y700" s="42" t="str">
        <f t="shared" si="54"/>
        <v/>
      </c>
      <c r="Z700" s="42" t="str">
        <f t="shared" si="55"/>
        <v/>
      </c>
    </row>
    <row r="701" spans="14:26" x14ac:dyDescent="0.25">
      <c r="N701" s="161" t="str">
        <f ca="1">IF(raw_exchange_data!$A700="","",OFFSET(raw_exchange_data!$A700,0,MATCH(N$2,raw_exchange_data!$1:$1,0)-1))</f>
        <v/>
      </c>
      <c r="O701" s="161" t="str">
        <f ca="1">IF(raw_exchange_data!$A700="","",OFFSET(raw_exchange_data!$A700,0,MATCH(O$2,raw_exchange_data!$1:$1,0)-1))</f>
        <v/>
      </c>
      <c r="P701" s="161" t="str">
        <f ca="1">IF(raw_exchange_data!$A700="","",OFFSET(raw_exchange_data!$A700,0,MATCH(P$2,raw_exchange_data!$1:$1,0)-1))</f>
        <v/>
      </c>
      <c r="Q701" s="161" t="str">
        <f ca="1">IF(raw_exchange_data!$A700="","",TEXT(OFFSET(raw_exchange_data!$A700,0,MATCH(Q$2,raw_exchange_data!$1:$1,0)-1),""))</f>
        <v/>
      </c>
      <c r="R701" s="162" t="str">
        <f ca="1">IF(raw_exchange_data!$A700="","",OFFSET(raw_exchange_data!$A700,0,MATCH(R$2,raw_exchange_data!$1:$1,0)-1))</f>
        <v/>
      </c>
      <c r="S701" s="190" t="str">
        <f ca="1">IF(raw_exchange_data!$A700="","",OFFSET(raw_exchange_data!$A700,0,MATCH(S$2,raw_exchange_data!$1:$1,0)-1))</f>
        <v/>
      </c>
      <c r="W701" t="str">
        <f t="shared" si="52"/>
        <v/>
      </c>
      <c r="X701" t="str">
        <f t="shared" si="53"/>
        <v/>
      </c>
      <c r="Y701" s="42" t="str">
        <f t="shared" si="54"/>
        <v/>
      </c>
      <c r="Z701" s="42" t="str">
        <f t="shared" si="55"/>
        <v/>
      </c>
    </row>
    <row r="702" spans="14:26" x14ac:dyDescent="0.25">
      <c r="N702" s="161" t="str">
        <f ca="1">IF(raw_exchange_data!$A701="","",OFFSET(raw_exchange_data!$A701,0,MATCH(N$2,raw_exchange_data!$1:$1,0)-1))</f>
        <v/>
      </c>
      <c r="O702" s="161" t="str">
        <f ca="1">IF(raw_exchange_data!$A701="","",OFFSET(raw_exchange_data!$A701,0,MATCH(O$2,raw_exchange_data!$1:$1,0)-1))</f>
        <v/>
      </c>
      <c r="P702" s="161" t="str">
        <f ca="1">IF(raw_exchange_data!$A701="","",OFFSET(raw_exchange_data!$A701,0,MATCH(P$2,raw_exchange_data!$1:$1,0)-1))</f>
        <v/>
      </c>
      <c r="Q702" s="161" t="str">
        <f ca="1">IF(raw_exchange_data!$A701="","",TEXT(OFFSET(raw_exchange_data!$A701,0,MATCH(Q$2,raw_exchange_data!$1:$1,0)-1),""))</f>
        <v/>
      </c>
      <c r="R702" s="162" t="str">
        <f ca="1">IF(raw_exchange_data!$A701="","",OFFSET(raw_exchange_data!$A701,0,MATCH(R$2,raw_exchange_data!$1:$1,0)-1))</f>
        <v/>
      </c>
      <c r="S702" s="190" t="str">
        <f ca="1">IF(raw_exchange_data!$A701="","",OFFSET(raw_exchange_data!$A701,0,MATCH(S$2,raw_exchange_data!$1:$1,0)-1))</f>
        <v/>
      </c>
      <c r="W702" t="str">
        <f t="shared" si="52"/>
        <v/>
      </c>
      <c r="X702" t="str">
        <f t="shared" si="53"/>
        <v/>
      </c>
      <c r="Y702" s="42" t="str">
        <f t="shared" si="54"/>
        <v/>
      </c>
      <c r="Z702" s="42" t="str">
        <f t="shared" si="55"/>
        <v/>
      </c>
    </row>
    <row r="703" spans="14:26" x14ac:dyDescent="0.25">
      <c r="N703" s="161" t="str">
        <f ca="1">IF(raw_exchange_data!$A702="","",OFFSET(raw_exchange_data!$A702,0,MATCH(N$2,raw_exchange_data!$1:$1,0)-1))</f>
        <v/>
      </c>
      <c r="O703" s="161" t="str">
        <f ca="1">IF(raw_exchange_data!$A702="","",OFFSET(raw_exchange_data!$A702,0,MATCH(O$2,raw_exchange_data!$1:$1,0)-1))</f>
        <v/>
      </c>
      <c r="P703" s="161" t="str">
        <f ca="1">IF(raw_exchange_data!$A702="","",OFFSET(raw_exchange_data!$A702,0,MATCH(P$2,raw_exchange_data!$1:$1,0)-1))</f>
        <v/>
      </c>
      <c r="Q703" s="161" t="str">
        <f ca="1">IF(raw_exchange_data!$A702="","",TEXT(OFFSET(raw_exchange_data!$A702,0,MATCH(Q$2,raw_exchange_data!$1:$1,0)-1),""))</f>
        <v/>
      </c>
      <c r="R703" s="162" t="str">
        <f ca="1">IF(raw_exchange_data!$A702="","",OFFSET(raw_exchange_data!$A702,0,MATCH(R$2,raw_exchange_data!$1:$1,0)-1))</f>
        <v/>
      </c>
      <c r="S703" s="190" t="str">
        <f ca="1">IF(raw_exchange_data!$A702="","",OFFSET(raw_exchange_data!$A702,0,MATCH(S$2,raw_exchange_data!$1:$1,0)-1))</f>
        <v/>
      </c>
      <c r="W703" t="str">
        <f t="shared" si="52"/>
        <v/>
      </c>
      <c r="X703" t="str">
        <f t="shared" si="53"/>
        <v/>
      </c>
      <c r="Y703" s="42" t="str">
        <f t="shared" si="54"/>
        <v/>
      </c>
      <c r="Z703" s="42" t="str">
        <f t="shared" si="55"/>
        <v/>
      </c>
    </row>
    <row r="704" spans="14:26" x14ac:dyDescent="0.25">
      <c r="N704" s="161" t="str">
        <f ca="1">IF(raw_exchange_data!$A703="","",OFFSET(raw_exchange_data!$A703,0,MATCH(N$2,raw_exchange_data!$1:$1,0)-1))</f>
        <v/>
      </c>
      <c r="O704" s="161" t="str">
        <f ca="1">IF(raw_exchange_data!$A703="","",OFFSET(raw_exchange_data!$A703,0,MATCH(O$2,raw_exchange_data!$1:$1,0)-1))</f>
        <v/>
      </c>
      <c r="P704" s="161" t="str">
        <f ca="1">IF(raw_exchange_data!$A703="","",OFFSET(raw_exchange_data!$A703,0,MATCH(P$2,raw_exchange_data!$1:$1,0)-1))</f>
        <v/>
      </c>
      <c r="Q704" s="161" t="str">
        <f ca="1">IF(raw_exchange_data!$A703="","",TEXT(OFFSET(raw_exchange_data!$A703,0,MATCH(Q$2,raw_exchange_data!$1:$1,0)-1),""))</f>
        <v/>
      </c>
      <c r="R704" s="162" t="str">
        <f ca="1">IF(raw_exchange_data!$A703="","",OFFSET(raw_exchange_data!$A703,0,MATCH(R$2,raw_exchange_data!$1:$1,0)-1))</f>
        <v/>
      </c>
      <c r="S704" s="190" t="str">
        <f ca="1">IF(raw_exchange_data!$A703="","",OFFSET(raw_exchange_data!$A703,0,MATCH(S$2,raw_exchange_data!$1:$1,0)-1))</f>
        <v/>
      </c>
      <c r="W704" t="str">
        <f t="shared" si="52"/>
        <v/>
      </c>
      <c r="X704" t="str">
        <f t="shared" si="53"/>
        <v/>
      </c>
      <c r="Y704" s="42" t="str">
        <f t="shared" si="54"/>
        <v/>
      </c>
      <c r="Z704" s="42" t="str">
        <f t="shared" si="55"/>
        <v/>
      </c>
    </row>
    <row r="705" spans="14:26" x14ac:dyDescent="0.25">
      <c r="N705" s="161" t="str">
        <f ca="1">IF(raw_exchange_data!$A704="","",OFFSET(raw_exchange_data!$A704,0,MATCH(N$2,raw_exchange_data!$1:$1,0)-1))</f>
        <v/>
      </c>
      <c r="O705" s="161" t="str">
        <f ca="1">IF(raw_exchange_data!$A704="","",OFFSET(raw_exchange_data!$A704,0,MATCH(O$2,raw_exchange_data!$1:$1,0)-1))</f>
        <v/>
      </c>
      <c r="P705" s="161" t="str">
        <f ca="1">IF(raw_exchange_data!$A704="","",OFFSET(raw_exchange_data!$A704,0,MATCH(P$2,raw_exchange_data!$1:$1,0)-1))</f>
        <v/>
      </c>
      <c r="Q705" s="161" t="str">
        <f ca="1">IF(raw_exchange_data!$A704="","",TEXT(OFFSET(raw_exchange_data!$A704,0,MATCH(Q$2,raw_exchange_data!$1:$1,0)-1),""))</f>
        <v/>
      </c>
      <c r="R705" s="162" t="str">
        <f ca="1">IF(raw_exchange_data!$A704="","",OFFSET(raw_exchange_data!$A704,0,MATCH(R$2,raw_exchange_data!$1:$1,0)-1))</f>
        <v/>
      </c>
      <c r="S705" s="190" t="str">
        <f ca="1">IF(raw_exchange_data!$A704="","",OFFSET(raw_exchange_data!$A704,0,MATCH(S$2,raw_exchange_data!$1:$1,0)-1))</f>
        <v/>
      </c>
      <c r="W705" t="str">
        <f t="shared" si="52"/>
        <v/>
      </c>
      <c r="X705" t="str">
        <f t="shared" si="53"/>
        <v/>
      </c>
      <c r="Y705" s="42" t="str">
        <f t="shared" si="54"/>
        <v/>
      </c>
      <c r="Z705" s="42" t="str">
        <f t="shared" si="55"/>
        <v/>
      </c>
    </row>
    <row r="706" spans="14:26" x14ac:dyDescent="0.25">
      <c r="N706" s="161" t="str">
        <f ca="1">IF(raw_exchange_data!$A705="","",OFFSET(raw_exchange_data!$A705,0,MATCH(N$2,raw_exchange_data!$1:$1,0)-1))</f>
        <v/>
      </c>
      <c r="O706" s="161" t="str">
        <f ca="1">IF(raw_exchange_data!$A705="","",OFFSET(raw_exchange_data!$A705,0,MATCH(O$2,raw_exchange_data!$1:$1,0)-1))</f>
        <v/>
      </c>
      <c r="P706" s="161" t="str">
        <f ca="1">IF(raw_exchange_data!$A705="","",OFFSET(raw_exchange_data!$A705,0,MATCH(P$2,raw_exchange_data!$1:$1,0)-1))</f>
        <v/>
      </c>
      <c r="Q706" s="161" t="str">
        <f ca="1">IF(raw_exchange_data!$A705="","",TEXT(OFFSET(raw_exchange_data!$A705,0,MATCH(Q$2,raw_exchange_data!$1:$1,0)-1),""))</f>
        <v/>
      </c>
      <c r="R706" s="162" t="str">
        <f ca="1">IF(raw_exchange_data!$A705="","",OFFSET(raw_exchange_data!$A705,0,MATCH(R$2,raw_exchange_data!$1:$1,0)-1))</f>
        <v/>
      </c>
      <c r="S706" s="190" t="str">
        <f ca="1">IF(raw_exchange_data!$A705="","",OFFSET(raw_exchange_data!$A705,0,MATCH(S$2,raw_exchange_data!$1:$1,0)-1))</f>
        <v/>
      </c>
      <c r="W706" t="str">
        <f t="shared" si="52"/>
        <v/>
      </c>
      <c r="X706" t="str">
        <f t="shared" si="53"/>
        <v/>
      </c>
      <c r="Y706" s="42" t="str">
        <f t="shared" si="54"/>
        <v/>
      </c>
      <c r="Z706" s="42" t="str">
        <f t="shared" si="55"/>
        <v/>
      </c>
    </row>
    <row r="707" spans="14:26" x14ac:dyDescent="0.25">
      <c r="N707" s="161" t="str">
        <f ca="1">IF(raw_exchange_data!$A706="","",OFFSET(raw_exchange_data!$A706,0,MATCH(N$2,raw_exchange_data!$1:$1,0)-1))</f>
        <v/>
      </c>
      <c r="O707" s="161" t="str">
        <f ca="1">IF(raw_exchange_data!$A706="","",OFFSET(raw_exchange_data!$A706,0,MATCH(O$2,raw_exchange_data!$1:$1,0)-1))</f>
        <v/>
      </c>
      <c r="P707" s="161" t="str">
        <f ca="1">IF(raw_exchange_data!$A706="","",OFFSET(raw_exchange_data!$A706,0,MATCH(P$2,raw_exchange_data!$1:$1,0)-1))</f>
        <v/>
      </c>
      <c r="Q707" s="161" t="str">
        <f ca="1">IF(raw_exchange_data!$A706="","",TEXT(OFFSET(raw_exchange_data!$A706,0,MATCH(Q$2,raw_exchange_data!$1:$1,0)-1),""))</f>
        <v/>
      </c>
      <c r="R707" s="162" t="str">
        <f ca="1">IF(raw_exchange_data!$A706="","",OFFSET(raw_exchange_data!$A706,0,MATCH(R$2,raw_exchange_data!$1:$1,0)-1))</f>
        <v/>
      </c>
      <c r="S707" s="190" t="str">
        <f ca="1">IF(raw_exchange_data!$A706="","",OFFSET(raw_exchange_data!$A706,0,MATCH(S$2,raw_exchange_data!$1:$1,0)-1))</f>
        <v/>
      </c>
      <c r="W707" t="str">
        <f t="shared" si="52"/>
        <v/>
      </c>
      <c r="X707" t="str">
        <f t="shared" si="53"/>
        <v/>
      </c>
      <c r="Y707" s="42" t="str">
        <f t="shared" si="54"/>
        <v/>
      </c>
      <c r="Z707" s="42" t="str">
        <f t="shared" si="55"/>
        <v/>
      </c>
    </row>
    <row r="708" spans="14:26" x14ac:dyDescent="0.25">
      <c r="N708" s="161" t="str">
        <f ca="1">IF(raw_exchange_data!$A707="","",OFFSET(raw_exchange_data!$A707,0,MATCH(N$2,raw_exchange_data!$1:$1,0)-1))</f>
        <v/>
      </c>
      <c r="O708" s="161" t="str">
        <f ca="1">IF(raw_exchange_data!$A707="","",OFFSET(raw_exchange_data!$A707,0,MATCH(O$2,raw_exchange_data!$1:$1,0)-1))</f>
        <v/>
      </c>
      <c r="P708" s="161" t="str">
        <f ca="1">IF(raw_exchange_data!$A707="","",OFFSET(raw_exchange_data!$A707,0,MATCH(P$2,raw_exchange_data!$1:$1,0)-1))</f>
        <v/>
      </c>
      <c r="Q708" s="161" t="str">
        <f ca="1">IF(raw_exchange_data!$A707="","",TEXT(OFFSET(raw_exchange_data!$A707,0,MATCH(Q$2,raw_exchange_data!$1:$1,0)-1),""))</f>
        <v/>
      </c>
      <c r="R708" s="162" t="str">
        <f ca="1">IF(raw_exchange_data!$A707="","",OFFSET(raw_exchange_data!$A707,0,MATCH(R$2,raw_exchange_data!$1:$1,0)-1))</f>
        <v/>
      </c>
      <c r="S708" s="190" t="str">
        <f ca="1">IF(raw_exchange_data!$A707="","",OFFSET(raw_exchange_data!$A707,0,MATCH(S$2,raw_exchange_data!$1:$1,0)-1))</f>
        <v/>
      </c>
      <c r="W708" t="str">
        <f t="shared" ref="W708:W771" si="56">IF($A708="","",$A708)</f>
        <v/>
      </c>
      <c r="X708" t="str">
        <f t="shared" ref="X708:X771" si="57">IF($A708="","",$C708)</f>
        <v/>
      </c>
      <c r="Y708" s="42" t="str">
        <f t="shared" ref="Y708:Y771" si="58">IF($A708="","",$E708)</f>
        <v/>
      </c>
      <c r="Z708" s="42" t="str">
        <f t="shared" ref="Z708:Z771" si="59">IF($A708="","",IF(ISERROR($G708),0,$G708))</f>
        <v/>
      </c>
    </row>
    <row r="709" spans="14:26" x14ac:dyDescent="0.25">
      <c r="N709" s="161" t="str">
        <f ca="1">IF(raw_exchange_data!$A708="","",OFFSET(raw_exchange_data!$A708,0,MATCH(N$2,raw_exchange_data!$1:$1,0)-1))</f>
        <v/>
      </c>
      <c r="O709" s="161" t="str">
        <f ca="1">IF(raw_exchange_data!$A708="","",OFFSET(raw_exchange_data!$A708,0,MATCH(O$2,raw_exchange_data!$1:$1,0)-1))</f>
        <v/>
      </c>
      <c r="P709" s="161" t="str">
        <f ca="1">IF(raw_exchange_data!$A708="","",OFFSET(raw_exchange_data!$A708,0,MATCH(P$2,raw_exchange_data!$1:$1,0)-1))</f>
        <v/>
      </c>
      <c r="Q709" s="161" t="str">
        <f ca="1">IF(raw_exchange_data!$A708="","",TEXT(OFFSET(raw_exchange_data!$A708,0,MATCH(Q$2,raw_exchange_data!$1:$1,0)-1),""))</f>
        <v/>
      </c>
      <c r="R709" s="162" t="str">
        <f ca="1">IF(raw_exchange_data!$A708="","",OFFSET(raw_exchange_data!$A708,0,MATCH(R$2,raw_exchange_data!$1:$1,0)-1))</f>
        <v/>
      </c>
      <c r="S709" s="190" t="str">
        <f ca="1">IF(raw_exchange_data!$A708="","",OFFSET(raw_exchange_data!$A708,0,MATCH(S$2,raw_exchange_data!$1:$1,0)-1))</f>
        <v/>
      </c>
      <c r="W709" t="str">
        <f t="shared" si="56"/>
        <v/>
      </c>
      <c r="X709" t="str">
        <f t="shared" si="57"/>
        <v/>
      </c>
      <c r="Y709" s="42" t="str">
        <f t="shared" si="58"/>
        <v/>
      </c>
      <c r="Z709" s="42" t="str">
        <f t="shared" si="59"/>
        <v/>
      </c>
    </row>
    <row r="710" spans="14:26" x14ac:dyDescent="0.25">
      <c r="N710" s="161" t="str">
        <f ca="1">IF(raw_exchange_data!$A709="","",OFFSET(raw_exchange_data!$A709,0,MATCH(N$2,raw_exchange_data!$1:$1,0)-1))</f>
        <v/>
      </c>
      <c r="O710" s="161" t="str">
        <f ca="1">IF(raw_exchange_data!$A709="","",OFFSET(raw_exchange_data!$A709,0,MATCH(O$2,raw_exchange_data!$1:$1,0)-1))</f>
        <v/>
      </c>
      <c r="P710" s="161" t="str">
        <f ca="1">IF(raw_exchange_data!$A709="","",OFFSET(raw_exchange_data!$A709,0,MATCH(P$2,raw_exchange_data!$1:$1,0)-1))</f>
        <v/>
      </c>
      <c r="Q710" s="161" t="str">
        <f ca="1">IF(raw_exchange_data!$A709="","",TEXT(OFFSET(raw_exchange_data!$A709,0,MATCH(Q$2,raw_exchange_data!$1:$1,0)-1),""))</f>
        <v/>
      </c>
      <c r="R710" s="162" t="str">
        <f ca="1">IF(raw_exchange_data!$A709="","",OFFSET(raw_exchange_data!$A709,0,MATCH(R$2,raw_exchange_data!$1:$1,0)-1))</f>
        <v/>
      </c>
      <c r="S710" s="190" t="str">
        <f ca="1">IF(raw_exchange_data!$A709="","",OFFSET(raw_exchange_data!$A709,0,MATCH(S$2,raw_exchange_data!$1:$1,0)-1))</f>
        <v/>
      </c>
      <c r="W710" t="str">
        <f t="shared" si="56"/>
        <v/>
      </c>
      <c r="X710" t="str">
        <f t="shared" si="57"/>
        <v/>
      </c>
      <c r="Y710" s="42" t="str">
        <f t="shared" si="58"/>
        <v/>
      </c>
      <c r="Z710" s="42" t="str">
        <f t="shared" si="59"/>
        <v/>
      </c>
    </row>
    <row r="711" spans="14:26" x14ac:dyDescent="0.25">
      <c r="N711" s="161" t="str">
        <f ca="1">IF(raw_exchange_data!$A710="","",OFFSET(raw_exchange_data!$A710,0,MATCH(N$2,raw_exchange_data!$1:$1,0)-1))</f>
        <v/>
      </c>
      <c r="O711" s="161" t="str">
        <f ca="1">IF(raw_exchange_data!$A710="","",OFFSET(raw_exchange_data!$A710,0,MATCH(O$2,raw_exchange_data!$1:$1,0)-1))</f>
        <v/>
      </c>
      <c r="P711" s="161" t="str">
        <f ca="1">IF(raw_exchange_data!$A710="","",OFFSET(raw_exchange_data!$A710,0,MATCH(P$2,raw_exchange_data!$1:$1,0)-1))</f>
        <v/>
      </c>
      <c r="Q711" s="161" t="str">
        <f ca="1">IF(raw_exchange_data!$A710="","",TEXT(OFFSET(raw_exchange_data!$A710,0,MATCH(Q$2,raw_exchange_data!$1:$1,0)-1),""))</f>
        <v/>
      </c>
      <c r="R711" s="162" t="str">
        <f ca="1">IF(raw_exchange_data!$A710="","",OFFSET(raw_exchange_data!$A710,0,MATCH(R$2,raw_exchange_data!$1:$1,0)-1))</f>
        <v/>
      </c>
      <c r="S711" s="190" t="str">
        <f ca="1">IF(raw_exchange_data!$A710="","",OFFSET(raw_exchange_data!$A710,0,MATCH(S$2,raw_exchange_data!$1:$1,0)-1))</f>
        <v/>
      </c>
      <c r="W711" t="str">
        <f t="shared" si="56"/>
        <v/>
      </c>
      <c r="X711" t="str">
        <f t="shared" si="57"/>
        <v/>
      </c>
      <c r="Y711" s="42" t="str">
        <f t="shared" si="58"/>
        <v/>
      </c>
      <c r="Z711" s="42" t="str">
        <f t="shared" si="59"/>
        <v/>
      </c>
    </row>
    <row r="712" spans="14:26" x14ac:dyDescent="0.25">
      <c r="N712" s="161" t="str">
        <f ca="1">IF(raw_exchange_data!$A711="","",OFFSET(raw_exchange_data!$A711,0,MATCH(N$2,raw_exchange_data!$1:$1,0)-1))</f>
        <v/>
      </c>
      <c r="O712" s="161" t="str">
        <f ca="1">IF(raw_exchange_data!$A711="","",OFFSET(raw_exchange_data!$A711,0,MATCH(O$2,raw_exchange_data!$1:$1,0)-1))</f>
        <v/>
      </c>
      <c r="P712" s="161" t="str">
        <f ca="1">IF(raw_exchange_data!$A711="","",OFFSET(raw_exchange_data!$A711,0,MATCH(P$2,raw_exchange_data!$1:$1,0)-1))</f>
        <v/>
      </c>
      <c r="Q712" s="161" t="str">
        <f ca="1">IF(raw_exchange_data!$A711="","",TEXT(OFFSET(raw_exchange_data!$A711,0,MATCH(Q$2,raw_exchange_data!$1:$1,0)-1),""))</f>
        <v/>
      </c>
      <c r="R712" s="162" t="str">
        <f ca="1">IF(raw_exchange_data!$A711="","",OFFSET(raw_exchange_data!$A711,0,MATCH(R$2,raw_exchange_data!$1:$1,0)-1))</f>
        <v/>
      </c>
      <c r="S712" s="190" t="str">
        <f ca="1">IF(raw_exchange_data!$A711="","",OFFSET(raw_exchange_data!$A711,0,MATCH(S$2,raw_exchange_data!$1:$1,0)-1))</f>
        <v/>
      </c>
      <c r="W712" t="str">
        <f t="shared" si="56"/>
        <v/>
      </c>
      <c r="X712" t="str">
        <f t="shared" si="57"/>
        <v/>
      </c>
      <c r="Y712" s="42" t="str">
        <f t="shared" si="58"/>
        <v/>
      </c>
      <c r="Z712" s="42" t="str">
        <f t="shared" si="59"/>
        <v/>
      </c>
    </row>
    <row r="713" spans="14:26" x14ac:dyDescent="0.25">
      <c r="N713" s="161" t="str">
        <f ca="1">IF(raw_exchange_data!$A712="","",OFFSET(raw_exchange_data!$A712,0,MATCH(N$2,raw_exchange_data!$1:$1,0)-1))</f>
        <v/>
      </c>
      <c r="O713" s="161" t="str">
        <f ca="1">IF(raw_exchange_data!$A712="","",OFFSET(raw_exchange_data!$A712,0,MATCH(O$2,raw_exchange_data!$1:$1,0)-1))</f>
        <v/>
      </c>
      <c r="P713" s="161" t="str">
        <f ca="1">IF(raw_exchange_data!$A712="","",OFFSET(raw_exchange_data!$A712,0,MATCH(P$2,raw_exchange_data!$1:$1,0)-1))</f>
        <v/>
      </c>
      <c r="Q713" s="161" t="str">
        <f ca="1">IF(raw_exchange_data!$A712="","",TEXT(OFFSET(raw_exchange_data!$A712,0,MATCH(Q$2,raw_exchange_data!$1:$1,0)-1),""))</f>
        <v/>
      </c>
      <c r="R713" s="162" t="str">
        <f ca="1">IF(raw_exchange_data!$A712="","",OFFSET(raw_exchange_data!$A712,0,MATCH(R$2,raw_exchange_data!$1:$1,0)-1))</f>
        <v/>
      </c>
      <c r="S713" s="190" t="str">
        <f ca="1">IF(raw_exchange_data!$A712="","",OFFSET(raw_exchange_data!$A712,0,MATCH(S$2,raw_exchange_data!$1:$1,0)-1))</f>
        <v/>
      </c>
      <c r="W713" t="str">
        <f t="shared" si="56"/>
        <v/>
      </c>
      <c r="X713" t="str">
        <f t="shared" si="57"/>
        <v/>
      </c>
      <c r="Y713" s="42" t="str">
        <f t="shared" si="58"/>
        <v/>
      </c>
      <c r="Z713" s="42" t="str">
        <f t="shared" si="59"/>
        <v/>
      </c>
    </row>
    <row r="714" spans="14:26" x14ac:dyDescent="0.25">
      <c r="N714" s="161" t="str">
        <f ca="1">IF(raw_exchange_data!$A713="","",OFFSET(raw_exchange_data!$A713,0,MATCH(N$2,raw_exchange_data!$1:$1,0)-1))</f>
        <v/>
      </c>
      <c r="O714" s="161" t="str">
        <f ca="1">IF(raw_exchange_data!$A713="","",OFFSET(raw_exchange_data!$A713,0,MATCH(O$2,raw_exchange_data!$1:$1,0)-1))</f>
        <v/>
      </c>
      <c r="P714" s="161" t="str">
        <f ca="1">IF(raw_exchange_data!$A713="","",OFFSET(raw_exchange_data!$A713,0,MATCH(P$2,raw_exchange_data!$1:$1,0)-1))</f>
        <v/>
      </c>
      <c r="Q714" s="161" t="str">
        <f ca="1">IF(raw_exchange_data!$A713="","",TEXT(OFFSET(raw_exchange_data!$A713,0,MATCH(Q$2,raw_exchange_data!$1:$1,0)-1),""))</f>
        <v/>
      </c>
      <c r="R714" s="162" t="str">
        <f ca="1">IF(raw_exchange_data!$A713="","",OFFSET(raw_exchange_data!$A713,0,MATCH(R$2,raw_exchange_data!$1:$1,0)-1))</f>
        <v/>
      </c>
      <c r="S714" s="190" t="str">
        <f ca="1">IF(raw_exchange_data!$A713="","",OFFSET(raw_exchange_data!$A713,0,MATCH(S$2,raw_exchange_data!$1:$1,0)-1))</f>
        <v/>
      </c>
      <c r="W714" t="str">
        <f t="shared" si="56"/>
        <v/>
      </c>
      <c r="X714" t="str">
        <f t="shared" si="57"/>
        <v/>
      </c>
      <c r="Y714" s="42" t="str">
        <f t="shared" si="58"/>
        <v/>
      </c>
      <c r="Z714" s="42" t="str">
        <f t="shared" si="59"/>
        <v/>
      </c>
    </row>
    <row r="715" spans="14:26" x14ac:dyDescent="0.25">
      <c r="N715" s="161" t="str">
        <f ca="1">IF(raw_exchange_data!$A714="","",OFFSET(raw_exchange_data!$A714,0,MATCH(N$2,raw_exchange_data!$1:$1,0)-1))</f>
        <v/>
      </c>
      <c r="O715" s="161" t="str">
        <f ca="1">IF(raw_exchange_data!$A714="","",OFFSET(raw_exchange_data!$A714,0,MATCH(O$2,raw_exchange_data!$1:$1,0)-1))</f>
        <v/>
      </c>
      <c r="P715" s="161" t="str">
        <f ca="1">IF(raw_exchange_data!$A714="","",OFFSET(raw_exchange_data!$A714,0,MATCH(P$2,raw_exchange_data!$1:$1,0)-1))</f>
        <v/>
      </c>
      <c r="Q715" s="161" t="str">
        <f ca="1">IF(raw_exchange_data!$A714="","",TEXT(OFFSET(raw_exchange_data!$A714,0,MATCH(Q$2,raw_exchange_data!$1:$1,0)-1),""))</f>
        <v/>
      </c>
      <c r="R715" s="162" t="str">
        <f ca="1">IF(raw_exchange_data!$A714="","",OFFSET(raw_exchange_data!$A714,0,MATCH(R$2,raw_exchange_data!$1:$1,0)-1))</f>
        <v/>
      </c>
      <c r="S715" s="190" t="str">
        <f ca="1">IF(raw_exchange_data!$A714="","",OFFSET(raw_exchange_data!$A714,0,MATCH(S$2,raw_exchange_data!$1:$1,0)-1))</f>
        <v/>
      </c>
      <c r="W715" t="str">
        <f t="shared" si="56"/>
        <v/>
      </c>
      <c r="X715" t="str">
        <f t="shared" si="57"/>
        <v/>
      </c>
      <c r="Y715" s="42" t="str">
        <f t="shared" si="58"/>
        <v/>
      </c>
      <c r="Z715" s="42" t="str">
        <f t="shared" si="59"/>
        <v/>
      </c>
    </row>
    <row r="716" spans="14:26" x14ac:dyDescent="0.25">
      <c r="N716" s="161" t="str">
        <f ca="1">IF(raw_exchange_data!$A715="","",OFFSET(raw_exchange_data!$A715,0,MATCH(N$2,raw_exchange_data!$1:$1,0)-1))</f>
        <v/>
      </c>
      <c r="O716" s="161" t="str">
        <f ca="1">IF(raw_exchange_data!$A715="","",OFFSET(raw_exchange_data!$A715,0,MATCH(O$2,raw_exchange_data!$1:$1,0)-1))</f>
        <v/>
      </c>
      <c r="P716" s="161" t="str">
        <f ca="1">IF(raw_exchange_data!$A715="","",OFFSET(raw_exchange_data!$A715,0,MATCH(P$2,raw_exchange_data!$1:$1,0)-1))</f>
        <v/>
      </c>
      <c r="Q716" s="161" t="str">
        <f ca="1">IF(raw_exchange_data!$A715="","",TEXT(OFFSET(raw_exchange_data!$A715,0,MATCH(Q$2,raw_exchange_data!$1:$1,0)-1),""))</f>
        <v/>
      </c>
      <c r="R716" s="162" t="str">
        <f ca="1">IF(raw_exchange_data!$A715="","",OFFSET(raw_exchange_data!$A715,0,MATCH(R$2,raw_exchange_data!$1:$1,0)-1))</f>
        <v/>
      </c>
      <c r="S716" s="190" t="str">
        <f ca="1">IF(raw_exchange_data!$A715="","",OFFSET(raw_exchange_data!$A715,0,MATCH(S$2,raw_exchange_data!$1:$1,0)-1))</f>
        <v/>
      </c>
      <c r="W716" t="str">
        <f t="shared" si="56"/>
        <v/>
      </c>
      <c r="X716" t="str">
        <f t="shared" si="57"/>
        <v/>
      </c>
      <c r="Y716" s="42" t="str">
        <f t="shared" si="58"/>
        <v/>
      </c>
      <c r="Z716" s="42" t="str">
        <f t="shared" si="59"/>
        <v/>
      </c>
    </row>
    <row r="717" spans="14:26" x14ac:dyDescent="0.25">
      <c r="N717" s="161" t="str">
        <f ca="1">IF(raw_exchange_data!$A716="","",OFFSET(raw_exchange_data!$A716,0,MATCH(N$2,raw_exchange_data!$1:$1,0)-1))</f>
        <v/>
      </c>
      <c r="O717" s="161" t="str">
        <f ca="1">IF(raw_exchange_data!$A716="","",OFFSET(raw_exchange_data!$A716,0,MATCH(O$2,raw_exchange_data!$1:$1,0)-1))</f>
        <v/>
      </c>
      <c r="P717" s="161" t="str">
        <f ca="1">IF(raw_exchange_data!$A716="","",OFFSET(raw_exchange_data!$A716,0,MATCH(P$2,raw_exchange_data!$1:$1,0)-1))</f>
        <v/>
      </c>
      <c r="Q717" s="161" t="str">
        <f ca="1">IF(raw_exchange_data!$A716="","",TEXT(OFFSET(raw_exchange_data!$A716,0,MATCH(Q$2,raw_exchange_data!$1:$1,0)-1),""))</f>
        <v/>
      </c>
      <c r="R717" s="162" t="str">
        <f ca="1">IF(raw_exchange_data!$A716="","",OFFSET(raw_exchange_data!$A716,0,MATCH(R$2,raw_exchange_data!$1:$1,0)-1))</f>
        <v/>
      </c>
      <c r="S717" s="190" t="str">
        <f ca="1">IF(raw_exchange_data!$A716="","",OFFSET(raw_exchange_data!$A716,0,MATCH(S$2,raw_exchange_data!$1:$1,0)-1))</f>
        <v/>
      </c>
      <c r="W717" t="str">
        <f t="shared" si="56"/>
        <v/>
      </c>
      <c r="X717" t="str">
        <f t="shared" si="57"/>
        <v/>
      </c>
      <c r="Y717" s="42" t="str">
        <f t="shared" si="58"/>
        <v/>
      </c>
      <c r="Z717" s="42" t="str">
        <f t="shared" si="59"/>
        <v/>
      </c>
    </row>
    <row r="718" spans="14:26" x14ac:dyDescent="0.25">
      <c r="N718" s="161" t="str">
        <f ca="1">IF(raw_exchange_data!$A717="","",OFFSET(raw_exchange_data!$A717,0,MATCH(N$2,raw_exchange_data!$1:$1,0)-1))</f>
        <v/>
      </c>
      <c r="O718" s="161" t="str">
        <f ca="1">IF(raw_exchange_data!$A717="","",OFFSET(raw_exchange_data!$A717,0,MATCH(O$2,raw_exchange_data!$1:$1,0)-1))</f>
        <v/>
      </c>
      <c r="P718" s="161" t="str">
        <f ca="1">IF(raw_exchange_data!$A717="","",OFFSET(raw_exchange_data!$A717,0,MATCH(P$2,raw_exchange_data!$1:$1,0)-1))</f>
        <v/>
      </c>
      <c r="Q718" s="161" t="str">
        <f ca="1">IF(raw_exchange_data!$A717="","",TEXT(OFFSET(raw_exchange_data!$A717,0,MATCH(Q$2,raw_exchange_data!$1:$1,0)-1),""))</f>
        <v/>
      </c>
      <c r="R718" s="162" t="str">
        <f ca="1">IF(raw_exchange_data!$A717="","",OFFSET(raw_exchange_data!$A717,0,MATCH(R$2,raw_exchange_data!$1:$1,0)-1))</f>
        <v/>
      </c>
      <c r="S718" s="190" t="str">
        <f ca="1">IF(raw_exchange_data!$A717="","",OFFSET(raw_exchange_data!$A717,0,MATCH(S$2,raw_exchange_data!$1:$1,0)-1))</f>
        <v/>
      </c>
      <c r="W718" t="str">
        <f t="shared" si="56"/>
        <v/>
      </c>
      <c r="X718" t="str">
        <f t="shared" si="57"/>
        <v/>
      </c>
      <c r="Y718" s="42" t="str">
        <f t="shared" si="58"/>
        <v/>
      </c>
      <c r="Z718" s="42" t="str">
        <f t="shared" si="59"/>
        <v/>
      </c>
    </row>
    <row r="719" spans="14:26" x14ac:dyDescent="0.25">
      <c r="N719" s="161" t="str">
        <f ca="1">IF(raw_exchange_data!$A718="","",OFFSET(raw_exchange_data!$A718,0,MATCH(N$2,raw_exchange_data!$1:$1,0)-1))</f>
        <v/>
      </c>
      <c r="O719" s="161" t="str">
        <f ca="1">IF(raw_exchange_data!$A718="","",OFFSET(raw_exchange_data!$A718,0,MATCH(O$2,raw_exchange_data!$1:$1,0)-1))</f>
        <v/>
      </c>
      <c r="P719" s="161" t="str">
        <f ca="1">IF(raw_exchange_data!$A718="","",OFFSET(raw_exchange_data!$A718,0,MATCH(P$2,raw_exchange_data!$1:$1,0)-1))</f>
        <v/>
      </c>
      <c r="Q719" s="161" t="str">
        <f ca="1">IF(raw_exchange_data!$A718="","",TEXT(OFFSET(raw_exchange_data!$A718,0,MATCH(Q$2,raw_exchange_data!$1:$1,0)-1),""))</f>
        <v/>
      </c>
      <c r="R719" s="162" t="str">
        <f ca="1">IF(raw_exchange_data!$A718="","",OFFSET(raw_exchange_data!$A718,0,MATCH(R$2,raw_exchange_data!$1:$1,0)-1))</f>
        <v/>
      </c>
      <c r="S719" s="190" t="str">
        <f ca="1">IF(raw_exchange_data!$A718="","",OFFSET(raw_exchange_data!$A718,0,MATCH(S$2,raw_exchange_data!$1:$1,0)-1))</f>
        <v/>
      </c>
      <c r="W719" t="str">
        <f t="shared" si="56"/>
        <v/>
      </c>
      <c r="X719" t="str">
        <f t="shared" si="57"/>
        <v/>
      </c>
      <c r="Y719" s="42" t="str">
        <f t="shared" si="58"/>
        <v/>
      </c>
      <c r="Z719" s="42" t="str">
        <f t="shared" si="59"/>
        <v/>
      </c>
    </row>
    <row r="720" spans="14:26" x14ac:dyDescent="0.25">
      <c r="N720" s="161" t="str">
        <f ca="1">IF(raw_exchange_data!$A719="","",OFFSET(raw_exchange_data!$A719,0,MATCH(N$2,raw_exchange_data!$1:$1,0)-1))</f>
        <v/>
      </c>
      <c r="O720" s="161" t="str">
        <f ca="1">IF(raw_exchange_data!$A719="","",OFFSET(raw_exchange_data!$A719,0,MATCH(O$2,raw_exchange_data!$1:$1,0)-1))</f>
        <v/>
      </c>
      <c r="P720" s="161" t="str">
        <f ca="1">IF(raw_exchange_data!$A719="","",OFFSET(raw_exchange_data!$A719,0,MATCH(P$2,raw_exchange_data!$1:$1,0)-1))</f>
        <v/>
      </c>
      <c r="Q720" s="161" t="str">
        <f ca="1">IF(raw_exchange_data!$A719="","",TEXT(OFFSET(raw_exchange_data!$A719,0,MATCH(Q$2,raw_exchange_data!$1:$1,0)-1),""))</f>
        <v/>
      </c>
      <c r="R720" s="162" t="str">
        <f ca="1">IF(raw_exchange_data!$A719="","",OFFSET(raw_exchange_data!$A719,0,MATCH(R$2,raw_exchange_data!$1:$1,0)-1))</f>
        <v/>
      </c>
      <c r="S720" s="190" t="str">
        <f ca="1">IF(raw_exchange_data!$A719="","",OFFSET(raw_exchange_data!$A719,0,MATCH(S$2,raw_exchange_data!$1:$1,0)-1))</f>
        <v/>
      </c>
      <c r="W720" t="str">
        <f t="shared" si="56"/>
        <v/>
      </c>
      <c r="X720" t="str">
        <f t="shared" si="57"/>
        <v/>
      </c>
      <c r="Y720" s="42" t="str">
        <f t="shared" si="58"/>
        <v/>
      </c>
      <c r="Z720" s="42" t="str">
        <f t="shared" si="59"/>
        <v/>
      </c>
    </row>
    <row r="721" spans="14:26" x14ac:dyDescent="0.25">
      <c r="N721" s="161" t="str">
        <f ca="1">IF(raw_exchange_data!$A720="","",OFFSET(raw_exchange_data!$A720,0,MATCH(N$2,raw_exchange_data!$1:$1,0)-1))</f>
        <v/>
      </c>
      <c r="O721" s="161" t="str">
        <f ca="1">IF(raw_exchange_data!$A720="","",OFFSET(raw_exchange_data!$A720,0,MATCH(O$2,raw_exchange_data!$1:$1,0)-1))</f>
        <v/>
      </c>
      <c r="P721" s="161" t="str">
        <f ca="1">IF(raw_exchange_data!$A720="","",OFFSET(raw_exchange_data!$A720,0,MATCH(P$2,raw_exchange_data!$1:$1,0)-1))</f>
        <v/>
      </c>
      <c r="Q721" s="161" t="str">
        <f ca="1">IF(raw_exchange_data!$A720="","",TEXT(OFFSET(raw_exchange_data!$A720,0,MATCH(Q$2,raw_exchange_data!$1:$1,0)-1),""))</f>
        <v/>
      </c>
      <c r="R721" s="162" t="str">
        <f ca="1">IF(raw_exchange_data!$A720="","",OFFSET(raw_exchange_data!$A720,0,MATCH(R$2,raw_exchange_data!$1:$1,0)-1))</f>
        <v/>
      </c>
      <c r="S721" s="190" t="str">
        <f ca="1">IF(raw_exchange_data!$A720="","",OFFSET(raw_exchange_data!$A720,0,MATCH(S$2,raw_exchange_data!$1:$1,0)-1))</f>
        <v/>
      </c>
      <c r="W721" t="str">
        <f t="shared" si="56"/>
        <v/>
      </c>
      <c r="X721" t="str">
        <f t="shared" si="57"/>
        <v/>
      </c>
      <c r="Y721" s="42" t="str">
        <f t="shared" si="58"/>
        <v/>
      </c>
      <c r="Z721" s="42" t="str">
        <f t="shared" si="59"/>
        <v/>
      </c>
    </row>
    <row r="722" spans="14:26" x14ac:dyDescent="0.25">
      <c r="N722" s="161" t="str">
        <f ca="1">IF(raw_exchange_data!$A721="","",OFFSET(raw_exchange_data!$A721,0,MATCH(N$2,raw_exchange_data!$1:$1,0)-1))</f>
        <v/>
      </c>
      <c r="O722" s="161" t="str">
        <f ca="1">IF(raw_exchange_data!$A721="","",OFFSET(raw_exchange_data!$A721,0,MATCH(O$2,raw_exchange_data!$1:$1,0)-1))</f>
        <v/>
      </c>
      <c r="P722" s="161" t="str">
        <f ca="1">IF(raw_exchange_data!$A721="","",OFFSET(raw_exchange_data!$A721,0,MATCH(P$2,raw_exchange_data!$1:$1,0)-1))</f>
        <v/>
      </c>
      <c r="Q722" s="161" t="str">
        <f ca="1">IF(raw_exchange_data!$A721="","",TEXT(OFFSET(raw_exchange_data!$A721,0,MATCH(Q$2,raw_exchange_data!$1:$1,0)-1),""))</f>
        <v/>
      </c>
      <c r="R722" s="162" t="str">
        <f ca="1">IF(raw_exchange_data!$A721="","",OFFSET(raw_exchange_data!$A721,0,MATCH(R$2,raw_exchange_data!$1:$1,0)-1))</f>
        <v/>
      </c>
      <c r="S722" s="190" t="str">
        <f ca="1">IF(raw_exchange_data!$A721="","",OFFSET(raw_exchange_data!$A721,0,MATCH(S$2,raw_exchange_data!$1:$1,0)-1))</f>
        <v/>
      </c>
      <c r="W722" t="str">
        <f t="shared" si="56"/>
        <v/>
      </c>
      <c r="X722" t="str">
        <f t="shared" si="57"/>
        <v/>
      </c>
      <c r="Y722" s="42" t="str">
        <f t="shared" si="58"/>
        <v/>
      </c>
      <c r="Z722" s="42" t="str">
        <f t="shared" si="59"/>
        <v/>
      </c>
    </row>
    <row r="723" spans="14:26" x14ac:dyDescent="0.25">
      <c r="N723" s="161" t="str">
        <f ca="1">IF(raw_exchange_data!$A722="","",OFFSET(raw_exchange_data!$A722,0,MATCH(N$2,raw_exchange_data!$1:$1,0)-1))</f>
        <v/>
      </c>
      <c r="O723" s="161" t="str">
        <f ca="1">IF(raw_exchange_data!$A722="","",OFFSET(raw_exchange_data!$A722,0,MATCH(O$2,raw_exchange_data!$1:$1,0)-1))</f>
        <v/>
      </c>
      <c r="P723" s="161" t="str">
        <f ca="1">IF(raw_exchange_data!$A722="","",OFFSET(raw_exchange_data!$A722,0,MATCH(P$2,raw_exchange_data!$1:$1,0)-1))</f>
        <v/>
      </c>
      <c r="Q723" s="161" t="str">
        <f ca="1">IF(raw_exchange_data!$A722="","",TEXT(OFFSET(raw_exchange_data!$A722,0,MATCH(Q$2,raw_exchange_data!$1:$1,0)-1),""))</f>
        <v/>
      </c>
      <c r="R723" s="162" t="str">
        <f ca="1">IF(raw_exchange_data!$A722="","",OFFSET(raw_exchange_data!$A722,0,MATCH(R$2,raw_exchange_data!$1:$1,0)-1))</f>
        <v/>
      </c>
      <c r="S723" s="190" t="str">
        <f ca="1">IF(raw_exchange_data!$A722="","",OFFSET(raw_exchange_data!$A722,0,MATCH(S$2,raw_exchange_data!$1:$1,0)-1))</f>
        <v/>
      </c>
      <c r="W723" t="str">
        <f t="shared" si="56"/>
        <v/>
      </c>
      <c r="X723" t="str">
        <f t="shared" si="57"/>
        <v/>
      </c>
      <c r="Y723" s="42" t="str">
        <f t="shared" si="58"/>
        <v/>
      </c>
      <c r="Z723" s="42" t="str">
        <f t="shared" si="59"/>
        <v/>
      </c>
    </row>
    <row r="724" spans="14:26" x14ac:dyDescent="0.25">
      <c r="N724" s="161" t="str">
        <f ca="1">IF(raw_exchange_data!$A723="","",OFFSET(raw_exchange_data!$A723,0,MATCH(N$2,raw_exchange_data!$1:$1,0)-1))</f>
        <v/>
      </c>
      <c r="O724" s="161" t="str">
        <f ca="1">IF(raw_exchange_data!$A723="","",OFFSET(raw_exchange_data!$A723,0,MATCH(O$2,raw_exchange_data!$1:$1,0)-1))</f>
        <v/>
      </c>
      <c r="P724" s="161" t="str">
        <f ca="1">IF(raw_exchange_data!$A723="","",OFFSET(raw_exchange_data!$A723,0,MATCH(P$2,raw_exchange_data!$1:$1,0)-1))</f>
        <v/>
      </c>
      <c r="Q724" s="161" t="str">
        <f ca="1">IF(raw_exchange_data!$A723="","",TEXT(OFFSET(raw_exchange_data!$A723,0,MATCH(Q$2,raw_exchange_data!$1:$1,0)-1),""))</f>
        <v/>
      </c>
      <c r="R724" s="162" t="str">
        <f ca="1">IF(raw_exchange_data!$A723="","",OFFSET(raw_exchange_data!$A723,0,MATCH(R$2,raw_exchange_data!$1:$1,0)-1))</f>
        <v/>
      </c>
      <c r="S724" s="190" t="str">
        <f ca="1">IF(raw_exchange_data!$A723="","",OFFSET(raw_exchange_data!$A723,0,MATCH(S$2,raw_exchange_data!$1:$1,0)-1))</f>
        <v/>
      </c>
      <c r="W724" t="str">
        <f t="shared" si="56"/>
        <v/>
      </c>
      <c r="X724" t="str">
        <f t="shared" si="57"/>
        <v/>
      </c>
      <c r="Y724" s="42" t="str">
        <f t="shared" si="58"/>
        <v/>
      </c>
      <c r="Z724" s="42" t="str">
        <f t="shared" si="59"/>
        <v/>
      </c>
    </row>
    <row r="725" spans="14:26" x14ac:dyDescent="0.25">
      <c r="N725" s="161" t="str">
        <f ca="1">IF(raw_exchange_data!$A724="","",OFFSET(raw_exchange_data!$A724,0,MATCH(N$2,raw_exchange_data!$1:$1,0)-1))</f>
        <v/>
      </c>
      <c r="O725" s="161" t="str">
        <f ca="1">IF(raw_exchange_data!$A724="","",OFFSET(raw_exchange_data!$A724,0,MATCH(O$2,raw_exchange_data!$1:$1,0)-1))</f>
        <v/>
      </c>
      <c r="P725" s="161" t="str">
        <f ca="1">IF(raw_exchange_data!$A724="","",OFFSET(raw_exchange_data!$A724,0,MATCH(P$2,raw_exchange_data!$1:$1,0)-1))</f>
        <v/>
      </c>
      <c r="Q725" s="161" t="str">
        <f ca="1">IF(raw_exchange_data!$A724="","",TEXT(OFFSET(raw_exchange_data!$A724,0,MATCH(Q$2,raw_exchange_data!$1:$1,0)-1),""))</f>
        <v/>
      </c>
      <c r="R725" s="162" t="str">
        <f ca="1">IF(raw_exchange_data!$A724="","",OFFSET(raw_exchange_data!$A724,0,MATCH(R$2,raw_exchange_data!$1:$1,0)-1))</f>
        <v/>
      </c>
      <c r="S725" s="190" t="str">
        <f ca="1">IF(raw_exchange_data!$A724="","",OFFSET(raw_exchange_data!$A724,0,MATCH(S$2,raw_exchange_data!$1:$1,0)-1))</f>
        <v/>
      </c>
      <c r="W725" t="str">
        <f t="shared" si="56"/>
        <v/>
      </c>
      <c r="X725" t="str">
        <f t="shared" si="57"/>
        <v/>
      </c>
      <c r="Y725" s="42" t="str">
        <f t="shared" si="58"/>
        <v/>
      </c>
      <c r="Z725" s="42" t="str">
        <f t="shared" si="59"/>
        <v/>
      </c>
    </row>
    <row r="726" spans="14:26" x14ac:dyDescent="0.25">
      <c r="N726" s="161" t="str">
        <f ca="1">IF(raw_exchange_data!$A725="","",OFFSET(raw_exchange_data!$A725,0,MATCH(N$2,raw_exchange_data!$1:$1,0)-1))</f>
        <v/>
      </c>
      <c r="O726" s="161" t="str">
        <f ca="1">IF(raw_exchange_data!$A725="","",OFFSET(raw_exchange_data!$A725,0,MATCH(O$2,raw_exchange_data!$1:$1,0)-1))</f>
        <v/>
      </c>
      <c r="P726" s="161" t="str">
        <f ca="1">IF(raw_exchange_data!$A725="","",OFFSET(raw_exchange_data!$A725,0,MATCH(P$2,raw_exchange_data!$1:$1,0)-1))</f>
        <v/>
      </c>
      <c r="Q726" s="161" t="str">
        <f ca="1">IF(raw_exchange_data!$A725="","",TEXT(OFFSET(raw_exchange_data!$A725,0,MATCH(Q$2,raw_exchange_data!$1:$1,0)-1),""))</f>
        <v/>
      </c>
      <c r="R726" s="162" t="str">
        <f ca="1">IF(raw_exchange_data!$A725="","",OFFSET(raw_exchange_data!$A725,0,MATCH(R$2,raw_exchange_data!$1:$1,0)-1))</f>
        <v/>
      </c>
      <c r="S726" s="190" t="str">
        <f ca="1">IF(raw_exchange_data!$A725="","",OFFSET(raw_exchange_data!$A725,0,MATCH(S$2,raw_exchange_data!$1:$1,0)-1))</f>
        <v/>
      </c>
      <c r="W726" t="str">
        <f t="shared" si="56"/>
        <v/>
      </c>
      <c r="X726" t="str">
        <f t="shared" si="57"/>
        <v/>
      </c>
      <c r="Y726" s="42" t="str">
        <f t="shared" si="58"/>
        <v/>
      </c>
      <c r="Z726" s="42" t="str">
        <f t="shared" si="59"/>
        <v/>
      </c>
    </row>
    <row r="727" spans="14:26" x14ac:dyDescent="0.25">
      <c r="N727" s="161" t="str">
        <f ca="1">IF(raw_exchange_data!$A726="","",OFFSET(raw_exchange_data!$A726,0,MATCH(N$2,raw_exchange_data!$1:$1,0)-1))</f>
        <v/>
      </c>
      <c r="O727" s="161" t="str">
        <f ca="1">IF(raw_exchange_data!$A726="","",OFFSET(raw_exchange_data!$A726,0,MATCH(O$2,raw_exchange_data!$1:$1,0)-1))</f>
        <v/>
      </c>
      <c r="P727" s="161" t="str">
        <f ca="1">IF(raw_exchange_data!$A726="","",OFFSET(raw_exchange_data!$A726,0,MATCH(P$2,raw_exchange_data!$1:$1,0)-1))</f>
        <v/>
      </c>
      <c r="Q727" s="161" t="str">
        <f ca="1">IF(raw_exchange_data!$A726="","",TEXT(OFFSET(raw_exchange_data!$A726,0,MATCH(Q$2,raw_exchange_data!$1:$1,0)-1),""))</f>
        <v/>
      </c>
      <c r="R727" s="162" t="str">
        <f ca="1">IF(raw_exchange_data!$A726="","",OFFSET(raw_exchange_data!$A726,0,MATCH(R$2,raw_exchange_data!$1:$1,0)-1))</f>
        <v/>
      </c>
      <c r="S727" s="190" t="str">
        <f ca="1">IF(raw_exchange_data!$A726="","",OFFSET(raw_exchange_data!$A726,0,MATCH(S$2,raw_exchange_data!$1:$1,0)-1))</f>
        <v/>
      </c>
      <c r="W727" t="str">
        <f t="shared" si="56"/>
        <v/>
      </c>
      <c r="X727" t="str">
        <f t="shared" si="57"/>
        <v/>
      </c>
      <c r="Y727" s="42" t="str">
        <f t="shared" si="58"/>
        <v/>
      </c>
      <c r="Z727" s="42" t="str">
        <f t="shared" si="59"/>
        <v/>
      </c>
    </row>
    <row r="728" spans="14:26" x14ac:dyDescent="0.25">
      <c r="N728" s="161" t="str">
        <f ca="1">IF(raw_exchange_data!$A727="","",OFFSET(raw_exchange_data!$A727,0,MATCH(N$2,raw_exchange_data!$1:$1,0)-1))</f>
        <v/>
      </c>
      <c r="O728" s="161" t="str">
        <f ca="1">IF(raw_exchange_data!$A727="","",OFFSET(raw_exchange_data!$A727,0,MATCH(O$2,raw_exchange_data!$1:$1,0)-1))</f>
        <v/>
      </c>
      <c r="P728" s="161" t="str">
        <f ca="1">IF(raw_exchange_data!$A727="","",OFFSET(raw_exchange_data!$A727,0,MATCH(P$2,raw_exchange_data!$1:$1,0)-1))</f>
        <v/>
      </c>
      <c r="Q728" s="161" t="str">
        <f ca="1">IF(raw_exchange_data!$A727="","",TEXT(OFFSET(raw_exchange_data!$A727,0,MATCH(Q$2,raw_exchange_data!$1:$1,0)-1),""))</f>
        <v/>
      </c>
      <c r="R728" s="162" t="str">
        <f ca="1">IF(raw_exchange_data!$A727="","",OFFSET(raw_exchange_data!$A727,0,MATCH(R$2,raw_exchange_data!$1:$1,0)-1))</f>
        <v/>
      </c>
      <c r="S728" s="190" t="str">
        <f ca="1">IF(raw_exchange_data!$A727="","",OFFSET(raw_exchange_data!$A727,0,MATCH(S$2,raw_exchange_data!$1:$1,0)-1))</f>
        <v/>
      </c>
      <c r="W728" t="str">
        <f t="shared" si="56"/>
        <v/>
      </c>
      <c r="X728" t="str">
        <f t="shared" si="57"/>
        <v/>
      </c>
      <c r="Y728" s="42" t="str">
        <f t="shared" si="58"/>
        <v/>
      </c>
      <c r="Z728" s="42" t="str">
        <f t="shared" si="59"/>
        <v/>
      </c>
    </row>
    <row r="729" spans="14:26" x14ac:dyDescent="0.25">
      <c r="N729" s="161" t="str">
        <f ca="1">IF(raw_exchange_data!$A728="","",OFFSET(raw_exchange_data!$A728,0,MATCH(N$2,raw_exchange_data!$1:$1,0)-1))</f>
        <v/>
      </c>
      <c r="O729" s="161" t="str">
        <f ca="1">IF(raw_exchange_data!$A728="","",OFFSET(raw_exchange_data!$A728,0,MATCH(O$2,raw_exchange_data!$1:$1,0)-1))</f>
        <v/>
      </c>
      <c r="P729" s="161" t="str">
        <f ca="1">IF(raw_exchange_data!$A728="","",OFFSET(raw_exchange_data!$A728,0,MATCH(P$2,raw_exchange_data!$1:$1,0)-1))</f>
        <v/>
      </c>
      <c r="Q729" s="161" t="str">
        <f ca="1">IF(raw_exchange_data!$A728="","",TEXT(OFFSET(raw_exchange_data!$A728,0,MATCH(Q$2,raw_exchange_data!$1:$1,0)-1),""))</f>
        <v/>
      </c>
      <c r="R729" s="162" t="str">
        <f ca="1">IF(raw_exchange_data!$A728="","",OFFSET(raw_exchange_data!$A728,0,MATCH(R$2,raw_exchange_data!$1:$1,0)-1))</f>
        <v/>
      </c>
      <c r="S729" s="190" t="str">
        <f ca="1">IF(raw_exchange_data!$A728="","",OFFSET(raw_exchange_data!$A728,0,MATCH(S$2,raw_exchange_data!$1:$1,0)-1))</f>
        <v/>
      </c>
      <c r="W729" t="str">
        <f t="shared" si="56"/>
        <v/>
      </c>
      <c r="X729" t="str">
        <f t="shared" si="57"/>
        <v/>
      </c>
      <c r="Y729" s="42" t="str">
        <f t="shared" si="58"/>
        <v/>
      </c>
      <c r="Z729" s="42" t="str">
        <f t="shared" si="59"/>
        <v/>
      </c>
    </row>
    <row r="730" spans="14:26" x14ac:dyDescent="0.25">
      <c r="N730" s="161" t="str">
        <f ca="1">IF(raw_exchange_data!$A729="","",OFFSET(raw_exchange_data!$A729,0,MATCH(N$2,raw_exchange_data!$1:$1,0)-1))</f>
        <v/>
      </c>
      <c r="O730" s="161" t="str">
        <f ca="1">IF(raw_exchange_data!$A729="","",OFFSET(raw_exchange_data!$A729,0,MATCH(O$2,raw_exchange_data!$1:$1,0)-1))</f>
        <v/>
      </c>
      <c r="P730" s="161" t="str">
        <f ca="1">IF(raw_exchange_data!$A729="","",OFFSET(raw_exchange_data!$A729,0,MATCH(P$2,raw_exchange_data!$1:$1,0)-1))</f>
        <v/>
      </c>
      <c r="Q730" s="161" t="str">
        <f ca="1">IF(raw_exchange_data!$A729="","",TEXT(OFFSET(raw_exchange_data!$A729,0,MATCH(Q$2,raw_exchange_data!$1:$1,0)-1),""))</f>
        <v/>
      </c>
      <c r="R730" s="162" t="str">
        <f ca="1">IF(raw_exchange_data!$A729="","",OFFSET(raw_exchange_data!$A729,0,MATCH(R$2,raw_exchange_data!$1:$1,0)-1))</f>
        <v/>
      </c>
      <c r="S730" s="190" t="str">
        <f ca="1">IF(raw_exchange_data!$A729="","",OFFSET(raw_exchange_data!$A729,0,MATCH(S$2,raw_exchange_data!$1:$1,0)-1))</f>
        <v/>
      </c>
      <c r="W730" t="str">
        <f t="shared" si="56"/>
        <v/>
      </c>
      <c r="X730" t="str">
        <f t="shared" si="57"/>
        <v/>
      </c>
      <c r="Y730" s="42" t="str">
        <f t="shared" si="58"/>
        <v/>
      </c>
      <c r="Z730" s="42" t="str">
        <f t="shared" si="59"/>
        <v/>
      </c>
    </row>
    <row r="731" spans="14:26" x14ac:dyDescent="0.25">
      <c r="N731" s="161" t="str">
        <f ca="1">IF(raw_exchange_data!$A730="","",OFFSET(raw_exchange_data!$A730,0,MATCH(N$2,raw_exchange_data!$1:$1,0)-1))</f>
        <v/>
      </c>
      <c r="O731" s="161" t="str">
        <f ca="1">IF(raw_exchange_data!$A730="","",OFFSET(raw_exchange_data!$A730,0,MATCH(O$2,raw_exchange_data!$1:$1,0)-1))</f>
        <v/>
      </c>
      <c r="P731" s="161" t="str">
        <f ca="1">IF(raw_exchange_data!$A730="","",OFFSET(raw_exchange_data!$A730,0,MATCH(P$2,raw_exchange_data!$1:$1,0)-1))</f>
        <v/>
      </c>
      <c r="Q731" s="161" t="str">
        <f ca="1">IF(raw_exchange_data!$A730="","",TEXT(OFFSET(raw_exchange_data!$A730,0,MATCH(Q$2,raw_exchange_data!$1:$1,0)-1),""))</f>
        <v/>
      </c>
      <c r="R731" s="162" t="str">
        <f ca="1">IF(raw_exchange_data!$A730="","",OFFSET(raw_exchange_data!$A730,0,MATCH(R$2,raw_exchange_data!$1:$1,0)-1))</f>
        <v/>
      </c>
      <c r="S731" s="190" t="str">
        <f ca="1">IF(raw_exchange_data!$A730="","",OFFSET(raw_exchange_data!$A730,0,MATCH(S$2,raw_exchange_data!$1:$1,0)-1))</f>
        <v/>
      </c>
      <c r="W731" t="str">
        <f t="shared" si="56"/>
        <v/>
      </c>
      <c r="X731" t="str">
        <f t="shared" si="57"/>
        <v/>
      </c>
      <c r="Y731" s="42" t="str">
        <f t="shared" si="58"/>
        <v/>
      </c>
      <c r="Z731" s="42" t="str">
        <f t="shared" si="59"/>
        <v/>
      </c>
    </row>
    <row r="732" spans="14:26" x14ac:dyDescent="0.25">
      <c r="N732" s="161" t="str">
        <f ca="1">IF(raw_exchange_data!$A731="","",OFFSET(raw_exchange_data!$A731,0,MATCH(N$2,raw_exchange_data!$1:$1,0)-1))</f>
        <v/>
      </c>
      <c r="O732" s="161" t="str">
        <f ca="1">IF(raw_exchange_data!$A731="","",OFFSET(raw_exchange_data!$A731,0,MATCH(O$2,raw_exchange_data!$1:$1,0)-1))</f>
        <v/>
      </c>
      <c r="P732" s="161" t="str">
        <f ca="1">IF(raw_exchange_data!$A731="","",OFFSET(raw_exchange_data!$A731,0,MATCH(P$2,raw_exchange_data!$1:$1,0)-1))</f>
        <v/>
      </c>
      <c r="Q732" s="161" t="str">
        <f ca="1">IF(raw_exchange_data!$A731="","",TEXT(OFFSET(raw_exchange_data!$A731,0,MATCH(Q$2,raw_exchange_data!$1:$1,0)-1),""))</f>
        <v/>
      </c>
      <c r="R732" s="162" t="str">
        <f ca="1">IF(raw_exchange_data!$A731="","",OFFSET(raw_exchange_data!$A731,0,MATCH(R$2,raw_exchange_data!$1:$1,0)-1))</f>
        <v/>
      </c>
      <c r="S732" s="190" t="str">
        <f ca="1">IF(raw_exchange_data!$A731="","",OFFSET(raw_exchange_data!$A731,0,MATCH(S$2,raw_exchange_data!$1:$1,0)-1))</f>
        <v/>
      </c>
      <c r="W732" t="str">
        <f t="shared" si="56"/>
        <v/>
      </c>
      <c r="X732" t="str">
        <f t="shared" si="57"/>
        <v/>
      </c>
      <c r="Y732" s="42" t="str">
        <f t="shared" si="58"/>
        <v/>
      </c>
      <c r="Z732" s="42" t="str">
        <f t="shared" si="59"/>
        <v/>
      </c>
    </row>
    <row r="733" spans="14:26" x14ac:dyDescent="0.25">
      <c r="N733" s="161" t="str">
        <f ca="1">IF(raw_exchange_data!$A732="","",OFFSET(raw_exchange_data!$A732,0,MATCH(N$2,raw_exchange_data!$1:$1,0)-1))</f>
        <v/>
      </c>
      <c r="O733" s="161" t="str">
        <f ca="1">IF(raw_exchange_data!$A732="","",OFFSET(raw_exchange_data!$A732,0,MATCH(O$2,raw_exchange_data!$1:$1,0)-1))</f>
        <v/>
      </c>
      <c r="P733" s="161" t="str">
        <f ca="1">IF(raw_exchange_data!$A732="","",OFFSET(raw_exchange_data!$A732,0,MATCH(P$2,raw_exchange_data!$1:$1,0)-1))</f>
        <v/>
      </c>
      <c r="Q733" s="161" t="str">
        <f ca="1">IF(raw_exchange_data!$A732="","",TEXT(OFFSET(raw_exchange_data!$A732,0,MATCH(Q$2,raw_exchange_data!$1:$1,0)-1),""))</f>
        <v/>
      </c>
      <c r="R733" s="162" t="str">
        <f ca="1">IF(raw_exchange_data!$A732="","",OFFSET(raw_exchange_data!$A732,0,MATCH(R$2,raw_exchange_data!$1:$1,0)-1))</f>
        <v/>
      </c>
      <c r="S733" s="190" t="str">
        <f ca="1">IF(raw_exchange_data!$A732="","",OFFSET(raw_exchange_data!$A732,0,MATCH(S$2,raw_exchange_data!$1:$1,0)-1))</f>
        <v/>
      </c>
      <c r="W733" t="str">
        <f t="shared" si="56"/>
        <v/>
      </c>
      <c r="X733" t="str">
        <f t="shared" si="57"/>
        <v/>
      </c>
      <c r="Y733" s="42" t="str">
        <f t="shared" si="58"/>
        <v/>
      </c>
      <c r="Z733" s="42" t="str">
        <f t="shared" si="59"/>
        <v/>
      </c>
    </row>
    <row r="734" spans="14:26" x14ac:dyDescent="0.25">
      <c r="N734" s="161" t="str">
        <f ca="1">IF(raw_exchange_data!$A733="","",OFFSET(raw_exchange_data!$A733,0,MATCH(N$2,raw_exchange_data!$1:$1,0)-1))</f>
        <v/>
      </c>
      <c r="O734" s="161" t="str">
        <f ca="1">IF(raw_exchange_data!$A733="","",OFFSET(raw_exchange_data!$A733,0,MATCH(O$2,raw_exchange_data!$1:$1,0)-1))</f>
        <v/>
      </c>
      <c r="P734" s="161" t="str">
        <f ca="1">IF(raw_exchange_data!$A733="","",OFFSET(raw_exchange_data!$A733,0,MATCH(P$2,raw_exchange_data!$1:$1,0)-1))</f>
        <v/>
      </c>
      <c r="Q734" s="161" t="str">
        <f ca="1">IF(raw_exchange_data!$A733="","",TEXT(OFFSET(raw_exchange_data!$A733,0,MATCH(Q$2,raw_exchange_data!$1:$1,0)-1),""))</f>
        <v/>
      </c>
      <c r="R734" s="162" t="str">
        <f ca="1">IF(raw_exchange_data!$A733="","",OFFSET(raw_exchange_data!$A733,0,MATCH(R$2,raw_exchange_data!$1:$1,0)-1))</f>
        <v/>
      </c>
      <c r="S734" s="190" t="str">
        <f ca="1">IF(raw_exchange_data!$A733="","",OFFSET(raw_exchange_data!$A733,0,MATCH(S$2,raw_exchange_data!$1:$1,0)-1))</f>
        <v/>
      </c>
      <c r="W734" t="str">
        <f t="shared" si="56"/>
        <v/>
      </c>
      <c r="X734" t="str">
        <f t="shared" si="57"/>
        <v/>
      </c>
      <c r="Y734" s="42" t="str">
        <f t="shared" si="58"/>
        <v/>
      </c>
      <c r="Z734" s="42" t="str">
        <f t="shared" si="59"/>
        <v/>
      </c>
    </row>
    <row r="735" spans="14:26" x14ac:dyDescent="0.25">
      <c r="N735" s="161" t="str">
        <f ca="1">IF(raw_exchange_data!$A734="","",OFFSET(raw_exchange_data!$A734,0,MATCH(N$2,raw_exchange_data!$1:$1,0)-1))</f>
        <v/>
      </c>
      <c r="O735" s="161" t="str">
        <f ca="1">IF(raw_exchange_data!$A734="","",OFFSET(raw_exchange_data!$A734,0,MATCH(O$2,raw_exchange_data!$1:$1,0)-1))</f>
        <v/>
      </c>
      <c r="P735" s="161" t="str">
        <f ca="1">IF(raw_exchange_data!$A734="","",OFFSET(raw_exchange_data!$A734,0,MATCH(P$2,raw_exchange_data!$1:$1,0)-1))</f>
        <v/>
      </c>
      <c r="Q735" s="161" t="str">
        <f ca="1">IF(raw_exchange_data!$A734="","",TEXT(OFFSET(raw_exchange_data!$A734,0,MATCH(Q$2,raw_exchange_data!$1:$1,0)-1),""))</f>
        <v/>
      </c>
      <c r="R735" s="162" t="str">
        <f ca="1">IF(raw_exchange_data!$A734="","",OFFSET(raw_exchange_data!$A734,0,MATCH(R$2,raw_exchange_data!$1:$1,0)-1))</f>
        <v/>
      </c>
      <c r="S735" s="190" t="str">
        <f ca="1">IF(raw_exchange_data!$A734="","",OFFSET(raw_exchange_data!$A734,0,MATCH(S$2,raw_exchange_data!$1:$1,0)-1))</f>
        <v/>
      </c>
      <c r="W735" t="str">
        <f t="shared" si="56"/>
        <v/>
      </c>
      <c r="X735" t="str">
        <f t="shared" si="57"/>
        <v/>
      </c>
      <c r="Y735" s="42" t="str">
        <f t="shared" si="58"/>
        <v/>
      </c>
      <c r="Z735" s="42" t="str">
        <f t="shared" si="59"/>
        <v/>
      </c>
    </row>
    <row r="736" spans="14:26" x14ac:dyDescent="0.25">
      <c r="N736" s="161" t="str">
        <f ca="1">IF(raw_exchange_data!$A735="","",OFFSET(raw_exchange_data!$A735,0,MATCH(N$2,raw_exchange_data!$1:$1,0)-1))</f>
        <v/>
      </c>
      <c r="O736" s="161" t="str">
        <f ca="1">IF(raw_exchange_data!$A735="","",OFFSET(raw_exchange_data!$A735,0,MATCH(O$2,raw_exchange_data!$1:$1,0)-1))</f>
        <v/>
      </c>
      <c r="P736" s="161" t="str">
        <f ca="1">IF(raw_exchange_data!$A735="","",OFFSET(raw_exchange_data!$A735,0,MATCH(P$2,raw_exchange_data!$1:$1,0)-1))</f>
        <v/>
      </c>
      <c r="Q736" s="161" t="str">
        <f ca="1">IF(raw_exchange_data!$A735="","",TEXT(OFFSET(raw_exchange_data!$A735,0,MATCH(Q$2,raw_exchange_data!$1:$1,0)-1),""))</f>
        <v/>
      </c>
      <c r="R736" s="162" t="str">
        <f ca="1">IF(raw_exchange_data!$A735="","",OFFSET(raw_exchange_data!$A735,0,MATCH(R$2,raw_exchange_data!$1:$1,0)-1))</f>
        <v/>
      </c>
      <c r="S736" s="190" t="str">
        <f ca="1">IF(raw_exchange_data!$A735="","",OFFSET(raw_exchange_data!$A735,0,MATCH(S$2,raw_exchange_data!$1:$1,0)-1))</f>
        <v/>
      </c>
      <c r="W736" t="str">
        <f t="shared" si="56"/>
        <v/>
      </c>
      <c r="X736" t="str">
        <f t="shared" si="57"/>
        <v/>
      </c>
      <c r="Y736" s="42" t="str">
        <f t="shared" si="58"/>
        <v/>
      </c>
      <c r="Z736" s="42" t="str">
        <f t="shared" si="59"/>
        <v/>
      </c>
    </row>
    <row r="737" spans="23:26" x14ac:dyDescent="0.25">
      <c r="W737" t="str">
        <f t="shared" si="56"/>
        <v/>
      </c>
      <c r="X737" t="str">
        <f t="shared" si="57"/>
        <v/>
      </c>
      <c r="Y737" s="42" t="str">
        <f t="shared" si="58"/>
        <v/>
      </c>
      <c r="Z737" s="42" t="str">
        <f t="shared" si="59"/>
        <v/>
      </c>
    </row>
    <row r="738" spans="23:26" x14ac:dyDescent="0.25">
      <c r="W738" t="str">
        <f t="shared" si="56"/>
        <v/>
      </c>
      <c r="X738" t="str">
        <f t="shared" si="57"/>
        <v/>
      </c>
      <c r="Y738" s="42" t="str">
        <f t="shared" si="58"/>
        <v/>
      </c>
      <c r="Z738" s="42" t="str">
        <f t="shared" si="59"/>
        <v/>
      </c>
    </row>
    <row r="739" spans="23:26" x14ac:dyDescent="0.25">
      <c r="W739" t="str">
        <f t="shared" si="56"/>
        <v/>
      </c>
      <c r="X739" t="str">
        <f t="shared" si="57"/>
        <v/>
      </c>
      <c r="Y739" s="42" t="str">
        <f t="shared" si="58"/>
        <v/>
      </c>
      <c r="Z739" s="42" t="str">
        <f t="shared" si="59"/>
        <v/>
      </c>
    </row>
    <row r="740" spans="23:26" x14ac:dyDescent="0.25">
      <c r="W740" t="str">
        <f t="shared" si="56"/>
        <v/>
      </c>
      <c r="X740" t="str">
        <f t="shared" si="57"/>
        <v/>
      </c>
      <c r="Y740" s="42" t="str">
        <f t="shared" si="58"/>
        <v/>
      </c>
      <c r="Z740" s="42" t="str">
        <f t="shared" si="59"/>
        <v/>
      </c>
    </row>
    <row r="741" spans="23:26" x14ac:dyDescent="0.25">
      <c r="W741" t="str">
        <f t="shared" si="56"/>
        <v/>
      </c>
      <c r="X741" t="str">
        <f t="shared" si="57"/>
        <v/>
      </c>
      <c r="Y741" s="42" t="str">
        <f t="shared" si="58"/>
        <v/>
      </c>
      <c r="Z741" s="42" t="str">
        <f t="shared" si="59"/>
        <v/>
      </c>
    </row>
    <row r="742" spans="23:26" x14ac:dyDescent="0.25">
      <c r="W742" t="str">
        <f t="shared" si="56"/>
        <v/>
      </c>
      <c r="X742" t="str">
        <f t="shared" si="57"/>
        <v/>
      </c>
      <c r="Y742" s="42" t="str">
        <f t="shared" si="58"/>
        <v/>
      </c>
      <c r="Z742" s="42" t="str">
        <f t="shared" si="59"/>
        <v/>
      </c>
    </row>
    <row r="743" spans="23:26" x14ac:dyDescent="0.25">
      <c r="W743" t="str">
        <f t="shared" si="56"/>
        <v/>
      </c>
      <c r="X743" t="str">
        <f t="shared" si="57"/>
        <v/>
      </c>
      <c r="Y743" s="42" t="str">
        <f t="shared" si="58"/>
        <v/>
      </c>
      <c r="Z743" s="42" t="str">
        <f t="shared" si="59"/>
        <v/>
      </c>
    </row>
    <row r="744" spans="23:26" x14ac:dyDescent="0.25">
      <c r="W744" t="str">
        <f t="shared" si="56"/>
        <v/>
      </c>
      <c r="X744" t="str">
        <f t="shared" si="57"/>
        <v/>
      </c>
      <c r="Y744" s="42" t="str">
        <f t="shared" si="58"/>
        <v/>
      </c>
      <c r="Z744" s="42" t="str">
        <f t="shared" si="59"/>
        <v/>
      </c>
    </row>
    <row r="745" spans="23:26" x14ac:dyDescent="0.25">
      <c r="W745" t="str">
        <f t="shared" si="56"/>
        <v/>
      </c>
      <c r="X745" t="str">
        <f t="shared" si="57"/>
        <v/>
      </c>
      <c r="Y745" s="42" t="str">
        <f t="shared" si="58"/>
        <v/>
      </c>
      <c r="Z745" s="42" t="str">
        <f t="shared" si="59"/>
        <v/>
      </c>
    </row>
    <row r="746" spans="23:26" x14ac:dyDescent="0.25">
      <c r="W746" t="str">
        <f t="shared" si="56"/>
        <v/>
      </c>
      <c r="X746" t="str">
        <f t="shared" si="57"/>
        <v/>
      </c>
      <c r="Y746" s="42" t="str">
        <f t="shared" si="58"/>
        <v/>
      </c>
      <c r="Z746" s="42" t="str">
        <f t="shared" si="59"/>
        <v/>
      </c>
    </row>
    <row r="747" spans="23:26" x14ac:dyDescent="0.25">
      <c r="W747" t="str">
        <f t="shared" si="56"/>
        <v/>
      </c>
      <c r="X747" t="str">
        <f t="shared" si="57"/>
        <v/>
      </c>
      <c r="Y747" s="42" t="str">
        <f t="shared" si="58"/>
        <v/>
      </c>
      <c r="Z747" s="42" t="str">
        <f t="shared" si="59"/>
        <v/>
      </c>
    </row>
    <row r="748" spans="23:26" x14ac:dyDescent="0.25">
      <c r="W748" t="str">
        <f t="shared" si="56"/>
        <v/>
      </c>
      <c r="X748" t="str">
        <f t="shared" si="57"/>
        <v/>
      </c>
      <c r="Y748" s="42" t="str">
        <f t="shared" si="58"/>
        <v/>
      </c>
      <c r="Z748" s="42" t="str">
        <f t="shared" si="59"/>
        <v/>
      </c>
    </row>
    <row r="749" spans="23:26" x14ac:dyDescent="0.25">
      <c r="W749" t="str">
        <f t="shared" si="56"/>
        <v/>
      </c>
      <c r="X749" t="str">
        <f t="shared" si="57"/>
        <v/>
      </c>
      <c r="Y749" s="42" t="str">
        <f t="shared" si="58"/>
        <v/>
      </c>
      <c r="Z749" s="42" t="str">
        <f t="shared" si="59"/>
        <v/>
      </c>
    </row>
    <row r="750" spans="23:26" x14ac:dyDescent="0.25">
      <c r="W750" t="str">
        <f t="shared" si="56"/>
        <v/>
      </c>
      <c r="X750" t="str">
        <f t="shared" si="57"/>
        <v/>
      </c>
      <c r="Y750" s="42" t="str">
        <f t="shared" si="58"/>
        <v/>
      </c>
      <c r="Z750" s="42" t="str">
        <f t="shared" si="59"/>
        <v/>
      </c>
    </row>
    <row r="751" spans="23:26" x14ac:dyDescent="0.25">
      <c r="W751" t="str">
        <f t="shared" si="56"/>
        <v/>
      </c>
      <c r="X751" t="str">
        <f t="shared" si="57"/>
        <v/>
      </c>
      <c r="Y751" s="42" t="str">
        <f t="shared" si="58"/>
        <v/>
      </c>
      <c r="Z751" s="42" t="str">
        <f t="shared" si="59"/>
        <v/>
      </c>
    </row>
    <row r="752" spans="23:26" x14ac:dyDescent="0.25">
      <c r="W752" t="str">
        <f t="shared" si="56"/>
        <v/>
      </c>
      <c r="X752" t="str">
        <f t="shared" si="57"/>
        <v/>
      </c>
      <c r="Y752" s="42" t="str">
        <f t="shared" si="58"/>
        <v/>
      </c>
      <c r="Z752" s="42" t="str">
        <f t="shared" si="59"/>
        <v/>
      </c>
    </row>
    <row r="753" spans="23:26" x14ac:dyDescent="0.25">
      <c r="W753" t="str">
        <f t="shared" si="56"/>
        <v/>
      </c>
      <c r="X753" t="str">
        <f t="shared" si="57"/>
        <v/>
      </c>
      <c r="Y753" s="42" t="str">
        <f t="shared" si="58"/>
        <v/>
      </c>
      <c r="Z753" s="42" t="str">
        <f t="shared" si="59"/>
        <v/>
      </c>
    </row>
    <row r="754" spans="23:26" x14ac:dyDescent="0.25">
      <c r="W754" t="str">
        <f t="shared" si="56"/>
        <v/>
      </c>
      <c r="X754" t="str">
        <f t="shared" si="57"/>
        <v/>
      </c>
      <c r="Y754" s="42" t="str">
        <f t="shared" si="58"/>
        <v/>
      </c>
      <c r="Z754" s="42" t="str">
        <f t="shared" si="59"/>
        <v/>
      </c>
    </row>
    <row r="755" spans="23:26" x14ac:dyDescent="0.25">
      <c r="W755" t="str">
        <f t="shared" si="56"/>
        <v/>
      </c>
      <c r="X755" t="str">
        <f t="shared" si="57"/>
        <v/>
      </c>
      <c r="Y755" s="42" t="str">
        <f t="shared" si="58"/>
        <v/>
      </c>
      <c r="Z755" s="42" t="str">
        <f t="shared" si="59"/>
        <v/>
      </c>
    </row>
    <row r="756" spans="23:26" x14ac:dyDescent="0.25">
      <c r="W756" t="str">
        <f t="shared" si="56"/>
        <v/>
      </c>
      <c r="X756" t="str">
        <f t="shared" si="57"/>
        <v/>
      </c>
      <c r="Y756" s="42" t="str">
        <f t="shared" si="58"/>
        <v/>
      </c>
      <c r="Z756" s="42" t="str">
        <f t="shared" si="59"/>
        <v/>
      </c>
    </row>
    <row r="757" spans="23:26" x14ac:dyDescent="0.25">
      <c r="W757" t="str">
        <f t="shared" si="56"/>
        <v/>
      </c>
      <c r="X757" t="str">
        <f t="shared" si="57"/>
        <v/>
      </c>
      <c r="Y757" s="42" t="str">
        <f t="shared" si="58"/>
        <v/>
      </c>
      <c r="Z757" s="42" t="str">
        <f t="shared" si="59"/>
        <v/>
      </c>
    </row>
    <row r="758" spans="23:26" x14ac:dyDescent="0.25">
      <c r="W758" t="str">
        <f t="shared" si="56"/>
        <v/>
      </c>
      <c r="X758" t="str">
        <f t="shared" si="57"/>
        <v/>
      </c>
      <c r="Y758" s="42" t="str">
        <f t="shared" si="58"/>
        <v/>
      </c>
      <c r="Z758" s="42" t="str">
        <f t="shared" si="59"/>
        <v/>
      </c>
    </row>
    <row r="759" spans="23:26" x14ac:dyDescent="0.25">
      <c r="W759" t="str">
        <f t="shared" si="56"/>
        <v/>
      </c>
      <c r="X759" t="str">
        <f t="shared" si="57"/>
        <v/>
      </c>
      <c r="Y759" s="42" t="str">
        <f t="shared" si="58"/>
        <v/>
      </c>
      <c r="Z759" s="42" t="str">
        <f t="shared" si="59"/>
        <v/>
      </c>
    </row>
    <row r="760" spans="23:26" x14ac:dyDescent="0.25">
      <c r="W760" t="str">
        <f t="shared" si="56"/>
        <v/>
      </c>
      <c r="X760" t="str">
        <f t="shared" si="57"/>
        <v/>
      </c>
      <c r="Y760" s="42" t="str">
        <f t="shared" si="58"/>
        <v/>
      </c>
      <c r="Z760" s="42" t="str">
        <f t="shared" si="59"/>
        <v/>
      </c>
    </row>
    <row r="761" spans="23:26" x14ac:dyDescent="0.25">
      <c r="W761" t="str">
        <f t="shared" si="56"/>
        <v/>
      </c>
      <c r="X761" t="str">
        <f t="shared" si="57"/>
        <v/>
      </c>
      <c r="Y761" s="42" t="str">
        <f t="shared" si="58"/>
        <v/>
      </c>
      <c r="Z761" s="42" t="str">
        <f t="shared" si="59"/>
        <v/>
      </c>
    </row>
    <row r="762" spans="23:26" x14ac:dyDescent="0.25">
      <c r="W762" t="str">
        <f t="shared" si="56"/>
        <v/>
      </c>
      <c r="X762" t="str">
        <f t="shared" si="57"/>
        <v/>
      </c>
      <c r="Y762" s="42" t="str">
        <f t="shared" si="58"/>
        <v/>
      </c>
      <c r="Z762" s="42" t="str">
        <f t="shared" si="59"/>
        <v/>
      </c>
    </row>
    <row r="763" spans="23:26" x14ac:dyDescent="0.25">
      <c r="W763" t="str">
        <f t="shared" si="56"/>
        <v/>
      </c>
      <c r="X763" t="str">
        <f t="shared" si="57"/>
        <v/>
      </c>
      <c r="Y763" s="42" t="str">
        <f t="shared" si="58"/>
        <v/>
      </c>
      <c r="Z763" s="42" t="str">
        <f t="shared" si="59"/>
        <v/>
      </c>
    </row>
    <row r="764" spans="23:26" x14ac:dyDescent="0.25">
      <c r="W764" t="str">
        <f t="shared" si="56"/>
        <v/>
      </c>
      <c r="X764" t="str">
        <f t="shared" si="57"/>
        <v/>
      </c>
      <c r="Y764" s="42" t="str">
        <f t="shared" si="58"/>
        <v/>
      </c>
      <c r="Z764" s="42" t="str">
        <f t="shared" si="59"/>
        <v/>
      </c>
    </row>
    <row r="765" spans="23:26" x14ac:dyDescent="0.25">
      <c r="W765" t="str">
        <f t="shared" si="56"/>
        <v/>
      </c>
      <c r="X765" t="str">
        <f t="shared" si="57"/>
        <v/>
      </c>
      <c r="Y765" s="42" t="str">
        <f t="shared" si="58"/>
        <v/>
      </c>
      <c r="Z765" s="42" t="str">
        <f t="shared" si="59"/>
        <v/>
      </c>
    </row>
    <row r="766" spans="23:26" x14ac:dyDescent="0.25">
      <c r="W766" t="str">
        <f t="shared" si="56"/>
        <v/>
      </c>
      <c r="X766" t="str">
        <f t="shared" si="57"/>
        <v/>
      </c>
      <c r="Y766" s="42" t="str">
        <f t="shared" si="58"/>
        <v/>
      </c>
      <c r="Z766" s="42" t="str">
        <f t="shared" si="59"/>
        <v/>
      </c>
    </row>
    <row r="767" spans="23:26" x14ac:dyDescent="0.25">
      <c r="W767" t="str">
        <f t="shared" si="56"/>
        <v/>
      </c>
      <c r="X767" t="str">
        <f t="shared" si="57"/>
        <v/>
      </c>
      <c r="Y767" s="42" t="str">
        <f t="shared" si="58"/>
        <v/>
      </c>
      <c r="Z767" s="42" t="str">
        <f t="shared" si="59"/>
        <v/>
      </c>
    </row>
    <row r="768" spans="23:26" x14ac:dyDescent="0.25">
      <c r="W768" t="str">
        <f t="shared" si="56"/>
        <v/>
      </c>
      <c r="X768" t="str">
        <f t="shared" si="57"/>
        <v/>
      </c>
      <c r="Y768" s="42" t="str">
        <f t="shared" si="58"/>
        <v/>
      </c>
      <c r="Z768" s="42" t="str">
        <f t="shared" si="59"/>
        <v/>
      </c>
    </row>
    <row r="769" spans="23:26" x14ac:dyDescent="0.25">
      <c r="W769" t="str">
        <f t="shared" si="56"/>
        <v/>
      </c>
      <c r="X769" t="str">
        <f t="shared" si="57"/>
        <v/>
      </c>
      <c r="Y769" s="42" t="str">
        <f t="shared" si="58"/>
        <v/>
      </c>
      <c r="Z769" s="42" t="str">
        <f t="shared" si="59"/>
        <v/>
      </c>
    </row>
    <row r="770" spans="23:26" x14ac:dyDescent="0.25">
      <c r="W770" t="str">
        <f t="shared" si="56"/>
        <v/>
      </c>
      <c r="X770" t="str">
        <f t="shared" si="57"/>
        <v/>
      </c>
      <c r="Y770" s="42" t="str">
        <f t="shared" si="58"/>
        <v/>
      </c>
      <c r="Z770" s="42" t="str">
        <f t="shared" si="59"/>
        <v/>
      </c>
    </row>
    <row r="771" spans="23:26" x14ac:dyDescent="0.25">
      <c r="W771" t="str">
        <f t="shared" si="56"/>
        <v/>
      </c>
      <c r="X771" t="str">
        <f t="shared" si="57"/>
        <v/>
      </c>
      <c r="Y771" s="42" t="str">
        <f t="shared" si="58"/>
        <v/>
      </c>
      <c r="Z771" s="42" t="str">
        <f t="shared" si="59"/>
        <v/>
      </c>
    </row>
    <row r="772" spans="23:26" x14ac:dyDescent="0.25">
      <c r="W772" t="str">
        <f t="shared" ref="W772:W835" si="60">IF($A772="","",$A772)</f>
        <v/>
      </c>
      <c r="X772" t="str">
        <f t="shared" ref="X772:X835" si="61">IF($A772="","",$C772)</f>
        <v/>
      </c>
      <c r="Y772" s="42" t="str">
        <f t="shared" ref="Y772:Y835" si="62">IF($A772="","",$E772)</f>
        <v/>
      </c>
      <c r="Z772" s="42" t="str">
        <f t="shared" ref="Z772:Z835" si="63">IF($A772="","",IF(ISERROR($G772),0,$G772))</f>
        <v/>
      </c>
    </row>
    <row r="773" spans="23:26" x14ac:dyDescent="0.25">
      <c r="W773" t="str">
        <f t="shared" si="60"/>
        <v/>
      </c>
      <c r="X773" t="str">
        <f t="shared" si="61"/>
        <v/>
      </c>
      <c r="Y773" s="42" t="str">
        <f t="shared" si="62"/>
        <v/>
      </c>
      <c r="Z773" s="42" t="str">
        <f t="shared" si="63"/>
        <v/>
      </c>
    </row>
    <row r="774" spans="23:26" x14ac:dyDescent="0.25">
      <c r="W774" t="str">
        <f t="shared" si="60"/>
        <v/>
      </c>
      <c r="X774" t="str">
        <f t="shared" si="61"/>
        <v/>
      </c>
      <c r="Y774" s="42" t="str">
        <f t="shared" si="62"/>
        <v/>
      </c>
      <c r="Z774" s="42" t="str">
        <f t="shared" si="63"/>
        <v/>
      </c>
    </row>
    <row r="775" spans="23:26" x14ac:dyDescent="0.25">
      <c r="W775" t="str">
        <f t="shared" si="60"/>
        <v/>
      </c>
      <c r="X775" t="str">
        <f t="shared" si="61"/>
        <v/>
      </c>
      <c r="Y775" s="42" t="str">
        <f t="shared" si="62"/>
        <v/>
      </c>
      <c r="Z775" s="42" t="str">
        <f t="shared" si="63"/>
        <v/>
      </c>
    </row>
    <row r="776" spans="23:26" x14ac:dyDescent="0.25">
      <c r="W776" t="str">
        <f t="shared" si="60"/>
        <v/>
      </c>
      <c r="X776" t="str">
        <f t="shared" si="61"/>
        <v/>
      </c>
      <c r="Y776" s="42" t="str">
        <f t="shared" si="62"/>
        <v/>
      </c>
      <c r="Z776" s="42" t="str">
        <f t="shared" si="63"/>
        <v/>
      </c>
    </row>
    <row r="777" spans="23:26" x14ac:dyDescent="0.25">
      <c r="W777" t="str">
        <f t="shared" si="60"/>
        <v/>
      </c>
      <c r="X777" t="str">
        <f t="shared" si="61"/>
        <v/>
      </c>
      <c r="Y777" s="42" t="str">
        <f t="shared" si="62"/>
        <v/>
      </c>
      <c r="Z777" s="42" t="str">
        <f t="shared" si="63"/>
        <v/>
      </c>
    </row>
    <row r="778" spans="23:26" x14ac:dyDescent="0.25">
      <c r="W778" t="str">
        <f t="shared" si="60"/>
        <v/>
      </c>
      <c r="X778" t="str">
        <f t="shared" si="61"/>
        <v/>
      </c>
      <c r="Y778" s="42" t="str">
        <f t="shared" si="62"/>
        <v/>
      </c>
      <c r="Z778" s="42" t="str">
        <f t="shared" si="63"/>
        <v/>
      </c>
    </row>
    <row r="779" spans="23:26" x14ac:dyDescent="0.25">
      <c r="W779" t="str">
        <f t="shared" si="60"/>
        <v/>
      </c>
      <c r="X779" t="str">
        <f t="shared" si="61"/>
        <v/>
      </c>
      <c r="Y779" s="42" t="str">
        <f t="shared" si="62"/>
        <v/>
      </c>
      <c r="Z779" s="42" t="str">
        <f t="shared" si="63"/>
        <v/>
      </c>
    </row>
    <row r="780" spans="23:26" x14ac:dyDescent="0.25">
      <c r="W780" t="str">
        <f t="shared" si="60"/>
        <v/>
      </c>
      <c r="X780" t="str">
        <f t="shared" si="61"/>
        <v/>
      </c>
      <c r="Y780" s="42" t="str">
        <f t="shared" si="62"/>
        <v/>
      </c>
      <c r="Z780" s="42" t="str">
        <f t="shared" si="63"/>
        <v/>
      </c>
    </row>
    <row r="781" spans="23:26" x14ac:dyDescent="0.25">
      <c r="W781" t="str">
        <f t="shared" si="60"/>
        <v/>
      </c>
      <c r="X781" t="str">
        <f t="shared" si="61"/>
        <v/>
      </c>
      <c r="Y781" s="42" t="str">
        <f t="shared" si="62"/>
        <v/>
      </c>
      <c r="Z781" s="42" t="str">
        <f t="shared" si="63"/>
        <v/>
      </c>
    </row>
    <row r="782" spans="23:26" x14ac:dyDescent="0.25">
      <c r="W782" t="str">
        <f t="shared" si="60"/>
        <v/>
      </c>
      <c r="X782" t="str">
        <f t="shared" si="61"/>
        <v/>
      </c>
      <c r="Y782" s="42" t="str">
        <f t="shared" si="62"/>
        <v/>
      </c>
      <c r="Z782" s="42" t="str">
        <f t="shared" si="63"/>
        <v/>
      </c>
    </row>
    <row r="783" spans="23:26" x14ac:dyDescent="0.25">
      <c r="W783" t="str">
        <f t="shared" si="60"/>
        <v/>
      </c>
      <c r="X783" t="str">
        <f t="shared" si="61"/>
        <v/>
      </c>
      <c r="Y783" s="42" t="str">
        <f t="shared" si="62"/>
        <v/>
      </c>
      <c r="Z783" s="42" t="str">
        <f t="shared" si="63"/>
        <v/>
      </c>
    </row>
    <row r="784" spans="23:26" x14ac:dyDescent="0.25">
      <c r="W784" t="str">
        <f t="shared" si="60"/>
        <v/>
      </c>
      <c r="X784" t="str">
        <f t="shared" si="61"/>
        <v/>
      </c>
      <c r="Y784" s="42" t="str">
        <f t="shared" si="62"/>
        <v/>
      </c>
      <c r="Z784" s="42" t="str">
        <f t="shared" si="63"/>
        <v/>
      </c>
    </row>
    <row r="785" spans="23:26" x14ac:dyDescent="0.25">
      <c r="W785" t="str">
        <f t="shared" si="60"/>
        <v/>
      </c>
      <c r="X785" t="str">
        <f t="shared" si="61"/>
        <v/>
      </c>
      <c r="Y785" s="42" t="str">
        <f t="shared" si="62"/>
        <v/>
      </c>
      <c r="Z785" s="42" t="str">
        <f t="shared" si="63"/>
        <v/>
      </c>
    </row>
    <row r="786" spans="23:26" x14ac:dyDescent="0.25">
      <c r="W786" t="str">
        <f t="shared" si="60"/>
        <v/>
      </c>
      <c r="X786" t="str">
        <f t="shared" si="61"/>
        <v/>
      </c>
      <c r="Y786" s="42" t="str">
        <f t="shared" si="62"/>
        <v/>
      </c>
      <c r="Z786" s="42" t="str">
        <f t="shared" si="63"/>
        <v/>
      </c>
    </row>
    <row r="787" spans="23:26" x14ac:dyDescent="0.25">
      <c r="W787" t="str">
        <f t="shared" si="60"/>
        <v/>
      </c>
      <c r="X787" t="str">
        <f t="shared" si="61"/>
        <v/>
      </c>
      <c r="Y787" s="42" t="str">
        <f t="shared" si="62"/>
        <v/>
      </c>
      <c r="Z787" s="42" t="str">
        <f t="shared" si="63"/>
        <v/>
      </c>
    </row>
    <row r="788" spans="23:26" x14ac:dyDescent="0.25">
      <c r="W788" t="str">
        <f t="shared" si="60"/>
        <v/>
      </c>
      <c r="X788" t="str">
        <f t="shared" si="61"/>
        <v/>
      </c>
      <c r="Y788" s="42" t="str">
        <f t="shared" si="62"/>
        <v/>
      </c>
      <c r="Z788" s="42" t="str">
        <f t="shared" si="63"/>
        <v/>
      </c>
    </row>
    <row r="789" spans="23:26" x14ac:dyDescent="0.25">
      <c r="W789" t="str">
        <f t="shared" si="60"/>
        <v/>
      </c>
      <c r="X789" t="str">
        <f t="shared" si="61"/>
        <v/>
      </c>
      <c r="Y789" s="42" t="str">
        <f t="shared" si="62"/>
        <v/>
      </c>
      <c r="Z789" s="42" t="str">
        <f t="shared" si="63"/>
        <v/>
      </c>
    </row>
    <row r="790" spans="23:26" x14ac:dyDescent="0.25">
      <c r="W790" t="str">
        <f t="shared" si="60"/>
        <v/>
      </c>
      <c r="X790" t="str">
        <f t="shared" si="61"/>
        <v/>
      </c>
      <c r="Y790" s="42" t="str">
        <f t="shared" si="62"/>
        <v/>
      </c>
      <c r="Z790" s="42" t="str">
        <f t="shared" si="63"/>
        <v/>
      </c>
    </row>
    <row r="791" spans="23:26" x14ac:dyDescent="0.25">
      <c r="W791" t="str">
        <f t="shared" si="60"/>
        <v/>
      </c>
      <c r="X791" t="str">
        <f t="shared" si="61"/>
        <v/>
      </c>
      <c r="Y791" s="42" t="str">
        <f t="shared" si="62"/>
        <v/>
      </c>
      <c r="Z791" s="42" t="str">
        <f t="shared" si="63"/>
        <v/>
      </c>
    </row>
    <row r="792" spans="23:26" x14ac:dyDescent="0.25">
      <c r="W792" t="str">
        <f t="shared" si="60"/>
        <v/>
      </c>
      <c r="X792" t="str">
        <f t="shared" si="61"/>
        <v/>
      </c>
      <c r="Y792" s="42" t="str">
        <f t="shared" si="62"/>
        <v/>
      </c>
      <c r="Z792" s="42" t="str">
        <f t="shared" si="63"/>
        <v/>
      </c>
    </row>
    <row r="793" spans="23:26" x14ac:dyDescent="0.25">
      <c r="W793" t="str">
        <f t="shared" si="60"/>
        <v/>
      </c>
      <c r="X793" t="str">
        <f t="shared" si="61"/>
        <v/>
      </c>
      <c r="Y793" s="42" t="str">
        <f t="shared" si="62"/>
        <v/>
      </c>
      <c r="Z793" s="42" t="str">
        <f t="shared" si="63"/>
        <v/>
      </c>
    </row>
    <row r="794" spans="23:26" x14ac:dyDescent="0.25">
      <c r="W794" t="str">
        <f t="shared" si="60"/>
        <v/>
      </c>
      <c r="X794" t="str">
        <f t="shared" si="61"/>
        <v/>
      </c>
      <c r="Y794" s="42" t="str">
        <f t="shared" si="62"/>
        <v/>
      </c>
      <c r="Z794" s="42" t="str">
        <f t="shared" si="63"/>
        <v/>
      </c>
    </row>
    <row r="795" spans="23:26" x14ac:dyDescent="0.25">
      <c r="W795" t="str">
        <f t="shared" si="60"/>
        <v/>
      </c>
      <c r="X795" t="str">
        <f t="shared" si="61"/>
        <v/>
      </c>
      <c r="Y795" s="42" t="str">
        <f t="shared" si="62"/>
        <v/>
      </c>
      <c r="Z795" s="42" t="str">
        <f t="shared" si="63"/>
        <v/>
      </c>
    </row>
    <row r="796" spans="23:26" x14ac:dyDescent="0.25">
      <c r="W796" t="str">
        <f t="shared" si="60"/>
        <v/>
      </c>
      <c r="X796" t="str">
        <f t="shared" si="61"/>
        <v/>
      </c>
      <c r="Y796" s="42" t="str">
        <f t="shared" si="62"/>
        <v/>
      </c>
      <c r="Z796" s="42" t="str">
        <f t="shared" si="63"/>
        <v/>
      </c>
    </row>
    <row r="797" spans="23:26" x14ac:dyDescent="0.25">
      <c r="W797" t="str">
        <f t="shared" si="60"/>
        <v/>
      </c>
      <c r="X797" t="str">
        <f t="shared" si="61"/>
        <v/>
      </c>
      <c r="Y797" s="42" t="str">
        <f t="shared" si="62"/>
        <v/>
      </c>
      <c r="Z797" s="42" t="str">
        <f t="shared" si="63"/>
        <v/>
      </c>
    </row>
    <row r="798" spans="23:26" x14ac:dyDescent="0.25">
      <c r="W798" t="str">
        <f t="shared" si="60"/>
        <v/>
      </c>
      <c r="X798" t="str">
        <f t="shared" si="61"/>
        <v/>
      </c>
      <c r="Y798" s="42" t="str">
        <f t="shared" si="62"/>
        <v/>
      </c>
      <c r="Z798" s="42" t="str">
        <f t="shared" si="63"/>
        <v/>
      </c>
    </row>
    <row r="799" spans="23:26" x14ac:dyDescent="0.25">
      <c r="W799" t="str">
        <f t="shared" si="60"/>
        <v/>
      </c>
      <c r="X799" t="str">
        <f t="shared" si="61"/>
        <v/>
      </c>
      <c r="Y799" s="42" t="str">
        <f t="shared" si="62"/>
        <v/>
      </c>
      <c r="Z799" s="42" t="str">
        <f t="shared" si="63"/>
        <v/>
      </c>
    </row>
    <row r="800" spans="23:26" x14ac:dyDescent="0.25">
      <c r="W800" t="str">
        <f t="shared" si="60"/>
        <v/>
      </c>
      <c r="X800" t="str">
        <f t="shared" si="61"/>
        <v/>
      </c>
      <c r="Y800" s="42" t="str">
        <f t="shared" si="62"/>
        <v/>
      </c>
      <c r="Z800" s="42" t="str">
        <f t="shared" si="63"/>
        <v/>
      </c>
    </row>
    <row r="801" spans="23:26" x14ac:dyDescent="0.25">
      <c r="W801" t="str">
        <f t="shared" si="60"/>
        <v/>
      </c>
      <c r="X801" t="str">
        <f t="shared" si="61"/>
        <v/>
      </c>
      <c r="Y801" s="42" t="str">
        <f t="shared" si="62"/>
        <v/>
      </c>
      <c r="Z801" s="42" t="str">
        <f t="shared" si="63"/>
        <v/>
      </c>
    </row>
    <row r="802" spans="23:26" x14ac:dyDescent="0.25">
      <c r="W802" t="str">
        <f t="shared" si="60"/>
        <v/>
      </c>
      <c r="X802" t="str">
        <f t="shared" si="61"/>
        <v/>
      </c>
      <c r="Y802" s="42" t="str">
        <f t="shared" si="62"/>
        <v/>
      </c>
      <c r="Z802" s="42" t="str">
        <f t="shared" si="63"/>
        <v/>
      </c>
    </row>
    <row r="803" spans="23:26" x14ac:dyDescent="0.25">
      <c r="W803" t="str">
        <f t="shared" si="60"/>
        <v/>
      </c>
      <c r="X803" t="str">
        <f t="shared" si="61"/>
        <v/>
      </c>
      <c r="Y803" s="42" t="str">
        <f t="shared" si="62"/>
        <v/>
      </c>
      <c r="Z803" s="42" t="str">
        <f t="shared" si="63"/>
        <v/>
      </c>
    </row>
    <row r="804" spans="23:26" x14ac:dyDescent="0.25">
      <c r="W804" t="str">
        <f t="shared" si="60"/>
        <v/>
      </c>
      <c r="X804" t="str">
        <f t="shared" si="61"/>
        <v/>
      </c>
      <c r="Y804" s="42" t="str">
        <f t="shared" si="62"/>
        <v/>
      </c>
      <c r="Z804" s="42" t="str">
        <f t="shared" si="63"/>
        <v/>
      </c>
    </row>
    <row r="805" spans="23:26" x14ac:dyDescent="0.25">
      <c r="W805" t="str">
        <f t="shared" si="60"/>
        <v/>
      </c>
      <c r="X805" t="str">
        <f t="shared" si="61"/>
        <v/>
      </c>
      <c r="Y805" s="42" t="str">
        <f t="shared" si="62"/>
        <v/>
      </c>
      <c r="Z805" s="42" t="str">
        <f t="shared" si="63"/>
        <v/>
      </c>
    </row>
    <row r="806" spans="23:26" x14ac:dyDescent="0.25">
      <c r="W806" t="str">
        <f t="shared" si="60"/>
        <v/>
      </c>
      <c r="X806" t="str">
        <f t="shared" si="61"/>
        <v/>
      </c>
      <c r="Y806" s="42" t="str">
        <f t="shared" si="62"/>
        <v/>
      </c>
      <c r="Z806" s="42" t="str">
        <f t="shared" si="63"/>
        <v/>
      </c>
    </row>
    <row r="807" spans="23:26" x14ac:dyDescent="0.25">
      <c r="W807" t="str">
        <f t="shared" si="60"/>
        <v/>
      </c>
      <c r="X807" t="str">
        <f t="shared" si="61"/>
        <v/>
      </c>
      <c r="Y807" s="42" t="str">
        <f t="shared" si="62"/>
        <v/>
      </c>
      <c r="Z807" s="42" t="str">
        <f t="shared" si="63"/>
        <v/>
      </c>
    </row>
    <row r="808" spans="23:26" x14ac:dyDescent="0.25">
      <c r="W808" t="str">
        <f t="shared" si="60"/>
        <v/>
      </c>
      <c r="X808" t="str">
        <f t="shared" si="61"/>
        <v/>
      </c>
      <c r="Y808" s="42" t="str">
        <f t="shared" si="62"/>
        <v/>
      </c>
      <c r="Z808" s="42" t="str">
        <f t="shared" si="63"/>
        <v/>
      </c>
    </row>
    <row r="809" spans="23:26" x14ac:dyDescent="0.25">
      <c r="W809" t="str">
        <f t="shared" si="60"/>
        <v/>
      </c>
      <c r="X809" t="str">
        <f t="shared" si="61"/>
        <v/>
      </c>
      <c r="Y809" s="42" t="str">
        <f t="shared" si="62"/>
        <v/>
      </c>
      <c r="Z809" s="42" t="str">
        <f t="shared" si="63"/>
        <v/>
      </c>
    </row>
    <row r="810" spans="23:26" x14ac:dyDescent="0.25">
      <c r="W810" t="str">
        <f t="shared" si="60"/>
        <v/>
      </c>
      <c r="X810" t="str">
        <f t="shared" si="61"/>
        <v/>
      </c>
      <c r="Y810" s="42" t="str">
        <f t="shared" si="62"/>
        <v/>
      </c>
      <c r="Z810" s="42" t="str">
        <f t="shared" si="63"/>
        <v/>
      </c>
    </row>
    <row r="811" spans="23:26" x14ac:dyDescent="0.25">
      <c r="W811" t="str">
        <f t="shared" si="60"/>
        <v/>
      </c>
      <c r="X811" t="str">
        <f t="shared" si="61"/>
        <v/>
      </c>
      <c r="Y811" s="42" t="str">
        <f t="shared" si="62"/>
        <v/>
      </c>
      <c r="Z811" s="42" t="str">
        <f t="shared" si="63"/>
        <v/>
      </c>
    </row>
    <row r="812" spans="23:26" x14ac:dyDescent="0.25">
      <c r="W812" t="str">
        <f t="shared" si="60"/>
        <v/>
      </c>
      <c r="X812" t="str">
        <f t="shared" si="61"/>
        <v/>
      </c>
      <c r="Y812" s="42" t="str">
        <f t="shared" si="62"/>
        <v/>
      </c>
      <c r="Z812" s="42" t="str">
        <f t="shared" si="63"/>
        <v/>
      </c>
    </row>
    <row r="813" spans="23:26" x14ac:dyDescent="0.25">
      <c r="W813" t="str">
        <f t="shared" si="60"/>
        <v/>
      </c>
      <c r="X813" t="str">
        <f t="shared" si="61"/>
        <v/>
      </c>
      <c r="Y813" s="42" t="str">
        <f t="shared" si="62"/>
        <v/>
      </c>
      <c r="Z813" s="42" t="str">
        <f t="shared" si="63"/>
        <v/>
      </c>
    </row>
    <row r="814" spans="23:26" x14ac:dyDescent="0.25">
      <c r="W814" t="str">
        <f t="shared" si="60"/>
        <v/>
      </c>
      <c r="X814" t="str">
        <f t="shared" si="61"/>
        <v/>
      </c>
      <c r="Y814" s="42" t="str">
        <f t="shared" si="62"/>
        <v/>
      </c>
      <c r="Z814" s="42" t="str">
        <f t="shared" si="63"/>
        <v/>
      </c>
    </row>
    <row r="815" spans="23:26" x14ac:dyDescent="0.25">
      <c r="W815" t="str">
        <f t="shared" si="60"/>
        <v/>
      </c>
      <c r="X815" t="str">
        <f t="shared" si="61"/>
        <v/>
      </c>
      <c r="Y815" s="42" t="str">
        <f t="shared" si="62"/>
        <v/>
      </c>
      <c r="Z815" s="42" t="str">
        <f t="shared" si="63"/>
        <v/>
      </c>
    </row>
    <row r="816" spans="23:26" x14ac:dyDescent="0.25">
      <c r="W816" t="str">
        <f t="shared" si="60"/>
        <v/>
      </c>
      <c r="X816" t="str">
        <f t="shared" si="61"/>
        <v/>
      </c>
      <c r="Y816" s="42" t="str">
        <f t="shared" si="62"/>
        <v/>
      </c>
      <c r="Z816" s="42" t="str">
        <f t="shared" si="63"/>
        <v/>
      </c>
    </row>
    <row r="817" spans="23:26" x14ac:dyDescent="0.25">
      <c r="W817" t="str">
        <f t="shared" si="60"/>
        <v/>
      </c>
      <c r="X817" t="str">
        <f t="shared" si="61"/>
        <v/>
      </c>
      <c r="Y817" s="42" t="str">
        <f t="shared" si="62"/>
        <v/>
      </c>
      <c r="Z817" s="42" t="str">
        <f t="shared" si="63"/>
        <v/>
      </c>
    </row>
    <row r="818" spans="23:26" x14ac:dyDescent="0.25">
      <c r="W818" t="str">
        <f t="shared" si="60"/>
        <v/>
      </c>
      <c r="X818" t="str">
        <f t="shared" si="61"/>
        <v/>
      </c>
      <c r="Y818" s="42" t="str">
        <f t="shared" si="62"/>
        <v/>
      </c>
      <c r="Z818" s="42" t="str">
        <f t="shared" si="63"/>
        <v/>
      </c>
    </row>
    <row r="819" spans="23:26" x14ac:dyDescent="0.25">
      <c r="W819" t="str">
        <f t="shared" si="60"/>
        <v/>
      </c>
      <c r="X819" t="str">
        <f t="shared" si="61"/>
        <v/>
      </c>
      <c r="Y819" s="42" t="str">
        <f t="shared" si="62"/>
        <v/>
      </c>
      <c r="Z819" s="42" t="str">
        <f t="shared" si="63"/>
        <v/>
      </c>
    </row>
    <row r="820" spans="23:26" x14ac:dyDescent="0.25">
      <c r="W820" t="str">
        <f t="shared" si="60"/>
        <v/>
      </c>
      <c r="X820" t="str">
        <f t="shared" si="61"/>
        <v/>
      </c>
      <c r="Y820" s="42" t="str">
        <f t="shared" si="62"/>
        <v/>
      </c>
      <c r="Z820" s="42" t="str">
        <f t="shared" si="63"/>
        <v/>
      </c>
    </row>
    <row r="821" spans="23:26" x14ac:dyDescent="0.25">
      <c r="W821" t="str">
        <f t="shared" si="60"/>
        <v/>
      </c>
      <c r="X821" t="str">
        <f t="shared" si="61"/>
        <v/>
      </c>
      <c r="Y821" s="42" t="str">
        <f t="shared" si="62"/>
        <v/>
      </c>
      <c r="Z821" s="42" t="str">
        <f t="shared" si="63"/>
        <v/>
      </c>
    </row>
    <row r="822" spans="23:26" x14ac:dyDescent="0.25">
      <c r="W822" t="str">
        <f t="shared" si="60"/>
        <v/>
      </c>
      <c r="X822" t="str">
        <f t="shared" si="61"/>
        <v/>
      </c>
      <c r="Y822" s="42" t="str">
        <f t="shared" si="62"/>
        <v/>
      </c>
      <c r="Z822" s="42" t="str">
        <f t="shared" si="63"/>
        <v/>
      </c>
    </row>
    <row r="823" spans="23:26" x14ac:dyDescent="0.25">
      <c r="W823" t="str">
        <f t="shared" si="60"/>
        <v/>
      </c>
      <c r="X823" t="str">
        <f t="shared" si="61"/>
        <v/>
      </c>
      <c r="Y823" s="42" t="str">
        <f t="shared" si="62"/>
        <v/>
      </c>
      <c r="Z823" s="42" t="str">
        <f t="shared" si="63"/>
        <v/>
      </c>
    </row>
    <row r="824" spans="23:26" x14ac:dyDescent="0.25">
      <c r="W824" t="str">
        <f t="shared" si="60"/>
        <v/>
      </c>
      <c r="X824" t="str">
        <f t="shared" si="61"/>
        <v/>
      </c>
      <c r="Y824" s="42" t="str">
        <f t="shared" si="62"/>
        <v/>
      </c>
      <c r="Z824" s="42" t="str">
        <f t="shared" si="63"/>
        <v/>
      </c>
    </row>
    <row r="825" spans="23:26" x14ac:dyDescent="0.25">
      <c r="W825" t="str">
        <f t="shared" si="60"/>
        <v/>
      </c>
      <c r="X825" t="str">
        <f t="shared" si="61"/>
        <v/>
      </c>
      <c r="Y825" s="42" t="str">
        <f t="shared" si="62"/>
        <v/>
      </c>
      <c r="Z825" s="42" t="str">
        <f t="shared" si="63"/>
        <v/>
      </c>
    </row>
    <row r="826" spans="23:26" x14ac:dyDescent="0.25">
      <c r="W826" t="str">
        <f t="shared" si="60"/>
        <v/>
      </c>
      <c r="X826" t="str">
        <f t="shared" si="61"/>
        <v/>
      </c>
      <c r="Y826" s="42" t="str">
        <f t="shared" si="62"/>
        <v/>
      </c>
      <c r="Z826" s="42" t="str">
        <f t="shared" si="63"/>
        <v/>
      </c>
    </row>
    <row r="827" spans="23:26" x14ac:dyDescent="0.25">
      <c r="W827" t="str">
        <f t="shared" si="60"/>
        <v/>
      </c>
      <c r="X827" t="str">
        <f t="shared" si="61"/>
        <v/>
      </c>
      <c r="Y827" s="42" t="str">
        <f t="shared" si="62"/>
        <v/>
      </c>
      <c r="Z827" s="42" t="str">
        <f t="shared" si="63"/>
        <v/>
      </c>
    </row>
    <row r="828" spans="23:26" x14ac:dyDescent="0.25">
      <c r="W828" t="str">
        <f t="shared" si="60"/>
        <v/>
      </c>
      <c r="X828" t="str">
        <f t="shared" si="61"/>
        <v/>
      </c>
      <c r="Y828" s="42" t="str">
        <f t="shared" si="62"/>
        <v/>
      </c>
      <c r="Z828" s="42" t="str">
        <f t="shared" si="63"/>
        <v/>
      </c>
    </row>
    <row r="829" spans="23:26" x14ac:dyDescent="0.25">
      <c r="W829" t="str">
        <f t="shared" si="60"/>
        <v/>
      </c>
      <c r="X829" t="str">
        <f t="shared" si="61"/>
        <v/>
      </c>
      <c r="Y829" s="42" t="str">
        <f t="shared" si="62"/>
        <v/>
      </c>
      <c r="Z829" s="42" t="str">
        <f t="shared" si="63"/>
        <v/>
      </c>
    </row>
    <row r="830" spans="23:26" x14ac:dyDescent="0.25">
      <c r="W830" t="str">
        <f t="shared" si="60"/>
        <v/>
      </c>
      <c r="X830" t="str">
        <f t="shared" si="61"/>
        <v/>
      </c>
      <c r="Y830" s="42" t="str">
        <f t="shared" si="62"/>
        <v/>
      </c>
      <c r="Z830" s="42" t="str">
        <f t="shared" si="63"/>
        <v/>
      </c>
    </row>
    <row r="831" spans="23:26" x14ac:dyDescent="0.25">
      <c r="W831" t="str">
        <f t="shared" si="60"/>
        <v/>
      </c>
      <c r="X831" t="str">
        <f t="shared" si="61"/>
        <v/>
      </c>
      <c r="Y831" s="42" t="str">
        <f t="shared" si="62"/>
        <v/>
      </c>
      <c r="Z831" s="42" t="str">
        <f t="shared" si="63"/>
        <v/>
      </c>
    </row>
    <row r="832" spans="23:26" x14ac:dyDescent="0.25">
      <c r="W832" t="str">
        <f t="shared" si="60"/>
        <v/>
      </c>
      <c r="X832" t="str">
        <f t="shared" si="61"/>
        <v/>
      </c>
      <c r="Y832" s="42" t="str">
        <f t="shared" si="62"/>
        <v/>
      </c>
      <c r="Z832" s="42" t="str">
        <f t="shared" si="63"/>
        <v/>
      </c>
    </row>
    <row r="833" spans="23:26" x14ac:dyDescent="0.25">
      <c r="W833" t="str">
        <f t="shared" si="60"/>
        <v/>
      </c>
      <c r="X833" t="str">
        <f t="shared" si="61"/>
        <v/>
      </c>
      <c r="Y833" s="42" t="str">
        <f t="shared" si="62"/>
        <v/>
      </c>
      <c r="Z833" s="42" t="str">
        <f t="shared" si="63"/>
        <v/>
      </c>
    </row>
    <row r="834" spans="23:26" x14ac:dyDescent="0.25">
      <c r="W834" t="str">
        <f t="shared" si="60"/>
        <v/>
      </c>
      <c r="X834" t="str">
        <f t="shared" si="61"/>
        <v/>
      </c>
      <c r="Y834" s="42" t="str">
        <f t="shared" si="62"/>
        <v/>
      </c>
      <c r="Z834" s="42" t="str">
        <f t="shared" si="63"/>
        <v/>
      </c>
    </row>
    <row r="835" spans="23:26" x14ac:dyDescent="0.25">
      <c r="W835" t="str">
        <f t="shared" si="60"/>
        <v/>
      </c>
      <c r="X835" t="str">
        <f t="shared" si="61"/>
        <v/>
      </c>
      <c r="Y835" s="42" t="str">
        <f t="shared" si="62"/>
        <v/>
      </c>
      <c r="Z835" s="42" t="str">
        <f t="shared" si="63"/>
        <v/>
      </c>
    </row>
    <row r="836" spans="23:26" x14ac:dyDescent="0.25">
      <c r="W836" t="str">
        <f t="shared" ref="W836:W899" si="64">IF($A836="","",$A836)</f>
        <v/>
      </c>
      <c r="X836" t="str">
        <f t="shared" ref="X836:X899" si="65">IF($A836="","",$C836)</f>
        <v/>
      </c>
      <c r="Y836" s="42" t="str">
        <f t="shared" ref="Y836:Y899" si="66">IF($A836="","",$E836)</f>
        <v/>
      </c>
      <c r="Z836" s="42" t="str">
        <f t="shared" ref="Z836:Z899" si="67">IF($A836="","",IF(ISERROR($G836),0,$G836))</f>
        <v/>
      </c>
    </row>
    <row r="837" spans="23:26" x14ac:dyDescent="0.25">
      <c r="W837" t="str">
        <f t="shared" si="64"/>
        <v/>
      </c>
      <c r="X837" t="str">
        <f t="shared" si="65"/>
        <v/>
      </c>
      <c r="Y837" s="42" t="str">
        <f t="shared" si="66"/>
        <v/>
      </c>
      <c r="Z837" s="42" t="str">
        <f t="shared" si="67"/>
        <v/>
      </c>
    </row>
    <row r="838" spans="23:26" x14ac:dyDescent="0.25">
      <c r="W838" t="str">
        <f t="shared" si="64"/>
        <v/>
      </c>
      <c r="X838" t="str">
        <f t="shared" si="65"/>
        <v/>
      </c>
      <c r="Y838" s="42" t="str">
        <f t="shared" si="66"/>
        <v/>
      </c>
      <c r="Z838" s="42" t="str">
        <f t="shared" si="67"/>
        <v/>
      </c>
    </row>
    <row r="839" spans="23:26" x14ac:dyDescent="0.25">
      <c r="W839" t="str">
        <f t="shared" si="64"/>
        <v/>
      </c>
      <c r="X839" t="str">
        <f t="shared" si="65"/>
        <v/>
      </c>
      <c r="Y839" s="42" t="str">
        <f t="shared" si="66"/>
        <v/>
      </c>
      <c r="Z839" s="42" t="str">
        <f t="shared" si="67"/>
        <v/>
      </c>
    </row>
    <row r="840" spans="23:26" x14ac:dyDescent="0.25">
      <c r="W840" t="str">
        <f t="shared" si="64"/>
        <v/>
      </c>
      <c r="X840" t="str">
        <f t="shared" si="65"/>
        <v/>
      </c>
      <c r="Y840" s="42" t="str">
        <f t="shared" si="66"/>
        <v/>
      </c>
      <c r="Z840" s="42" t="str">
        <f t="shared" si="67"/>
        <v/>
      </c>
    </row>
    <row r="841" spans="23:26" x14ac:dyDescent="0.25">
      <c r="W841" t="str">
        <f t="shared" si="64"/>
        <v/>
      </c>
      <c r="X841" t="str">
        <f t="shared" si="65"/>
        <v/>
      </c>
      <c r="Y841" s="42" t="str">
        <f t="shared" si="66"/>
        <v/>
      </c>
      <c r="Z841" s="42" t="str">
        <f t="shared" si="67"/>
        <v/>
      </c>
    </row>
    <row r="842" spans="23:26" x14ac:dyDescent="0.25">
      <c r="W842" t="str">
        <f t="shared" si="64"/>
        <v/>
      </c>
      <c r="X842" t="str">
        <f t="shared" si="65"/>
        <v/>
      </c>
      <c r="Y842" s="42" t="str">
        <f t="shared" si="66"/>
        <v/>
      </c>
      <c r="Z842" s="42" t="str">
        <f t="shared" si="67"/>
        <v/>
      </c>
    </row>
    <row r="843" spans="23:26" x14ac:dyDescent="0.25">
      <c r="W843" t="str">
        <f t="shared" si="64"/>
        <v/>
      </c>
      <c r="X843" t="str">
        <f t="shared" si="65"/>
        <v/>
      </c>
      <c r="Y843" s="42" t="str">
        <f t="shared" si="66"/>
        <v/>
      </c>
      <c r="Z843" s="42" t="str">
        <f t="shared" si="67"/>
        <v/>
      </c>
    </row>
    <row r="844" spans="23:26" x14ac:dyDescent="0.25">
      <c r="W844" t="str">
        <f t="shared" si="64"/>
        <v/>
      </c>
      <c r="X844" t="str">
        <f t="shared" si="65"/>
        <v/>
      </c>
      <c r="Y844" s="42" t="str">
        <f t="shared" si="66"/>
        <v/>
      </c>
      <c r="Z844" s="42" t="str">
        <f t="shared" si="67"/>
        <v/>
      </c>
    </row>
    <row r="845" spans="23:26" x14ac:dyDescent="0.25">
      <c r="W845" t="str">
        <f t="shared" si="64"/>
        <v/>
      </c>
      <c r="X845" t="str">
        <f t="shared" si="65"/>
        <v/>
      </c>
      <c r="Y845" s="42" t="str">
        <f t="shared" si="66"/>
        <v/>
      </c>
      <c r="Z845" s="42" t="str">
        <f t="shared" si="67"/>
        <v/>
      </c>
    </row>
    <row r="846" spans="23:26" x14ac:dyDescent="0.25">
      <c r="W846" t="str">
        <f t="shared" si="64"/>
        <v/>
      </c>
      <c r="X846" t="str">
        <f t="shared" si="65"/>
        <v/>
      </c>
      <c r="Y846" s="42" t="str">
        <f t="shared" si="66"/>
        <v/>
      </c>
      <c r="Z846" s="42" t="str">
        <f t="shared" si="67"/>
        <v/>
      </c>
    </row>
    <row r="847" spans="23:26" x14ac:dyDescent="0.25">
      <c r="W847" t="str">
        <f t="shared" si="64"/>
        <v/>
      </c>
      <c r="X847" t="str">
        <f t="shared" si="65"/>
        <v/>
      </c>
      <c r="Y847" s="42" t="str">
        <f t="shared" si="66"/>
        <v/>
      </c>
      <c r="Z847" s="42" t="str">
        <f t="shared" si="67"/>
        <v/>
      </c>
    </row>
    <row r="848" spans="23:26" x14ac:dyDescent="0.25">
      <c r="W848" t="str">
        <f t="shared" si="64"/>
        <v/>
      </c>
      <c r="X848" t="str">
        <f t="shared" si="65"/>
        <v/>
      </c>
      <c r="Y848" s="42" t="str">
        <f t="shared" si="66"/>
        <v/>
      </c>
      <c r="Z848" s="42" t="str">
        <f t="shared" si="67"/>
        <v/>
      </c>
    </row>
    <row r="849" spans="23:26" x14ac:dyDescent="0.25">
      <c r="W849" t="str">
        <f t="shared" si="64"/>
        <v/>
      </c>
      <c r="X849" t="str">
        <f t="shared" si="65"/>
        <v/>
      </c>
      <c r="Y849" s="42" t="str">
        <f t="shared" si="66"/>
        <v/>
      </c>
      <c r="Z849" s="42" t="str">
        <f t="shared" si="67"/>
        <v/>
      </c>
    </row>
    <row r="850" spans="23:26" x14ac:dyDescent="0.25">
      <c r="W850" t="str">
        <f t="shared" si="64"/>
        <v/>
      </c>
      <c r="X850" t="str">
        <f t="shared" si="65"/>
        <v/>
      </c>
      <c r="Y850" s="42" t="str">
        <f t="shared" si="66"/>
        <v/>
      </c>
      <c r="Z850" s="42" t="str">
        <f t="shared" si="67"/>
        <v/>
      </c>
    </row>
    <row r="851" spans="23:26" x14ac:dyDescent="0.25">
      <c r="W851" t="str">
        <f t="shared" si="64"/>
        <v/>
      </c>
      <c r="X851" t="str">
        <f t="shared" si="65"/>
        <v/>
      </c>
      <c r="Y851" s="42" t="str">
        <f t="shared" si="66"/>
        <v/>
      </c>
      <c r="Z851" s="42" t="str">
        <f t="shared" si="67"/>
        <v/>
      </c>
    </row>
    <row r="852" spans="23:26" x14ac:dyDescent="0.25">
      <c r="W852" t="str">
        <f t="shared" si="64"/>
        <v/>
      </c>
      <c r="X852" t="str">
        <f t="shared" si="65"/>
        <v/>
      </c>
      <c r="Y852" s="42" t="str">
        <f t="shared" si="66"/>
        <v/>
      </c>
      <c r="Z852" s="42" t="str">
        <f t="shared" si="67"/>
        <v/>
      </c>
    </row>
    <row r="853" spans="23:26" x14ac:dyDescent="0.25">
      <c r="W853" t="str">
        <f t="shared" si="64"/>
        <v/>
      </c>
      <c r="X853" t="str">
        <f t="shared" si="65"/>
        <v/>
      </c>
      <c r="Y853" s="42" t="str">
        <f t="shared" si="66"/>
        <v/>
      </c>
      <c r="Z853" s="42" t="str">
        <f t="shared" si="67"/>
        <v/>
      </c>
    </row>
    <row r="854" spans="23:26" x14ac:dyDescent="0.25">
      <c r="W854" t="str">
        <f t="shared" si="64"/>
        <v/>
      </c>
      <c r="X854" t="str">
        <f t="shared" si="65"/>
        <v/>
      </c>
      <c r="Y854" s="42" t="str">
        <f t="shared" si="66"/>
        <v/>
      </c>
      <c r="Z854" s="42" t="str">
        <f t="shared" si="67"/>
        <v/>
      </c>
    </row>
    <row r="855" spans="23:26" x14ac:dyDescent="0.25">
      <c r="W855" t="str">
        <f t="shared" si="64"/>
        <v/>
      </c>
      <c r="X855" t="str">
        <f t="shared" si="65"/>
        <v/>
      </c>
      <c r="Y855" s="42" t="str">
        <f t="shared" si="66"/>
        <v/>
      </c>
      <c r="Z855" s="42" t="str">
        <f t="shared" si="67"/>
        <v/>
      </c>
    </row>
    <row r="856" spans="23:26" x14ac:dyDescent="0.25">
      <c r="W856" t="str">
        <f t="shared" si="64"/>
        <v/>
      </c>
      <c r="X856" t="str">
        <f t="shared" si="65"/>
        <v/>
      </c>
      <c r="Y856" s="42" t="str">
        <f t="shared" si="66"/>
        <v/>
      </c>
      <c r="Z856" s="42" t="str">
        <f t="shared" si="67"/>
        <v/>
      </c>
    </row>
    <row r="857" spans="23:26" x14ac:dyDescent="0.25">
      <c r="W857" t="str">
        <f t="shared" si="64"/>
        <v/>
      </c>
      <c r="X857" t="str">
        <f t="shared" si="65"/>
        <v/>
      </c>
      <c r="Y857" s="42" t="str">
        <f t="shared" si="66"/>
        <v/>
      </c>
      <c r="Z857" s="42" t="str">
        <f t="shared" si="67"/>
        <v/>
      </c>
    </row>
    <row r="858" spans="23:26" x14ac:dyDescent="0.25">
      <c r="W858" t="str">
        <f t="shared" si="64"/>
        <v/>
      </c>
      <c r="X858" t="str">
        <f t="shared" si="65"/>
        <v/>
      </c>
      <c r="Y858" s="42" t="str">
        <f t="shared" si="66"/>
        <v/>
      </c>
      <c r="Z858" s="42" t="str">
        <f t="shared" si="67"/>
        <v/>
      </c>
    </row>
    <row r="859" spans="23:26" x14ac:dyDescent="0.25">
      <c r="W859" t="str">
        <f t="shared" si="64"/>
        <v/>
      </c>
      <c r="X859" t="str">
        <f t="shared" si="65"/>
        <v/>
      </c>
      <c r="Y859" s="42" t="str">
        <f t="shared" si="66"/>
        <v/>
      </c>
      <c r="Z859" s="42" t="str">
        <f t="shared" si="67"/>
        <v/>
      </c>
    </row>
    <row r="860" spans="23:26" x14ac:dyDescent="0.25">
      <c r="W860" t="str">
        <f t="shared" si="64"/>
        <v/>
      </c>
      <c r="X860" t="str">
        <f t="shared" si="65"/>
        <v/>
      </c>
      <c r="Y860" s="42" t="str">
        <f t="shared" si="66"/>
        <v/>
      </c>
      <c r="Z860" s="42" t="str">
        <f t="shared" si="67"/>
        <v/>
      </c>
    </row>
    <row r="861" spans="23:26" x14ac:dyDescent="0.25">
      <c r="W861" t="str">
        <f t="shared" si="64"/>
        <v/>
      </c>
      <c r="X861" t="str">
        <f t="shared" si="65"/>
        <v/>
      </c>
      <c r="Y861" s="42" t="str">
        <f t="shared" si="66"/>
        <v/>
      </c>
      <c r="Z861" s="42" t="str">
        <f t="shared" si="67"/>
        <v/>
      </c>
    </row>
    <row r="862" spans="23:26" x14ac:dyDescent="0.25">
      <c r="W862" t="str">
        <f t="shared" si="64"/>
        <v/>
      </c>
      <c r="X862" t="str">
        <f t="shared" si="65"/>
        <v/>
      </c>
      <c r="Y862" s="42" t="str">
        <f t="shared" si="66"/>
        <v/>
      </c>
      <c r="Z862" s="42" t="str">
        <f t="shared" si="67"/>
        <v/>
      </c>
    </row>
    <row r="863" spans="23:26" x14ac:dyDescent="0.25">
      <c r="W863" t="str">
        <f t="shared" si="64"/>
        <v/>
      </c>
      <c r="X863" t="str">
        <f t="shared" si="65"/>
        <v/>
      </c>
      <c r="Y863" s="42" t="str">
        <f t="shared" si="66"/>
        <v/>
      </c>
      <c r="Z863" s="42" t="str">
        <f t="shared" si="67"/>
        <v/>
      </c>
    </row>
    <row r="864" spans="23:26" x14ac:dyDescent="0.25">
      <c r="W864" t="str">
        <f t="shared" si="64"/>
        <v/>
      </c>
      <c r="X864" t="str">
        <f t="shared" si="65"/>
        <v/>
      </c>
      <c r="Y864" s="42" t="str">
        <f t="shared" si="66"/>
        <v/>
      </c>
      <c r="Z864" s="42" t="str">
        <f t="shared" si="67"/>
        <v/>
      </c>
    </row>
    <row r="865" spans="23:26" x14ac:dyDescent="0.25">
      <c r="W865" t="str">
        <f t="shared" si="64"/>
        <v/>
      </c>
      <c r="X865" t="str">
        <f t="shared" si="65"/>
        <v/>
      </c>
      <c r="Y865" s="42" t="str">
        <f t="shared" si="66"/>
        <v/>
      </c>
      <c r="Z865" s="42" t="str">
        <f t="shared" si="67"/>
        <v/>
      </c>
    </row>
    <row r="866" spans="23:26" x14ac:dyDescent="0.25">
      <c r="W866" t="str">
        <f t="shared" si="64"/>
        <v/>
      </c>
      <c r="X866" t="str">
        <f t="shared" si="65"/>
        <v/>
      </c>
      <c r="Y866" s="42" t="str">
        <f t="shared" si="66"/>
        <v/>
      </c>
      <c r="Z866" s="42" t="str">
        <f t="shared" si="67"/>
        <v/>
      </c>
    </row>
    <row r="867" spans="23:26" x14ac:dyDescent="0.25">
      <c r="W867" t="str">
        <f t="shared" si="64"/>
        <v/>
      </c>
      <c r="X867" t="str">
        <f t="shared" si="65"/>
        <v/>
      </c>
      <c r="Y867" s="42" t="str">
        <f t="shared" si="66"/>
        <v/>
      </c>
      <c r="Z867" s="42" t="str">
        <f t="shared" si="67"/>
        <v/>
      </c>
    </row>
    <row r="868" spans="23:26" x14ac:dyDescent="0.25">
      <c r="W868" t="str">
        <f t="shared" si="64"/>
        <v/>
      </c>
      <c r="X868" t="str">
        <f t="shared" si="65"/>
        <v/>
      </c>
      <c r="Y868" s="42" t="str">
        <f t="shared" si="66"/>
        <v/>
      </c>
      <c r="Z868" s="42" t="str">
        <f t="shared" si="67"/>
        <v/>
      </c>
    </row>
    <row r="869" spans="23:26" x14ac:dyDescent="0.25">
      <c r="W869" t="str">
        <f t="shared" si="64"/>
        <v/>
      </c>
      <c r="X869" t="str">
        <f t="shared" si="65"/>
        <v/>
      </c>
      <c r="Y869" s="42" t="str">
        <f t="shared" si="66"/>
        <v/>
      </c>
      <c r="Z869" s="42" t="str">
        <f t="shared" si="67"/>
        <v/>
      </c>
    </row>
    <row r="870" spans="23:26" x14ac:dyDescent="0.25">
      <c r="W870" t="str">
        <f t="shared" si="64"/>
        <v/>
      </c>
      <c r="X870" t="str">
        <f t="shared" si="65"/>
        <v/>
      </c>
      <c r="Y870" s="42" t="str">
        <f t="shared" si="66"/>
        <v/>
      </c>
      <c r="Z870" s="42" t="str">
        <f t="shared" si="67"/>
        <v/>
      </c>
    </row>
    <row r="871" spans="23:26" x14ac:dyDescent="0.25">
      <c r="W871" t="str">
        <f t="shared" si="64"/>
        <v/>
      </c>
      <c r="X871" t="str">
        <f t="shared" si="65"/>
        <v/>
      </c>
      <c r="Y871" s="42" t="str">
        <f t="shared" si="66"/>
        <v/>
      </c>
      <c r="Z871" s="42" t="str">
        <f t="shared" si="67"/>
        <v/>
      </c>
    </row>
    <row r="872" spans="23:26" x14ac:dyDescent="0.25">
      <c r="W872" t="str">
        <f t="shared" si="64"/>
        <v/>
      </c>
      <c r="X872" t="str">
        <f t="shared" si="65"/>
        <v/>
      </c>
      <c r="Y872" s="42" t="str">
        <f t="shared" si="66"/>
        <v/>
      </c>
      <c r="Z872" s="42" t="str">
        <f t="shared" si="67"/>
        <v/>
      </c>
    </row>
    <row r="873" spans="23:26" x14ac:dyDescent="0.25">
      <c r="W873" t="str">
        <f t="shared" si="64"/>
        <v/>
      </c>
      <c r="X873" t="str">
        <f t="shared" si="65"/>
        <v/>
      </c>
      <c r="Y873" s="42" t="str">
        <f t="shared" si="66"/>
        <v/>
      </c>
      <c r="Z873" s="42" t="str">
        <f t="shared" si="67"/>
        <v/>
      </c>
    </row>
    <row r="874" spans="23:26" x14ac:dyDescent="0.25">
      <c r="W874" t="str">
        <f t="shared" si="64"/>
        <v/>
      </c>
      <c r="X874" t="str">
        <f t="shared" si="65"/>
        <v/>
      </c>
      <c r="Y874" s="42" t="str">
        <f t="shared" si="66"/>
        <v/>
      </c>
      <c r="Z874" s="42" t="str">
        <f t="shared" si="67"/>
        <v/>
      </c>
    </row>
    <row r="875" spans="23:26" x14ac:dyDescent="0.25">
      <c r="W875" t="str">
        <f t="shared" si="64"/>
        <v/>
      </c>
      <c r="X875" t="str">
        <f t="shared" si="65"/>
        <v/>
      </c>
      <c r="Y875" s="42" t="str">
        <f t="shared" si="66"/>
        <v/>
      </c>
      <c r="Z875" s="42" t="str">
        <f t="shared" si="67"/>
        <v/>
      </c>
    </row>
    <row r="876" spans="23:26" x14ac:dyDescent="0.25">
      <c r="W876" t="str">
        <f t="shared" si="64"/>
        <v/>
      </c>
      <c r="X876" t="str">
        <f t="shared" si="65"/>
        <v/>
      </c>
      <c r="Y876" s="42" t="str">
        <f t="shared" si="66"/>
        <v/>
      </c>
      <c r="Z876" s="42" t="str">
        <f t="shared" si="67"/>
        <v/>
      </c>
    </row>
    <row r="877" spans="23:26" x14ac:dyDescent="0.25">
      <c r="W877" t="str">
        <f t="shared" si="64"/>
        <v/>
      </c>
      <c r="X877" t="str">
        <f t="shared" si="65"/>
        <v/>
      </c>
      <c r="Y877" s="42" t="str">
        <f t="shared" si="66"/>
        <v/>
      </c>
      <c r="Z877" s="42" t="str">
        <f t="shared" si="67"/>
        <v/>
      </c>
    </row>
    <row r="878" spans="23:26" x14ac:dyDescent="0.25">
      <c r="W878" t="str">
        <f t="shared" si="64"/>
        <v/>
      </c>
      <c r="X878" t="str">
        <f t="shared" si="65"/>
        <v/>
      </c>
      <c r="Y878" s="42" t="str">
        <f t="shared" si="66"/>
        <v/>
      </c>
      <c r="Z878" s="42" t="str">
        <f t="shared" si="67"/>
        <v/>
      </c>
    </row>
    <row r="879" spans="23:26" x14ac:dyDescent="0.25">
      <c r="W879" t="str">
        <f t="shared" si="64"/>
        <v/>
      </c>
      <c r="X879" t="str">
        <f t="shared" si="65"/>
        <v/>
      </c>
      <c r="Y879" s="42" t="str">
        <f t="shared" si="66"/>
        <v/>
      </c>
      <c r="Z879" s="42" t="str">
        <f t="shared" si="67"/>
        <v/>
      </c>
    </row>
    <row r="880" spans="23:26" x14ac:dyDescent="0.25">
      <c r="W880" t="str">
        <f t="shared" si="64"/>
        <v/>
      </c>
      <c r="X880" t="str">
        <f t="shared" si="65"/>
        <v/>
      </c>
      <c r="Y880" s="42" t="str">
        <f t="shared" si="66"/>
        <v/>
      </c>
      <c r="Z880" s="42" t="str">
        <f t="shared" si="67"/>
        <v/>
      </c>
    </row>
    <row r="881" spans="23:26" x14ac:dyDescent="0.25">
      <c r="W881" t="str">
        <f t="shared" si="64"/>
        <v/>
      </c>
      <c r="X881" t="str">
        <f t="shared" si="65"/>
        <v/>
      </c>
      <c r="Y881" s="42" t="str">
        <f t="shared" si="66"/>
        <v/>
      </c>
      <c r="Z881" s="42" t="str">
        <f t="shared" si="67"/>
        <v/>
      </c>
    </row>
    <row r="882" spans="23:26" x14ac:dyDescent="0.25">
      <c r="W882" t="str">
        <f t="shared" si="64"/>
        <v/>
      </c>
      <c r="X882" t="str">
        <f t="shared" si="65"/>
        <v/>
      </c>
      <c r="Y882" s="42" t="str">
        <f t="shared" si="66"/>
        <v/>
      </c>
      <c r="Z882" s="42" t="str">
        <f t="shared" si="67"/>
        <v/>
      </c>
    </row>
    <row r="883" spans="23:26" x14ac:dyDescent="0.25">
      <c r="W883" t="str">
        <f t="shared" si="64"/>
        <v/>
      </c>
      <c r="X883" t="str">
        <f t="shared" si="65"/>
        <v/>
      </c>
      <c r="Y883" s="42" t="str">
        <f t="shared" si="66"/>
        <v/>
      </c>
      <c r="Z883" s="42" t="str">
        <f t="shared" si="67"/>
        <v/>
      </c>
    </row>
    <row r="884" spans="23:26" x14ac:dyDescent="0.25">
      <c r="W884" t="str">
        <f t="shared" si="64"/>
        <v/>
      </c>
      <c r="X884" t="str">
        <f t="shared" si="65"/>
        <v/>
      </c>
      <c r="Y884" s="42" t="str">
        <f t="shared" si="66"/>
        <v/>
      </c>
      <c r="Z884" s="42" t="str">
        <f t="shared" si="67"/>
        <v/>
      </c>
    </row>
    <row r="885" spans="23:26" x14ac:dyDescent="0.25">
      <c r="W885" t="str">
        <f t="shared" si="64"/>
        <v/>
      </c>
      <c r="X885" t="str">
        <f t="shared" si="65"/>
        <v/>
      </c>
      <c r="Y885" s="42" t="str">
        <f t="shared" si="66"/>
        <v/>
      </c>
      <c r="Z885" s="42" t="str">
        <f t="shared" si="67"/>
        <v/>
      </c>
    </row>
    <row r="886" spans="23:26" x14ac:dyDescent="0.25">
      <c r="W886" t="str">
        <f t="shared" si="64"/>
        <v/>
      </c>
      <c r="X886" t="str">
        <f t="shared" si="65"/>
        <v/>
      </c>
      <c r="Y886" s="42" t="str">
        <f t="shared" si="66"/>
        <v/>
      </c>
      <c r="Z886" s="42" t="str">
        <f t="shared" si="67"/>
        <v/>
      </c>
    </row>
    <row r="887" spans="23:26" x14ac:dyDescent="0.25">
      <c r="W887" t="str">
        <f t="shared" si="64"/>
        <v/>
      </c>
      <c r="X887" t="str">
        <f t="shared" si="65"/>
        <v/>
      </c>
      <c r="Y887" s="42" t="str">
        <f t="shared" si="66"/>
        <v/>
      </c>
      <c r="Z887" s="42" t="str">
        <f t="shared" si="67"/>
        <v/>
      </c>
    </row>
    <row r="888" spans="23:26" x14ac:dyDescent="0.25">
      <c r="W888" t="str">
        <f t="shared" si="64"/>
        <v/>
      </c>
      <c r="X888" t="str">
        <f t="shared" si="65"/>
        <v/>
      </c>
      <c r="Y888" s="42" t="str">
        <f t="shared" si="66"/>
        <v/>
      </c>
      <c r="Z888" s="42" t="str">
        <f t="shared" si="67"/>
        <v/>
      </c>
    </row>
    <row r="889" spans="23:26" x14ac:dyDescent="0.25">
      <c r="W889" t="str">
        <f t="shared" si="64"/>
        <v/>
      </c>
      <c r="X889" t="str">
        <f t="shared" si="65"/>
        <v/>
      </c>
      <c r="Y889" s="42" t="str">
        <f t="shared" si="66"/>
        <v/>
      </c>
      <c r="Z889" s="42" t="str">
        <f t="shared" si="67"/>
        <v/>
      </c>
    </row>
    <row r="890" spans="23:26" x14ac:dyDescent="0.25">
      <c r="W890" t="str">
        <f t="shared" si="64"/>
        <v/>
      </c>
      <c r="X890" t="str">
        <f t="shared" si="65"/>
        <v/>
      </c>
      <c r="Y890" s="42" t="str">
        <f t="shared" si="66"/>
        <v/>
      </c>
      <c r="Z890" s="42" t="str">
        <f t="shared" si="67"/>
        <v/>
      </c>
    </row>
    <row r="891" spans="23:26" x14ac:dyDescent="0.25">
      <c r="W891" t="str">
        <f t="shared" si="64"/>
        <v/>
      </c>
      <c r="X891" t="str">
        <f t="shared" si="65"/>
        <v/>
      </c>
      <c r="Y891" s="42" t="str">
        <f t="shared" si="66"/>
        <v/>
      </c>
      <c r="Z891" s="42" t="str">
        <f t="shared" si="67"/>
        <v/>
      </c>
    </row>
    <row r="892" spans="23:26" x14ac:dyDescent="0.25">
      <c r="W892" t="str">
        <f t="shared" si="64"/>
        <v/>
      </c>
      <c r="X892" t="str">
        <f t="shared" si="65"/>
        <v/>
      </c>
      <c r="Y892" s="42" t="str">
        <f t="shared" si="66"/>
        <v/>
      </c>
      <c r="Z892" s="42" t="str">
        <f t="shared" si="67"/>
        <v/>
      </c>
    </row>
    <row r="893" spans="23:26" x14ac:dyDescent="0.25">
      <c r="W893" t="str">
        <f t="shared" si="64"/>
        <v/>
      </c>
      <c r="X893" t="str">
        <f t="shared" si="65"/>
        <v/>
      </c>
      <c r="Y893" s="42" t="str">
        <f t="shared" si="66"/>
        <v/>
      </c>
      <c r="Z893" s="42" t="str">
        <f t="shared" si="67"/>
        <v/>
      </c>
    </row>
    <row r="894" spans="23:26" x14ac:dyDescent="0.25">
      <c r="W894" t="str">
        <f t="shared" si="64"/>
        <v/>
      </c>
      <c r="X894" t="str">
        <f t="shared" si="65"/>
        <v/>
      </c>
      <c r="Y894" s="42" t="str">
        <f t="shared" si="66"/>
        <v/>
      </c>
      <c r="Z894" s="42" t="str">
        <f t="shared" si="67"/>
        <v/>
      </c>
    </row>
    <row r="895" spans="23:26" x14ac:dyDescent="0.25">
      <c r="W895" t="str">
        <f t="shared" si="64"/>
        <v/>
      </c>
      <c r="X895" t="str">
        <f t="shared" si="65"/>
        <v/>
      </c>
      <c r="Y895" s="42" t="str">
        <f t="shared" si="66"/>
        <v/>
      </c>
      <c r="Z895" s="42" t="str">
        <f t="shared" si="67"/>
        <v/>
      </c>
    </row>
    <row r="896" spans="23:26" x14ac:dyDescent="0.25">
      <c r="W896" t="str">
        <f t="shared" si="64"/>
        <v/>
      </c>
      <c r="X896" t="str">
        <f t="shared" si="65"/>
        <v/>
      </c>
      <c r="Y896" s="42" t="str">
        <f t="shared" si="66"/>
        <v/>
      </c>
      <c r="Z896" s="42" t="str">
        <f t="shared" si="67"/>
        <v/>
      </c>
    </row>
    <row r="897" spans="23:26" x14ac:dyDescent="0.25">
      <c r="W897" t="str">
        <f t="shared" si="64"/>
        <v/>
      </c>
      <c r="X897" t="str">
        <f t="shared" si="65"/>
        <v/>
      </c>
      <c r="Y897" s="42" t="str">
        <f t="shared" si="66"/>
        <v/>
      </c>
      <c r="Z897" s="42" t="str">
        <f t="shared" si="67"/>
        <v/>
      </c>
    </row>
    <row r="898" spans="23:26" x14ac:dyDescent="0.25">
      <c r="W898" t="str">
        <f t="shared" si="64"/>
        <v/>
      </c>
      <c r="X898" t="str">
        <f t="shared" si="65"/>
        <v/>
      </c>
      <c r="Y898" s="42" t="str">
        <f t="shared" si="66"/>
        <v/>
      </c>
      <c r="Z898" s="42" t="str">
        <f t="shared" si="67"/>
        <v/>
      </c>
    </row>
    <row r="899" spans="23:26" x14ac:dyDescent="0.25">
      <c r="W899" t="str">
        <f t="shared" si="64"/>
        <v/>
      </c>
      <c r="X899" t="str">
        <f t="shared" si="65"/>
        <v/>
      </c>
      <c r="Y899" s="42" t="str">
        <f t="shared" si="66"/>
        <v/>
      </c>
      <c r="Z899" s="42" t="str">
        <f t="shared" si="67"/>
        <v/>
      </c>
    </row>
    <row r="900" spans="23:26" x14ac:dyDescent="0.25">
      <c r="W900" t="str">
        <f t="shared" ref="W900:W963" si="68">IF($A900="","",$A900)</f>
        <v/>
      </c>
      <c r="X900" t="str">
        <f t="shared" ref="X900:X963" si="69">IF($A900="","",$C900)</f>
        <v/>
      </c>
      <c r="Y900" s="42" t="str">
        <f t="shared" ref="Y900:Y963" si="70">IF($A900="","",$E900)</f>
        <v/>
      </c>
      <c r="Z900" s="42" t="str">
        <f t="shared" ref="Z900:Z963" si="71">IF($A900="","",IF(ISERROR($G900),0,$G900))</f>
        <v/>
      </c>
    </row>
    <row r="901" spans="23:26" x14ac:dyDescent="0.25">
      <c r="W901" t="str">
        <f t="shared" si="68"/>
        <v/>
      </c>
      <c r="X901" t="str">
        <f t="shared" si="69"/>
        <v/>
      </c>
      <c r="Y901" s="42" t="str">
        <f t="shared" si="70"/>
        <v/>
      </c>
      <c r="Z901" s="42" t="str">
        <f t="shared" si="71"/>
        <v/>
      </c>
    </row>
    <row r="902" spans="23:26" x14ac:dyDescent="0.25">
      <c r="W902" t="str">
        <f t="shared" si="68"/>
        <v/>
      </c>
      <c r="X902" t="str">
        <f t="shared" si="69"/>
        <v/>
      </c>
      <c r="Y902" s="42" t="str">
        <f t="shared" si="70"/>
        <v/>
      </c>
      <c r="Z902" s="42" t="str">
        <f t="shared" si="71"/>
        <v/>
      </c>
    </row>
    <row r="903" spans="23:26" x14ac:dyDescent="0.25">
      <c r="W903" t="str">
        <f t="shared" si="68"/>
        <v/>
      </c>
      <c r="X903" t="str">
        <f t="shared" si="69"/>
        <v/>
      </c>
      <c r="Y903" s="42" t="str">
        <f t="shared" si="70"/>
        <v/>
      </c>
      <c r="Z903" s="42" t="str">
        <f t="shared" si="71"/>
        <v/>
      </c>
    </row>
    <row r="904" spans="23:26" x14ac:dyDescent="0.25">
      <c r="W904" t="str">
        <f t="shared" si="68"/>
        <v/>
      </c>
      <c r="X904" t="str">
        <f t="shared" si="69"/>
        <v/>
      </c>
      <c r="Y904" s="42" t="str">
        <f t="shared" si="70"/>
        <v/>
      </c>
      <c r="Z904" s="42" t="str">
        <f t="shared" si="71"/>
        <v/>
      </c>
    </row>
    <row r="905" spans="23:26" x14ac:dyDescent="0.25">
      <c r="W905" t="str">
        <f t="shared" si="68"/>
        <v/>
      </c>
      <c r="X905" t="str">
        <f t="shared" si="69"/>
        <v/>
      </c>
      <c r="Y905" s="42" t="str">
        <f t="shared" si="70"/>
        <v/>
      </c>
      <c r="Z905" s="42" t="str">
        <f t="shared" si="71"/>
        <v/>
      </c>
    </row>
    <row r="906" spans="23:26" x14ac:dyDescent="0.25">
      <c r="W906" t="str">
        <f t="shared" si="68"/>
        <v/>
      </c>
      <c r="X906" t="str">
        <f t="shared" si="69"/>
        <v/>
      </c>
      <c r="Y906" s="42" t="str">
        <f t="shared" si="70"/>
        <v/>
      </c>
      <c r="Z906" s="42" t="str">
        <f t="shared" si="71"/>
        <v/>
      </c>
    </row>
    <row r="907" spans="23:26" x14ac:dyDescent="0.25">
      <c r="W907" t="str">
        <f t="shared" si="68"/>
        <v/>
      </c>
      <c r="X907" t="str">
        <f t="shared" si="69"/>
        <v/>
      </c>
      <c r="Y907" s="42" t="str">
        <f t="shared" si="70"/>
        <v/>
      </c>
      <c r="Z907" s="42" t="str">
        <f t="shared" si="71"/>
        <v/>
      </c>
    </row>
    <row r="908" spans="23:26" x14ac:dyDescent="0.25">
      <c r="W908" t="str">
        <f t="shared" si="68"/>
        <v/>
      </c>
      <c r="X908" t="str">
        <f t="shared" si="69"/>
        <v/>
      </c>
      <c r="Y908" s="42" t="str">
        <f t="shared" si="70"/>
        <v/>
      </c>
      <c r="Z908" s="42" t="str">
        <f t="shared" si="71"/>
        <v/>
      </c>
    </row>
    <row r="909" spans="23:26" x14ac:dyDescent="0.25">
      <c r="W909" t="str">
        <f t="shared" si="68"/>
        <v/>
      </c>
      <c r="X909" t="str">
        <f t="shared" si="69"/>
        <v/>
      </c>
      <c r="Y909" s="42" t="str">
        <f t="shared" si="70"/>
        <v/>
      </c>
      <c r="Z909" s="42" t="str">
        <f t="shared" si="71"/>
        <v/>
      </c>
    </row>
    <row r="910" spans="23:26" x14ac:dyDescent="0.25">
      <c r="W910" t="str">
        <f t="shared" si="68"/>
        <v/>
      </c>
      <c r="X910" t="str">
        <f t="shared" si="69"/>
        <v/>
      </c>
      <c r="Y910" s="42" t="str">
        <f t="shared" si="70"/>
        <v/>
      </c>
      <c r="Z910" s="42" t="str">
        <f t="shared" si="71"/>
        <v/>
      </c>
    </row>
    <row r="911" spans="23:26" x14ac:dyDescent="0.25">
      <c r="W911" t="str">
        <f t="shared" si="68"/>
        <v/>
      </c>
      <c r="X911" t="str">
        <f t="shared" si="69"/>
        <v/>
      </c>
      <c r="Y911" s="42" t="str">
        <f t="shared" si="70"/>
        <v/>
      </c>
      <c r="Z911" s="42" t="str">
        <f t="shared" si="71"/>
        <v/>
      </c>
    </row>
    <row r="912" spans="23:26" x14ac:dyDescent="0.25">
      <c r="W912" t="str">
        <f t="shared" si="68"/>
        <v/>
      </c>
      <c r="X912" t="str">
        <f t="shared" si="69"/>
        <v/>
      </c>
      <c r="Y912" s="42" t="str">
        <f t="shared" si="70"/>
        <v/>
      </c>
      <c r="Z912" s="42" t="str">
        <f t="shared" si="71"/>
        <v/>
      </c>
    </row>
    <row r="913" spans="23:26" x14ac:dyDescent="0.25">
      <c r="W913" t="str">
        <f t="shared" si="68"/>
        <v/>
      </c>
      <c r="X913" t="str">
        <f t="shared" si="69"/>
        <v/>
      </c>
      <c r="Y913" s="42" t="str">
        <f t="shared" si="70"/>
        <v/>
      </c>
      <c r="Z913" s="42" t="str">
        <f t="shared" si="71"/>
        <v/>
      </c>
    </row>
    <row r="914" spans="23:26" x14ac:dyDescent="0.25">
      <c r="W914" t="str">
        <f t="shared" si="68"/>
        <v/>
      </c>
      <c r="X914" t="str">
        <f t="shared" si="69"/>
        <v/>
      </c>
      <c r="Y914" s="42" t="str">
        <f t="shared" si="70"/>
        <v/>
      </c>
      <c r="Z914" s="42" t="str">
        <f t="shared" si="71"/>
        <v/>
      </c>
    </row>
    <row r="915" spans="23:26" x14ac:dyDescent="0.25">
      <c r="W915" t="str">
        <f t="shared" si="68"/>
        <v/>
      </c>
      <c r="X915" t="str">
        <f t="shared" si="69"/>
        <v/>
      </c>
      <c r="Y915" s="42" t="str">
        <f t="shared" si="70"/>
        <v/>
      </c>
      <c r="Z915" s="42" t="str">
        <f t="shared" si="71"/>
        <v/>
      </c>
    </row>
    <row r="916" spans="23:26" x14ac:dyDescent="0.25">
      <c r="W916" t="str">
        <f t="shared" si="68"/>
        <v/>
      </c>
      <c r="X916" t="str">
        <f t="shared" si="69"/>
        <v/>
      </c>
      <c r="Y916" s="42" t="str">
        <f t="shared" si="70"/>
        <v/>
      </c>
      <c r="Z916" s="42" t="str">
        <f t="shared" si="71"/>
        <v/>
      </c>
    </row>
    <row r="917" spans="23:26" x14ac:dyDescent="0.25">
      <c r="W917" t="str">
        <f t="shared" si="68"/>
        <v/>
      </c>
      <c r="X917" t="str">
        <f t="shared" si="69"/>
        <v/>
      </c>
      <c r="Y917" s="42" t="str">
        <f t="shared" si="70"/>
        <v/>
      </c>
      <c r="Z917" s="42" t="str">
        <f t="shared" si="71"/>
        <v/>
      </c>
    </row>
    <row r="918" spans="23:26" x14ac:dyDescent="0.25">
      <c r="W918" t="str">
        <f t="shared" si="68"/>
        <v/>
      </c>
      <c r="X918" t="str">
        <f t="shared" si="69"/>
        <v/>
      </c>
      <c r="Y918" s="42" t="str">
        <f t="shared" si="70"/>
        <v/>
      </c>
      <c r="Z918" s="42" t="str">
        <f t="shared" si="71"/>
        <v/>
      </c>
    </row>
    <row r="919" spans="23:26" x14ac:dyDescent="0.25">
      <c r="W919" t="str">
        <f t="shared" si="68"/>
        <v/>
      </c>
      <c r="X919" t="str">
        <f t="shared" si="69"/>
        <v/>
      </c>
      <c r="Y919" s="42" t="str">
        <f t="shared" si="70"/>
        <v/>
      </c>
      <c r="Z919" s="42" t="str">
        <f t="shared" si="71"/>
        <v/>
      </c>
    </row>
    <row r="920" spans="23:26" x14ac:dyDescent="0.25">
      <c r="W920" t="str">
        <f t="shared" si="68"/>
        <v/>
      </c>
      <c r="X920" t="str">
        <f t="shared" si="69"/>
        <v/>
      </c>
      <c r="Y920" s="42" t="str">
        <f t="shared" si="70"/>
        <v/>
      </c>
      <c r="Z920" s="42" t="str">
        <f t="shared" si="71"/>
        <v/>
      </c>
    </row>
    <row r="921" spans="23:26" x14ac:dyDescent="0.25">
      <c r="W921" t="str">
        <f t="shared" si="68"/>
        <v/>
      </c>
      <c r="X921" t="str">
        <f t="shared" si="69"/>
        <v/>
      </c>
      <c r="Y921" s="42" t="str">
        <f t="shared" si="70"/>
        <v/>
      </c>
      <c r="Z921" s="42" t="str">
        <f t="shared" si="71"/>
        <v/>
      </c>
    </row>
    <row r="922" spans="23:26" x14ac:dyDescent="0.25">
      <c r="W922" t="str">
        <f t="shared" si="68"/>
        <v/>
      </c>
      <c r="X922" t="str">
        <f t="shared" si="69"/>
        <v/>
      </c>
      <c r="Y922" s="42" t="str">
        <f t="shared" si="70"/>
        <v/>
      </c>
      <c r="Z922" s="42" t="str">
        <f t="shared" si="71"/>
        <v/>
      </c>
    </row>
    <row r="923" spans="23:26" x14ac:dyDescent="0.25">
      <c r="W923" t="str">
        <f t="shared" si="68"/>
        <v/>
      </c>
      <c r="X923" t="str">
        <f t="shared" si="69"/>
        <v/>
      </c>
      <c r="Y923" s="42" t="str">
        <f t="shared" si="70"/>
        <v/>
      </c>
      <c r="Z923" s="42" t="str">
        <f t="shared" si="71"/>
        <v/>
      </c>
    </row>
    <row r="924" spans="23:26" x14ac:dyDescent="0.25">
      <c r="W924" t="str">
        <f t="shared" si="68"/>
        <v/>
      </c>
      <c r="X924" t="str">
        <f t="shared" si="69"/>
        <v/>
      </c>
      <c r="Y924" s="42" t="str">
        <f t="shared" si="70"/>
        <v/>
      </c>
      <c r="Z924" s="42" t="str">
        <f t="shared" si="71"/>
        <v/>
      </c>
    </row>
    <row r="925" spans="23:26" x14ac:dyDescent="0.25">
      <c r="W925" t="str">
        <f t="shared" si="68"/>
        <v/>
      </c>
      <c r="X925" t="str">
        <f t="shared" si="69"/>
        <v/>
      </c>
      <c r="Y925" s="42" t="str">
        <f t="shared" si="70"/>
        <v/>
      </c>
      <c r="Z925" s="42" t="str">
        <f t="shared" si="71"/>
        <v/>
      </c>
    </row>
    <row r="926" spans="23:26" x14ac:dyDescent="0.25">
      <c r="W926" t="str">
        <f t="shared" si="68"/>
        <v/>
      </c>
      <c r="X926" t="str">
        <f t="shared" si="69"/>
        <v/>
      </c>
      <c r="Y926" s="42" t="str">
        <f t="shared" si="70"/>
        <v/>
      </c>
      <c r="Z926" s="42" t="str">
        <f t="shared" si="71"/>
        <v/>
      </c>
    </row>
    <row r="927" spans="23:26" x14ac:dyDescent="0.25">
      <c r="W927" t="str">
        <f t="shared" si="68"/>
        <v/>
      </c>
      <c r="X927" t="str">
        <f t="shared" si="69"/>
        <v/>
      </c>
      <c r="Y927" s="42" t="str">
        <f t="shared" si="70"/>
        <v/>
      </c>
      <c r="Z927" s="42" t="str">
        <f t="shared" si="71"/>
        <v/>
      </c>
    </row>
    <row r="928" spans="23:26" x14ac:dyDescent="0.25">
      <c r="W928" t="str">
        <f t="shared" si="68"/>
        <v/>
      </c>
      <c r="X928" t="str">
        <f t="shared" si="69"/>
        <v/>
      </c>
      <c r="Y928" s="42" t="str">
        <f t="shared" si="70"/>
        <v/>
      </c>
      <c r="Z928" s="42" t="str">
        <f t="shared" si="71"/>
        <v/>
      </c>
    </row>
    <row r="929" spans="23:26" x14ac:dyDescent="0.25">
      <c r="W929" t="str">
        <f t="shared" si="68"/>
        <v/>
      </c>
      <c r="X929" t="str">
        <f t="shared" si="69"/>
        <v/>
      </c>
      <c r="Y929" s="42" t="str">
        <f t="shared" si="70"/>
        <v/>
      </c>
      <c r="Z929" s="42" t="str">
        <f t="shared" si="71"/>
        <v/>
      </c>
    </row>
    <row r="930" spans="23:26" x14ac:dyDescent="0.25">
      <c r="W930" t="str">
        <f t="shared" si="68"/>
        <v/>
      </c>
      <c r="X930" t="str">
        <f t="shared" si="69"/>
        <v/>
      </c>
      <c r="Y930" s="42" t="str">
        <f t="shared" si="70"/>
        <v/>
      </c>
      <c r="Z930" s="42" t="str">
        <f t="shared" si="71"/>
        <v/>
      </c>
    </row>
    <row r="931" spans="23:26" x14ac:dyDescent="0.25">
      <c r="W931" t="str">
        <f t="shared" si="68"/>
        <v/>
      </c>
      <c r="X931" t="str">
        <f t="shared" si="69"/>
        <v/>
      </c>
      <c r="Y931" s="42" t="str">
        <f t="shared" si="70"/>
        <v/>
      </c>
      <c r="Z931" s="42" t="str">
        <f t="shared" si="71"/>
        <v/>
      </c>
    </row>
    <row r="932" spans="23:26" x14ac:dyDescent="0.25">
      <c r="W932" t="str">
        <f t="shared" si="68"/>
        <v/>
      </c>
      <c r="X932" t="str">
        <f t="shared" si="69"/>
        <v/>
      </c>
      <c r="Y932" s="42" t="str">
        <f t="shared" si="70"/>
        <v/>
      </c>
      <c r="Z932" s="42" t="str">
        <f t="shared" si="71"/>
        <v/>
      </c>
    </row>
    <row r="933" spans="23:26" x14ac:dyDescent="0.25">
      <c r="W933" t="str">
        <f t="shared" si="68"/>
        <v/>
      </c>
      <c r="X933" t="str">
        <f t="shared" si="69"/>
        <v/>
      </c>
      <c r="Y933" s="42" t="str">
        <f t="shared" si="70"/>
        <v/>
      </c>
      <c r="Z933" s="42" t="str">
        <f t="shared" si="71"/>
        <v/>
      </c>
    </row>
    <row r="934" spans="23:26" x14ac:dyDescent="0.25">
      <c r="W934" t="str">
        <f t="shared" si="68"/>
        <v/>
      </c>
      <c r="X934" t="str">
        <f t="shared" si="69"/>
        <v/>
      </c>
      <c r="Y934" s="42" t="str">
        <f t="shared" si="70"/>
        <v/>
      </c>
      <c r="Z934" s="42" t="str">
        <f t="shared" si="71"/>
        <v/>
      </c>
    </row>
    <row r="935" spans="23:26" x14ac:dyDescent="0.25">
      <c r="W935" t="str">
        <f t="shared" si="68"/>
        <v/>
      </c>
      <c r="X935" t="str">
        <f t="shared" si="69"/>
        <v/>
      </c>
      <c r="Y935" s="42" t="str">
        <f t="shared" si="70"/>
        <v/>
      </c>
      <c r="Z935" s="42" t="str">
        <f t="shared" si="71"/>
        <v/>
      </c>
    </row>
    <row r="936" spans="23:26" x14ac:dyDescent="0.25">
      <c r="W936" t="str">
        <f t="shared" si="68"/>
        <v/>
      </c>
      <c r="X936" t="str">
        <f t="shared" si="69"/>
        <v/>
      </c>
      <c r="Y936" s="42" t="str">
        <f t="shared" si="70"/>
        <v/>
      </c>
      <c r="Z936" s="42" t="str">
        <f t="shared" si="71"/>
        <v/>
      </c>
    </row>
    <row r="937" spans="23:26" x14ac:dyDescent="0.25">
      <c r="W937" t="str">
        <f t="shared" si="68"/>
        <v/>
      </c>
      <c r="X937" t="str">
        <f t="shared" si="69"/>
        <v/>
      </c>
      <c r="Y937" s="42" t="str">
        <f t="shared" si="70"/>
        <v/>
      </c>
      <c r="Z937" s="42" t="str">
        <f t="shared" si="71"/>
        <v/>
      </c>
    </row>
    <row r="938" spans="23:26" x14ac:dyDescent="0.25">
      <c r="W938" t="str">
        <f t="shared" si="68"/>
        <v/>
      </c>
      <c r="X938" t="str">
        <f t="shared" si="69"/>
        <v/>
      </c>
      <c r="Y938" s="42" t="str">
        <f t="shared" si="70"/>
        <v/>
      </c>
      <c r="Z938" s="42" t="str">
        <f t="shared" si="71"/>
        <v/>
      </c>
    </row>
    <row r="939" spans="23:26" x14ac:dyDescent="0.25">
      <c r="W939" t="str">
        <f t="shared" si="68"/>
        <v/>
      </c>
      <c r="X939" t="str">
        <f t="shared" si="69"/>
        <v/>
      </c>
      <c r="Y939" s="42" t="str">
        <f t="shared" si="70"/>
        <v/>
      </c>
      <c r="Z939" s="42" t="str">
        <f t="shared" si="71"/>
        <v/>
      </c>
    </row>
    <row r="940" spans="23:26" x14ac:dyDescent="0.25">
      <c r="W940" t="str">
        <f t="shared" si="68"/>
        <v/>
      </c>
      <c r="X940" t="str">
        <f t="shared" si="69"/>
        <v/>
      </c>
      <c r="Y940" s="42" t="str">
        <f t="shared" si="70"/>
        <v/>
      </c>
      <c r="Z940" s="42" t="str">
        <f t="shared" si="71"/>
        <v/>
      </c>
    </row>
    <row r="941" spans="23:26" x14ac:dyDescent="0.25">
      <c r="W941" t="str">
        <f t="shared" si="68"/>
        <v/>
      </c>
      <c r="X941" t="str">
        <f t="shared" si="69"/>
        <v/>
      </c>
      <c r="Y941" s="42" t="str">
        <f t="shared" si="70"/>
        <v/>
      </c>
      <c r="Z941" s="42" t="str">
        <f t="shared" si="71"/>
        <v/>
      </c>
    </row>
    <row r="942" spans="23:26" x14ac:dyDescent="0.25">
      <c r="W942" t="str">
        <f t="shared" si="68"/>
        <v/>
      </c>
      <c r="X942" t="str">
        <f t="shared" si="69"/>
        <v/>
      </c>
      <c r="Y942" s="42" t="str">
        <f t="shared" si="70"/>
        <v/>
      </c>
      <c r="Z942" s="42" t="str">
        <f t="shared" si="71"/>
        <v/>
      </c>
    </row>
    <row r="943" spans="23:26" x14ac:dyDescent="0.25">
      <c r="W943" t="str">
        <f t="shared" si="68"/>
        <v/>
      </c>
      <c r="X943" t="str">
        <f t="shared" si="69"/>
        <v/>
      </c>
      <c r="Y943" s="42" t="str">
        <f t="shared" si="70"/>
        <v/>
      </c>
      <c r="Z943" s="42" t="str">
        <f t="shared" si="71"/>
        <v/>
      </c>
    </row>
    <row r="944" spans="23:26" x14ac:dyDescent="0.25">
      <c r="W944" t="str">
        <f t="shared" si="68"/>
        <v/>
      </c>
      <c r="X944" t="str">
        <f t="shared" si="69"/>
        <v/>
      </c>
      <c r="Y944" s="42" t="str">
        <f t="shared" si="70"/>
        <v/>
      </c>
      <c r="Z944" s="42" t="str">
        <f t="shared" si="71"/>
        <v/>
      </c>
    </row>
    <row r="945" spans="23:26" x14ac:dyDescent="0.25">
      <c r="W945" t="str">
        <f t="shared" si="68"/>
        <v/>
      </c>
      <c r="X945" t="str">
        <f t="shared" si="69"/>
        <v/>
      </c>
      <c r="Y945" s="42" t="str">
        <f t="shared" si="70"/>
        <v/>
      </c>
      <c r="Z945" s="42" t="str">
        <f t="shared" si="71"/>
        <v/>
      </c>
    </row>
    <row r="946" spans="23:26" x14ac:dyDescent="0.25">
      <c r="W946" t="str">
        <f t="shared" si="68"/>
        <v/>
      </c>
      <c r="X946" t="str">
        <f t="shared" si="69"/>
        <v/>
      </c>
      <c r="Y946" s="42" t="str">
        <f t="shared" si="70"/>
        <v/>
      </c>
      <c r="Z946" s="42" t="str">
        <f t="shared" si="71"/>
        <v/>
      </c>
    </row>
    <row r="947" spans="23:26" x14ac:dyDescent="0.25">
      <c r="W947" t="str">
        <f t="shared" si="68"/>
        <v/>
      </c>
      <c r="X947" t="str">
        <f t="shared" si="69"/>
        <v/>
      </c>
      <c r="Y947" s="42" t="str">
        <f t="shared" si="70"/>
        <v/>
      </c>
      <c r="Z947" s="42" t="str">
        <f t="shared" si="71"/>
        <v/>
      </c>
    </row>
    <row r="948" spans="23:26" x14ac:dyDescent="0.25">
      <c r="W948" t="str">
        <f t="shared" si="68"/>
        <v/>
      </c>
      <c r="X948" t="str">
        <f t="shared" si="69"/>
        <v/>
      </c>
      <c r="Y948" s="42" t="str">
        <f t="shared" si="70"/>
        <v/>
      </c>
      <c r="Z948" s="42" t="str">
        <f t="shared" si="71"/>
        <v/>
      </c>
    </row>
    <row r="949" spans="23:26" x14ac:dyDescent="0.25">
      <c r="W949" t="str">
        <f t="shared" si="68"/>
        <v/>
      </c>
      <c r="X949" t="str">
        <f t="shared" si="69"/>
        <v/>
      </c>
      <c r="Y949" s="42" t="str">
        <f t="shared" si="70"/>
        <v/>
      </c>
      <c r="Z949" s="42" t="str">
        <f t="shared" si="71"/>
        <v/>
      </c>
    </row>
    <row r="950" spans="23:26" x14ac:dyDescent="0.25">
      <c r="W950" t="str">
        <f t="shared" si="68"/>
        <v/>
      </c>
      <c r="X950" t="str">
        <f t="shared" si="69"/>
        <v/>
      </c>
      <c r="Y950" s="42" t="str">
        <f t="shared" si="70"/>
        <v/>
      </c>
      <c r="Z950" s="42" t="str">
        <f t="shared" si="71"/>
        <v/>
      </c>
    </row>
    <row r="951" spans="23:26" x14ac:dyDescent="0.25">
      <c r="W951" t="str">
        <f t="shared" si="68"/>
        <v/>
      </c>
      <c r="X951" t="str">
        <f t="shared" si="69"/>
        <v/>
      </c>
      <c r="Y951" s="42" t="str">
        <f t="shared" si="70"/>
        <v/>
      </c>
      <c r="Z951" s="42" t="str">
        <f t="shared" si="71"/>
        <v/>
      </c>
    </row>
    <row r="952" spans="23:26" x14ac:dyDescent="0.25">
      <c r="W952" t="str">
        <f t="shared" si="68"/>
        <v/>
      </c>
      <c r="X952" t="str">
        <f t="shared" si="69"/>
        <v/>
      </c>
      <c r="Y952" s="42" t="str">
        <f t="shared" si="70"/>
        <v/>
      </c>
      <c r="Z952" s="42" t="str">
        <f t="shared" si="71"/>
        <v/>
      </c>
    </row>
    <row r="953" spans="23:26" x14ac:dyDescent="0.25">
      <c r="W953" t="str">
        <f t="shared" si="68"/>
        <v/>
      </c>
      <c r="X953" t="str">
        <f t="shared" si="69"/>
        <v/>
      </c>
      <c r="Y953" s="42" t="str">
        <f t="shared" si="70"/>
        <v/>
      </c>
      <c r="Z953" s="42" t="str">
        <f t="shared" si="71"/>
        <v/>
      </c>
    </row>
    <row r="954" spans="23:26" x14ac:dyDescent="0.25">
      <c r="W954" t="str">
        <f t="shared" si="68"/>
        <v/>
      </c>
      <c r="X954" t="str">
        <f t="shared" si="69"/>
        <v/>
      </c>
      <c r="Y954" s="42" t="str">
        <f t="shared" si="70"/>
        <v/>
      </c>
      <c r="Z954" s="42" t="str">
        <f t="shared" si="71"/>
        <v/>
      </c>
    </row>
    <row r="955" spans="23:26" x14ac:dyDescent="0.25">
      <c r="W955" t="str">
        <f t="shared" si="68"/>
        <v/>
      </c>
      <c r="X955" t="str">
        <f t="shared" si="69"/>
        <v/>
      </c>
      <c r="Y955" s="42" t="str">
        <f t="shared" si="70"/>
        <v/>
      </c>
      <c r="Z955" s="42" t="str">
        <f t="shared" si="71"/>
        <v/>
      </c>
    </row>
    <row r="956" spans="23:26" x14ac:dyDescent="0.25">
      <c r="W956" t="str">
        <f t="shared" si="68"/>
        <v/>
      </c>
      <c r="X956" t="str">
        <f t="shared" si="69"/>
        <v/>
      </c>
      <c r="Y956" s="42" t="str">
        <f t="shared" si="70"/>
        <v/>
      </c>
      <c r="Z956" s="42" t="str">
        <f t="shared" si="71"/>
        <v/>
      </c>
    </row>
    <row r="957" spans="23:26" x14ac:dyDescent="0.25">
      <c r="W957" t="str">
        <f t="shared" si="68"/>
        <v/>
      </c>
      <c r="X957" t="str">
        <f t="shared" si="69"/>
        <v/>
      </c>
      <c r="Y957" s="42" t="str">
        <f t="shared" si="70"/>
        <v/>
      </c>
      <c r="Z957" s="42" t="str">
        <f t="shared" si="71"/>
        <v/>
      </c>
    </row>
    <row r="958" spans="23:26" x14ac:dyDescent="0.25">
      <c r="W958" t="str">
        <f t="shared" si="68"/>
        <v/>
      </c>
      <c r="X958" t="str">
        <f t="shared" si="69"/>
        <v/>
      </c>
      <c r="Y958" s="42" t="str">
        <f t="shared" si="70"/>
        <v/>
      </c>
      <c r="Z958" s="42" t="str">
        <f t="shared" si="71"/>
        <v/>
      </c>
    </row>
    <row r="959" spans="23:26" x14ac:dyDescent="0.25">
      <c r="W959" t="str">
        <f t="shared" si="68"/>
        <v/>
      </c>
      <c r="X959" t="str">
        <f t="shared" si="69"/>
        <v/>
      </c>
      <c r="Y959" s="42" t="str">
        <f t="shared" si="70"/>
        <v/>
      </c>
      <c r="Z959" s="42" t="str">
        <f t="shared" si="71"/>
        <v/>
      </c>
    </row>
    <row r="960" spans="23:26" x14ac:dyDescent="0.25">
      <c r="W960" t="str">
        <f t="shared" si="68"/>
        <v/>
      </c>
      <c r="X960" t="str">
        <f t="shared" si="69"/>
        <v/>
      </c>
      <c r="Y960" s="42" t="str">
        <f t="shared" si="70"/>
        <v/>
      </c>
      <c r="Z960" s="42" t="str">
        <f t="shared" si="71"/>
        <v/>
      </c>
    </row>
    <row r="961" spans="23:26" x14ac:dyDescent="0.25">
      <c r="W961" t="str">
        <f t="shared" si="68"/>
        <v/>
      </c>
      <c r="X961" t="str">
        <f t="shared" si="69"/>
        <v/>
      </c>
      <c r="Y961" s="42" t="str">
        <f t="shared" si="70"/>
        <v/>
      </c>
      <c r="Z961" s="42" t="str">
        <f t="shared" si="71"/>
        <v/>
      </c>
    </row>
    <row r="962" spans="23:26" x14ac:dyDescent="0.25">
      <c r="W962" t="str">
        <f t="shared" si="68"/>
        <v/>
      </c>
      <c r="X962" t="str">
        <f t="shared" si="69"/>
        <v/>
      </c>
      <c r="Y962" s="42" t="str">
        <f t="shared" si="70"/>
        <v/>
      </c>
      <c r="Z962" s="42" t="str">
        <f t="shared" si="71"/>
        <v/>
      </c>
    </row>
    <row r="963" spans="23:26" x14ac:dyDescent="0.25">
      <c r="W963" t="str">
        <f t="shared" si="68"/>
        <v/>
      </c>
      <c r="X963" t="str">
        <f t="shared" si="69"/>
        <v/>
      </c>
      <c r="Y963" s="42" t="str">
        <f t="shared" si="70"/>
        <v/>
      </c>
      <c r="Z963" s="42" t="str">
        <f t="shared" si="71"/>
        <v/>
      </c>
    </row>
    <row r="964" spans="23:26" x14ac:dyDescent="0.25">
      <c r="W964" t="str">
        <f t="shared" ref="W964:W1027" si="72">IF($A964="","",$A964)</f>
        <v/>
      </c>
      <c r="X964" t="str">
        <f t="shared" ref="X964:X1027" si="73">IF($A964="","",$C964)</f>
        <v/>
      </c>
      <c r="Y964" s="42" t="str">
        <f t="shared" ref="Y964:Y1027" si="74">IF($A964="","",$E964)</f>
        <v/>
      </c>
      <c r="Z964" s="42" t="str">
        <f t="shared" ref="Z964:Z1027" si="75">IF($A964="","",IF(ISERROR($G964),0,$G964))</f>
        <v/>
      </c>
    </row>
    <row r="965" spans="23:26" x14ac:dyDescent="0.25">
      <c r="W965" t="str">
        <f t="shared" si="72"/>
        <v/>
      </c>
      <c r="X965" t="str">
        <f t="shared" si="73"/>
        <v/>
      </c>
      <c r="Y965" s="42" t="str">
        <f t="shared" si="74"/>
        <v/>
      </c>
      <c r="Z965" s="42" t="str">
        <f t="shared" si="75"/>
        <v/>
      </c>
    </row>
    <row r="966" spans="23:26" x14ac:dyDescent="0.25">
      <c r="W966" t="str">
        <f t="shared" si="72"/>
        <v/>
      </c>
      <c r="X966" t="str">
        <f t="shared" si="73"/>
        <v/>
      </c>
      <c r="Y966" s="42" t="str">
        <f t="shared" si="74"/>
        <v/>
      </c>
      <c r="Z966" s="42" t="str">
        <f t="shared" si="75"/>
        <v/>
      </c>
    </row>
    <row r="967" spans="23:26" x14ac:dyDescent="0.25">
      <c r="W967" t="str">
        <f t="shared" si="72"/>
        <v/>
      </c>
      <c r="X967" t="str">
        <f t="shared" si="73"/>
        <v/>
      </c>
      <c r="Y967" s="42" t="str">
        <f t="shared" si="74"/>
        <v/>
      </c>
      <c r="Z967" s="42" t="str">
        <f t="shared" si="75"/>
        <v/>
      </c>
    </row>
    <row r="968" spans="23:26" x14ac:dyDescent="0.25">
      <c r="W968" t="str">
        <f t="shared" si="72"/>
        <v/>
      </c>
      <c r="X968" t="str">
        <f t="shared" si="73"/>
        <v/>
      </c>
      <c r="Y968" s="42" t="str">
        <f t="shared" si="74"/>
        <v/>
      </c>
      <c r="Z968" s="42" t="str">
        <f t="shared" si="75"/>
        <v/>
      </c>
    </row>
    <row r="969" spans="23:26" x14ac:dyDescent="0.25">
      <c r="W969" t="str">
        <f t="shared" si="72"/>
        <v/>
      </c>
      <c r="X969" t="str">
        <f t="shared" si="73"/>
        <v/>
      </c>
      <c r="Y969" s="42" t="str">
        <f t="shared" si="74"/>
        <v/>
      </c>
      <c r="Z969" s="42" t="str">
        <f t="shared" si="75"/>
        <v/>
      </c>
    </row>
    <row r="970" spans="23:26" x14ac:dyDescent="0.25">
      <c r="W970" t="str">
        <f t="shared" si="72"/>
        <v/>
      </c>
      <c r="X970" t="str">
        <f t="shared" si="73"/>
        <v/>
      </c>
      <c r="Y970" s="42" t="str">
        <f t="shared" si="74"/>
        <v/>
      </c>
      <c r="Z970" s="42" t="str">
        <f t="shared" si="75"/>
        <v/>
      </c>
    </row>
    <row r="971" spans="23:26" x14ac:dyDescent="0.25">
      <c r="W971" t="str">
        <f t="shared" si="72"/>
        <v/>
      </c>
      <c r="X971" t="str">
        <f t="shared" si="73"/>
        <v/>
      </c>
      <c r="Y971" s="42" t="str">
        <f t="shared" si="74"/>
        <v/>
      </c>
      <c r="Z971" s="42" t="str">
        <f t="shared" si="75"/>
        <v/>
      </c>
    </row>
    <row r="972" spans="23:26" x14ac:dyDescent="0.25">
      <c r="W972" t="str">
        <f t="shared" si="72"/>
        <v/>
      </c>
      <c r="X972" t="str">
        <f t="shared" si="73"/>
        <v/>
      </c>
      <c r="Y972" s="42" t="str">
        <f t="shared" si="74"/>
        <v/>
      </c>
      <c r="Z972" s="42" t="str">
        <f t="shared" si="75"/>
        <v/>
      </c>
    </row>
    <row r="973" spans="23:26" x14ac:dyDescent="0.25">
      <c r="W973" t="str">
        <f t="shared" si="72"/>
        <v/>
      </c>
      <c r="X973" t="str">
        <f t="shared" si="73"/>
        <v/>
      </c>
      <c r="Y973" s="42" t="str">
        <f t="shared" si="74"/>
        <v/>
      </c>
      <c r="Z973" s="42" t="str">
        <f t="shared" si="75"/>
        <v/>
      </c>
    </row>
    <row r="974" spans="23:26" x14ac:dyDescent="0.25">
      <c r="W974" t="str">
        <f t="shared" si="72"/>
        <v/>
      </c>
      <c r="X974" t="str">
        <f t="shared" si="73"/>
        <v/>
      </c>
      <c r="Y974" s="42" t="str">
        <f t="shared" si="74"/>
        <v/>
      </c>
      <c r="Z974" s="42" t="str">
        <f t="shared" si="75"/>
        <v/>
      </c>
    </row>
    <row r="975" spans="23:26" x14ac:dyDescent="0.25">
      <c r="W975" t="str">
        <f t="shared" si="72"/>
        <v/>
      </c>
      <c r="X975" t="str">
        <f t="shared" si="73"/>
        <v/>
      </c>
      <c r="Y975" s="42" t="str">
        <f t="shared" si="74"/>
        <v/>
      </c>
      <c r="Z975" s="42" t="str">
        <f t="shared" si="75"/>
        <v/>
      </c>
    </row>
    <row r="976" spans="23:26" x14ac:dyDescent="0.25">
      <c r="W976" t="str">
        <f t="shared" si="72"/>
        <v/>
      </c>
      <c r="X976" t="str">
        <f t="shared" si="73"/>
        <v/>
      </c>
      <c r="Y976" s="42" t="str">
        <f t="shared" si="74"/>
        <v/>
      </c>
      <c r="Z976" s="42" t="str">
        <f t="shared" si="75"/>
        <v/>
      </c>
    </row>
    <row r="977" spans="23:26" x14ac:dyDescent="0.25">
      <c r="W977" t="str">
        <f t="shared" si="72"/>
        <v/>
      </c>
      <c r="X977" t="str">
        <f t="shared" si="73"/>
        <v/>
      </c>
      <c r="Y977" s="42" t="str">
        <f t="shared" si="74"/>
        <v/>
      </c>
      <c r="Z977" s="42" t="str">
        <f t="shared" si="75"/>
        <v/>
      </c>
    </row>
    <row r="978" spans="23:26" x14ac:dyDescent="0.25">
      <c r="W978" t="str">
        <f t="shared" si="72"/>
        <v/>
      </c>
      <c r="X978" t="str">
        <f t="shared" si="73"/>
        <v/>
      </c>
      <c r="Y978" s="42" t="str">
        <f t="shared" si="74"/>
        <v/>
      </c>
      <c r="Z978" s="42" t="str">
        <f t="shared" si="75"/>
        <v/>
      </c>
    </row>
    <row r="979" spans="23:26" x14ac:dyDescent="0.25">
      <c r="W979" t="str">
        <f t="shared" si="72"/>
        <v/>
      </c>
      <c r="X979" t="str">
        <f t="shared" si="73"/>
        <v/>
      </c>
      <c r="Y979" s="42" t="str">
        <f t="shared" si="74"/>
        <v/>
      </c>
      <c r="Z979" s="42" t="str">
        <f t="shared" si="75"/>
        <v/>
      </c>
    </row>
    <row r="980" spans="23:26" x14ac:dyDescent="0.25">
      <c r="W980" t="str">
        <f t="shared" si="72"/>
        <v/>
      </c>
      <c r="X980" t="str">
        <f t="shared" si="73"/>
        <v/>
      </c>
      <c r="Y980" s="42" t="str">
        <f t="shared" si="74"/>
        <v/>
      </c>
      <c r="Z980" s="42" t="str">
        <f t="shared" si="75"/>
        <v/>
      </c>
    </row>
    <row r="981" spans="23:26" x14ac:dyDescent="0.25">
      <c r="W981" t="str">
        <f t="shared" si="72"/>
        <v/>
      </c>
      <c r="X981" t="str">
        <f t="shared" si="73"/>
        <v/>
      </c>
      <c r="Y981" s="42" t="str">
        <f t="shared" si="74"/>
        <v/>
      </c>
      <c r="Z981" s="42" t="str">
        <f t="shared" si="75"/>
        <v/>
      </c>
    </row>
    <row r="982" spans="23:26" x14ac:dyDescent="0.25">
      <c r="W982" t="str">
        <f t="shared" si="72"/>
        <v/>
      </c>
      <c r="X982" t="str">
        <f t="shared" si="73"/>
        <v/>
      </c>
      <c r="Y982" s="42" t="str">
        <f t="shared" si="74"/>
        <v/>
      </c>
      <c r="Z982" s="42" t="str">
        <f t="shared" si="75"/>
        <v/>
      </c>
    </row>
    <row r="983" spans="23:26" x14ac:dyDescent="0.25">
      <c r="W983" t="str">
        <f t="shared" si="72"/>
        <v/>
      </c>
      <c r="X983" t="str">
        <f t="shared" si="73"/>
        <v/>
      </c>
      <c r="Y983" s="42" t="str">
        <f t="shared" si="74"/>
        <v/>
      </c>
      <c r="Z983" s="42" t="str">
        <f t="shared" si="75"/>
        <v/>
      </c>
    </row>
    <row r="984" spans="23:26" x14ac:dyDescent="0.25">
      <c r="W984" t="str">
        <f t="shared" si="72"/>
        <v/>
      </c>
      <c r="X984" t="str">
        <f t="shared" si="73"/>
        <v/>
      </c>
      <c r="Y984" s="42" t="str">
        <f t="shared" si="74"/>
        <v/>
      </c>
      <c r="Z984" s="42" t="str">
        <f t="shared" si="75"/>
        <v/>
      </c>
    </row>
    <row r="985" spans="23:26" x14ac:dyDescent="0.25">
      <c r="W985" t="str">
        <f t="shared" si="72"/>
        <v/>
      </c>
      <c r="X985" t="str">
        <f t="shared" si="73"/>
        <v/>
      </c>
      <c r="Y985" s="42" t="str">
        <f t="shared" si="74"/>
        <v/>
      </c>
      <c r="Z985" s="42" t="str">
        <f t="shared" si="75"/>
        <v/>
      </c>
    </row>
    <row r="986" spans="23:26" x14ac:dyDescent="0.25">
      <c r="W986" t="str">
        <f t="shared" si="72"/>
        <v/>
      </c>
      <c r="X986" t="str">
        <f t="shared" si="73"/>
        <v/>
      </c>
      <c r="Y986" s="42" t="str">
        <f t="shared" si="74"/>
        <v/>
      </c>
      <c r="Z986" s="42" t="str">
        <f t="shared" si="75"/>
        <v/>
      </c>
    </row>
    <row r="987" spans="23:26" x14ac:dyDescent="0.25">
      <c r="W987" t="str">
        <f t="shared" si="72"/>
        <v/>
      </c>
      <c r="X987" t="str">
        <f t="shared" si="73"/>
        <v/>
      </c>
      <c r="Y987" s="42" t="str">
        <f t="shared" si="74"/>
        <v/>
      </c>
      <c r="Z987" s="42" t="str">
        <f t="shared" si="75"/>
        <v/>
      </c>
    </row>
    <row r="988" spans="23:26" x14ac:dyDescent="0.25">
      <c r="W988" t="str">
        <f t="shared" si="72"/>
        <v/>
      </c>
      <c r="X988" t="str">
        <f t="shared" si="73"/>
        <v/>
      </c>
      <c r="Y988" s="42" t="str">
        <f t="shared" si="74"/>
        <v/>
      </c>
      <c r="Z988" s="42" t="str">
        <f t="shared" si="75"/>
        <v/>
      </c>
    </row>
    <row r="989" spans="23:26" x14ac:dyDescent="0.25">
      <c r="W989" t="str">
        <f t="shared" si="72"/>
        <v/>
      </c>
      <c r="X989" t="str">
        <f t="shared" si="73"/>
        <v/>
      </c>
      <c r="Y989" s="42" t="str">
        <f t="shared" si="74"/>
        <v/>
      </c>
      <c r="Z989" s="42" t="str">
        <f t="shared" si="75"/>
        <v/>
      </c>
    </row>
    <row r="990" spans="23:26" x14ac:dyDescent="0.25">
      <c r="W990" t="str">
        <f t="shared" si="72"/>
        <v/>
      </c>
      <c r="X990" t="str">
        <f t="shared" si="73"/>
        <v/>
      </c>
      <c r="Y990" s="42" t="str">
        <f t="shared" si="74"/>
        <v/>
      </c>
      <c r="Z990" s="42" t="str">
        <f t="shared" si="75"/>
        <v/>
      </c>
    </row>
    <row r="991" spans="23:26" x14ac:dyDescent="0.25">
      <c r="W991" t="str">
        <f t="shared" si="72"/>
        <v/>
      </c>
      <c r="X991" t="str">
        <f t="shared" si="73"/>
        <v/>
      </c>
      <c r="Y991" s="42" t="str">
        <f t="shared" si="74"/>
        <v/>
      </c>
      <c r="Z991" s="42" t="str">
        <f t="shared" si="75"/>
        <v/>
      </c>
    </row>
    <row r="992" spans="23:26" x14ac:dyDescent="0.25">
      <c r="W992" t="str">
        <f t="shared" si="72"/>
        <v/>
      </c>
      <c r="X992" t="str">
        <f t="shared" si="73"/>
        <v/>
      </c>
      <c r="Y992" s="42" t="str">
        <f t="shared" si="74"/>
        <v/>
      </c>
      <c r="Z992" s="42" t="str">
        <f t="shared" si="75"/>
        <v/>
      </c>
    </row>
    <row r="993" spans="23:26" x14ac:dyDescent="0.25">
      <c r="W993" t="str">
        <f t="shared" si="72"/>
        <v/>
      </c>
      <c r="X993" t="str">
        <f t="shared" si="73"/>
        <v/>
      </c>
      <c r="Y993" s="42" t="str">
        <f t="shared" si="74"/>
        <v/>
      </c>
      <c r="Z993" s="42" t="str">
        <f t="shared" si="75"/>
        <v/>
      </c>
    </row>
    <row r="994" spans="23:26" x14ac:dyDescent="0.25">
      <c r="W994" t="str">
        <f t="shared" si="72"/>
        <v/>
      </c>
      <c r="X994" t="str">
        <f t="shared" si="73"/>
        <v/>
      </c>
      <c r="Y994" s="42" t="str">
        <f t="shared" si="74"/>
        <v/>
      </c>
      <c r="Z994" s="42" t="str">
        <f t="shared" si="75"/>
        <v/>
      </c>
    </row>
    <row r="995" spans="23:26" x14ac:dyDescent="0.25">
      <c r="W995" t="str">
        <f t="shared" si="72"/>
        <v/>
      </c>
      <c r="X995" t="str">
        <f t="shared" si="73"/>
        <v/>
      </c>
      <c r="Y995" s="42" t="str">
        <f t="shared" si="74"/>
        <v/>
      </c>
      <c r="Z995" s="42" t="str">
        <f t="shared" si="75"/>
        <v/>
      </c>
    </row>
    <row r="996" spans="23:26" x14ac:dyDescent="0.25">
      <c r="W996" t="str">
        <f t="shared" si="72"/>
        <v/>
      </c>
      <c r="X996" t="str">
        <f t="shared" si="73"/>
        <v/>
      </c>
      <c r="Y996" s="42" t="str">
        <f t="shared" si="74"/>
        <v/>
      </c>
      <c r="Z996" s="42" t="str">
        <f t="shared" si="75"/>
        <v/>
      </c>
    </row>
    <row r="997" spans="23:26" x14ac:dyDescent="0.25">
      <c r="W997" t="str">
        <f t="shared" si="72"/>
        <v/>
      </c>
      <c r="X997" t="str">
        <f t="shared" si="73"/>
        <v/>
      </c>
      <c r="Y997" s="42" t="str">
        <f t="shared" si="74"/>
        <v/>
      </c>
      <c r="Z997" s="42" t="str">
        <f t="shared" si="75"/>
        <v/>
      </c>
    </row>
    <row r="998" spans="23:26" x14ac:dyDescent="0.25">
      <c r="W998" t="str">
        <f t="shared" si="72"/>
        <v/>
      </c>
      <c r="X998" t="str">
        <f t="shared" si="73"/>
        <v/>
      </c>
      <c r="Y998" s="42" t="str">
        <f t="shared" si="74"/>
        <v/>
      </c>
      <c r="Z998" s="42" t="str">
        <f t="shared" si="75"/>
        <v/>
      </c>
    </row>
    <row r="999" spans="23:26" x14ac:dyDescent="0.25">
      <c r="W999" t="str">
        <f t="shared" si="72"/>
        <v/>
      </c>
      <c r="X999" t="str">
        <f t="shared" si="73"/>
        <v/>
      </c>
      <c r="Y999" s="42" t="str">
        <f t="shared" si="74"/>
        <v/>
      </c>
      <c r="Z999" s="42" t="str">
        <f t="shared" si="75"/>
        <v/>
      </c>
    </row>
    <row r="1000" spans="23:26" x14ac:dyDescent="0.25">
      <c r="W1000" t="str">
        <f t="shared" si="72"/>
        <v/>
      </c>
      <c r="X1000" t="str">
        <f t="shared" si="73"/>
        <v/>
      </c>
      <c r="Y1000" s="42" t="str">
        <f t="shared" si="74"/>
        <v/>
      </c>
      <c r="Z1000" s="42" t="str">
        <f t="shared" si="75"/>
        <v/>
      </c>
    </row>
    <row r="1001" spans="23:26" x14ac:dyDescent="0.25">
      <c r="W1001" t="str">
        <f t="shared" si="72"/>
        <v/>
      </c>
      <c r="X1001" t="str">
        <f t="shared" si="73"/>
        <v/>
      </c>
      <c r="Y1001" s="42" t="str">
        <f t="shared" si="74"/>
        <v/>
      </c>
      <c r="Z1001" s="42" t="str">
        <f t="shared" si="75"/>
        <v/>
      </c>
    </row>
    <row r="1002" spans="23:26" x14ac:dyDescent="0.25">
      <c r="W1002" t="str">
        <f t="shared" si="72"/>
        <v/>
      </c>
      <c r="X1002" t="str">
        <f t="shared" si="73"/>
        <v/>
      </c>
      <c r="Y1002" s="42" t="str">
        <f t="shared" si="74"/>
        <v/>
      </c>
      <c r="Z1002" s="42" t="str">
        <f t="shared" si="75"/>
        <v/>
      </c>
    </row>
    <row r="1003" spans="23:26" x14ac:dyDescent="0.25">
      <c r="W1003" t="str">
        <f t="shared" si="72"/>
        <v/>
      </c>
      <c r="X1003" t="str">
        <f t="shared" si="73"/>
        <v/>
      </c>
      <c r="Y1003" s="42" t="str">
        <f t="shared" si="74"/>
        <v/>
      </c>
      <c r="Z1003" s="42" t="str">
        <f t="shared" si="75"/>
        <v/>
      </c>
    </row>
    <row r="1004" spans="23:26" x14ac:dyDescent="0.25">
      <c r="W1004" t="str">
        <f t="shared" si="72"/>
        <v/>
      </c>
      <c r="X1004" t="str">
        <f t="shared" si="73"/>
        <v/>
      </c>
      <c r="Y1004" s="42" t="str">
        <f t="shared" si="74"/>
        <v/>
      </c>
      <c r="Z1004" s="42" t="str">
        <f t="shared" si="75"/>
        <v/>
      </c>
    </row>
    <row r="1005" spans="23:26" x14ac:dyDescent="0.25">
      <c r="W1005" t="str">
        <f t="shared" si="72"/>
        <v/>
      </c>
      <c r="X1005" t="str">
        <f t="shared" si="73"/>
        <v/>
      </c>
      <c r="Y1005" s="42" t="str">
        <f t="shared" si="74"/>
        <v/>
      </c>
      <c r="Z1005" s="42" t="str">
        <f t="shared" si="75"/>
        <v/>
      </c>
    </row>
    <row r="1006" spans="23:26" x14ac:dyDescent="0.25">
      <c r="W1006" t="str">
        <f t="shared" si="72"/>
        <v/>
      </c>
      <c r="X1006" t="str">
        <f t="shared" si="73"/>
        <v/>
      </c>
      <c r="Y1006" s="42" t="str">
        <f t="shared" si="74"/>
        <v/>
      </c>
      <c r="Z1006" s="42" t="str">
        <f t="shared" si="75"/>
        <v/>
      </c>
    </row>
    <row r="1007" spans="23:26" x14ac:dyDescent="0.25">
      <c r="W1007" t="str">
        <f t="shared" si="72"/>
        <v/>
      </c>
      <c r="X1007" t="str">
        <f t="shared" si="73"/>
        <v/>
      </c>
      <c r="Y1007" s="42" t="str">
        <f t="shared" si="74"/>
        <v/>
      </c>
      <c r="Z1007" s="42" t="str">
        <f t="shared" si="75"/>
        <v/>
      </c>
    </row>
    <row r="1008" spans="23:26" x14ac:dyDescent="0.25">
      <c r="W1008" t="str">
        <f t="shared" si="72"/>
        <v/>
      </c>
      <c r="X1008" t="str">
        <f t="shared" si="73"/>
        <v/>
      </c>
      <c r="Y1008" s="42" t="str">
        <f t="shared" si="74"/>
        <v/>
      </c>
      <c r="Z1008" s="42" t="str">
        <f t="shared" si="75"/>
        <v/>
      </c>
    </row>
    <row r="1009" spans="23:26" x14ac:dyDescent="0.25">
      <c r="W1009" t="str">
        <f t="shared" si="72"/>
        <v/>
      </c>
      <c r="X1009" t="str">
        <f t="shared" si="73"/>
        <v/>
      </c>
      <c r="Y1009" s="42" t="str">
        <f t="shared" si="74"/>
        <v/>
      </c>
      <c r="Z1009" s="42" t="str">
        <f t="shared" si="75"/>
        <v/>
      </c>
    </row>
    <row r="1010" spans="23:26" x14ac:dyDescent="0.25">
      <c r="W1010" t="str">
        <f t="shared" si="72"/>
        <v/>
      </c>
      <c r="X1010" t="str">
        <f t="shared" si="73"/>
        <v/>
      </c>
      <c r="Y1010" s="42" t="str">
        <f t="shared" si="74"/>
        <v/>
      </c>
      <c r="Z1010" s="42" t="str">
        <f t="shared" si="75"/>
        <v/>
      </c>
    </row>
    <row r="1011" spans="23:26" x14ac:dyDescent="0.25">
      <c r="W1011" t="str">
        <f t="shared" si="72"/>
        <v/>
      </c>
      <c r="X1011" t="str">
        <f t="shared" si="73"/>
        <v/>
      </c>
      <c r="Y1011" s="42" t="str">
        <f t="shared" si="74"/>
        <v/>
      </c>
      <c r="Z1011" s="42" t="str">
        <f t="shared" si="75"/>
        <v/>
      </c>
    </row>
    <row r="1012" spans="23:26" x14ac:dyDescent="0.25">
      <c r="W1012" t="str">
        <f t="shared" si="72"/>
        <v/>
      </c>
      <c r="X1012" t="str">
        <f t="shared" si="73"/>
        <v/>
      </c>
      <c r="Y1012" s="42" t="str">
        <f t="shared" si="74"/>
        <v/>
      </c>
      <c r="Z1012" s="42" t="str">
        <f t="shared" si="75"/>
        <v/>
      </c>
    </row>
    <row r="1013" spans="23:26" x14ac:dyDescent="0.25">
      <c r="W1013" t="str">
        <f t="shared" si="72"/>
        <v/>
      </c>
      <c r="X1013" t="str">
        <f t="shared" si="73"/>
        <v/>
      </c>
      <c r="Y1013" s="42" t="str">
        <f t="shared" si="74"/>
        <v/>
      </c>
      <c r="Z1013" s="42" t="str">
        <f t="shared" si="75"/>
        <v/>
      </c>
    </row>
    <row r="1014" spans="23:26" x14ac:dyDescent="0.25">
      <c r="W1014" t="str">
        <f t="shared" si="72"/>
        <v/>
      </c>
      <c r="X1014" t="str">
        <f t="shared" si="73"/>
        <v/>
      </c>
      <c r="Y1014" s="42" t="str">
        <f t="shared" si="74"/>
        <v/>
      </c>
      <c r="Z1014" s="42" t="str">
        <f t="shared" si="75"/>
        <v/>
      </c>
    </row>
    <row r="1015" spans="23:26" x14ac:dyDescent="0.25">
      <c r="W1015" t="str">
        <f t="shared" si="72"/>
        <v/>
      </c>
      <c r="X1015" t="str">
        <f t="shared" si="73"/>
        <v/>
      </c>
      <c r="Y1015" s="42" t="str">
        <f t="shared" si="74"/>
        <v/>
      </c>
      <c r="Z1015" s="42" t="str">
        <f t="shared" si="75"/>
        <v/>
      </c>
    </row>
    <row r="1016" spans="23:26" x14ac:dyDescent="0.25">
      <c r="W1016" t="str">
        <f t="shared" si="72"/>
        <v/>
      </c>
      <c r="X1016" t="str">
        <f t="shared" si="73"/>
        <v/>
      </c>
      <c r="Y1016" s="42" t="str">
        <f t="shared" si="74"/>
        <v/>
      </c>
      <c r="Z1016" s="42" t="str">
        <f t="shared" si="75"/>
        <v/>
      </c>
    </row>
    <row r="1017" spans="23:26" x14ac:dyDescent="0.25">
      <c r="W1017" t="str">
        <f t="shared" si="72"/>
        <v/>
      </c>
      <c r="X1017" t="str">
        <f t="shared" si="73"/>
        <v/>
      </c>
      <c r="Y1017" s="42" t="str">
        <f t="shared" si="74"/>
        <v/>
      </c>
      <c r="Z1017" s="42" t="str">
        <f t="shared" si="75"/>
        <v/>
      </c>
    </row>
    <row r="1018" spans="23:26" x14ac:dyDescent="0.25">
      <c r="W1018" t="str">
        <f t="shared" si="72"/>
        <v/>
      </c>
      <c r="X1018" t="str">
        <f t="shared" si="73"/>
        <v/>
      </c>
      <c r="Y1018" s="42" t="str">
        <f t="shared" si="74"/>
        <v/>
      </c>
      <c r="Z1018" s="42" t="str">
        <f t="shared" si="75"/>
        <v/>
      </c>
    </row>
    <row r="1019" spans="23:26" x14ac:dyDescent="0.25">
      <c r="W1019" t="str">
        <f t="shared" si="72"/>
        <v/>
      </c>
      <c r="X1019" t="str">
        <f t="shared" si="73"/>
        <v/>
      </c>
      <c r="Y1019" s="42" t="str">
        <f t="shared" si="74"/>
        <v/>
      </c>
      <c r="Z1019" s="42" t="str">
        <f t="shared" si="75"/>
        <v/>
      </c>
    </row>
    <row r="1020" spans="23:26" x14ac:dyDescent="0.25">
      <c r="W1020" t="str">
        <f t="shared" si="72"/>
        <v/>
      </c>
      <c r="X1020" t="str">
        <f t="shared" si="73"/>
        <v/>
      </c>
      <c r="Y1020" s="42" t="str">
        <f t="shared" si="74"/>
        <v/>
      </c>
      <c r="Z1020" s="42" t="str">
        <f t="shared" si="75"/>
        <v/>
      </c>
    </row>
    <row r="1021" spans="23:26" x14ac:dyDescent="0.25">
      <c r="W1021" t="str">
        <f t="shared" si="72"/>
        <v/>
      </c>
      <c r="X1021" t="str">
        <f t="shared" si="73"/>
        <v/>
      </c>
      <c r="Y1021" s="42" t="str">
        <f t="shared" si="74"/>
        <v/>
      </c>
      <c r="Z1021" s="42" t="str">
        <f t="shared" si="75"/>
        <v/>
      </c>
    </row>
    <row r="1022" spans="23:26" x14ac:dyDescent="0.25">
      <c r="W1022" t="str">
        <f t="shared" si="72"/>
        <v/>
      </c>
      <c r="X1022" t="str">
        <f t="shared" si="73"/>
        <v/>
      </c>
      <c r="Y1022" s="42" t="str">
        <f t="shared" si="74"/>
        <v/>
      </c>
      <c r="Z1022" s="42" t="str">
        <f t="shared" si="75"/>
        <v/>
      </c>
    </row>
    <row r="1023" spans="23:26" x14ac:dyDescent="0.25">
      <c r="W1023" t="str">
        <f t="shared" si="72"/>
        <v/>
      </c>
      <c r="X1023" t="str">
        <f t="shared" si="73"/>
        <v/>
      </c>
      <c r="Y1023" s="42" t="str">
        <f t="shared" si="74"/>
        <v/>
      </c>
      <c r="Z1023" s="42" t="str">
        <f t="shared" si="75"/>
        <v/>
      </c>
    </row>
    <row r="1024" spans="23:26" x14ac:dyDescent="0.25">
      <c r="W1024" t="str">
        <f t="shared" si="72"/>
        <v/>
      </c>
      <c r="X1024" t="str">
        <f t="shared" si="73"/>
        <v/>
      </c>
      <c r="Y1024" s="42" t="str">
        <f t="shared" si="74"/>
        <v/>
      </c>
      <c r="Z1024" s="42" t="str">
        <f t="shared" si="75"/>
        <v/>
      </c>
    </row>
    <row r="1025" spans="23:26" x14ac:dyDescent="0.25">
      <c r="W1025" t="str">
        <f t="shared" si="72"/>
        <v/>
      </c>
      <c r="X1025" t="str">
        <f t="shared" si="73"/>
        <v/>
      </c>
      <c r="Y1025" s="42" t="str">
        <f t="shared" si="74"/>
        <v/>
      </c>
      <c r="Z1025" s="42" t="str">
        <f t="shared" si="75"/>
        <v/>
      </c>
    </row>
    <row r="1026" spans="23:26" x14ac:dyDescent="0.25">
      <c r="W1026" t="str">
        <f t="shared" si="72"/>
        <v/>
      </c>
      <c r="X1026" t="str">
        <f t="shared" si="73"/>
        <v/>
      </c>
      <c r="Y1026" s="42" t="str">
        <f t="shared" si="74"/>
        <v/>
      </c>
      <c r="Z1026" s="42" t="str">
        <f t="shared" si="75"/>
        <v/>
      </c>
    </row>
    <row r="1027" spans="23:26" x14ac:dyDescent="0.25">
      <c r="W1027" t="str">
        <f t="shared" si="72"/>
        <v/>
      </c>
      <c r="X1027" t="str">
        <f t="shared" si="73"/>
        <v/>
      </c>
      <c r="Y1027" s="42" t="str">
        <f t="shared" si="74"/>
        <v/>
      </c>
      <c r="Z1027" s="42" t="str">
        <f t="shared" si="75"/>
        <v/>
      </c>
    </row>
    <row r="1028" spans="23:26" x14ac:dyDescent="0.25">
      <c r="W1028" t="str">
        <f t="shared" ref="W1028:W1091" si="76">IF($A1028="","",$A1028)</f>
        <v/>
      </c>
      <c r="X1028" t="str">
        <f t="shared" ref="X1028:X1091" si="77">IF($A1028="","",$C1028)</f>
        <v/>
      </c>
      <c r="Y1028" s="42" t="str">
        <f t="shared" ref="Y1028:Y1091" si="78">IF($A1028="","",$E1028)</f>
        <v/>
      </c>
      <c r="Z1028" s="42" t="str">
        <f t="shared" ref="Z1028:Z1091" si="79">IF($A1028="","",IF(ISERROR($G1028),0,$G1028))</f>
        <v/>
      </c>
    </row>
    <row r="1029" spans="23:26" x14ac:dyDescent="0.25">
      <c r="W1029" t="str">
        <f t="shared" si="76"/>
        <v/>
      </c>
      <c r="X1029" t="str">
        <f t="shared" si="77"/>
        <v/>
      </c>
      <c r="Y1029" s="42" t="str">
        <f t="shared" si="78"/>
        <v/>
      </c>
      <c r="Z1029" s="42" t="str">
        <f t="shared" si="79"/>
        <v/>
      </c>
    </row>
    <row r="1030" spans="23:26" x14ac:dyDescent="0.25">
      <c r="W1030" t="str">
        <f t="shared" si="76"/>
        <v/>
      </c>
      <c r="X1030" t="str">
        <f t="shared" si="77"/>
        <v/>
      </c>
      <c r="Y1030" s="42" t="str">
        <f t="shared" si="78"/>
        <v/>
      </c>
      <c r="Z1030" s="42" t="str">
        <f t="shared" si="79"/>
        <v/>
      </c>
    </row>
    <row r="1031" spans="23:26" x14ac:dyDescent="0.25">
      <c r="W1031" t="str">
        <f t="shared" si="76"/>
        <v/>
      </c>
      <c r="X1031" t="str">
        <f t="shared" si="77"/>
        <v/>
      </c>
      <c r="Y1031" s="42" t="str">
        <f t="shared" si="78"/>
        <v/>
      </c>
      <c r="Z1031" s="42" t="str">
        <f t="shared" si="79"/>
        <v/>
      </c>
    </row>
    <row r="1032" spans="23:26" x14ac:dyDescent="0.25">
      <c r="W1032" t="str">
        <f t="shared" si="76"/>
        <v/>
      </c>
      <c r="X1032" t="str">
        <f t="shared" si="77"/>
        <v/>
      </c>
      <c r="Y1032" s="42" t="str">
        <f t="shared" si="78"/>
        <v/>
      </c>
      <c r="Z1032" s="42" t="str">
        <f t="shared" si="79"/>
        <v/>
      </c>
    </row>
    <row r="1033" spans="23:26" x14ac:dyDescent="0.25">
      <c r="W1033" t="str">
        <f t="shared" si="76"/>
        <v/>
      </c>
      <c r="X1033" t="str">
        <f t="shared" si="77"/>
        <v/>
      </c>
      <c r="Y1033" s="42" t="str">
        <f t="shared" si="78"/>
        <v/>
      </c>
      <c r="Z1033" s="42" t="str">
        <f t="shared" si="79"/>
        <v/>
      </c>
    </row>
    <row r="1034" spans="23:26" x14ac:dyDescent="0.25">
      <c r="W1034" t="str">
        <f t="shared" si="76"/>
        <v/>
      </c>
      <c r="X1034" t="str">
        <f t="shared" si="77"/>
        <v/>
      </c>
      <c r="Y1034" s="42" t="str">
        <f t="shared" si="78"/>
        <v/>
      </c>
      <c r="Z1034" s="42" t="str">
        <f t="shared" si="79"/>
        <v/>
      </c>
    </row>
    <row r="1035" spans="23:26" x14ac:dyDescent="0.25">
      <c r="W1035" t="str">
        <f t="shared" si="76"/>
        <v/>
      </c>
      <c r="X1035" t="str">
        <f t="shared" si="77"/>
        <v/>
      </c>
      <c r="Y1035" s="42" t="str">
        <f t="shared" si="78"/>
        <v/>
      </c>
      <c r="Z1035" s="42" t="str">
        <f t="shared" si="79"/>
        <v/>
      </c>
    </row>
    <row r="1036" spans="23:26" x14ac:dyDescent="0.25">
      <c r="W1036" t="str">
        <f t="shared" si="76"/>
        <v/>
      </c>
      <c r="X1036" t="str">
        <f t="shared" si="77"/>
        <v/>
      </c>
      <c r="Y1036" s="42" t="str">
        <f t="shared" si="78"/>
        <v/>
      </c>
      <c r="Z1036" s="42" t="str">
        <f t="shared" si="79"/>
        <v/>
      </c>
    </row>
    <row r="1037" spans="23:26" x14ac:dyDescent="0.25">
      <c r="W1037" t="str">
        <f t="shared" si="76"/>
        <v/>
      </c>
      <c r="X1037" t="str">
        <f t="shared" si="77"/>
        <v/>
      </c>
      <c r="Y1037" s="42" t="str">
        <f t="shared" si="78"/>
        <v/>
      </c>
      <c r="Z1037" s="42" t="str">
        <f t="shared" si="79"/>
        <v/>
      </c>
    </row>
    <row r="1038" spans="23:26" x14ac:dyDescent="0.25">
      <c r="W1038" t="str">
        <f t="shared" si="76"/>
        <v/>
      </c>
      <c r="X1038" t="str">
        <f t="shared" si="77"/>
        <v/>
      </c>
      <c r="Y1038" s="42" t="str">
        <f t="shared" si="78"/>
        <v/>
      </c>
      <c r="Z1038" s="42" t="str">
        <f t="shared" si="79"/>
        <v/>
      </c>
    </row>
    <row r="1039" spans="23:26" x14ac:dyDescent="0.25">
      <c r="W1039" t="str">
        <f t="shared" si="76"/>
        <v/>
      </c>
      <c r="X1039" t="str">
        <f t="shared" si="77"/>
        <v/>
      </c>
      <c r="Y1039" s="42" t="str">
        <f t="shared" si="78"/>
        <v/>
      </c>
      <c r="Z1039" s="42" t="str">
        <f t="shared" si="79"/>
        <v/>
      </c>
    </row>
    <row r="1040" spans="23:26" x14ac:dyDescent="0.25">
      <c r="W1040" t="str">
        <f t="shared" si="76"/>
        <v/>
      </c>
      <c r="X1040" t="str">
        <f t="shared" si="77"/>
        <v/>
      </c>
      <c r="Y1040" s="42" t="str">
        <f t="shared" si="78"/>
        <v/>
      </c>
      <c r="Z1040" s="42" t="str">
        <f t="shared" si="79"/>
        <v/>
      </c>
    </row>
    <row r="1041" spans="23:26" x14ac:dyDescent="0.25">
      <c r="W1041" t="str">
        <f t="shared" si="76"/>
        <v/>
      </c>
      <c r="X1041" t="str">
        <f t="shared" si="77"/>
        <v/>
      </c>
      <c r="Y1041" s="42" t="str">
        <f t="shared" si="78"/>
        <v/>
      </c>
      <c r="Z1041" s="42" t="str">
        <f t="shared" si="79"/>
        <v/>
      </c>
    </row>
    <row r="1042" spans="23:26" x14ac:dyDescent="0.25">
      <c r="W1042" t="str">
        <f t="shared" si="76"/>
        <v/>
      </c>
      <c r="X1042" t="str">
        <f t="shared" si="77"/>
        <v/>
      </c>
      <c r="Y1042" s="42" t="str">
        <f t="shared" si="78"/>
        <v/>
      </c>
      <c r="Z1042" s="42" t="str">
        <f t="shared" si="79"/>
        <v/>
      </c>
    </row>
    <row r="1043" spans="23:26" x14ac:dyDescent="0.25">
      <c r="W1043" t="str">
        <f t="shared" si="76"/>
        <v/>
      </c>
      <c r="X1043" t="str">
        <f t="shared" si="77"/>
        <v/>
      </c>
      <c r="Y1043" s="42" t="str">
        <f t="shared" si="78"/>
        <v/>
      </c>
      <c r="Z1043" s="42" t="str">
        <f t="shared" si="79"/>
        <v/>
      </c>
    </row>
    <row r="1044" spans="23:26" x14ac:dyDescent="0.25">
      <c r="W1044" t="str">
        <f t="shared" si="76"/>
        <v/>
      </c>
      <c r="X1044" t="str">
        <f t="shared" si="77"/>
        <v/>
      </c>
      <c r="Y1044" s="42" t="str">
        <f t="shared" si="78"/>
        <v/>
      </c>
      <c r="Z1044" s="42" t="str">
        <f t="shared" si="79"/>
        <v/>
      </c>
    </row>
    <row r="1045" spans="23:26" x14ac:dyDescent="0.25">
      <c r="W1045" t="str">
        <f t="shared" si="76"/>
        <v/>
      </c>
      <c r="X1045" t="str">
        <f t="shared" si="77"/>
        <v/>
      </c>
      <c r="Y1045" s="42" t="str">
        <f t="shared" si="78"/>
        <v/>
      </c>
      <c r="Z1045" s="42" t="str">
        <f t="shared" si="79"/>
        <v/>
      </c>
    </row>
    <row r="1046" spans="23:26" x14ac:dyDescent="0.25">
      <c r="W1046" t="str">
        <f t="shared" si="76"/>
        <v/>
      </c>
      <c r="X1046" t="str">
        <f t="shared" si="77"/>
        <v/>
      </c>
      <c r="Y1046" s="42" t="str">
        <f t="shared" si="78"/>
        <v/>
      </c>
      <c r="Z1046" s="42" t="str">
        <f t="shared" si="79"/>
        <v/>
      </c>
    </row>
    <row r="1047" spans="23:26" x14ac:dyDescent="0.25">
      <c r="W1047" t="str">
        <f t="shared" si="76"/>
        <v/>
      </c>
      <c r="X1047" t="str">
        <f t="shared" si="77"/>
        <v/>
      </c>
      <c r="Y1047" s="42" t="str">
        <f t="shared" si="78"/>
        <v/>
      </c>
      <c r="Z1047" s="42" t="str">
        <f t="shared" si="79"/>
        <v/>
      </c>
    </row>
    <row r="1048" spans="23:26" x14ac:dyDescent="0.25">
      <c r="W1048" t="str">
        <f t="shared" si="76"/>
        <v/>
      </c>
      <c r="X1048" t="str">
        <f t="shared" si="77"/>
        <v/>
      </c>
      <c r="Y1048" s="42" t="str">
        <f t="shared" si="78"/>
        <v/>
      </c>
      <c r="Z1048" s="42" t="str">
        <f t="shared" si="79"/>
        <v/>
      </c>
    </row>
    <row r="1049" spans="23:26" x14ac:dyDescent="0.25">
      <c r="W1049" t="str">
        <f t="shared" si="76"/>
        <v/>
      </c>
      <c r="X1049" t="str">
        <f t="shared" si="77"/>
        <v/>
      </c>
      <c r="Y1049" s="42" t="str">
        <f t="shared" si="78"/>
        <v/>
      </c>
      <c r="Z1049" s="42" t="str">
        <f t="shared" si="79"/>
        <v/>
      </c>
    </row>
    <row r="1050" spans="23:26" x14ac:dyDescent="0.25">
      <c r="W1050" t="str">
        <f t="shared" si="76"/>
        <v/>
      </c>
      <c r="X1050" t="str">
        <f t="shared" si="77"/>
        <v/>
      </c>
      <c r="Y1050" s="42" t="str">
        <f t="shared" si="78"/>
        <v/>
      </c>
      <c r="Z1050" s="42" t="str">
        <f t="shared" si="79"/>
        <v/>
      </c>
    </row>
    <row r="1051" spans="23:26" x14ac:dyDescent="0.25">
      <c r="W1051" t="str">
        <f t="shared" si="76"/>
        <v/>
      </c>
      <c r="X1051" t="str">
        <f t="shared" si="77"/>
        <v/>
      </c>
      <c r="Y1051" s="42" t="str">
        <f t="shared" si="78"/>
        <v/>
      </c>
      <c r="Z1051" s="42" t="str">
        <f t="shared" si="79"/>
        <v/>
      </c>
    </row>
    <row r="1052" spans="23:26" x14ac:dyDescent="0.25">
      <c r="W1052" t="str">
        <f t="shared" si="76"/>
        <v/>
      </c>
      <c r="X1052" t="str">
        <f t="shared" si="77"/>
        <v/>
      </c>
      <c r="Y1052" s="42" t="str">
        <f t="shared" si="78"/>
        <v/>
      </c>
      <c r="Z1052" s="42" t="str">
        <f t="shared" si="79"/>
        <v/>
      </c>
    </row>
    <row r="1053" spans="23:26" x14ac:dyDescent="0.25">
      <c r="W1053" t="str">
        <f t="shared" si="76"/>
        <v/>
      </c>
      <c r="X1053" t="str">
        <f t="shared" si="77"/>
        <v/>
      </c>
      <c r="Y1053" s="42" t="str">
        <f t="shared" si="78"/>
        <v/>
      </c>
      <c r="Z1053" s="42" t="str">
        <f t="shared" si="79"/>
        <v/>
      </c>
    </row>
    <row r="1054" spans="23:26" x14ac:dyDescent="0.25">
      <c r="W1054" t="str">
        <f t="shared" si="76"/>
        <v/>
      </c>
      <c r="X1054" t="str">
        <f t="shared" si="77"/>
        <v/>
      </c>
      <c r="Y1054" s="42" t="str">
        <f t="shared" si="78"/>
        <v/>
      </c>
      <c r="Z1054" s="42" t="str">
        <f t="shared" si="79"/>
        <v/>
      </c>
    </row>
    <row r="1055" spans="23:26" x14ac:dyDescent="0.25">
      <c r="W1055" t="str">
        <f t="shared" si="76"/>
        <v/>
      </c>
      <c r="X1055" t="str">
        <f t="shared" si="77"/>
        <v/>
      </c>
      <c r="Y1055" s="42" t="str">
        <f t="shared" si="78"/>
        <v/>
      </c>
      <c r="Z1055" s="42" t="str">
        <f t="shared" si="79"/>
        <v/>
      </c>
    </row>
    <row r="1056" spans="23:26" x14ac:dyDescent="0.25">
      <c r="W1056" t="str">
        <f t="shared" si="76"/>
        <v/>
      </c>
      <c r="X1056" t="str">
        <f t="shared" si="77"/>
        <v/>
      </c>
      <c r="Y1056" s="42" t="str">
        <f t="shared" si="78"/>
        <v/>
      </c>
      <c r="Z1056" s="42" t="str">
        <f t="shared" si="79"/>
        <v/>
      </c>
    </row>
    <row r="1057" spans="23:26" x14ac:dyDescent="0.25">
      <c r="W1057" t="str">
        <f t="shared" si="76"/>
        <v/>
      </c>
      <c r="X1057" t="str">
        <f t="shared" si="77"/>
        <v/>
      </c>
      <c r="Y1057" s="42" t="str">
        <f t="shared" si="78"/>
        <v/>
      </c>
      <c r="Z1057" s="42" t="str">
        <f t="shared" si="79"/>
        <v/>
      </c>
    </row>
    <row r="1058" spans="23:26" x14ac:dyDescent="0.25">
      <c r="W1058" t="str">
        <f t="shared" si="76"/>
        <v/>
      </c>
      <c r="X1058" t="str">
        <f t="shared" si="77"/>
        <v/>
      </c>
      <c r="Y1058" s="42" t="str">
        <f t="shared" si="78"/>
        <v/>
      </c>
      <c r="Z1058" s="42" t="str">
        <f t="shared" si="79"/>
        <v/>
      </c>
    </row>
    <row r="1059" spans="23:26" x14ac:dyDescent="0.25">
      <c r="W1059" t="str">
        <f t="shared" si="76"/>
        <v/>
      </c>
      <c r="X1059" t="str">
        <f t="shared" si="77"/>
        <v/>
      </c>
      <c r="Y1059" s="42" t="str">
        <f t="shared" si="78"/>
        <v/>
      </c>
      <c r="Z1059" s="42" t="str">
        <f t="shared" si="79"/>
        <v/>
      </c>
    </row>
    <row r="1060" spans="23:26" x14ac:dyDescent="0.25">
      <c r="W1060" t="str">
        <f t="shared" si="76"/>
        <v/>
      </c>
      <c r="X1060" t="str">
        <f t="shared" si="77"/>
        <v/>
      </c>
      <c r="Y1060" s="42" t="str">
        <f t="shared" si="78"/>
        <v/>
      </c>
      <c r="Z1060" s="42" t="str">
        <f t="shared" si="79"/>
        <v/>
      </c>
    </row>
    <row r="1061" spans="23:26" x14ac:dyDescent="0.25">
      <c r="W1061" t="str">
        <f t="shared" si="76"/>
        <v/>
      </c>
      <c r="X1061" t="str">
        <f t="shared" si="77"/>
        <v/>
      </c>
      <c r="Y1061" s="42" t="str">
        <f t="shared" si="78"/>
        <v/>
      </c>
      <c r="Z1061" s="42" t="str">
        <f t="shared" si="79"/>
        <v/>
      </c>
    </row>
    <row r="1062" spans="23:26" x14ac:dyDescent="0.25">
      <c r="W1062" t="str">
        <f t="shared" si="76"/>
        <v/>
      </c>
      <c r="X1062" t="str">
        <f t="shared" si="77"/>
        <v/>
      </c>
      <c r="Y1062" s="42" t="str">
        <f t="shared" si="78"/>
        <v/>
      </c>
      <c r="Z1062" s="42" t="str">
        <f t="shared" si="79"/>
        <v/>
      </c>
    </row>
    <row r="1063" spans="23:26" x14ac:dyDescent="0.25">
      <c r="W1063" t="str">
        <f t="shared" si="76"/>
        <v/>
      </c>
      <c r="X1063" t="str">
        <f t="shared" si="77"/>
        <v/>
      </c>
      <c r="Y1063" s="42" t="str">
        <f t="shared" si="78"/>
        <v/>
      </c>
      <c r="Z1063" s="42" t="str">
        <f t="shared" si="79"/>
        <v/>
      </c>
    </row>
    <row r="1064" spans="23:26" x14ac:dyDescent="0.25">
      <c r="W1064" t="str">
        <f t="shared" si="76"/>
        <v/>
      </c>
      <c r="X1064" t="str">
        <f t="shared" si="77"/>
        <v/>
      </c>
      <c r="Y1064" s="42" t="str">
        <f t="shared" si="78"/>
        <v/>
      </c>
      <c r="Z1064" s="42" t="str">
        <f t="shared" si="79"/>
        <v/>
      </c>
    </row>
    <row r="1065" spans="23:26" x14ac:dyDescent="0.25">
      <c r="W1065" t="str">
        <f t="shared" si="76"/>
        <v/>
      </c>
      <c r="X1065" t="str">
        <f t="shared" si="77"/>
        <v/>
      </c>
      <c r="Y1065" s="42" t="str">
        <f t="shared" si="78"/>
        <v/>
      </c>
      <c r="Z1065" s="42" t="str">
        <f t="shared" si="79"/>
        <v/>
      </c>
    </row>
    <row r="1066" spans="23:26" x14ac:dyDescent="0.25">
      <c r="W1066" t="str">
        <f t="shared" si="76"/>
        <v/>
      </c>
      <c r="X1066" t="str">
        <f t="shared" si="77"/>
        <v/>
      </c>
      <c r="Y1066" s="42" t="str">
        <f t="shared" si="78"/>
        <v/>
      </c>
      <c r="Z1066" s="42" t="str">
        <f t="shared" si="79"/>
        <v/>
      </c>
    </row>
    <row r="1067" spans="23:26" x14ac:dyDescent="0.25">
      <c r="W1067" t="str">
        <f t="shared" si="76"/>
        <v/>
      </c>
      <c r="X1067" t="str">
        <f t="shared" si="77"/>
        <v/>
      </c>
      <c r="Y1067" s="42" t="str">
        <f t="shared" si="78"/>
        <v/>
      </c>
      <c r="Z1067" s="42" t="str">
        <f t="shared" si="79"/>
        <v/>
      </c>
    </row>
    <row r="1068" spans="23:26" x14ac:dyDescent="0.25">
      <c r="W1068" t="str">
        <f t="shared" si="76"/>
        <v/>
      </c>
      <c r="X1068" t="str">
        <f t="shared" si="77"/>
        <v/>
      </c>
      <c r="Y1068" s="42" t="str">
        <f t="shared" si="78"/>
        <v/>
      </c>
      <c r="Z1068" s="42" t="str">
        <f t="shared" si="79"/>
        <v/>
      </c>
    </row>
    <row r="1069" spans="23:26" x14ac:dyDescent="0.25">
      <c r="W1069" t="str">
        <f t="shared" si="76"/>
        <v/>
      </c>
      <c r="X1069" t="str">
        <f t="shared" si="77"/>
        <v/>
      </c>
      <c r="Y1069" s="42" t="str">
        <f t="shared" si="78"/>
        <v/>
      </c>
      <c r="Z1069" s="42" t="str">
        <f t="shared" si="79"/>
        <v/>
      </c>
    </row>
    <row r="1070" spans="23:26" x14ac:dyDescent="0.25">
      <c r="W1070" t="str">
        <f t="shared" si="76"/>
        <v/>
      </c>
      <c r="X1070" t="str">
        <f t="shared" si="77"/>
        <v/>
      </c>
      <c r="Y1070" s="42" t="str">
        <f t="shared" si="78"/>
        <v/>
      </c>
      <c r="Z1070" s="42" t="str">
        <f t="shared" si="79"/>
        <v/>
      </c>
    </row>
    <row r="1071" spans="23:26" x14ac:dyDescent="0.25">
      <c r="W1071" t="str">
        <f t="shared" si="76"/>
        <v/>
      </c>
      <c r="X1071" t="str">
        <f t="shared" si="77"/>
        <v/>
      </c>
      <c r="Y1071" s="42" t="str">
        <f t="shared" si="78"/>
        <v/>
      </c>
      <c r="Z1071" s="42" t="str">
        <f t="shared" si="79"/>
        <v/>
      </c>
    </row>
    <row r="1072" spans="23:26" x14ac:dyDescent="0.25">
      <c r="W1072" t="str">
        <f t="shared" si="76"/>
        <v/>
      </c>
      <c r="X1072" t="str">
        <f t="shared" si="77"/>
        <v/>
      </c>
      <c r="Y1072" s="42" t="str">
        <f t="shared" si="78"/>
        <v/>
      </c>
      <c r="Z1072" s="42" t="str">
        <f t="shared" si="79"/>
        <v/>
      </c>
    </row>
    <row r="1073" spans="23:26" x14ac:dyDescent="0.25">
      <c r="W1073" t="str">
        <f t="shared" si="76"/>
        <v/>
      </c>
      <c r="X1073" t="str">
        <f t="shared" si="77"/>
        <v/>
      </c>
      <c r="Y1073" s="42" t="str">
        <f t="shared" si="78"/>
        <v/>
      </c>
      <c r="Z1073" s="42" t="str">
        <f t="shared" si="79"/>
        <v/>
      </c>
    </row>
    <row r="1074" spans="23:26" x14ac:dyDescent="0.25">
      <c r="W1074" t="str">
        <f t="shared" si="76"/>
        <v/>
      </c>
      <c r="X1074" t="str">
        <f t="shared" si="77"/>
        <v/>
      </c>
      <c r="Y1074" s="42" t="str">
        <f t="shared" si="78"/>
        <v/>
      </c>
      <c r="Z1074" s="42" t="str">
        <f t="shared" si="79"/>
        <v/>
      </c>
    </row>
    <row r="1075" spans="23:26" x14ac:dyDescent="0.25">
      <c r="W1075" t="str">
        <f t="shared" si="76"/>
        <v/>
      </c>
      <c r="X1075" t="str">
        <f t="shared" si="77"/>
        <v/>
      </c>
      <c r="Y1075" s="42" t="str">
        <f t="shared" si="78"/>
        <v/>
      </c>
      <c r="Z1075" s="42" t="str">
        <f t="shared" si="79"/>
        <v/>
      </c>
    </row>
    <row r="1076" spans="23:26" x14ac:dyDescent="0.25">
      <c r="W1076" t="str">
        <f t="shared" si="76"/>
        <v/>
      </c>
      <c r="X1076" t="str">
        <f t="shared" si="77"/>
        <v/>
      </c>
      <c r="Y1076" s="42" t="str">
        <f t="shared" si="78"/>
        <v/>
      </c>
      <c r="Z1076" s="42" t="str">
        <f t="shared" si="79"/>
        <v/>
      </c>
    </row>
    <row r="1077" spans="23:26" x14ac:dyDescent="0.25">
      <c r="W1077" t="str">
        <f t="shared" si="76"/>
        <v/>
      </c>
      <c r="X1077" t="str">
        <f t="shared" si="77"/>
        <v/>
      </c>
      <c r="Y1077" s="42" t="str">
        <f t="shared" si="78"/>
        <v/>
      </c>
      <c r="Z1077" s="42" t="str">
        <f t="shared" si="79"/>
        <v/>
      </c>
    </row>
    <row r="1078" spans="23:26" x14ac:dyDescent="0.25">
      <c r="W1078" t="str">
        <f t="shared" si="76"/>
        <v/>
      </c>
      <c r="X1078" t="str">
        <f t="shared" si="77"/>
        <v/>
      </c>
      <c r="Y1078" s="42" t="str">
        <f t="shared" si="78"/>
        <v/>
      </c>
      <c r="Z1078" s="42" t="str">
        <f t="shared" si="79"/>
        <v/>
      </c>
    </row>
    <row r="1079" spans="23:26" x14ac:dyDescent="0.25">
      <c r="W1079" t="str">
        <f t="shared" si="76"/>
        <v/>
      </c>
      <c r="X1079" t="str">
        <f t="shared" si="77"/>
        <v/>
      </c>
      <c r="Y1079" s="42" t="str">
        <f t="shared" si="78"/>
        <v/>
      </c>
      <c r="Z1079" s="42" t="str">
        <f t="shared" si="79"/>
        <v/>
      </c>
    </row>
    <row r="1080" spans="23:26" x14ac:dyDescent="0.25">
      <c r="W1080" t="str">
        <f t="shared" si="76"/>
        <v/>
      </c>
      <c r="X1080" t="str">
        <f t="shared" si="77"/>
        <v/>
      </c>
      <c r="Y1080" s="42" t="str">
        <f t="shared" si="78"/>
        <v/>
      </c>
      <c r="Z1080" s="42" t="str">
        <f t="shared" si="79"/>
        <v/>
      </c>
    </row>
    <row r="1081" spans="23:26" x14ac:dyDescent="0.25">
      <c r="W1081" t="str">
        <f t="shared" si="76"/>
        <v/>
      </c>
      <c r="X1081" t="str">
        <f t="shared" si="77"/>
        <v/>
      </c>
      <c r="Y1081" s="42" t="str">
        <f t="shared" si="78"/>
        <v/>
      </c>
      <c r="Z1081" s="42" t="str">
        <f t="shared" si="79"/>
        <v/>
      </c>
    </row>
    <row r="1082" spans="23:26" x14ac:dyDescent="0.25">
      <c r="W1082" t="str">
        <f t="shared" si="76"/>
        <v/>
      </c>
      <c r="X1082" t="str">
        <f t="shared" si="77"/>
        <v/>
      </c>
      <c r="Y1082" s="42" t="str">
        <f t="shared" si="78"/>
        <v/>
      </c>
      <c r="Z1082" s="42" t="str">
        <f t="shared" si="79"/>
        <v/>
      </c>
    </row>
    <row r="1083" spans="23:26" x14ac:dyDescent="0.25">
      <c r="W1083" t="str">
        <f t="shared" si="76"/>
        <v/>
      </c>
      <c r="X1083" t="str">
        <f t="shared" si="77"/>
        <v/>
      </c>
      <c r="Y1083" s="42" t="str">
        <f t="shared" si="78"/>
        <v/>
      </c>
      <c r="Z1083" s="42" t="str">
        <f t="shared" si="79"/>
        <v/>
      </c>
    </row>
    <row r="1084" spans="23:26" x14ac:dyDescent="0.25">
      <c r="W1084" t="str">
        <f t="shared" si="76"/>
        <v/>
      </c>
      <c r="X1084" t="str">
        <f t="shared" si="77"/>
        <v/>
      </c>
      <c r="Y1084" s="42" t="str">
        <f t="shared" si="78"/>
        <v/>
      </c>
      <c r="Z1084" s="42" t="str">
        <f t="shared" si="79"/>
        <v/>
      </c>
    </row>
    <row r="1085" spans="23:26" x14ac:dyDescent="0.25">
      <c r="W1085" t="str">
        <f t="shared" si="76"/>
        <v/>
      </c>
      <c r="X1085" t="str">
        <f t="shared" si="77"/>
        <v/>
      </c>
      <c r="Y1085" s="42" t="str">
        <f t="shared" si="78"/>
        <v/>
      </c>
      <c r="Z1085" s="42" t="str">
        <f t="shared" si="79"/>
        <v/>
      </c>
    </row>
    <row r="1086" spans="23:26" x14ac:dyDescent="0.25">
      <c r="W1086" t="str">
        <f t="shared" si="76"/>
        <v/>
      </c>
      <c r="X1086" t="str">
        <f t="shared" si="77"/>
        <v/>
      </c>
      <c r="Y1086" s="42" t="str">
        <f t="shared" si="78"/>
        <v/>
      </c>
      <c r="Z1086" s="42" t="str">
        <f t="shared" si="79"/>
        <v/>
      </c>
    </row>
    <row r="1087" spans="23:26" x14ac:dyDescent="0.25">
      <c r="W1087" t="str">
        <f t="shared" si="76"/>
        <v/>
      </c>
      <c r="X1087" t="str">
        <f t="shared" si="77"/>
        <v/>
      </c>
      <c r="Y1087" s="42" t="str">
        <f t="shared" si="78"/>
        <v/>
      </c>
      <c r="Z1087" s="42" t="str">
        <f t="shared" si="79"/>
        <v/>
      </c>
    </row>
    <row r="1088" spans="23:26" x14ac:dyDescent="0.25">
      <c r="W1088" t="str">
        <f t="shared" si="76"/>
        <v/>
      </c>
      <c r="X1088" t="str">
        <f t="shared" si="77"/>
        <v/>
      </c>
      <c r="Y1088" s="42" t="str">
        <f t="shared" si="78"/>
        <v/>
      </c>
      <c r="Z1088" s="42" t="str">
        <f t="shared" si="79"/>
        <v/>
      </c>
    </row>
    <row r="1089" spans="23:26" x14ac:dyDescent="0.25">
      <c r="W1089" t="str">
        <f t="shared" si="76"/>
        <v/>
      </c>
      <c r="X1089" t="str">
        <f t="shared" si="77"/>
        <v/>
      </c>
      <c r="Y1089" s="42" t="str">
        <f t="shared" si="78"/>
        <v/>
      </c>
      <c r="Z1089" s="42" t="str">
        <f t="shared" si="79"/>
        <v/>
      </c>
    </row>
    <row r="1090" spans="23:26" x14ac:dyDescent="0.25">
      <c r="W1090" t="str">
        <f t="shared" si="76"/>
        <v/>
      </c>
      <c r="X1090" t="str">
        <f t="shared" si="77"/>
        <v/>
      </c>
      <c r="Y1090" s="42" t="str">
        <f t="shared" si="78"/>
        <v/>
      </c>
      <c r="Z1090" s="42" t="str">
        <f t="shared" si="79"/>
        <v/>
      </c>
    </row>
    <row r="1091" spans="23:26" x14ac:dyDescent="0.25">
      <c r="W1091" t="str">
        <f t="shared" si="76"/>
        <v/>
      </c>
      <c r="X1091" t="str">
        <f t="shared" si="77"/>
        <v/>
      </c>
      <c r="Y1091" s="42" t="str">
        <f t="shared" si="78"/>
        <v/>
      </c>
      <c r="Z1091" s="42" t="str">
        <f t="shared" si="79"/>
        <v/>
      </c>
    </row>
    <row r="1092" spans="23:26" x14ac:dyDescent="0.25">
      <c r="W1092" t="str">
        <f t="shared" ref="W1092:W1155" si="80">IF($A1092="","",$A1092)</f>
        <v/>
      </c>
      <c r="X1092" t="str">
        <f t="shared" ref="X1092:X1155" si="81">IF($A1092="","",$C1092)</f>
        <v/>
      </c>
      <c r="Y1092" s="42" t="str">
        <f t="shared" ref="Y1092:Y1155" si="82">IF($A1092="","",$E1092)</f>
        <v/>
      </c>
      <c r="Z1092" s="42" t="str">
        <f t="shared" ref="Z1092:Z1155" si="83">IF($A1092="","",IF(ISERROR($G1092),0,$G1092))</f>
        <v/>
      </c>
    </row>
    <row r="1093" spans="23:26" x14ac:dyDescent="0.25">
      <c r="W1093" t="str">
        <f t="shared" si="80"/>
        <v/>
      </c>
      <c r="X1093" t="str">
        <f t="shared" si="81"/>
        <v/>
      </c>
      <c r="Y1093" s="42" t="str">
        <f t="shared" si="82"/>
        <v/>
      </c>
      <c r="Z1093" s="42" t="str">
        <f t="shared" si="83"/>
        <v/>
      </c>
    </row>
    <row r="1094" spans="23:26" x14ac:dyDescent="0.25">
      <c r="W1094" t="str">
        <f t="shared" si="80"/>
        <v/>
      </c>
      <c r="X1094" t="str">
        <f t="shared" si="81"/>
        <v/>
      </c>
      <c r="Y1094" s="42" t="str">
        <f t="shared" si="82"/>
        <v/>
      </c>
      <c r="Z1094" s="42" t="str">
        <f t="shared" si="83"/>
        <v/>
      </c>
    </row>
    <row r="1095" spans="23:26" x14ac:dyDescent="0.25">
      <c r="W1095" t="str">
        <f t="shared" si="80"/>
        <v/>
      </c>
      <c r="X1095" t="str">
        <f t="shared" si="81"/>
        <v/>
      </c>
      <c r="Y1095" s="42" t="str">
        <f t="shared" si="82"/>
        <v/>
      </c>
      <c r="Z1095" s="42" t="str">
        <f t="shared" si="83"/>
        <v/>
      </c>
    </row>
    <row r="1096" spans="23:26" x14ac:dyDescent="0.25">
      <c r="W1096" t="str">
        <f t="shared" si="80"/>
        <v/>
      </c>
      <c r="X1096" t="str">
        <f t="shared" si="81"/>
        <v/>
      </c>
      <c r="Y1096" s="42" t="str">
        <f t="shared" si="82"/>
        <v/>
      </c>
      <c r="Z1096" s="42" t="str">
        <f t="shared" si="83"/>
        <v/>
      </c>
    </row>
    <row r="1097" spans="23:26" x14ac:dyDescent="0.25">
      <c r="W1097" t="str">
        <f t="shared" si="80"/>
        <v/>
      </c>
      <c r="X1097" t="str">
        <f t="shared" si="81"/>
        <v/>
      </c>
      <c r="Y1097" s="42" t="str">
        <f t="shared" si="82"/>
        <v/>
      </c>
      <c r="Z1097" s="42" t="str">
        <f t="shared" si="83"/>
        <v/>
      </c>
    </row>
    <row r="1098" spans="23:26" x14ac:dyDescent="0.25">
      <c r="W1098" t="str">
        <f t="shared" si="80"/>
        <v/>
      </c>
      <c r="X1098" t="str">
        <f t="shared" si="81"/>
        <v/>
      </c>
      <c r="Y1098" s="42" t="str">
        <f t="shared" si="82"/>
        <v/>
      </c>
      <c r="Z1098" s="42" t="str">
        <f t="shared" si="83"/>
        <v/>
      </c>
    </row>
    <row r="1099" spans="23:26" x14ac:dyDescent="0.25">
      <c r="W1099" t="str">
        <f t="shared" si="80"/>
        <v/>
      </c>
      <c r="X1099" t="str">
        <f t="shared" si="81"/>
        <v/>
      </c>
      <c r="Y1099" s="42" t="str">
        <f t="shared" si="82"/>
        <v/>
      </c>
      <c r="Z1099" s="42" t="str">
        <f t="shared" si="83"/>
        <v/>
      </c>
    </row>
    <row r="1100" spans="23:26" x14ac:dyDescent="0.25">
      <c r="W1100" t="str">
        <f t="shared" si="80"/>
        <v/>
      </c>
      <c r="X1100" t="str">
        <f t="shared" si="81"/>
        <v/>
      </c>
      <c r="Y1100" s="42" t="str">
        <f t="shared" si="82"/>
        <v/>
      </c>
      <c r="Z1100" s="42" t="str">
        <f t="shared" si="83"/>
        <v/>
      </c>
    </row>
    <row r="1101" spans="23:26" x14ac:dyDescent="0.25">
      <c r="W1101" t="str">
        <f t="shared" si="80"/>
        <v/>
      </c>
      <c r="X1101" t="str">
        <f t="shared" si="81"/>
        <v/>
      </c>
      <c r="Y1101" s="42" t="str">
        <f t="shared" si="82"/>
        <v/>
      </c>
      <c r="Z1101" s="42" t="str">
        <f t="shared" si="83"/>
        <v/>
      </c>
    </row>
    <row r="1102" spans="23:26" x14ac:dyDescent="0.25">
      <c r="W1102" t="str">
        <f t="shared" si="80"/>
        <v/>
      </c>
      <c r="X1102" t="str">
        <f t="shared" si="81"/>
        <v/>
      </c>
      <c r="Y1102" s="42" t="str">
        <f t="shared" si="82"/>
        <v/>
      </c>
      <c r="Z1102" s="42" t="str">
        <f t="shared" si="83"/>
        <v/>
      </c>
    </row>
    <row r="1103" spans="23:26" x14ac:dyDescent="0.25">
      <c r="W1103" t="str">
        <f t="shared" si="80"/>
        <v/>
      </c>
      <c r="X1103" t="str">
        <f t="shared" si="81"/>
        <v/>
      </c>
      <c r="Y1103" s="42" t="str">
        <f t="shared" si="82"/>
        <v/>
      </c>
      <c r="Z1103" s="42" t="str">
        <f t="shared" si="83"/>
        <v/>
      </c>
    </row>
    <row r="1104" spans="23:26" x14ac:dyDescent="0.25">
      <c r="W1104" t="str">
        <f t="shared" si="80"/>
        <v/>
      </c>
      <c r="X1104" t="str">
        <f t="shared" si="81"/>
        <v/>
      </c>
      <c r="Y1104" s="42" t="str">
        <f t="shared" si="82"/>
        <v/>
      </c>
      <c r="Z1104" s="42" t="str">
        <f t="shared" si="83"/>
        <v/>
      </c>
    </row>
    <row r="1105" spans="23:26" x14ac:dyDescent="0.25">
      <c r="W1105" t="str">
        <f t="shared" si="80"/>
        <v/>
      </c>
      <c r="X1105" t="str">
        <f t="shared" si="81"/>
        <v/>
      </c>
      <c r="Y1105" s="42" t="str">
        <f t="shared" si="82"/>
        <v/>
      </c>
      <c r="Z1105" s="42" t="str">
        <f t="shared" si="83"/>
        <v/>
      </c>
    </row>
    <row r="1106" spans="23:26" x14ac:dyDescent="0.25">
      <c r="W1106" t="str">
        <f t="shared" si="80"/>
        <v/>
      </c>
      <c r="X1106" t="str">
        <f t="shared" si="81"/>
        <v/>
      </c>
      <c r="Y1106" s="42" t="str">
        <f t="shared" si="82"/>
        <v/>
      </c>
      <c r="Z1106" s="42" t="str">
        <f t="shared" si="83"/>
        <v/>
      </c>
    </row>
    <row r="1107" spans="23:26" x14ac:dyDescent="0.25">
      <c r="W1107" t="str">
        <f t="shared" si="80"/>
        <v/>
      </c>
      <c r="X1107" t="str">
        <f t="shared" si="81"/>
        <v/>
      </c>
      <c r="Y1107" s="42" t="str">
        <f t="shared" si="82"/>
        <v/>
      </c>
      <c r="Z1107" s="42" t="str">
        <f t="shared" si="83"/>
        <v/>
      </c>
    </row>
    <row r="1108" spans="23:26" x14ac:dyDescent="0.25">
      <c r="W1108" t="str">
        <f t="shared" si="80"/>
        <v/>
      </c>
      <c r="X1108" t="str">
        <f t="shared" si="81"/>
        <v/>
      </c>
      <c r="Y1108" s="42" t="str">
        <f t="shared" si="82"/>
        <v/>
      </c>
      <c r="Z1108" s="42" t="str">
        <f t="shared" si="83"/>
        <v/>
      </c>
    </row>
    <row r="1109" spans="23:26" x14ac:dyDescent="0.25">
      <c r="W1109" t="str">
        <f t="shared" si="80"/>
        <v/>
      </c>
      <c r="X1109" t="str">
        <f t="shared" si="81"/>
        <v/>
      </c>
      <c r="Y1109" s="42" t="str">
        <f t="shared" si="82"/>
        <v/>
      </c>
      <c r="Z1109" s="42" t="str">
        <f t="shared" si="83"/>
        <v/>
      </c>
    </row>
    <row r="1110" spans="23:26" x14ac:dyDescent="0.25">
      <c r="W1110" t="str">
        <f t="shared" si="80"/>
        <v/>
      </c>
      <c r="X1110" t="str">
        <f t="shared" si="81"/>
        <v/>
      </c>
      <c r="Y1110" s="42" t="str">
        <f t="shared" si="82"/>
        <v/>
      </c>
      <c r="Z1110" s="42" t="str">
        <f t="shared" si="83"/>
        <v/>
      </c>
    </row>
    <row r="1111" spans="23:26" x14ac:dyDescent="0.25">
      <c r="W1111" t="str">
        <f t="shared" si="80"/>
        <v/>
      </c>
      <c r="X1111" t="str">
        <f t="shared" si="81"/>
        <v/>
      </c>
      <c r="Y1111" s="42" t="str">
        <f t="shared" si="82"/>
        <v/>
      </c>
      <c r="Z1111" s="42" t="str">
        <f t="shared" si="83"/>
        <v/>
      </c>
    </row>
    <row r="1112" spans="23:26" x14ac:dyDescent="0.25">
      <c r="W1112" t="str">
        <f t="shared" si="80"/>
        <v/>
      </c>
      <c r="X1112" t="str">
        <f t="shared" si="81"/>
        <v/>
      </c>
      <c r="Y1112" s="42" t="str">
        <f t="shared" si="82"/>
        <v/>
      </c>
      <c r="Z1112" s="42" t="str">
        <f t="shared" si="83"/>
        <v/>
      </c>
    </row>
    <row r="1113" spans="23:26" x14ac:dyDescent="0.25">
      <c r="W1113" t="str">
        <f t="shared" si="80"/>
        <v/>
      </c>
      <c r="X1113" t="str">
        <f t="shared" si="81"/>
        <v/>
      </c>
      <c r="Y1113" s="42" t="str">
        <f t="shared" si="82"/>
        <v/>
      </c>
      <c r="Z1113" s="42" t="str">
        <f t="shared" si="83"/>
        <v/>
      </c>
    </row>
    <row r="1114" spans="23:26" x14ac:dyDescent="0.25">
      <c r="W1114" t="str">
        <f t="shared" si="80"/>
        <v/>
      </c>
      <c r="X1114" t="str">
        <f t="shared" si="81"/>
        <v/>
      </c>
      <c r="Y1114" s="42" t="str">
        <f t="shared" si="82"/>
        <v/>
      </c>
      <c r="Z1114" s="42" t="str">
        <f t="shared" si="83"/>
        <v/>
      </c>
    </row>
    <row r="1115" spans="23:26" x14ac:dyDescent="0.25">
      <c r="W1115" t="str">
        <f t="shared" si="80"/>
        <v/>
      </c>
      <c r="X1115" t="str">
        <f t="shared" si="81"/>
        <v/>
      </c>
      <c r="Y1115" s="42" t="str">
        <f t="shared" si="82"/>
        <v/>
      </c>
      <c r="Z1115" s="42" t="str">
        <f t="shared" si="83"/>
        <v/>
      </c>
    </row>
    <row r="1116" spans="23:26" x14ac:dyDescent="0.25">
      <c r="W1116" t="str">
        <f t="shared" si="80"/>
        <v/>
      </c>
      <c r="X1116" t="str">
        <f t="shared" si="81"/>
        <v/>
      </c>
      <c r="Y1116" s="42" t="str">
        <f t="shared" si="82"/>
        <v/>
      </c>
      <c r="Z1116" s="42" t="str">
        <f t="shared" si="83"/>
        <v/>
      </c>
    </row>
    <row r="1117" spans="23:26" x14ac:dyDescent="0.25">
      <c r="W1117" t="str">
        <f t="shared" si="80"/>
        <v/>
      </c>
      <c r="X1117" t="str">
        <f t="shared" si="81"/>
        <v/>
      </c>
      <c r="Y1117" s="42" t="str">
        <f t="shared" si="82"/>
        <v/>
      </c>
      <c r="Z1117" s="42" t="str">
        <f t="shared" si="83"/>
        <v/>
      </c>
    </row>
    <row r="1118" spans="23:26" x14ac:dyDescent="0.25">
      <c r="W1118" t="str">
        <f t="shared" si="80"/>
        <v/>
      </c>
      <c r="X1118" t="str">
        <f t="shared" si="81"/>
        <v/>
      </c>
      <c r="Y1118" s="42" t="str">
        <f t="shared" si="82"/>
        <v/>
      </c>
      <c r="Z1118" s="42" t="str">
        <f t="shared" si="83"/>
        <v/>
      </c>
    </row>
    <row r="1119" spans="23:26" x14ac:dyDescent="0.25">
      <c r="W1119" t="str">
        <f t="shared" si="80"/>
        <v/>
      </c>
      <c r="X1119" t="str">
        <f t="shared" si="81"/>
        <v/>
      </c>
      <c r="Y1119" s="42" t="str">
        <f t="shared" si="82"/>
        <v/>
      </c>
      <c r="Z1119" s="42" t="str">
        <f t="shared" si="83"/>
        <v/>
      </c>
    </row>
    <row r="1120" spans="23:26" x14ac:dyDescent="0.25">
      <c r="W1120" t="str">
        <f t="shared" si="80"/>
        <v/>
      </c>
      <c r="X1120" t="str">
        <f t="shared" si="81"/>
        <v/>
      </c>
      <c r="Y1120" s="42" t="str">
        <f t="shared" si="82"/>
        <v/>
      </c>
      <c r="Z1120" s="42" t="str">
        <f t="shared" si="83"/>
        <v/>
      </c>
    </row>
    <row r="1121" spans="23:26" x14ac:dyDescent="0.25">
      <c r="W1121" t="str">
        <f t="shared" si="80"/>
        <v/>
      </c>
      <c r="X1121" t="str">
        <f t="shared" si="81"/>
        <v/>
      </c>
      <c r="Y1121" s="42" t="str">
        <f t="shared" si="82"/>
        <v/>
      </c>
      <c r="Z1121" s="42" t="str">
        <f t="shared" si="83"/>
        <v/>
      </c>
    </row>
    <row r="1122" spans="23:26" x14ac:dyDescent="0.25">
      <c r="W1122" t="str">
        <f t="shared" si="80"/>
        <v/>
      </c>
      <c r="X1122" t="str">
        <f t="shared" si="81"/>
        <v/>
      </c>
      <c r="Y1122" s="42" t="str">
        <f t="shared" si="82"/>
        <v/>
      </c>
      <c r="Z1122" s="42" t="str">
        <f t="shared" si="83"/>
        <v/>
      </c>
    </row>
    <row r="1123" spans="23:26" x14ac:dyDescent="0.25">
      <c r="W1123" t="str">
        <f t="shared" si="80"/>
        <v/>
      </c>
      <c r="X1123" t="str">
        <f t="shared" si="81"/>
        <v/>
      </c>
      <c r="Y1123" s="42" t="str">
        <f t="shared" si="82"/>
        <v/>
      </c>
      <c r="Z1123" s="42" t="str">
        <f t="shared" si="83"/>
        <v/>
      </c>
    </row>
    <row r="1124" spans="23:26" x14ac:dyDescent="0.25">
      <c r="W1124" t="str">
        <f t="shared" si="80"/>
        <v/>
      </c>
      <c r="X1124" t="str">
        <f t="shared" si="81"/>
        <v/>
      </c>
      <c r="Y1124" s="42" t="str">
        <f t="shared" si="82"/>
        <v/>
      </c>
      <c r="Z1124" s="42" t="str">
        <f t="shared" si="83"/>
        <v/>
      </c>
    </row>
    <row r="1125" spans="23:26" x14ac:dyDescent="0.25">
      <c r="W1125" t="str">
        <f t="shared" si="80"/>
        <v/>
      </c>
      <c r="X1125" t="str">
        <f t="shared" si="81"/>
        <v/>
      </c>
      <c r="Y1125" s="42" t="str">
        <f t="shared" si="82"/>
        <v/>
      </c>
      <c r="Z1125" s="42" t="str">
        <f t="shared" si="83"/>
        <v/>
      </c>
    </row>
    <row r="1126" spans="23:26" x14ac:dyDescent="0.25">
      <c r="W1126" t="str">
        <f t="shared" si="80"/>
        <v/>
      </c>
      <c r="X1126" t="str">
        <f t="shared" si="81"/>
        <v/>
      </c>
      <c r="Y1126" s="42" t="str">
        <f t="shared" si="82"/>
        <v/>
      </c>
      <c r="Z1126" s="42" t="str">
        <f t="shared" si="83"/>
        <v/>
      </c>
    </row>
    <row r="1127" spans="23:26" x14ac:dyDescent="0.25">
      <c r="W1127" t="str">
        <f t="shared" si="80"/>
        <v/>
      </c>
      <c r="X1127" t="str">
        <f t="shared" si="81"/>
        <v/>
      </c>
      <c r="Y1127" s="42" t="str">
        <f t="shared" si="82"/>
        <v/>
      </c>
      <c r="Z1127" s="42" t="str">
        <f t="shared" si="83"/>
        <v/>
      </c>
    </row>
    <row r="1128" spans="23:26" x14ac:dyDescent="0.25">
      <c r="W1128" t="str">
        <f t="shared" si="80"/>
        <v/>
      </c>
      <c r="X1128" t="str">
        <f t="shared" si="81"/>
        <v/>
      </c>
      <c r="Y1128" s="42" t="str">
        <f t="shared" si="82"/>
        <v/>
      </c>
      <c r="Z1128" s="42" t="str">
        <f t="shared" si="83"/>
        <v/>
      </c>
    </row>
    <row r="1129" spans="23:26" x14ac:dyDescent="0.25">
      <c r="W1129" t="str">
        <f t="shared" si="80"/>
        <v/>
      </c>
      <c r="X1129" t="str">
        <f t="shared" si="81"/>
        <v/>
      </c>
      <c r="Y1129" s="42" t="str">
        <f t="shared" si="82"/>
        <v/>
      </c>
      <c r="Z1129" s="42" t="str">
        <f t="shared" si="83"/>
        <v/>
      </c>
    </row>
    <row r="1130" spans="23:26" x14ac:dyDescent="0.25">
      <c r="W1130" t="str">
        <f t="shared" si="80"/>
        <v/>
      </c>
      <c r="X1130" t="str">
        <f t="shared" si="81"/>
        <v/>
      </c>
      <c r="Y1130" s="42" t="str">
        <f t="shared" si="82"/>
        <v/>
      </c>
      <c r="Z1130" s="42" t="str">
        <f t="shared" si="83"/>
        <v/>
      </c>
    </row>
    <row r="1131" spans="23:26" x14ac:dyDescent="0.25">
      <c r="W1131" t="str">
        <f t="shared" si="80"/>
        <v/>
      </c>
      <c r="X1131" t="str">
        <f t="shared" si="81"/>
        <v/>
      </c>
      <c r="Y1131" s="42" t="str">
        <f t="shared" si="82"/>
        <v/>
      </c>
      <c r="Z1131" s="42" t="str">
        <f t="shared" si="83"/>
        <v/>
      </c>
    </row>
    <row r="1132" spans="23:26" x14ac:dyDescent="0.25">
      <c r="W1132" t="str">
        <f t="shared" si="80"/>
        <v/>
      </c>
      <c r="X1132" t="str">
        <f t="shared" si="81"/>
        <v/>
      </c>
      <c r="Y1132" s="42" t="str">
        <f t="shared" si="82"/>
        <v/>
      </c>
      <c r="Z1132" s="42" t="str">
        <f t="shared" si="83"/>
        <v/>
      </c>
    </row>
    <row r="1133" spans="23:26" x14ac:dyDescent="0.25">
      <c r="W1133" t="str">
        <f t="shared" si="80"/>
        <v/>
      </c>
      <c r="X1133" t="str">
        <f t="shared" si="81"/>
        <v/>
      </c>
      <c r="Y1133" s="42" t="str">
        <f t="shared" si="82"/>
        <v/>
      </c>
      <c r="Z1133" s="42" t="str">
        <f t="shared" si="83"/>
        <v/>
      </c>
    </row>
    <row r="1134" spans="23:26" x14ac:dyDescent="0.25">
      <c r="W1134" t="str">
        <f t="shared" si="80"/>
        <v/>
      </c>
      <c r="X1134" t="str">
        <f t="shared" si="81"/>
        <v/>
      </c>
      <c r="Y1134" s="42" t="str">
        <f t="shared" si="82"/>
        <v/>
      </c>
      <c r="Z1134" s="42" t="str">
        <f t="shared" si="83"/>
        <v/>
      </c>
    </row>
    <row r="1135" spans="23:26" x14ac:dyDescent="0.25">
      <c r="W1135" t="str">
        <f t="shared" si="80"/>
        <v/>
      </c>
      <c r="X1135" t="str">
        <f t="shared" si="81"/>
        <v/>
      </c>
      <c r="Y1135" s="42" t="str">
        <f t="shared" si="82"/>
        <v/>
      </c>
      <c r="Z1135" s="42" t="str">
        <f t="shared" si="83"/>
        <v/>
      </c>
    </row>
    <row r="1136" spans="23:26" x14ac:dyDescent="0.25">
      <c r="W1136" t="str">
        <f t="shared" si="80"/>
        <v/>
      </c>
      <c r="X1136" t="str">
        <f t="shared" si="81"/>
        <v/>
      </c>
      <c r="Y1136" s="42" t="str">
        <f t="shared" si="82"/>
        <v/>
      </c>
      <c r="Z1136" s="42" t="str">
        <f t="shared" si="83"/>
        <v/>
      </c>
    </row>
    <row r="1137" spans="23:26" x14ac:dyDescent="0.25">
      <c r="W1137" t="str">
        <f t="shared" si="80"/>
        <v/>
      </c>
      <c r="X1137" t="str">
        <f t="shared" si="81"/>
        <v/>
      </c>
      <c r="Y1137" s="42" t="str">
        <f t="shared" si="82"/>
        <v/>
      </c>
      <c r="Z1137" s="42" t="str">
        <f t="shared" si="83"/>
        <v/>
      </c>
    </row>
    <row r="1138" spans="23:26" x14ac:dyDescent="0.25">
      <c r="W1138" t="str">
        <f t="shared" si="80"/>
        <v/>
      </c>
      <c r="X1138" t="str">
        <f t="shared" si="81"/>
        <v/>
      </c>
      <c r="Y1138" s="42" t="str">
        <f t="shared" si="82"/>
        <v/>
      </c>
      <c r="Z1138" s="42" t="str">
        <f t="shared" si="83"/>
        <v/>
      </c>
    </row>
    <row r="1139" spans="23:26" x14ac:dyDescent="0.25">
      <c r="W1139" t="str">
        <f t="shared" si="80"/>
        <v/>
      </c>
      <c r="X1139" t="str">
        <f t="shared" si="81"/>
        <v/>
      </c>
      <c r="Y1139" s="42" t="str">
        <f t="shared" si="82"/>
        <v/>
      </c>
      <c r="Z1139" s="42" t="str">
        <f t="shared" si="83"/>
        <v/>
      </c>
    </row>
    <row r="1140" spans="23:26" x14ac:dyDescent="0.25">
      <c r="W1140" t="str">
        <f t="shared" si="80"/>
        <v/>
      </c>
      <c r="X1140" t="str">
        <f t="shared" si="81"/>
        <v/>
      </c>
      <c r="Y1140" s="42" t="str">
        <f t="shared" si="82"/>
        <v/>
      </c>
      <c r="Z1140" s="42" t="str">
        <f t="shared" si="83"/>
        <v/>
      </c>
    </row>
    <row r="1141" spans="23:26" x14ac:dyDescent="0.25">
      <c r="W1141" t="str">
        <f t="shared" si="80"/>
        <v/>
      </c>
      <c r="X1141" t="str">
        <f t="shared" si="81"/>
        <v/>
      </c>
      <c r="Y1141" s="42" t="str">
        <f t="shared" si="82"/>
        <v/>
      </c>
      <c r="Z1141" s="42" t="str">
        <f t="shared" si="83"/>
        <v/>
      </c>
    </row>
    <row r="1142" spans="23:26" x14ac:dyDescent="0.25">
      <c r="W1142" t="str">
        <f t="shared" si="80"/>
        <v/>
      </c>
      <c r="X1142" t="str">
        <f t="shared" si="81"/>
        <v/>
      </c>
      <c r="Y1142" s="42" t="str">
        <f t="shared" si="82"/>
        <v/>
      </c>
      <c r="Z1142" s="42" t="str">
        <f t="shared" si="83"/>
        <v/>
      </c>
    </row>
    <row r="1143" spans="23:26" x14ac:dyDescent="0.25">
      <c r="W1143" t="str">
        <f t="shared" si="80"/>
        <v/>
      </c>
      <c r="X1143" t="str">
        <f t="shared" si="81"/>
        <v/>
      </c>
      <c r="Y1143" s="42" t="str">
        <f t="shared" si="82"/>
        <v/>
      </c>
      <c r="Z1143" s="42" t="str">
        <f t="shared" si="83"/>
        <v/>
      </c>
    </row>
    <row r="1144" spans="23:26" x14ac:dyDescent="0.25">
      <c r="W1144" t="str">
        <f t="shared" si="80"/>
        <v/>
      </c>
      <c r="X1144" t="str">
        <f t="shared" si="81"/>
        <v/>
      </c>
      <c r="Y1144" s="42" t="str">
        <f t="shared" si="82"/>
        <v/>
      </c>
      <c r="Z1144" s="42" t="str">
        <f t="shared" si="83"/>
        <v/>
      </c>
    </row>
    <row r="1145" spans="23:26" x14ac:dyDescent="0.25">
      <c r="W1145" t="str">
        <f t="shared" si="80"/>
        <v/>
      </c>
      <c r="X1145" t="str">
        <f t="shared" si="81"/>
        <v/>
      </c>
      <c r="Y1145" s="42" t="str">
        <f t="shared" si="82"/>
        <v/>
      </c>
      <c r="Z1145" s="42" t="str">
        <f t="shared" si="83"/>
        <v/>
      </c>
    </row>
    <row r="1146" spans="23:26" x14ac:dyDescent="0.25">
      <c r="W1146" t="str">
        <f t="shared" si="80"/>
        <v/>
      </c>
      <c r="X1146" t="str">
        <f t="shared" si="81"/>
        <v/>
      </c>
      <c r="Y1146" s="42" t="str">
        <f t="shared" si="82"/>
        <v/>
      </c>
      <c r="Z1146" s="42" t="str">
        <f t="shared" si="83"/>
        <v/>
      </c>
    </row>
    <row r="1147" spans="23:26" x14ac:dyDescent="0.25">
      <c r="W1147" t="str">
        <f t="shared" si="80"/>
        <v/>
      </c>
      <c r="X1147" t="str">
        <f t="shared" si="81"/>
        <v/>
      </c>
      <c r="Y1147" s="42" t="str">
        <f t="shared" si="82"/>
        <v/>
      </c>
      <c r="Z1147" s="42" t="str">
        <f t="shared" si="83"/>
        <v/>
      </c>
    </row>
    <row r="1148" spans="23:26" x14ac:dyDescent="0.25">
      <c r="W1148" t="str">
        <f t="shared" si="80"/>
        <v/>
      </c>
      <c r="X1148" t="str">
        <f t="shared" si="81"/>
        <v/>
      </c>
      <c r="Y1148" s="42" t="str">
        <f t="shared" si="82"/>
        <v/>
      </c>
      <c r="Z1148" s="42" t="str">
        <f t="shared" si="83"/>
        <v/>
      </c>
    </row>
    <row r="1149" spans="23:26" x14ac:dyDescent="0.25">
      <c r="W1149" t="str">
        <f t="shared" si="80"/>
        <v/>
      </c>
      <c r="X1149" t="str">
        <f t="shared" si="81"/>
        <v/>
      </c>
      <c r="Y1149" s="42" t="str">
        <f t="shared" si="82"/>
        <v/>
      </c>
      <c r="Z1149" s="42" t="str">
        <f t="shared" si="83"/>
        <v/>
      </c>
    </row>
    <row r="1150" spans="23:26" x14ac:dyDescent="0.25">
      <c r="W1150" t="str">
        <f t="shared" si="80"/>
        <v/>
      </c>
      <c r="X1150" t="str">
        <f t="shared" si="81"/>
        <v/>
      </c>
      <c r="Y1150" s="42" t="str">
        <f t="shared" si="82"/>
        <v/>
      </c>
      <c r="Z1150" s="42" t="str">
        <f t="shared" si="83"/>
        <v/>
      </c>
    </row>
    <row r="1151" spans="23:26" x14ac:dyDescent="0.25">
      <c r="W1151" t="str">
        <f t="shared" si="80"/>
        <v/>
      </c>
      <c r="X1151" t="str">
        <f t="shared" si="81"/>
        <v/>
      </c>
      <c r="Y1151" s="42" t="str">
        <f t="shared" si="82"/>
        <v/>
      </c>
      <c r="Z1151" s="42" t="str">
        <f t="shared" si="83"/>
        <v/>
      </c>
    </row>
    <row r="1152" spans="23:26" x14ac:dyDescent="0.25">
      <c r="W1152" t="str">
        <f t="shared" si="80"/>
        <v/>
      </c>
      <c r="X1152" t="str">
        <f t="shared" si="81"/>
        <v/>
      </c>
      <c r="Y1152" s="42" t="str">
        <f t="shared" si="82"/>
        <v/>
      </c>
      <c r="Z1152" s="42" t="str">
        <f t="shared" si="83"/>
        <v/>
      </c>
    </row>
    <row r="1153" spans="23:26" x14ac:dyDescent="0.25">
      <c r="W1153" t="str">
        <f t="shared" si="80"/>
        <v/>
      </c>
      <c r="X1153" t="str">
        <f t="shared" si="81"/>
        <v/>
      </c>
      <c r="Y1153" s="42" t="str">
        <f t="shared" si="82"/>
        <v/>
      </c>
      <c r="Z1153" s="42" t="str">
        <f t="shared" si="83"/>
        <v/>
      </c>
    </row>
    <row r="1154" spans="23:26" x14ac:dyDescent="0.25">
      <c r="W1154" t="str">
        <f t="shared" si="80"/>
        <v/>
      </c>
      <c r="X1154" t="str">
        <f t="shared" si="81"/>
        <v/>
      </c>
      <c r="Y1154" s="42" t="str">
        <f t="shared" si="82"/>
        <v/>
      </c>
      <c r="Z1154" s="42" t="str">
        <f t="shared" si="83"/>
        <v/>
      </c>
    </row>
    <row r="1155" spans="23:26" x14ac:dyDescent="0.25">
      <c r="W1155" t="str">
        <f t="shared" si="80"/>
        <v/>
      </c>
      <c r="X1155" t="str">
        <f t="shared" si="81"/>
        <v/>
      </c>
      <c r="Y1155" s="42" t="str">
        <f t="shared" si="82"/>
        <v/>
      </c>
      <c r="Z1155" s="42" t="str">
        <f t="shared" si="83"/>
        <v/>
      </c>
    </row>
    <row r="1156" spans="23:26" x14ac:dyDescent="0.25">
      <c r="W1156" t="str">
        <f t="shared" ref="W1156:W1219" si="84">IF($A1156="","",$A1156)</f>
        <v/>
      </c>
      <c r="X1156" t="str">
        <f t="shared" ref="X1156:X1219" si="85">IF($A1156="","",$C1156)</f>
        <v/>
      </c>
      <c r="Y1156" s="42" t="str">
        <f t="shared" ref="Y1156:Y1219" si="86">IF($A1156="","",$E1156)</f>
        <v/>
      </c>
      <c r="Z1156" s="42" t="str">
        <f t="shared" ref="Z1156:Z1219" si="87">IF($A1156="","",IF(ISERROR($G1156),0,$G1156))</f>
        <v/>
      </c>
    </row>
    <row r="1157" spans="23:26" x14ac:dyDescent="0.25">
      <c r="W1157" t="str">
        <f t="shared" si="84"/>
        <v/>
      </c>
      <c r="X1157" t="str">
        <f t="shared" si="85"/>
        <v/>
      </c>
      <c r="Y1157" s="42" t="str">
        <f t="shared" si="86"/>
        <v/>
      </c>
      <c r="Z1157" s="42" t="str">
        <f t="shared" si="87"/>
        <v/>
      </c>
    </row>
    <row r="1158" spans="23:26" x14ac:dyDescent="0.25">
      <c r="W1158" t="str">
        <f t="shared" si="84"/>
        <v/>
      </c>
      <c r="X1158" t="str">
        <f t="shared" si="85"/>
        <v/>
      </c>
      <c r="Y1158" s="42" t="str">
        <f t="shared" si="86"/>
        <v/>
      </c>
      <c r="Z1158" s="42" t="str">
        <f t="shared" si="87"/>
        <v/>
      </c>
    </row>
    <row r="1159" spans="23:26" x14ac:dyDescent="0.25">
      <c r="W1159" t="str">
        <f t="shared" si="84"/>
        <v/>
      </c>
      <c r="X1159" t="str">
        <f t="shared" si="85"/>
        <v/>
      </c>
      <c r="Y1159" s="42" t="str">
        <f t="shared" si="86"/>
        <v/>
      </c>
      <c r="Z1159" s="42" t="str">
        <f t="shared" si="87"/>
        <v/>
      </c>
    </row>
    <row r="1160" spans="23:26" x14ac:dyDescent="0.25">
      <c r="W1160" t="str">
        <f t="shared" si="84"/>
        <v/>
      </c>
      <c r="X1160" t="str">
        <f t="shared" si="85"/>
        <v/>
      </c>
      <c r="Y1160" s="42" t="str">
        <f t="shared" si="86"/>
        <v/>
      </c>
      <c r="Z1160" s="42" t="str">
        <f t="shared" si="87"/>
        <v/>
      </c>
    </row>
    <row r="1161" spans="23:26" x14ac:dyDescent="0.25">
      <c r="W1161" t="str">
        <f t="shared" si="84"/>
        <v/>
      </c>
      <c r="X1161" t="str">
        <f t="shared" si="85"/>
        <v/>
      </c>
      <c r="Y1161" s="42" t="str">
        <f t="shared" si="86"/>
        <v/>
      </c>
      <c r="Z1161" s="42" t="str">
        <f t="shared" si="87"/>
        <v/>
      </c>
    </row>
    <row r="1162" spans="23:26" x14ac:dyDescent="0.25">
      <c r="W1162" t="str">
        <f t="shared" si="84"/>
        <v/>
      </c>
      <c r="X1162" t="str">
        <f t="shared" si="85"/>
        <v/>
      </c>
      <c r="Y1162" s="42" t="str">
        <f t="shared" si="86"/>
        <v/>
      </c>
      <c r="Z1162" s="42" t="str">
        <f t="shared" si="87"/>
        <v/>
      </c>
    </row>
    <row r="1163" spans="23:26" x14ac:dyDescent="0.25">
      <c r="W1163" t="str">
        <f t="shared" si="84"/>
        <v/>
      </c>
      <c r="X1163" t="str">
        <f t="shared" si="85"/>
        <v/>
      </c>
      <c r="Y1163" s="42" t="str">
        <f t="shared" si="86"/>
        <v/>
      </c>
      <c r="Z1163" s="42" t="str">
        <f t="shared" si="87"/>
        <v/>
      </c>
    </row>
    <row r="1164" spans="23:26" x14ac:dyDescent="0.25">
      <c r="W1164" t="str">
        <f t="shared" si="84"/>
        <v/>
      </c>
      <c r="X1164" t="str">
        <f t="shared" si="85"/>
        <v/>
      </c>
      <c r="Y1164" s="42" t="str">
        <f t="shared" si="86"/>
        <v/>
      </c>
      <c r="Z1164" s="42" t="str">
        <f t="shared" si="87"/>
        <v/>
      </c>
    </row>
    <row r="1165" spans="23:26" x14ac:dyDescent="0.25">
      <c r="W1165" t="str">
        <f t="shared" si="84"/>
        <v/>
      </c>
      <c r="X1165" t="str">
        <f t="shared" si="85"/>
        <v/>
      </c>
      <c r="Y1165" s="42" t="str">
        <f t="shared" si="86"/>
        <v/>
      </c>
      <c r="Z1165" s="42" t="str">
        <f t="shared" si="87"/>
        <v/>
      </c>
    </row>
    <row r="1166" spans="23:26" x14ac:dyDescent="0.25">
      <c r="W1166" t="str">
        <f t="shared" si="84"/>
        <v/>
      </c>
      <c r="X1166" t="str">
        <f t="shared" si="85"/>
        <v/>
      </c>
      <c r="Y1166" s="42" t="str">
        <f t="shared" si="86"/>
        <v/>
      </c>
      <c r="Z1166" s="42" t="str">
        <f t="shared" si="87"/>
        <v/>
      </c>
    </row>
    <row r="1167" spans="23:26" x14ac:dyDescent="0.25">
      <c r="W1167" t="str">
        <f t="shared" si="84"/>
        <v/>
      </c>
      <c r="X1167" t="str">
        <f t="shared" si="85"/>
        <v/>
      </c>
      <c r="Y1167" s="42" t="str">
        <f t="shared" si="86"/>
        <v/>
      </c>
      <c r="Z1167" s="42" t="str">
        <f t="shared" si="87"/>
        <v/>
      </c>
    </row>
    <row r="1168" spans="23:26" x14ac:dyDescent="0.25">
      <c r="W1168" t="str">
        <f t="shared" si="84"/>
        <v/>
      </c>
      <c r="X1168" t="str">
        <f t="shared" si="85"/>
        <v/>
      </c>
      <c r="Y1168" s="42" t="str">
        <f t="shared" si="86"/>
        <v/>
      </c>
      <c r="Z1168" s="42" t="str">
        <f t="shared" si="87"/>
        <v/>
      </c>
    </row>
    <row r="1169" spans="23:26" x14ac:dyDescent="0.25">
      <c r="W1169" t="str">
        <f t="shared" si="84"/>
        <v/>
      </c>
      <c r="X1169" t="str">
        <f t="shared" si="85"/>
        <v/>
      </c>
      <c r="Y1169" s="42" t="str">
        <f t="shared" si="86"/>
        <v/>
      </c>
      <c r="Z1169" s="42" t="str">
        <f t="shared" si="87"/>
        <v/>
      </c>
    </row>
    <row r="1170" spans="23:26" x14ac:dyDescent="0.25">
      <c r="W1170" t="str">
        <f t="shared" si="84"/>
        <v/>
      </c>
      <c r="X1170" t="str">
        <f t="shared" si="85"/>
        <v/>
      </c>
      <c r="Y1170" s="42" t="str">
        <f t="shared" si="86"/>
        <v/>
      </c>
      <c r="Z1170" s="42" t="str">
        <f t="shared" si="87"/>
        <v/>
      </c>
    </row>
    <row r="1171" spans="23:26" x14ac:dyDescent="0.25">
      <c r="W1171" t="str">
        <f t="shared" si="84"/>
        <v/>
      </c>
      <c r="X1171" t="str">
        <f t="shared" si="85"/>
        <v/>
      </c>
      <c r="Y1171" s="42" t="str">
        <f t="shared" si="86"/>
        <v/>
      </c>
      <c r="Z1171" s="42" t="str">
        <f t="shared" si="87"/>
        <v/>
      </c>
    </row>
    <row r="1172" spans="23:26" x14ac:dyDescent="0.25">
      <c r="W1172" t="str">
        <f t="shared" si="84"/>
        <v/>
      </c>
      <c r="X1172" t="str">
        <f t="shared" si="85"/>
        <v/>
      </c>
      <c r="Y1172" s="42" t="str">
        <f t="shared" si="86"/>
        <v/>
      </c>
      <c r="Z1172" s="42" t="str">
        <f t="shared" si="87"/>
        <v/>
      </c>
    </row>
    <row r="1173" spans="23:26" x14ac:dyDescent="0.25">
      <c r="W1173" t="str">
        <f t="shared" si="84"/>
        <v/>
      </c>
      <c r="X1173" t="str">
        <f t="shared" si="85"/>
        <v/>
      </c>
      <c r="Y1173" s="42" t="str">
        <f t="shared" si="86"/>
        <v/>
      </c>
      <c r="Z1173" s="42" t="str">
        <f t="shared" si="87"/>
        <v/>
      </c>
    </row>
    <row r="1174" spans="23:26" x14ac:dyDescent="0.25">
      <c r="W1174" t="str">
        <f t="shared" si="84"/>
        <v/>
      </c>
      <c r="X1174" t="str">
        <f t="shared" si="85"/>
        <v/>
      </c>
      <c r="Y1174" s="42" t="str">
        <f t="shared" si="86"/>
        <v/>
      </c>
      <c r="Z1174" s="42" t="str">
        <f t="shared" si="87"/>
        <v/>
      </c>
    </row>
    <row r="1175" spans="23:26" x14ac:dyDescent="0.25">
      <c r="W1175" t="str">
        <f t="shared" si="84"/>
        <v/>
      </c>
      <c r="X1175" t="str">
        <f t="shared" si="85"/>
        <v/>
      </c>
      <c r="Y1175" s="42" t="str">
        <f t="shared" si="86"/>
        <v/>
      </c>
      <c r="Z1175" s="42" t="str">
        <f t="shared" si="87"/>
        <v/>
      </c>
    </row>
    <row r="1176" spans="23:26" x14ac:dyDescent="0.25">
      <c r="W1176" t="str">
        <f t="shared" si="84"/>
        <v/>
      </c>
      <c r="X1176" t="str">
        <f t="shared" si="85"/>
        <v/>
      </c>
      <c r="Y1176" s="42" t="str">
        <f t="shared" si="86"/>
        <v/>
      </c>
      <c r="Z1176" s="42" t="str">
        <f t="shared" si="87"/>
        <v/>
      </c>
    </row>
    <row r="1177" spans="23:26" x14ac:dyDescent="0.25">
      <c r="W1177" t="str">
        <f t="shared" si="84"/>
        <v/>
      </c>
      <c r="X1177" t="str">
        <f t="shared" si="85"/>
        <v/>
      </c>
      <c r="Y1177" s="42" t="str">
        <f t="shared" si="86"/>
        <v/>
      </c>
      <c r="Z1177" s="42" t="str">
        <f t="shared" si="87"/>
        <v/>
      </c>
    </row>
    <row r="1178" spans="23:26" x14ac:dyDescent="0.25">
      <c r="W1178" t="str">
        <f t="shared" si="84"/>
        <v/>
      </c>
      <c r="X1178" t="str">
        <f t="shared" si="85"/>
        <v/>
      </c>
      <c r="Y1178" s="42" t="str">
        <f t="shared" si="86"/>
        <v/>
      </c>
      <c r="Z1178" s="42" t="str">
        <f t="shared" si="87"/>
        <v/>
      </c>
    </row>
    <row r="1179" spans="23:26" x14ac:dyDescent="0.25">
      <c r="W1179" t="str">
        <f t="shared" si="84"/>
        <v/>
      </c>
      <c r="X1179" t="str">
        <f t="shared" si="85"/>
        <v/>
      </c>
      <c r="Y1179" s="42" t="str">
        <f t="shared" si="86"/>
        <v/>
      </c>
      <c r="Z1179" s="42" t="str">
        <f t="shared" si="87"/>
        <v/>
      </c>
    </row>
    <row r="1180" spans="23:26" x14ac:dyDescent="0.25">
      <c r="W1180" t="str">
        <f t="shared" si="84"/>
        <v/>
      </c>
      <c r="X1180" t="str">
        <f t="shared" si="85"/>
        <v/>
      </c>
      <c r="Y1180" s="42" t="str">
        <f t="shared" si="86"/>
        <v/>
      </c>
      <c r="Z1180" s="42" t="str">
        <f t="shared" si="87"/>
        <v/>
      </c>
    </row>
    <row r="1181" spans="23:26" x14ac:dyDescent="0.25">
      <c r="W1181" t="str">
        <f t="shared" si="84"/>
        <v/>
      </c>
      <c r="X1181" t="str">
        <f t="shared" si="85"/>
        <v/>
      </c>
      <c r="Y1181" s="42" t="str">
        <f t="shared" si="86"/>
        <v/>
      </c>
      <c r="Z1181" s="42" t="str">
        <f t="shared" si="87"/>
        <v/>
      </c>
    </row>
    <row r="1182" spans="23:26" x14ac:dyDescent="0.25">
      <c r="W1182" t="str">
        <f t="shared" si="84"/>
        <v/>
      </c>
      <c r="X1182" t="str">
        <f t="shared" si="85"/>
        <v/>
      </c>
      <c r="Y1182" s="42" t="str">
        <f t="shared" si="86"/>
        <v/>
      </c>
      <c r="Z1182" s="42" t="str">
        <f t="shared" si="87"/>
        <v/>
      </c>
    </row>
    <row r="1183" spans="23:26" x14ac:dyDescent="0.25">
      <c r="W1183" t="str">
        <f t="shared" si="84"/>
        <v/>
      </c>
      <c r="X1183" t="str">
        <f t="shared" si="85"/>
        <v/>
      </c>
      <c r="Y1183" s="42" t="str">
        <f t="shared" si="86"/>
        <v/>
      </c>
      <c r="Z1183" s="42" t="str">
        <f t="shared" si="87"/>
        <v/>
      </c>
    </row>
    <row r="1184" spans="23:26" x14ac:dyDescent="0.25">
      <c r="W1184" t="str">
        <f t="shared" si="84"/>
        <v/>
      </c>
      <c r="X1184" t="str">
        <f t="shared" si="85"/>
        <v/>
      </c>
      <c r="Y1184" s="42" t="str">
        <f t="shared" si="86"/>
        <v/>
      </c>
      <c r="Z1184" s="42" t="str">
        <f t="shared" si="87"/>
        <v/>
      </c>
    </row>
    <row r="1185" spans="23:26" x14ac:dyDescent="0.25">
      <c r="W1185" t="str">
        <f t="shared" si="84"/>
        <v/>
      </c>
      <c r="X1185" t="str">
        <f t="shared" si="85"/>
        <v/>
      </c>
      <c r="Y1185" s="42" t="str">
        <f t="shared" si="86"/>
        <v/>
      </c>
      <c r="Z1185" s="42" t="str">
        <f t="shared" si="87"/>
        <v/>
      </c>
    </row>
    <row r="1186" spans="23:26" x14ac:dyDescent="0.25">
      <c r="W1186" t="str">
        <f t="shared" si="84"/>
        <v/>
      </c>
      <c r="X1186" t="str">
        <f t="shared" si="85"/>
        <v/>
      </c>
      <c r="Y1186" s="42" t="str">
        <f t="shared" si="86"/>
        <v/>
      </c>
      <c r="Z1186" s="42" t="str">
        <f t="shared" si="87"/>
        <v/>
      </c>
    </row>
    <row r="1187" spans="23:26" x14ac:dyDescent="0.25">
      <c r="W1187" t="str">
        <f t="shared" si="84"/>
        <v/>
      </c>
      <c r="X1187" t="str">
        <f t="shared" si="85"/>
        <v/>
      </c>
      <c r="Y1187" s="42" t="str">
        <f t="shared" si="86"/>
        <v/>
      </c>
      <c r="Z1187" s="42" t="str">
        <f t="shared" si="87"/>
        <v/>
      </c>
    </row>
    <row r="1188" spans="23:26" x14ac:dyDescent="0.25">
      <c r="W1188" t="str">
        <f t="shared" si="84"/>
        <v/>
      </c>
      <c r="X1188" t="str">
        <f t="shared" si="85"/>
        <v/>
      </c>
      <c r="Y1188" s="42" t="str">
        <f t="shared" si="86"/>
        <v/>
      </c>
      <c r="Z1188" s="42" t="str">
        <f t="shared" si="87"/>
        <v/>
      </c>
    </row>
    <row r="1189" spans="23:26" x14ac:dyDescent="0.25">
      <c r="W1189" t="str">
        <f t="shared" si="84"/>
        <v/>
      </c>
      <c r="X1189" t="str">
        <f t="shared" si="85"/>
        <v/>
      </c>
      <c r="Y1189" s="42" t="str">
        <f t="shared" si="86"/>
        <v/>
      </c>
      <c r="Z1189" s="42" t="str">
        <f t="shared" si="87"/>
        <v/>
      </c>
    </row>
    <row r="1190" spans="23:26" x14ac:dyDescent="0.25">
      <c r="W1190" t="str">
        <f t="shared" si="84"/>
        <v/>
      </c>
      <c r="X1190" t="str">
        <f t="shared" si="85"/>
        <v/>
      </c>
      <c r="Y1190" s="42" t="str">
        <f t="shared" si="86"/>
        <v/>
      </c>
      <c r="Z1190" s="42" t="str">
        <f t="shared" si="87"/>
        <v/>
      </c>
    </row>
    <row r="1191" spans="23:26" x14ac:dyDescent="0.25">
      <c r="W1191" t="str">
        <f t="shared" si="84"/>
        <v/>
      </c>
      <c r="X1191" t="str">
        <f t="shared" si="85"/>
        <v/>
      </c>
      <c r="Y1191" s="42" t="str">
        <f t="shared" si="86"/>
        <v/>
      </c>
      <c r="Z1191" s="42" t="str">
        <f t="shared" si="87"/>
        <v/>
      </c>
    </row>
    <row r="1192" spans="23:26" x14ac:dyDescent="0.25">
      <c r="W1192" t="str">
        <f t="shared" si="84"/>
        <v/>
      </c>
      <c r="X1192" t="str">
        <f t="shared" si="85"/>
        <v/>
      </c>
      <c r="Y1192" s="42" t="str">
        <f t="shared" si="86"/>
        <v/>
      </c>
      <c r="Z1192" s="42" t="str">
        <f t="shared" si="87"/>
        <v/>
      </c>
    </row>
    <row r="1193" spans="23:26" x14ac:dyDescent="0.25">
      <c r="W1193" t="str">
        <f t="shared" si="84"/>
        <v/>
      </c>
      <c r="X1193" t="str">
        <f t="shared" si="85"/>
        <v/>
      </c>
      <c r="Y1193" s="42" t="str">
        <f t="shared" si="86"/>
        <v/>
      </c>
      <c r="Z1193" s="42" t="str">
        <f t="shared" si="87"/>
        <v/>
      </c>
    </row>
    <row r="1194" spans="23:26" x14ac:dyDescent="0.25">
      <c r="W1194" t="str">
        <f t="shared" si="84"/>
        <v/>
      </c>
      <c r="X1194" t="str">
        <f t="shared" si="85"/>
        <v/>
      </c>
      <c r="Y1194" s="42" t="str">
        <f t="shared" si="86"/>
        <v/>
      </c>
      <c r="Z1194" s="42" t="str">
        <f t="shared" si="87"/>
        <v/>
      </c>
    </row>
    <row r="1195" spans="23:26" x14ac:dyDescent="0.25">
      <c r="W1195" t="str">
        <f t="shared" si="84"/>
        <v/>
      </c>
      <c r="X1195" t="str">
        <f t="shared" si="85"/>
        <v/>
      </c>
      <c r="Y1195" s="42" t="str">
        <f t="shared" si="86"/>
        <v/>
      </c>
      <c r="Z1195" s="42" t="str">
        <f t="shared" si="87"/>
        <v/>
      </c>
    </row>
    <row r="1196" spans="23:26" x14ac:dyDescent="0.25">
      <c r="W1196" t="str">
        <f t="shared" si="84"/>
        <v/>
      </c>
      <c r="X1196" t="str">
        <f t="shared" si="85"/>
        <v/>
      </c>
      <c r="Y1196" s="42" t="str">
        <f t="shared" si="86"/>
        <v/>
      </c>
      <c r="Z1196" s="42" t="str">
        <f t="shared" si="87"/>
        <v/>
      </c>
    </row>
    <row r="1197" spans="23:26" x14ac:dyDescent="0.25">
      <c r="W1197" t="str">
        <f t="shared" si="84"/>
        <v/>
      </c>
      <c r="X1197" t="str">
        <f t="shared" si="85"/>
        <v/>
      </c>
      <c r="Y1197" s="42" t="str">
        <f t="shared" si="86"/>
        <v/>
      </c>
      <c r="Z1197" s="42" t="str">
        <f t="shared" si="87"/>
        <v/>
      </c>
    </row>
    <row r="1198" spans="23:26" x14ac:dyDescent="0.25">
      <c r="W1198" t="str">
        <f t="shared" si="84"/>
        <v/>
      </c>
      <c r="X1198" t="str">
        <f t="shared" si="85"/>
        <v/>
      </c>
      <c r="Y1198" s="42" t="str">
        <f t="shared" si="86"/>
        <v/>
      </c>
      <c r="Z1198" s="42" t="str">
        <f t="shared" si="87"/>
        <v/>
      </c>
    </row>
    <row r="1199" spans="23:26" x14ac:dyDescent="0.25">
      <c r="W1199" t="str">
        <f t="shared" si="84"/>
        <v/>
      </c>
      <c r="X1199" t="str">
        <f t="shared" si="85"/>
        <v/>
      </c>
      <c r="Y1199" s="42" t="str">
        <f t="shared" si="86"/>
        <v/>
      </c>
      <c r="Z1199" s="42" t="str">
        <f t="shared" si="87"/>
        <v/>
      </c>
    </row>
    <row r="1200" spans="23:26" x14ac:dyDescent="0.25">
      <c r="W1200" t="str">
        <f t="shared" si="84"/>
        <v/>
      </c>
      <c r="X1200" t="str">
        <f t="shared" si="85"/>
        <v/>
      </c>
      <c r="Y1200" s="42" t="str">
        <f t="shared" si="86"/>
        <v/>
      </c>
      <c r="Z1200" s="42" t="str">
        <f t="shared" si="87"/>
        <v/>
      </c>
    </row>
    <row r="1201" spans="23:26" x14ac:dyDescent="0.25">
      <c r="W1201" t="str">
        <f t="shared" si="84"/>
        <v/>
      </c>
      <c r="X1201" t="str">
        <f t="shared" si="85"/>
        <v/>
      </c>
      <c r="Y1201" s="42" t="str">
        <f t="shared" si="86"/>
        <v/>
      </c>
      <c r="Z1201" s="42" t="str">
        <f t="shared" si="87"/>
        <v/>
      </c>
    </row>
    <row r="1202" spans="23:26" x14ac:dyDescent="0.25">
      <c r="W1202" t="str">
        <f t="shared" si="84"/>
        <v/>
      </c>
      <c r="X1202" t="str">
        <f t="shared" si="85"/>
        <v/>
      </c>
      <c r="Y1202" s="42" t="str">
        <f t="shared" si="86"/>
        <v/>
      </c>
      <c r="Z1202" s="42" t="str">
        <f t="shared" si="87"/>
        <v/>
      </c>
    </row>
    <row r="1203" spans="23:26" x14ac:dyDescent="0.25">
      <c r="W1203" t="str">
        <f t="shared" si="84"/>
        <v/>
      </c>
      <c r="X1203" t="str">
        <f t="shared" si="85"/>
        <v/>
      </c>
      <c r="Y1203" s="42" t="str">
        <f t="shared" si="86"/>
        <v/>
      </c>
      <c r="Z1203" s="42" t="str">
        <f t="shared" si="87"/>
        <v/>
      </c>
    </row>
    <row r="1204" spans="23:26" x14ac:dyDescent="0.25">
      <c r="W1204" t="str">
        <f t="shared" si="84"/>
        <v/>
      </c>
      <c r="X1204" t="str">
        <f t="shared" si="85"/>
        <v/>
      </c>
      <c r="Y1204" s="42" t="str">
        <f t="shared" si="86"/>
        <v/>
      </c>
      <c r="Z1204" s="42" t="str">
        <f t="shared" si="87"/>
        <v/>
      </c>
    </row>
    <row r="1205" spans="23:26" x14ac:dyDescent="0.25">
      <c r="W1205" t="str">
        <f t="shared" si="84"/>
        <v/>
      </c>
      <c r="X1205" t="str">
        <f t="shared" si="85"/>
        <v/>
      </c>
      <c r="Y1205" s="42" t="str">
        <f t="shared" si="86"/>
        <v/>
      </c>
      <c r="Z1205" s="42" t="str">
        <f t="shared" si="87"/>
        <v/>
      </c>
    </row>
    <row r="1206" spans="23:26" x14ac:dyDescent="0.25">
      <c r="W1206" t="str">
        <f t="shared" si="84"/>
        <v/>
      </c>
      <c r="X1206" t="str">
        <f t="shared" si="85"/>
        <v/>
      </c>
      <c r="Y1206" s="42" t="str">
        <f t="shared" si="86"/>
        <v/>
      </c>
      <c r="Z1206" s="42" t="str">
        <f t="shared" si="87"/>
        <v/>
      </c>
    </row>
    <row r="1207" spans="23:26" x14ac:dyDescent="0.25">
      <c r="W1207" t="str">
        <f t="shared" si="84"/>
        <v/>
      </c>
      <c r="X1207" t="str">
        <f t="shared" si="85"/>
        <v/>
      </c>
      <c r="Y1207" s="42" t="str">
        <f t="shared" si="86"/>
        <v/>
      </c>
      <c r="Z1207" s="42" t="str">
        <f t="shared" si="87"/>
        <v/>
      </c>
    </row>
    <row r="1208" spans="23:26" x14ac:dyDescent="0.25">
      <c r="W1208" t="str">
        <f t="shared" si="84"/>
        <v/>
      </c>
      <c r="X1208" t="str">
        <f t="shared" si="85"/>
        <v/>
      </c>
      <c r="Y1208" s="42" t="str">
        <f t="shared" si="86"/>
        <v/>
      </c>
      <c r="Z1208" s="42" t="str">
        <f t="shared" si="87"/>
        <v/>
      </c>
    </row>
    <row r="1209" spans="23:26" x14ac:dyDescent="0.25">
      <c r="W1209" t="str">
        <f t="shared" si="84"/>
        <v/>
      </c>
      <c r="X1209" t="str">
        <f t="shared" si="85"/>
        <v/>
      </c>
      <c r="Y1209" s="42" t="str">
        <f t="shared" si="86"/>
        <v/>
      </c>
      <c r="Z1209" s="42" t="str">
        <f t="shared" si="87"/>
        <v/>
      </c>
    </row>
    <row r="1210" spans="23:26" x14ac:dyDescent="0.25">
      <c r="W1210" t="str">
        <f t="shared" si="84"/>
        <v/>
      </c>
      <c r="X1210" t="str">
        <f t="shared" si="85"/>
        <v/>
      </c>
      <c r="Y1210" s="42" t="str">
        <f t="shared" si="86"/>
        <v/>
      </c>
      <c r="Z1210" s="42" t="str">
        <f t="shared" si="87"/>
        <v/>
      </c>
    </row>
    <row r="1211" spans="23:26" x14ac:dyDescent="0.25">
      <c r="W1211" t="str">
        <f t="shared" si="84"/>
        <v/>
      </c>
      <c r="X1211" t="str">
        <f t="shared" si="85"/>
        <v/>
      </c>
      <c r="Y1211" s="42" t="str">
        <f t="shared" si="86"/>
        <v/>
      </c>
      <c r="Z1211" s="42" t="str">
        <f t="shared" si="87"/>
        <v/>
      </c>
    </row>
    <row r="1212" spans="23:26" x14ac:dyDescent="0.25">
      <c r="W1212" t="str">
        <f t="shared" si="84"/>
        <v/>
      </c>
      <c r="X1212" t="str">
        <f t="shared" si="85"/>
        <v/>
      </c>
      <c r="Y1212" s="42" t="str">
        <f t="shared" si="86"/>
        <v/>
      </c>
      <c r="Z1212" s="42" t="str">
        <f t="shared" si="87"/>
        <v/>
      </c>
    </row>
    <row r="1213" spans="23:26" x14ac:dyDescent="0.25">
      <c r="W1213" t="str">
        <f t="shared" si="84"/>
        <v/>
      </c>
      <c r="X1213" t="str">
        <f t="shared" si="85"/>
        <v/>
      </c>
      <c r="Y1213" s="42" t="str">
        <f t="shared" si="86"/>
        <v/>
      </c>
      <c r="Z1213" s="42" t="str">
        <f t="shared" si="87"/>
        <v/>
      </c>
    </row>
    <row r="1214" spans="23:26" x14ac:dyDescent="0.25">
      <c r="W1214" t="str">
        <f t="shared" si="84"/>
        <v/>
      </c>
      <c r="X1214" t="str">
        <f t="shared" si="85"/>
        <v/>
      </c>
      <c r="Y1214" s="42" t="str">
        <f t="shared" si="86"/>
        <v/>
      </c>
      <c r="Z1214" s="42" t="str">
        <f t="shared" si="87"/>
        <v/>
      </c>
    </row>
    <row r="1215" spans="23:26" x14ac:dyDescent="0.25">
      <c r="W1215" t="str">
        <f t="shared" si="84"/>
        <v/>
      </c>
      <c r="X1215" t="str">
        <f t="shared" si="85"/>
        <v/>
      </c>
      <c r="Y1215" s="42" t="str">
        <f t="shared" si="86"/>
        <v/>
      </c>
      <c r="Z1215" s="42" t="str">
        <f t="shared" si="87"/>
        <v/>
      </c>
    </row>
    <row r="1216" spans="23:26" x14ac:dyDescent="0.25">
      <c r="W1216" t="str">
        <f t="shared" si="84"/>
        <v/>
      </c>
      <c r="X1216" t="str">
        <f t="shared" si="85"/>
        <v/>
      </c>
      <c r="Y1216" s="42" t="str">
        <f t="shared" si="86"/>
        <v/>
      </c>
      <c r="Z1216" s="42" t="str">
        <f t="shared" si="87"/>
        <v/>
      </c>
    </row>
    <row r="1217" spans="23:26" x14ac:dyDescent="0.25">
      <c r="W1217" t="str">
        <f t="shared" si="84"/>
        <v/>
      </c>
      <c r="X1217" t="str">
        <f t="shared" si="85"/>
        <v/>
      </c>
      <c r="Y1217" s="42" t="str">
        <f t="shared" si="86"/>
        <v/>
      </c>
      <c r="Z1217" s="42" t="str">
        <f t="shared" si="87"/>
        <v/>
      </c>
    </row>
    <row r="1218" spans="23:26" x14ac:dyDescent="0.25">
      <c r="W1218" t="str">
        <f t="shared" si="84"/>
        <v/>
      </c>
      <c r="X1218" t="str">
        <f t="shared" si="85"/>
        <v/>
      </c>
      <c r="Y1218" s="42" t="str">
        <f t="shared" si="86"/>
        <v/>
      </c>
      <c r="Z1218" s="42" t="str">
        <f t="shared" si="87"/>
        <v/>
      </c>
    </row>
    <row r="1219" spans="23:26" x14ac:dyDescent="0.25">
      <c r="W1219" t="str">
        <f t="shared" si="84"/>
        <v/>
      </c>
      <c r="X1219" t="str">
        <f t="shared" si="85"/>
        <v/>
      </c>
      <c r="Y1219" s="42" t="str">
        <f t="shared" si="86"/>
        <v/>
      </c>
      <c r="Z1219" s="42" t="str">
        <f t="shared" si="87"/>
        <v/>
      </c>
    </row>
    <row r="1220" spans="23:26" x14ac:dyDescent="0.25">
      <c r="W1220" t="str">
        <f t="shared" ref="W1220:W1283" si="88">IF($A1220="","",$A1220)</f>
        <v/>
      </c>
      <c r="X1220" t="str">
        <f t="shared" ref="X1220:X1283" si="89">IF($A1220="","",$C1220)</f>
        <v/>
      </c>
      <c r="Y1220" s="42" t="str">
        <f t="shared" ref="Y1220:Y1283" si="90">IF($A1220="","",$E1220)</f>
        <v/>
      </c>
      <c r="Z1220" s="42" t="str">
        <f t="shared" ref="Z1220:Z1283" si="91">IF($A1220="","",IF(ISERROR($G1220),0,$G1220))</f>
        <v/>
      </c>
    </row>
    <row r="1221" spans="23:26" x14ac:dyDescent="0.25">
      <c r="W1221" t="str">
        <f t="shared" si="88"/>
        <v/>
      </c>
      <c r="X1221" t="str">
        <f t="shared" si="89"/>
        <v/>
      </c>
      <c r="Y1221" s="42" t="str">
        <f t="shared" si="90"/>
        <v/>
      </c>
      <c r="Z1221" s="42" t="str">
        <f t="shared" si="91"/>
        <v/>
      </c>
    </row>
    <row r="1222" spans="23:26" x14ac:dyDescent="0.25">
      <c r="W1222" t="str">
        <f t="shared" si="88"/>
        <v/>
      </c>
      <c r="X1222" t="str">
        <f t="shared" si="89"/>
        <v/>
      </c>
      <c r="Y1222" s="42" t="str">
        <f t="shared" si="90"/>
        <v/>
      </c>
      <c r="Z1222" s="42" t="str">
        <f t="shared" si="91"/>
        <v/>
      </c>
    </row>
    <row r="1223" spans="23:26" x14ac:dyDescent="0.25">
      <c r="W1223" t="str">
        <f t="shared" si="88"/>
        <v/>
      </c>
      <c r="X1223" t="str">
        <f t="shared" si="89"/>
        <v/>
      </c>
      <c r="Y1223" s="42" t="str">
        <f t="shared" si="90"/>
        <v/>
      </c>
      <c r="Z1223" s="42" t="str">
        <f t="shared" si="91"/>
        <v/>
      </c>
    </row>
    <row r="1224" spans="23:26" x14ac:dyDescent="0.25">
      <c r="W1224" t="str">
        <f t="shared" si="88"/>
        <v/>
      </c>
      <c r="X1224" t="str">
        <f t="shared" si="89"/>
        <v/>
      </c>
      <c r="Y1224" s="42" t="str">
        <f t="shared" si="90"/>
        <v/>
      </c>
      <c r="Z1224" s="42" t="str">
        <f t="shared" si="91"/>
        <v/>
      </c>
    </row>
    <row r="1225" spans="23:26" x14ac:dyDescent="0.25">
      <c r="W1225" t="str">
        <f t="shared" si="88"/>
        <v/>
      </c>
      <c r="X1225" t="str">
        <f t="shared" si="89"/>
        <v/>
      </c>
      <c r="Y1225" s="42" t="str">
        <f t="shared" si="90"/>
        <v/>
      </c>
      <c r="Z1225" s="42" t="str">
        <f t="shared" si="91"/>
        <v/>
      </c>
    </row>
    <row r="1226" spans="23:26" x14ac:dyDescent="0.25">
      <c r="W1226" t="str">
        <f t="shared" si="88"/>
        <v/>
      </c>
      <c r="X1226" t="str">
        <f t="shared" si="89"/>
        <v/>
      </c>
      <c r="Y1226" s="42" t="str">
        <f t="shared" si="90"/>
        <v/>
      </c>
      <c r="Z1226" s="42" t="str">
        <f t="shared" si="91"/>
        <v/>
      </c>
    </row>
    <row r="1227" spans="23:26" x14ac:dyDescent="0.25">
      <c r="W1227" t="str">
        <f t="shared" si="88"/>
        <v/>
      </c>
      <c r="X1227" t="str">
        <f t="shared" si="89"/>
        <v/>
      </c>
      <c r="Y1227" s="42" t="str">
        <f t="shared" si="90"/>
        <v/>
      </c>
      <c r="Z1227" s="42" t="str">
        <f t="shared" si="91"/>
        <v/>
      </c>
    </row>
    <row r="1228" spans="23:26" x14ac:dyDescent="0.25">
      <c r="W1228" t="str">
        <f t="shared" si="88"/>
        <v/>
      </c>
      <c r="X1228" t="str">
        <f t="shared" si="89"/>
        <v/>
      </c>
      <c r="Y1228" s="42" t="str">
        <f t="shared" si="90"/>
        <v/>
      </c>
      <c r="Z1228" s="42" t="str">
        <f t="shared" si="91"/>
        <v/>
      </c>
    </row>
    <row r="1229" spans="23:26" x14ac:dyDescent="0.25">
      <c r="W1229" t="str">
        <f t="shared" si="88"/>
        <v/>
      </c>
      <c r="X1229" t="str">
        <f t="shared" si="89"/>
        <v/>
      </c>
      <c r="Y1229" s="42" t="str">
        <f t="shared" si="90"/>
        <v/>
      </c>
      <c r="Z1229" s="42" t="str">
        <f t="shared" si="91"/>
        <v/>
      </c>
    </row>
    <row r="1230" spans="23:26" x14ac:dyDescent="0.25">
      <c r="W1230" t="str">
        <f t="shared" si="88"/>
        <v/>
      </c>
      <c r="X1230" t="str">
        <f t="shared" si="89"/>
        <v/>
      </c>
      <c r="Y1230" s="42" t="str">
        <f t="shared" si="90"/>
        <v/>
      </c>
      <c r="Z1230" s="42" t="str">
        <f t="shared" si="91"/>
        <v/>
      </c>
    </row>
    <row r="1231" spans="23:26" x14ac:dyDescent="0.25">
      <c r="W1231" t="str">
        <f t="shared" si="88"/>
        <v/>
      </c>
      <c r="X1231" t="str">
        <f t="shared" si="89"/>
        <v/>
      </c>
      <c r="Y1231" s="42" t="str">
        <f t="shared" si="90"/>
        <v/>
      </c>
      <c r="Z1231" s="42" t="str">
        <f t="shared" si="91"/>
        <v/>
      </c>
    </row>
    <row r="1232" spans="23:26" x14ac:dyDescent="0.25">
      <c r="W1232" t="str">
        <f t="shared" si="88"/>
        <v/>
      </c>
      <c r="X1232" t="str">
        <f t="shared" si="89"/>
        <v/>
      </c>
      <c r="Y1232" s="42" t="str">
        <f t="shared" si="90"/>
        <v/>
      </c>
      <c r="Z1232" s="42" t="str">
        <f t="shared" si="91"/>
        <v/>
      </c>
    </row>
    <row r="1233" spans="23:26" x14ac:dyDescent="0.25">
      <c r="W1233" t="str">
        <f t="shared" si="88"/>
        <v/>
      </c>
      <c r="X1233" t="str">
        <f t="shared" si="89"/>
        <v/>
      </c>
      <c r="Y1233" s="42" t="str">
        <f t="shared" si="90"/>
        <v/>
      </c>
      <c r="Z1233" s="42" t="str">
        <f t="shared" si="91"/>
        <v/>
      </c>
    </row>
    <row r="1234" spans="23:26" x14ac:dyDescent="0.25">
      <c r="W1234" t="str">
        <f t="shared" si="88"/>
        <v/>
      </c>
      <c r="X1234" t="str">
        <f t="shared" si="89"/>
        <v/>
      </c>
      <c r="Y1234" s="42" t="str">
        <f t="shared" si="90"/>
        <v/>
      </c>
      <c r="Z1234" s="42" t="str">
        <f t="shared" si="91"/>
        <v/>
      </c>
    </row>
    <row r="1235" spans="23:26" x14ac:dyDescent="0.25">
      <c r="W1235" t="str">
        <f t="shared" si="88"/>
        <v/>
      </c>
      <c r="X1235" t="str">
        <f t="shared" si="89"/>
        <v/>
      </c>
      <c r="Y1235" s="42" t="str">
        <f t="shared" si="90"/>
        <v/>
      </c>
      <c r="Z1235" s="42" t="str">
        <f t="shared" si="91"/>
        <v/>
      </c>
    </row>
    <row r="1236" spans="23:26" x14ac:dyDescent="0.25">
      <c r="W1236" t="str">
        <f t="shared" si="88"/>
        <v/>
      </c>
      <c r="X1236" t="str">
        <f t="shared" si="89"/>
        <v/>
      </c>
      <c r="Y1236" s="42" t="str">
        <f t="shared" si="90"/>
        <v/>
      </c>
      <c r="Z1236" s="42" t="str">
        <f t="shared" si="91"/>
        <v/>
      </c>
    </row>
    <row r="1237" spans="23:26" x14ac:dyDescent="0.25">
      <c r="W1237" t="str">
        <f t="shared" si="88"/>
        <v/>
      </c>
      <c r="X1237" t="str">
        <f t="shared" si="89"/>
        <v/>
      </c>
      <c r="Y1237" s="42" t="str">
        <f t="shared" si="90"/>
        <v/>
      </c>
      <c r="Z1237" s="42" t="str">
        <f t="shared" si="91"/>
        <v/>
      </c>
    </row>
    <row r="1238" spans="23:26" x14ac:dyDescent="0.25">
      <c r="W1238" t="str">
        <f t="shared" si="88"/>
        <v/>
      </c>
      <c r="X1238" t="str">
        <f t="shared" si="89"/>
        <v/>
      </c>
      <c r="Y1238" s="42" t="str">
        <f t="shared" si="90"/>
        <v/>
      </c>
      <c r="Z1238" s="42" t="str">
        <f t="shared" si="91"/>
        <v/>
      </c>
    </row>
    <row r="1239" spans="23:26" x14ac:dyDescent="0.25">
      <c r="W1239" t="str">
        <f t="shared" si="88"/>
        <v/>
      </c>
      <c r="X1239" t="str">
        <f t="shared" si="89"/>
        <v/>
      </c>
      <c r="Y1239" s="42" t="str">
        <f t="shared" si="90"/>
        <v/>
      </c>
      <c r="Z1239" s="42" t="str">
        <f t="shared" si="91"/>
        <v/>
      </c>
    </row>
    <row r="1240" spans="23:26" x14ac:dyDescent="0.25">
      <c r="W1240" t="str">
        <f t="shared" si="88"/>
        <v/>
      </c>
      <c r="X1240" t="str">
        <f t="shared" si="89"/>
        <v/>
      </c>
      <c r="Y1240" s="42" t="str">
        <f t="shared" si="90"/>
        <v/>
      </c>
      <c r="Z1240" s="42" t="str">
        <f t="shared" si="91"/>
        <v/>
      </c>
    </row>
    <row r="1241" spans="23:26" x14ac:dyDescent="0.25">
      <c r="W1241" t="str">
        <f t="shared" si="88"/>
        <v/>
      </c>
      <c r="X1241" t="str">
        <f t="shared" si="89"/>
        <v/>
      </c>
      <c r="Y1241" s="42" t="str">
        <f t="shared" si="90"/>
        <v/>
      </c>
      <c r="Z1241" s="42" t="str">
        <f t="shared" si="91"/>
        <v/>
      </c>
    </row>
    <row r="1242" spans="23:26" x14ac:dyDescent="0.25">
      <c r="W1242" t="str">
        <f t="shared" si="88"/>
        <v/>
      </c>
      <c r="X1242" t="str">
        <f t="shared" si="89"/>
        <v/>
      </c>
      <c r="Y1242" s="42" t="str">
        <f t="shared" si="90"/>
        <v/>
      </c>
      <c r="Z1242" s="42" t="str">
        <f t="shared" si="91"/>
        <v/>
      </c>
    </row>
    <row r="1243" spans="23:26" x14ac:dyDescent="0.25">
      <c r="W1243" t="str">
        <f t="shared" si="88"/>
        <v/>
      </c>
      <c r="X1243" t="str">
        <f t="shared" si="89"/>
        <v/>
      </c>
      <c r="Y1243" s="42" t="str">
        <f t="shared" si="90"/>
        <v/>
      </c>
      <c r="Z1243" s="42" t="str">
        <f t="shared" si="91"/>
        <v/>
      </c>
    </row>
    <row r="1244" spans="23:26" x14ac:dyDescent="0.25">
      <c r="W1244" t="str">
        <f t="shared" si="88"/>
        <v/>
      </c>
      <c r="X1244" t="str">
        <f t="shared" si="89"/>
        <v/>
      </c>
      <c r="Y1244" s="42" t="str">
        <f t="shared" si="90"/>
        <v/>
      </c>
      <c r="Z1244" s="42" t="str">
        <f t="shared" si="91"/>
        <v/>
      </c>
    </row>
    <row r="1245" spans="23:26" x14ac:dyDescent="0.25">
      <c r="W1245" t="str">
        <f t="shared" si="88"/>
        <v/>
      </c>
      <c r="X1245" t="str">
        <f t="shared" si="89"/>
        <v/>
      </c>
      <c r="Y1245" s="42" t="str">
        <f t="shared" si="90"/>
        <v/>
      </c>
      <c r="Z1245" s="42" t="str">
        <f t="shared" si="91"/>
        <v/>
      </c>
    </row>
    <row r="1246" spans="23:26" x14ac:dyDescent="0.25">
      <c r="W1246" t="str">
        <f t="shared" si="88"/>
        <v/>
      </c>
      <c r="X1246" t="str">
        <f t="shared" si="89"/>
        <v/>
      </c>
      <c r="Y1246" s="42" t="str">
        <f t="shared" si="90"/>
        <v/>
      </c>
      <c r="Z1246" s="42" t="str">
        <f t="shared" si="91"/>
        <v/>
      </c>
    </row>
    <row r="1247" spans="23:26" x14ac:dyDescent="0.25">
      <c r="W1247" t="str">
        <f t="shared" si="88"/>
        <v/>
      </c>
      <c r="X1247" t="str">
        <f t="shared" si="89"/>
        <v/>
      </c>
      <c r="Y1247" s="42" t="str">
        <f t="shared" si="90"/>
        <v/>
      </c>
      <c r="Z1247" s="42" t="str">
        <f t="shared" si="91"/>
        <v/>
      </c>
    </row>
    <row r="1248" spans="23:26" x14ac:dyDescent="0.25">
      <c r="W1248" t="str">
        <f t="shared" si="88"/>
        <v/>
      </c>
      <c r="X1248" t="str">
        <f t="shared" si="89"/>
        <v/>
      </c>
      <c r="Y1248" s="42" t="str">
        <f t="shared" si="90"/>
        <v/>
      </c>
      <c r="Z1248" s="42" t="str">
        <f t="shared" si="91"/>
        <v/>
      </c>
    </row>
    <row r="1249" spans="23:26" x14ac:dyDescent="0.25">
      <c r="W1249" t="str">
        <f t="shared" si="88"/>
        <v/>
      </c>
      <c r="X1249" t="str">
        <f t="shared" si="89"/>
        <v/>
      </c>
      <c r="Y1249" s="42" t="str">
        <f t="shared" si="90"/>
        <v/>
      </c>
      <c r="Z1249" s="42" t="str">
        <f t="shared" si="91"/>
        <v/>
      </c>
    </row>
    <row r="1250" spans="23:26" x14ac:dyDescent="0.25">
      <c r="W1250" t="str">
        <f t="shared" si="88"/>
        <v/>
      </c>
      <c r="X1250" t="str">
        <f t="shared" si="89"/>
        <v/>
      </c>
      <c r="Y1250" s="42" t="str">
        <f t="shared" si="90"/>
        <v/>
      </c>
      <c r="Z1250" s="42" t="str">
        <f t="shared" si="91"/>
        <v/>
      </c>
    </row>
    <row r="1251" spans="23:26" x14ac:dyDescent="0.25">
      <c r="W1251" t="str">
        <f t="shared" si="88"/>
        <v/>
      </c>
      <c r="X1251" t="str">
        <f t="shared" si="89"/>
        <v/>
      </c>
      <c r="Y1251" s="42" t="str">
        <f t="shared" si="90"/>
        <v/>
      </c>
      <c r="Z1251" s="42" t="str">
        <f t="shared" si="91"/>
        <v/>
      </c>
    </row>
    <row r="1252" spans="23:26" x14ac:dyDescent="0.25">
      <c r="W1252" t="str">
        <f t="shared" si="88"/>
        <v/>
      </c>
      <c r="X1252" t="str">
        <f t="shared" si="89"/>
        <v/>
      </c>
      <c r="Y1252" s="42" t="str">
        <f t="shared" si="90"/>
        <v/>
      </c>
      <c r="Z1252" s="42" t="str">
        <f t="shared" si="91"/>
        <v/>
      </c>
    </row>
    <row r="1253" spans="23:26" x14ac:dyDescent="0.25">
      <c r="W1253" t="str">
        <f t="shared" si="88"/>
        <v/>
      </c>
      <c r="X1253" t="str">
        <f t="shared" si="89"/>
        <v/>
      </c>
      <c r="Y1253" s="42" t="str">
        <f t="shared" si="90"/>
        <v/>
      </c>
      <c r="Z1253" s="42" t="str">
        <f t="shared" si="91"/>
        <v/>
      </c>
    </row>
    <row r="1254" spans="23:26" x14ac:dyDescent="0.25">
      <c r="W1254" t="str">
        <f t="shared" si="88"/>
        <v/>
      </c>
      <c r="X1254" t="str">
        <f t="shared" si="89"/>
        <v/>
      </c>
      <c r="Y1254" s="42" t="str">
        <f t="shared" si="90"/>
        <v/>
      </c>
      <c r="Z1254" s="42" t="str">
        <f t="shared" si="91"/>
        <v/>
      </c>
    </row>
    <row r="1255" spans="23:26" x14ac:dyDescent="0.25">
      <c r="W1255" t="str">
        <f t="shared" si="88"/>
        <v/>
      </c>
      <c r="X1255" t="str">
        <f t="shared" si="89"/>
        <v/>
      </c>
      <c r="Y1255" s="42" t="str">
        <f t="shared" si="90"/>
        <v/>
      </c>
      <c r="Z1255" s="42" t="str">
        <f t="shared" si="91"/>
        <v/>
      </c>
    </row>
    <row r="1256" spans="23:26" x14ac:dyDescent="0.25">
      <c r="W1256" t="str">
        <f t="shared" si="88"/>
        <v/>
      </c>
      <c r="X1256" t="str">
        <f t="shared" si="89"/>
        <v/>
      </c>
      <c r="Y1256" s="42" t="str">
        <f t="shared" si="90"/>
        <v/>
      </c>
      <c r="Z1256" s="42" t="str">
        <f t="shared" si="91"/>
        <v/>
      </c>
    </row>
    <row r="1257" spans="23:26" x14ac:dyDescent="0.25">
      <c r="W1257" t="str">
        <f t="shared" si="88"/>
        <v/>
      </c>
      <c r="X1257" t="str">
        <f t="shared" si="89"/>
        <v/>
      </c>
      <c r="Y1257" s="42" t="str">
        <f t="shared" si="90"/>
        <v/>
      </c>
      <c r="Z1257" s="42" t="str">
        <f t="shared" si="91"/>
        <v/>
      </c>
    </row>
    <row r="1258" spans="23:26" x14ac:dyDescent="0.25">
      <c r="W1258" t="str">
        <f t="shared" si="88"/>
        <v/>
      </c>
      <c r="X1258" t="str">
        <f t="shared" si="89"/>
        <v/>
      </c>
      <c r="Y1258" s="42" t="str">
        <f t="shared" si="90"/>
        <v/>
      </c>
      <c r="Z1258" s="42" t="str">
        <f t="shared" si="91"/>
        <v/>
      </c>
    </row>
    <row r="1259" spans="23:26" x14ac:dyDescent="0.25">
      <c r="W1259" t="str">
        <f t="shared" si="88"/>
        <v/>
      </c>
      <c r="X1259" t="str">
        <f t="shared" si="89"/>
        <v/>
      </c>
      <c r="Y1259" s="42" t="str">
        <f t="shared" si="90"/>
        <v/>
      </c>
      <c r="Z1259" s="42" t="str">
        <f t="shared" si="91"/>
        <v/>
      </c>
    </row>
    <row r="1260" spans="23:26" x14ac:dyDescent="0.25">
      <c r="W1260" t="str">
        <f t="shared" si="88"/>
        <v/>
      </c>
      <c r="X1260" t="str">
        <f t="shared" si="89"/>
        <v/>
      </c>
      <c r="Y1260" s="42" t="str">
        <f t="shared" si="90"/>
        <v/>
      </c>
      <c r="Z1260" s="42" t="str">
        <f t="shared" si="91"/>
        <v/>
      </c>
    </row>
    <row r="1261" spans="23:26" x14ac:dyDescent="0.25">
      <c r="W1261" t="str">
        <f t="shared" si="88"/>
        <v/>
      </c>
      <c r="X1261" t="str">
        <f t="shared" si="89"/>
        <v/>
      </c>
      <c r="Y1261" s="42" t="str">
        <f t="shared" si="90"/>
        <v/>
      </c>
      <c r="Z1261" s="42" t="str">
        <f t="shared" si="91"/>
        <v/>
      </c>
    </row>
    <row r="1262" spans="23:26" x14ac:dyDescent="0.25">
      <c r="W1262" t="str">
        <f t="shared" si="88"/>
        <v/>
      </c>
      <c r="X1262" t="str">
        <f t="shared" si="89"/>
        <v/>
      </c>
      <c r="Y1262" s="42" t="str">
        <f t="shared" si="90"/>
        <v/>
      </c>
      <c r="Z1262" s="42" t="str">
        <f t="shared" si="91"/>
        <v/>
      </c>
    </row>
    <row r="1263" spans="23:26" x14ac:dyDescent="0.25">
      <c r="W1263" t="str">
        <f t="shared" si="88"/>
        <v/>
      </c>
      <c r="X1263" t="str">
        <f t="shared" si="89"/>
        <v/>
      </c>
      <c r="Y1263" s="42" t="str">
        <f t="shared" si="90"/>
        <v/>
      </c>
      <c r="Z1263" s="42" t="str">
        <f t="shared" si="91"/>
        <v/>
      </c>
    </row>
    <row r="1264" spans="23:26" x14ac:dyDescent="0.25">
      <c r="W1264" t="str">
        <f t="shared" si="88"/>
        <v/>
      </c>
      <c r="X1264" t="str">
        <f t="shared" si="89"/>
        <v/>
      </c>
      <c r="Y1264" s="42" t="str">
        <f t="shared" si="90"/>
        <v/>
      </c>
      <c r="Z1264" s="42" t="str">
        <f t="shared" si="91"/>
        <v/>
      </c>
    </row>
    <row r="1265" spans="23:26" x14ac:dyDescent="0.25">
      <c r="W1265" t="str">
        <f t="shared" si="88"/>
        <v/>
      </c>
      <c r="X1265" t="str">
        <f t="shared" si="89"/>
        <v/>
      </c>
      <c r="Y1265" s="42" t="str">
        <f t="shared" si="90"/>
        <v/>
      </c>
      <c r="Z1265" s="42" t="str">
        <f t="shared" si="91"/>
        <v/>
      </c>
    </row>
    <row r="1266" spans="23:26" x14ac:dyDescent="0.25">
      <c r="W1266" t="str">
        <f t="shared" si="88"/>
        <v/>
      </c>
      <c r="X1266" t="str">
        <f t="shared" si="89"/>
        <v/>
      </c>
      <c r="Y1266" s="42" t="str">
        <f t="shared" si="90"/>
        <v/>
      </c>
      <c r="Z1266" s="42" t="str">
        <f t="shared" si="91"/>
        <v/>
      </c>
    </row>
    <row r="1267" spans="23:26" x14ac:dyDescent="0.25">
      <c r="W1267" t="str">
        <f t="shared" si="88"/>
        <v/>
      </c>
      <c r="X1267" t="str">
        <f t="shared" si="89"/>
        <v/>
      </c>
      <c r="Y1267" s="42" t="str">
        <f t="shared" si="90"/>
        <v/>
      </c>
      <c r="Z1267" s="42" t="str">
        <f t="shared" si="91"/>
        <v/>
      </c>
    </row>
    <row r="1268" spans="23:26" x14ac:dyDescent="0.25">
      <c r="W1268" t="str">
        <f t="shared" si="88"/>
        <v/>
      </c>
      <c r="X1268" t="str">
        <f t="shared" si="89"/>
        <v/>
      </c>
      <c r="Y1268" s="42" t="str">
        <f t="shared" si="90"/>
        <v/>
      </c>
      <c r="Z1268" s="42" t="str">
        <f t="shared" si="91"/>
        <v/>
      </c>
    </row>
    <row r="1269" spans="23:26" x14ac:dyDescent="0.25">
      <c r="W1269" t="str">
        <f t="shared" si="88"/>
        <v/>
      </c>
      <c r="X1269" t="str">
        <f t="shared" si="89"/>
        <v/>
      </c>
      <c r="Y1269" s="42" t="str">
        <f t="shared" si="90"/>
        <v/>
      </c>
      <c r="Z1269" s="42" t="str">
        <f t="shared" si="91"/>
        <v/>
      </c>
    </row>
    <row r="1270" spans="23:26" x14ac:dyDescent="0.25">
      <c r="W1270" t="str">
        <f t="shared" si="88"/>
        <v/>
      </c>
      <c r="X1270" t="str">
        <f t="shared" si="89"/>
        <v/>
      </c>
      <c r="Y1270" s="42" t="str">
        <f t="shared" si="90"/>
        <v/>
      </c>
      <c r="Z1270" s="42" t="str">
        <f t="shared" si="91"/>
        <v/>
      </c>
    </row>
    <row r="1271" spans="23:26" x14ac:dyDescent="0.25">
      <c r="W1271" t="str">
        <f t="shared" si="88"/>
        <v/>
      </c>
      <c r="X1271" t="str">
        <f t="shared" si="89"/>
        <v/>
      </c>
      <c r="Y1271" s="42" t="str">
        <f t="shared" si="90"/>
        <v/>
      </c>
      <c r="Z1271" s="42" t="str">
        <f t="shared" si="91"/>
        <v/>
      </c>
    </row>
    <row r="1272" spans="23:26" x14ac:dyDescent="0.25">
      <c r="W1272" t="str">
        <f t="shared" si="88"/>
        <v/>
      </c>
      <c r="X1272" t="str">
        <f t="shared" si="89"/>
        <v/>
      </c>
      <c r="Y1272" s="42" t="str">
        <f t="shared" si="90"/>
        <v/>
      </c>
      <c r="Z1272" s="42" t="str">
        <f t="shared" si="91"/>
        <v/>
      </c>
    </row>
    <row r="1273" spans="23:26" x14ac:dyDescent="0.25">
      <c r="W1273" t="str">
        <f t="shared" si="88"/>
        <v/>
      </c>
      <c r="X1273" t="str">
        <f t="shared" si="89"/>
        <v/>
      </c>
      <c r="Y1273" s="42" t="str">
        <f t="shared" si="90"/>
        <v/>
      </c>
      <c r="Z1273" s="42" t="str">
        <f t="shared" si="91"/>
        <v/>
      </c>
    </row>
    <row r="1274" spans="23:26" x14ac:dyDescent="0.25">
      <c r="W1274" t="str">
        <f t="shared" si="88"/>
        <v/>
      </c>
      <c r="X1274" t="str">
        <f t="shared" si="89"/>
        <v/>
      </c>
      <c r="Y1274" s="42" t="str">
        <f t="shared" si="90"/>
        <v/>
      </c>
      <c r="Z1274" s="42" t="str">
        <f t="shared" si="91"/>
        <v/>
      </c>
    </row>
    <row r="1275" spans="23:26" x14ac:dyDescent="0.25">
      <c r="W1275" t="str">
        <f t="shared" si="88"/>
        <v/>
      </c>
      <c r="X1275" t="str">
        <f t="shared" si="89"/>
        <v/>
      </c>
      <c r="Y1275" s="42" t="str">
        <f t="shared" si="90"/>
        <v/>
      </c>
      <c r="Z1275" s="42" t="str">
        <f t="shared" si="91"/>
        <v/>
      </c>
    </row>
    <row r="1276" spans="23:26" x14ac:dyDescent="0.25">
      <c r="W1276" t="str">
        <f t="shared" si="88"/>
        <v/>
      </c>
      <c r="X1276" t="str">
        <f t="shared" si="89"/>
        <v/>
      </c>
      <c r="Y1276" s="42" t="str">
        <f t="shared" si="90"/>
        <v/>
      </c>
      <c r="Z1276" s="42" t="str">
        <f t="shared" si="91"/>
        <v/>
      </c>
    </row>
    <row r="1277" spans="23:26" x14ac:dyDescent="0.25">
      <c r="W1277" t="str">
        <f t="shared" si="88"/>
        <v/>
      </c>
      <c r="X1277" t="str">
        <f t="shared" si="89"/>
        <v/>
      </c>
      <c r="Y1277" s="42" t="str">
        <f t="shared" si="90"/>
        <v/>
      </c>
      <c r="Z1277" s="42" t="str">
        <f t="shared" si="91"/>
        <v/>
      </c>
    </row>
    <row r="1278" spans="23:26" x14ac:dyDescent="0.25">
      <c r="W1278" t="str">
        <f t="shared" si="88"/>
        <v/>
      </c>
      <c r="X1278" t="str">
        <f t="shared" si="89"/>
        <v/>
      </c>
      <c r="Y1278" s="42" t="str">
        <f t="shared" si="90"/>
        <v/>
      </c>
      <c r="Z1278" s="42" t="str">
        <f t="shared" si="91"/>
        <v/>
      </c>
    </row>
    <row r="1279" spans="23:26" x14ac:dyDescent="0.25">
      <c r="W1279" t="str">
        <f t="shared" si="88"/>
        <v/>
      </c>
      <c r="X1279" t="str">
        <f t="shared" si="89"/>
        <v/>
      </c>
      <c r="Y1279" s="42" t="str">
        <f t="shared" si="90"/>
        <v/>
      </c>
      <c r="Z1279" s="42" t="str">
        <f t="shared" si="91"/>
        <v/>
      </c>
    </row>
    <row r="1280" spans="23:26" x14ac:dyDescent="0.25">
      <c r="W1280" t="str">
        <f t="shared" si="88"/>
        <v/>
      </c>
      <c r="X1280" t="str">
        <f t="shared" si="89"/>
        <v/>
      </c>
      <c r="Y1280" s="42" t="str">
        <f t="shared" si="90"/>
        <v/>
      </c>
      <c r="Z1280" s="42" t="str">
        <f t="shared" si="91"/>
        <v/>
      </c>
    </row>
    <row r="1281" spans="23:26" x14ac:dyDescent="0.25">
      <c r="W1281" t="str">
        <f t="shared" si="88"/>
        <v/>
      </c>
      <c r="X1281" t="str">
        <f t="shared" si="89"/>
        <v/>
      </c>
      <c r="Y1281" s="42" t="str">
        <f t="shared" si="90"/>
        <v/>
      </c>
      <c r="Z1281" s="42" t="str">
        <f t="shared" si="91"/>
        <v/>
      </c>
    </row>
    <row r="1282" spans="23:26" x14ac:dyDescent="0.25">
      <c r="W1282" t="str">
        <f t="shared" si="88"/>
        <v/>
      </c>
      <c r="X1282" t="str">
        <f t="shared" si="89"/>
        <v/>
      </c>
      <c r="Y1282" s="42" t="str">
        <f t="shared" si="90"/>
        <v/>
      </c>
      <c r="Z1282" s="42" t="str">
        <f t="shared" si="91"/>
        <v/>
      </c>
    </row>
    <row r="1283" spans="23:26" x14ac:dyDescent="0.25">
      <c r="W1283" t="str">
        <f t="shared" si="88"/>
        <v/>
      </c>
      <c r="X1283" t="str">
        <f t="shared" si="89"/>
        <v/>
      </c>
      <c r="Y1283" s="42" t="str">
        <f t="shared" si="90"/>
        <v/>
      </c>
      <c r="Z1283" s="42" t="str">
        <f t="shared" si="91"/>
        <v/>
      </c>
    </row>
    <row r="1284" spans="23:26" x14ac:dyDescent="0.25">
      <c r="W1284" t="str">
        <f t="shared" ref="W1284:W1347" si="92">IF($A1284="","",$A1284)</f>
        <v/>
      </c>
      <c r="X1284" t="str">
        <f t="shared" ref="X1284:X1347" si="93">IF($A1284="","",$C1284)</f>
        <v/>
      </c>
      <c r="Y1284" s="42" t="str">
        <f t="shared" ref="Y1284:Y1347" si="94">IF($A1284="","",$E1284)</f>
        <v/>
      </c>
      <c r="Z1284" s="42" t="str">
        <f t="shared" ref="Z1284:Z1347" si="95">IF($A1284="","",IF(ISERROR($G1284),0,$G1284))</f>
        <v/>
      </c>
    </row>
    <row r="1285" spans="23:26" x14ac:dyDescent="0.25">
      <c r="W1285" t="str">
        <f t="shared" si="92"/>
        <v/>
      </c>
      <c r="X1285" t="str">
        <f t="shared" si="93"/>
        <v/>
      </c>
      <c r="Y1285" s="42" t="str">
        <f t="shared" si="94"/>
        <v/>
      </c>
      <c r="Z1285" s="42" t="str">
        <f t="shared" si="95"/>
        <v/>
      </c>
    </row>
    <row r="1286" spans="23:26" x14ac:dyDescent="0.25">
      <c r="W1286" t="str">
        <f t="shared" si="92"/>
        <v/>
      </c>
      <c r="X1286" t="str">
        <f t="shared" si="93"/>
        <v/>
      </c>
      <c r="Y1286" s="42" t="str">
        <f t="shared" si="94"/>
        <v/>
      </c>
      <c r="Z1286" s="42" t="str">
        <f t="shared" si="95"/>
        <v/>
      </c>
    </row>
    <row r="1287" spans="23:26" x14ac:dyDescent="0.25">
      <c r="W1287" t="str">
        <f t="shared" si="92"/>
        <v/>
      </c>
      <c r="X1287" t="str">
        <f t="shared" si="93"/>
        <v/>
      </c>
      <c r="Y1287" s="42" t="str">
        <f t="shared" si="94"/>
        <v/>
      </c>
      <c r="Z1287" s="42" t="str">
        <f t="shared" si="95"/>
        <v/>
      </c>
    </row>
    <row r="1288" spans="23:26" x14ac:dyDescent="0.25">
      <c r="W1288" t="str">
        <f t="shared" si="92"/>
        <v/>
      </c>
      <c r="X1288" t="str">
        <f t="shared" si="93"/>
        <v/>
      </c>
      <c r="Y1288" s="42" t="str">
        <f t="shared" si="94"/>
        <v/>
      </c>
      <c r="Z1288" s="42" t="str">
        <f t="shared" si="95"/>
        <v/>
      </c>
    </row>
    <row r="1289" spans="23:26" x14ac:dyDescent="0.25">
      <c r="W1289" t="str">
        <f t="shared" si="92"/>
        <v/>
      </c>
      <c r="X1289" t="str">
        <f t="shared" si="93"/>
        <v/>
      </c>
      <c r="Y1289" s="42" t="str">
        <f t="shared" si="94"/>
        <v/>
      </c>
      <c r="Z1289" s="42" t="str">
        <f t="shared" si="95"/>
        <v/>
      </c>
    </row>
    <row r="1290" spans="23:26" x14ac:dyDescent="0.25">
      <c r="W1290" t="str">
        <f t="shared" si="92"/>
        <v/>
      </c>
      <c r="X1290" t="str">
        <f t="shared" si="93"/>
        <v/>
      </c>
      <c r="Y1290" s="42" t="str">
        <f t="shared" si="94"/>
        <v/>
      </c>
      <c r="Z1290" s="42" t="str">
        <f t="shared" si="95"/>
        <v/>
      </c>
    </row>
    <row r="1291" spans="23:26" x14ac:dyDescent="0.25">
      <c r="W1291" t="str">
        <f t="shared" si="92"/>
        <v/>
      </c>
      <c r="X1291" t="str">
        <f t="shared" si="93"/>
        <v/>
      </c>
      <c r="Y1291" s="42" t="str">
        <f t="shared" si="94"/>
        <v/>
      </c>
      <c r="Z1291" s="42" t="str">
        <f t="shared" si="95"/>
        <v/>
      </c>
    </row>
    <row r="1292" spans="23:26" x14ac:dyDescent="0.25">
      <c r="W1292" t="str">
        <f t="shared" si="92"/>
        <v/>
      </c>
      <c r="X1292" t="str">
        <f t="shared" si="93"/>
        <v/>
      </c>
      <c r="Y1292" s="42" t="str">
        <f t="shared" si="94"/>
        <v/>
      </c>
      <c r="Z1292" s="42" t="str">
        <f t="shared" si="95"/>
        <v/>
      </c>
    </row>
    <row r="1293" spans="23:26" x14ac:dyDescent="0.25">
      <c r="W1293" t="str">
        <f t="shared" si="92"/>
        <v/>
      </c>
      <c r="X1293" t="str">
        <f t="shared" si="93"/>
        <v/>
      </c>
      <c r="Y1293" s="42" t="str">
        <f t="shared" si="94"/>
        <v/>
      </c>
      <c r="Z1293" s="42" t="str">
        <f t="shared" si="95"/>
        <v/>
      </c>
    </row>
    <row r="1294" spans="23:26" x14ac:dyDescent="0.25">
      <c r="W1294" t="str">
        <f t="shared" si="92"/>
        <v/>
      </c>
      <c r="X1294" t="str">
        <f t="shared" si="93"/>
        <v/>
      </c>
      <c r="Y1294" s="42" t="str">
        <f t="shared" si="94"/>
        <v/>
      </c>
      <c r="Z1294" s="42" t="str">
        <f t="shared" si="95"/>
        <v/>
      </c>
    </row>
    <row r="1295" spans="23:26" x14ac:dyDescent="0.25">
      <c r="W1295" t="str">
        <f t="shared" si="92"/>
        <v/>
      </c>
      <c r="X1295" t="str">
        <f t="shared" si="93"/>
        <v/>
      </c>
      <c r="Y1295" s="42" t="str">
        <f t="shared" si="94"/>
        <v/>
      </c>
      <c r="Z1295" s="42" t="str">
        <f t="shared" si="95"/>
        <v/>
      </c>
    </row>
    <row r="1296" spans="23:26" x14ac:dyDescent="0.25">
      <c r="W1296" t="str">
        <f t="shared" si="92"/>
        <v/>
      </c>
      <c r="X1296" t="str">
        <f t="shared" si="93"/>
        <v/>
      </c>
      <c r="Y1296" s="42" t="str">
        <f t="shared" si="94"/>
        <v/>
      </c>
      <c r="Z1296" s="42" t="str">
        <f t="shared" si="95"/>
        <v/>
      </c>
    </row>
    <row r="1297" spans="23:26" x14ac:dyDescent="0.25">
      <c r="W1297" t="str">
        <f t="shared" si="92"/>
        <v/>
      </c>
      <c r="X1297" t="str">
        <f t="shared" si="93"/>
        <v/>
      </c>
      <c r="Y1297" s="42" t="str">
        <f t="shared" si="94"/>
        <v/>
      </c>
      <c r="Z1297" s="42" t="str">
        <f t="shared" si="95"/>
        <v/>
      </c>
    </row>
    <row r="1298" spans="23:26" x14ac:dyDescent="0.25">
      <c r="W1298" t="str">
        <f t="shared" si="92"/>
        <v/>
      </c>
      <c r="X1298" t="str">
        <f t="shared" si="93"/>
        <v/>
      </c>
      <c r="Y1298" s="42" t="str">
        <f t="shared" si="94"/>
        <v/>
      </c>
      <c r="Z1298" s="42" t="str">
        <f t="shared" si="95"/>
        <v/>
      </c>
    </row>
    <row r="1299" spans="23:26" x14ac:dyDescent="0.25">
      <c r="W1299" t="str">
        <f t="shared" si="92"/>
        <v/>
      </c>
      <c r="X1299" t="str">
        <f t="shared" si="93"/>
        <v/>
      </c>
      <c r="Y1299" s="42" t="str">
        <f t="shared" si="94"/>
        <v/>
      </c>
      <c r="Z1299" s="42" t="str">
        <f t="shared" si="95"/>
        <v/>
      </c>
    </row>
    <row r="1300" spans="23:26" x14ac:dyDescent="0.25">
      <c r="W1300" t="str">
        <f t="shared" si="92"/>
        <v/>
      </c>
      <c r="X1300" t="str">
        <f t="shared" si="93"/>
        <v/>
      </c>
      <c r="Y1300" s="42" t="str">
        <f t="shared" si="94"/>
        <v/>
      </c>
      <c r="Z1300" s="42" t="str">
        <f t="shared" si="95"/>
        <v/>
      </c>
    </row>
    <row r="1301" spans="23:26" x14ac:dyDescent="0.25">
      <c r="W1301" t="str">
        <f t="shared" si="92"/>
        <v/>
      </c>
      <c r="X1301" t="str">
        <f t="shared" si="93"/>
        <v/>
      </c>
      <c r="Y1301" s="42" t="str">
        <f t="shared" si="94"/>
        <v/>
      </c>
      <c r="Z1301" s="42" t="str">
        <f t="shared" si="95"/>
        <v/>
      </c>
    </row>
    <row r="1302" spans="23:26" x14ac:dyDescent="0.25">
      <c r="W1302" t="str">
        <f t="shared" si="92"/>
        <v/>
      </c>
      <c r="X1302" t="str">
        <f t="shared" si="93"/>
        <v/>
      </c>
      <c r="Y1302" s="42" t="str">
        <f t="shared" si="94"/>
        <v/>
      </c>
      <c r="Z1302" s="42" t="str">
        <f t="shared" si="95"/>
        <v/>
      </c>
    </row>
    <row r="1303" spans="23:26" x14ac:dyDescent="0.25">
      <c r="W1303" t="str">
        <f t="shared" si="92"/>
        <v/>
      </c>
      <c r="X1303" t="str">
        <f t="shared" si="93"/>
        <v/>
      </c>
      <c r="Y1303" s="42" t="str">
        <f t="shared" si="94"/>
        <v/>
      </c>
      <c r="Z1303" s="42" t="str">
        <f t="shared" si="95"/>
        <v/>
      </c>
    </row>
    <row r="1304" spans="23:26" x14ac:dyDescent="0.25">
      <c r="W1304" t="str">
        <f t="shared" si="92"/>
        <v/>
      </c>
      <c r="X1304" t="str">
        <f t="shared" si="93"/>
        <v/>
      </c>
      <c r="Y1304" s="42" t="str">
        <f t="shared" si="94"/>
        <v/>
      </c>
      <c r="Z1304" s="42" t="str">
        <f t="shared" si="95"/>
        <v/>
      </c>
    </row>
    <row r="1305" spans="23:26" x14ac:dyDescent="0.25">
      <c r="W1305" t="str">
        <f t="shared" si="92"/>
        <v/>
      </c>
      <c r="X1305" t="str">
        <f t="shared" si="93"/>
        <v/>
      </c>
      <c r="Y1305" s="42" t="str">
        <f t="shared" si="94"/>
        <v/>
      </c>
      <c r="Z1305" s="42" t="str">
        <f t="shared" si="95"/>
        <v/>
      </c>
    </row>
    <row r="1306" spans="23:26" x14ac:dyDescent="0.25">
      <c r="W1306" t="str">
        <f t="shared" si="92"/>
        <v/>
      </c>
      <c r="X1306" t="str">
        <f t="shared" si="93"/>
        <v/>
      </c>
      <c r="Y1306" s="42" t="str">
        <f t="shared" si="94"/>
        <v/>
      </c>
      <c r="Z1306" s="42" t="str">
        <f t="shared" si="95"/>
        <v/>
      </c>
    </row>
    <row r="1307" spans="23:26" x14ac:dyDescent="0.25">
      <c r="W1307" t="str">
        <f t="shared" si="92"/>
        <v/>
      </c>
      <c r="X1307" t="str">
        <f t="shared" si="93"/>
        <v/>
      </c>
      <c r="Y1307" s="42" t="str">
        <f t="shared" si="94"/>
        <v/>
      </c>
      <c r="Z1307" s="42" t="str">
        <f t="shared" si="95"/>
        <v/>
      </c>
    </row>
    <row r="1308" spans="23:26" x14ac:dyDescent="0.25">
      <c r="W1308" t="str">
        <f t="shared" si="92"/>
        <v/>
      </c>
      <c r="X1308" t="str">
        <f t="shared" si="93"/>
        <v/>
      </c>
      <c r="Y1308" s="42" t="str">
        <f t="shared" si="94"/>
        <v/>
      </c>
      <c r="Z1308" s="42" t="str">
        <f t="shared" si="95"/>
        <v/>
      </c>
    </row>
    <row r="1309" spans="23:26" x14ac:dyDescent="0.25">
      <c r="W1309" t="str">
        <f t="shared" si="92"/>
        <v/>
      </c>
      <c r="X1309" t="str">
        <f t="shared" si="93"/>
        <v/>
      </c>
      <c r="Y1309" s="42" t="str">
        <f t="shared" si="94"/>
        <v/>
      </c>
      <c r="Z1309" s="42" t="str">
        <f t="shared" si="95"/>
        <v/>
      </c>
    </row>
    <row r="1310" spans="23:26" x14ac:dyDescent="0.25">
      <c r="W1310" t="str">
        <f t="shared" si="92"/>
        <v/>
      </c>
      <c r="X1310" t="str">
        <f t="shared" si="93"/>
        <v/>
      </c>
      <c r="Y1310" s="42" t="str">
        <f t="shared" si="94"/>
        <v/>
      </c>
      <c r="Z1310" s="42" t="str">
        <f t="shared" si="95"/>
        <v/>
      </c>
    </row>
    <row r="1311" spans="23:26" x14ac:dyDescent="0.25">
      <c r="W1311" t="str">
        <f t="shared" si="92"/>
        <v/>
      </c>
      <c r="X1311" t="str">
        <f t="shared" si="93"/>
        <v/>
      </c>
      <c r="Y1311" s="42" t="str">
        <f t="shared" si="94"/>
        <v/>
      </c>
      <c r="Z1311" s="42" t="str">
        <f t="shared" si="95"/>
        <v/>
      </c>
    </row>
    <row r="1312" spans="23:26" x14ac:dyDescent="0.25">
      <c r="W1312" t="str">
        <f t="shared" si="92"/>
        <v/>
      </c>
      <c r="X1312" t="str">
        <f t="shared" si="93"/>
        <v/>
      </c>
      <c r="Y1312" s="42" t="str">
        <f t="shared" si="94"/>
        <v/>
      </c>
      <c r="Z1312" s="42" t="str">
        <f t="shared" si="95"/>
        <v/>
      </c>
    </row>
    <row r="1313" spans="23:26" x14ac:dyDescent="0.25">
      <c r="W1313" t="str">
        <f t="shared" si="92"/>
        <v/>
      </c>
      <c r="X1313" t="str">
        <f t="shared" si="93"/>
        <v/>
      </c>
      <c r="Y1313" s="42" t="str">
        <f t="shared" si="94"/>
        <v/>
      </c>
      <c r="Z1313" s="42" t="str">
        <f t="shared" si="95"/>
        <v/>
      </c>
    </row>
    <row r="1314" spans="23:26" x14ac:dyDescent="0.25">
      <c r="W1314" t="str">
        <f t="shared" si="92"/>
        <v/>
      </c>
      <c r="X1314" t="str">
        <f t="shared" si="93"/>
        <v/>
      </c>
      <c r="Y1314" s="42" t="str">
        <f t="shared" si="94"/>
        <v/>
      </c>
      <c r="Z1314" s="42" t="str">
        <f t="shared" si="95"/>
        <v/>
      </c>
    </row>
    <row r="1315" spans="23:26" x14ac:dyDescent="0.25">
      <c r="W1315" t="str">
        <f t="shared" si="92"/>
        <v/>
      </c>
      <c r="X1315" t="str">
        <f t="shared" si="93"/>
        <v/>
      </c>
      <c r="Y1315" s="42" t="str">
        <f t="shared" si="94"/>
        <v/>
      </c>
      <c r="Z1315" s="42" t="str">
        <f t="shared" si="95"/>
        <v/>
      </c>
    </row>
    <row r="1316" spans="23:26" x14ac:dyDescent="0.25">
      <c r="W1316" t="str">
        <f t="shared" si="92"/>
        <v/>
      </c>
      <c r="X1316" t="str">
        <f t="shared" si="93"/>
        <v/>
      </c>
      <c r="Y1316" s="42" t="str">
        <f t="shared" si="94"/>
        <v/>
      </c>
      <c r="Z1316" s="42" t="str">
        <f t="shared" si="95"/>
        <v/>
      </c>
    </row>
    <row r="1317" spans="23:26" x14ac:dyDescent="0.25">
      <c r="W1317" t="str">
        <f t="shared" si="92"/>
        <v/>
      </c>
      <c r="X1317" t="str">
        <f t="shared" si="93"/>
        <v/>
      </c>
      <c r="Y1317" s="42" t="str">
        <f t="shared" si="94"/>
        <v/>
      </c>
      <c r="Z1317" s="42" t="str">
        <f t="shared" si="95"/>
        <v/>
      </c>
    </row>
    <row r="1318" spans="23:26" x14ac:dyDescent="0.25">
      <c r="W1318" t="str">
        <f t="shared" si="92"/>
        <v/>
      </c>
      <c r="X1318" t="str">
        <f t="shared" si="93"/>
        <v/>
      </c>
      <c r="Y1318" s="42" t="str">
        <f t="shared" si="94"/>
        <v/>
      </c>
      <c r="Z1318" s="42" t="str">
        <f t="shared" si="95"/>
        <v/>
      </c>
    </row>
    <row r="1319" spans="23:26" x14ac:dyDescent="0.25">
      <c r="W1319" t="str">
        <f t="shared" si="92"/>
        <v/>
      </c>
      <c r="X1319" t="str">
        <f t="shared" si="93"/>
        <v/>
      </c>
      <c r="Y1319" s="42" t="str">
        <f t="shared" si="94"/>
        <v/>
      </c>
      <c r="Z1319" s="42" t="str">
        <f t="shared" si="95"/>
        <v/>
      </c>
    </row>
    <row r="1320" spans="23:26" x14ac:dyDescent="0.25">
      <c r="W1320" t="str">
        <f t="shared" si="92"/>
        <v/>
      </c>
      <c r="X1320" t="str">
        <f t="shared" si="93"/>
        <v/>
      </c>
      <c r="Y1320" s="42" t="str">
        <f t="shared" si="94"/>
        <v/>
      </c>
      <c r="Z1320" s="42" t="str">
        <f t="shared" si="95"/>
        <v/>
      </c>
    </row>
    <row r="1321" spans="23:26" x14ac:dyDescent="0.25">
      <c r="W1321" t="str">
        <f t="shared" si="92"/>
        <v/>
      </c>
      <c r="X1321" t="str">
        <f t="shared" si="93"/>
        <v/>
      </c>
      <c r="Y1321" s="42" t="str">
        <f t="shared" si="94"/>
        <v/>
      </c>
      <c r="Z1321" s="42" t="str">
        <f t="shared" si="95"/>
        <v/>
      </c>
    </row>
    <row r="1322" spans="23:26" x14ac:dyDescent="0.25">
      <c r="W1322" t="str">
        <f t="shared" si="92"/>
        <v/>
      </c>
      <c r="X1322" t="str">
        <f t="shared" si="93"/>
        <v/>
      </c>
      <c r="Y1322" s="42" t="str">
        <f t="shared" si="94"/>
        <v/>
      </c>
      <c r="Z1322" s="42" t="str">
        <f t="shared" si="95"/>
        <v/>
      </c>
    </row>
    <row r="1323" spans="23:26" x14ac:dyDescent="0.25">
      <c r="W1323" t="str">
        <f t="shared" si="92"/>
        <v/>
      </c>
      <c r="X1323" t="str">
        <f t="shared" si="93"/>
        <v/>
      </c>
      <c r="Y1323" s="42" t="str">
        <f t="shared" si="94"/>
        <v/>
      </c>
      <c r="Z1323" s="42" t="str">
        <f t="shared" si="95"/>
        <v/>
      </c>
    </row>
    <row r="1324" spans="23:26" x14ac:dyDescent="0.25">
      <c r="W1324" t="str">
        <f t="shared" si="92"/>
        <v/>
      </c>
      <c r="X1324" t="str">
        <f t="shared" si="93"/>
        <v/>
      </c>
      <c r="Y1324" s="42" t="str">
        <f t="shared" si="94"/>
        <v/>
      </c>
      <c r="Z1324" s="42" t="str">
        <f t="shared" si="95"/>
        <v/>
      </c>
    </row>
    <row r="1325" spans="23:26" x14ac:dyDescent="0.25">
      <c r="W1325" t="str">
        <f t="shared" si="92"/>
        <v/>
      </c>
      <c r="X1325" t="str">
        <f t="shared" si="93"/>
        <v/>
      </c>
      <c r="Y1325" s="42" t="str">
        <f t="shared" si="94"/>
        <v/>
      </c>
      <c r="Z1325" s="42" t="str">
        <f t="shared" si="95"/>
        <v/>
      </c>
    </row>
    <row r="1326" spans="23:26" x14ac:dyDescent="0.25">
      <c r="W1326" t="str">
        <f t="shared" si="92"/>
        <v/>
      </c>
      <c r="X1326" t="str">
        <f t="shared" si="93"/>
        <v/>
      </c>
      <c r="Y1326" s="42" t="str">
        <f t="shared" si="94"/>
        <v/>
      </c>
      <c r="Z1326" s="42" t="str">
        <f t="shared" si="95"/>
        <v/>
      </c>
    </row>
    <row r="1327" spans="23:26" x14ac:dyDescent="0.25">
      <c r="W1327" t="str">
        <f t="shared" si="92"/>
        <v/>
      </c>
      <c r="X1327" t="str">
        <f t="shared" si="93"/>
        <v/>
      </c>
      <c r="Y1327" s="42" t="str">
        <f t="shared" si="94"/>
        <v/>
      </c>
      <c r="Z1327" s="42" t="str">
        <f t="shared" si="95"/>
        <v/>
      </c>
    </row>
    <row r="1328" spans="23:26" x14ac:dyDescent="0.25">
      <c r="W1328" t="str">
        <f t="shared" si="92"/>
        <v/>
      </c>
      <c r="X1328" t="str">
        <f t="shared" si="93"/>
        <v/>
      </c>
      <c r="Y1328" s="42" t="str">
        <f t="shared" si="94"/>
        <v/>
      </c>
      <c r="Z1328" s="42" t="str">
        <f t="shared" si="95"/>
        <v/>
      </c>
    </row>
    <row r="1329" spans="23:26" x14ac:dyDescent="0.25">
      <c r="W1329" t="str">
        <f t="shared" si="92"/>
        <v/>
      </c>
      <c r="X1329" t="str">
        <f t="shared" si="93"/>
        <v/>
      </c>
      <c r="Y1329" s="42" t="str">
        <f t="shared" si="94"/>
        <v/>
      </c>
      <c r="Z1329" s="42" t="str">
        <f t="shared" si="95"/>
        <v/>
      </c>
    </row>
    <row r="1330" spans="23:26" x14ac:dyDescent="0.25">
      <c r="W1330" t="str">
        <f t="shared" si="92"/>
        <v/>
      </c>
      <c r="X1330" t="str">
        <f t="shared" si="93"/>
        <v/>
      </c>
      <c r="Y1330" s="42" t="str">
        <f t="shared" si="94"/>
        <v/>
      </c>
      <c r="Z1330" s="42" t="str">
        <f t="shared" si="95"/>
        <v/>
      </c>
    </row>
    <row r="1331" spans="23:26" x14ac:dyDescent="0.25">
      <c r="W1331" t="str">
        <f t="shared" si="92"/>
        <v/>
      </c>
      <c r="X1331" t="str">
        <f t="shared" si="93"/>
        <v/>
      </c>
      <c r="Y1331" s="42" t="str">
        <f t="shared" si="94"/>
        <v/>
      </c>
      <c r="Z1331" s="42" t="str">
        <f t="shared" si="95"/>
        <v/>
      </c>
    </row>
    <row r="1332" spans="23:26" x14ac:dyDescent="0.25">
      <c r="W1332" t="str">
        <f t="shared" si="92"/>
        <v/>
      </c>
      <c r="X1332" t="str">
        <f t="shared" si="93"/>
        <v/>
      </c>
      <c r="Y1332" s="42" t="str">
        <f t="shared" si="94"/>
        <v/>
      </c>
      <c r="Z1332" s="42" t="str">
        <f t="shared" si="95"/>
        <v/>
      </c>
    </row>
    <row r="1333" spans="23:26" x14ac:dyDescent="0.25">
      <c r="W1333" t="str">
        <f t="shared" si="92"/>
        <v/>
      </c>
      <c r="X1333" t="str">
        <f t="shared" si="93"/>
        <v/>
      </c>
      <c r="Y1333" s="42" t="str">
        <f t="shared" si="94"/>
        <v/>
      </c>
      <c r="Z1333" s="42" t="str">
        <f t="shared" si="95"/>
        <v/>
      </c>
    </row>
    <row r="1334" spans="23:26" x14ac:dyDescent="0.25">
      <c r="W1334" t="str">
        <f t="shared" si="92"/>
        <v/>
      </c>
      <c r="X1334" t="str">
        <f t="shared" si="93"/>
        <v/>
      </c>
      <c r="Y1334" s="42" t="str">
        <f t="shared" si="94"/>
        <v/>
      </c>
      <c r="Z1334" s="42" t="str">
        <f t="shared" si="95"/>
        <v/>
      </c>
    </row>
    <row r="1335" spans="23:26" x14ac:dyDescent="0.25">
      <c r="W1335" t="str">
        <f t="shared" si="92"/>
        <v/>
      </c>
      <c r="X1335" t="str">
        <f t="shared" si="93"/>
        <v/>
      </c>
      <c r="Y1335" s="42" t="str">
        <f t="shared" si="94"/>
        <v/>
      </c>
      <c r="Z1335" s="42" t="str">
        <f t="shared" si="95"/>
        <v/>
      </c>
    </row>
    <row r="1336" spans="23:26" x14ac:dyDescent="0.25">
      <c r="W1336" t="str">
        <f t="shared" si="92"/>
        <v/>
      </c>
      <c r="X1336" t="str">
        <f t="shared" si="93"/>
        <v/>
      </c>
      <c r="Y1336" s="42" t="str">
        <f t="shared" si="94"/>
        <v/>
      </c>
      <c r="Z1336" s="42" t="str">
        <f t="shared" si="95"/>
        <v/>
      </c>
    </row>
    <row r="1337" spans="23:26" x14ac:dyDescent="0.25">
      <c r="W1337" t="str">
        <f t="shared" si="92"/>
        <v/>
      </c>
      <c r="X1337" t="str">
        <f t="shared" si="93"/>
        <v/>
      </c>
      <c r="Y1337" s="42" t="str">
        <f t="shared" si="94"/>
        <v/>
      </c>
      <c r="Z1337" s="42" t="str">
        <f t="shared" si="95"/>
        <v/>
      </c>
    </row>
    <row r="1338" spans="23:26" x14ac:dyDescent="0.25">
      <c r="W1338" t="str">
        <f t="shared" si="92"/>
        <v/>
      </c>
      <c r="X1338" t="str">
        <f t="shared" si="93"/>
        <v/>
      </c>
      <c r="Y1338" s="42" t="str">
        <f t="shared" si="94"/>
        <v/>
      </c>
      <c r="Z1338" s="42" t="str">
        <f t="shared" si="95"/>
        <v/>
      </c>
    </row>
    <row r="1339" spans="23:26" x14ac:dyDescent="0.25">
      <c r="W1339" t="str">
        <f t="shared" si="92"/>
        <v/>
      </c>
      <c r="X1339" t="str">
        <f t="shared" si="93"/>
        <v/>
      </c>
      <c r="Y1339" s="42" t="str">
        <f t="shared" si="94"/>
        <v/>
      </c>
      <c r="Z1339" s="42" t="str">
        <f t="shared" si="95"/>
        <v/>
      </c>
    </row>
    <row r="1340" spans="23:26" x14ac:dyDescent="0.25">
      <c r="W1340" t="str">
        <f t="shared" si="92"/>
        <v/>
      </c>
      <c r="X1340" t="str">
        <f t="shared" si="93"/>
        <v/>
      </c>
      <c r="Y1340" s="42" t="str">
        <f t="shared" si="94"/>
        <v/>
      </c>
      <c r="Z1340" s="42" t="str">
        <f t="shared" si="95"/>
        <v/>
      </c>
    </row>
    <row r="1341" spans="23:26" x14ac:dyDescent="0.25">
      <c r="W1341" t="str">
        <f t="shared" si="92"/>
        <v/>
      </c>
      <c r="X1341" t="str">
        <f t="shared" si="93"/>
        <v/>
      </c>
      <c r="Y1341" s="42" t="str">
        <f t="shared" si="94"/>
        <v/>
      </c>
      <c r="Z1341" s="42" t="str">
        <f t="shared" si="95"/>
        <v/>
      </c>
    </row>
    <row r="1342" spans="23:26" x14ac:dyDescent="0.25">
      <c r="W1342" t="str">
        <f t="shared" si="92"/>
        <v/>
      </c>
      <c r="X1342" t="str">
        <f t="shared" si="93"/>
        <v/>
      </c>
      <c r="Y1342" s="42" t="str">
        <f t="shared" si="94"/>
        <v/>
      </c>
      <c r="Z1342" s="42" t="str">
        <f t="shared" si="95"/>
        <v/>
      </c>
    </row>
    <row r="1343" spans="23:26" x14ac:dyDescent="0.25">
      <c r="W1343" t="str">
        <f t="shared" si="92"/>
        <v/>
      </c>
      <c r="X1343" t="str">
        <f t="shared" si="93"/>
        <v/>
      </c>
      <c r="Y1343" s="42" t="str">
        <f t="shared" si="94"/>
        <v/>
      </c>
      <c r="Z1343" s="42" t="str">
        <f t="shared" si="95"/>
        <v/>
      </c>
    </row>
    <row r="1344" spans="23:26" x14ac:dyDescent="0.25">
      <c r="W1344" t="str">
        <f t="shared" si="92"/>
        <v/>
      </c>
      <c r="X1344" t="str">
        <f t="shared" si="93"/>
        <v/>
      </c>
      <c r="Y1344" s="42" t="str">
        <f t="shared" si="94"/>
        <v/>
      </c>
      <c r="Z1344" s="42" t="str">
        <f t="shared" si="95"/>
        <v/>
      </c>
    </row>
    <row r="1345" spans="23:26" x14ac:dyDescent="0.25">
      <c r="W1345" t="str">
        <f t="shared" si="92"/>
        <v/>
      </c>
      <c r="X1345" t="str">
        <f t="shared" si="93"/>
        <v/>
      </c>
      <c r="Y1345" s="42" t="str">
        <f t="shared" si="94"/>
        <v/>
      </c>
      <c r="Z1345" s="42" t="str">
        <f t="shared" si="95"/>
        <v/>
      </c>
    </row>
    <row r="1346" spans="23:26" x14ac:dyDescent="0.25">
      <c r="W1346" t="str">
        <f t="shared" si="92"/>
        <v/>
      </c>
      <c r="X1346" t="str">
        <f t="shared" si="93"/>
        <v/>
      </c>
      <c r="Y1346" s="42" t="str">
        <f t="shared" si="94"/>
        <v/>
      </c>
      <c r="Z1346" s="42" t="str">
        <f t="shared" si="95"/>
        <v/>
      </c>
    </row>
    <row r="1347" spans="23:26" x14ac:dyDescent="0.25">
      <c r="W1347" t="str">
        <f t="shared" si="92"/>
        <v/>
      </c>
      <c r="X1347" t="str">
        <f t="shared" si="93"/>
        <v/>
      </c>
      <c r="Y1347" s="42" t="str">
        <f t="shared" si="94"/>
        <v/>
      </c>
      <c r="Z1347" s="42" t="str">
        <f t="shared" si="95"/>
        <v/>
      </c>
    </row>
    <row r="1348" spans="23:26" x14ac:dyDescent="0.25">
      <c r="W1348" t="str">
        <f t="shared" ref="W1348:W1411" si="96">IF($A1348="","",$A1348)</f>
        <v/>
      </c>
      <c r="X1348" t="str">
        <f t="shared" ref="X1348:X1411" si="97">IF($A1348="","",$C1348)</f>
        <v/>
      </c>
      <c r="Y1348" s="42" t="str">
        <f t="shared" ref="Y1348:Y1411" si="98">IF($A1348="","",$E1348)</f>
        <v/>
      </c>
      <c r="Z1348" s="42" t="str">
        <f t="shared" ref="Z1348:Z1411" si="99">IF($A1348="","",IF(ISERROR($G1348),0,$G1348))</f>
        <v/>
      </c>
    </row>
    <row r="1349" spans="23:26" x14ac:dyDescent="0.25">
      <c r="W1349" t="str">
        <f t="shared" si="96"/>
        <v/>
      </c>
      <c r="X1349" t="str">
        <f t="shared" si="97"/>
        <v/>
      </c>
      <c r="Y1349" s="42" t="str">
        <f t="shared" si="98"/>
        <v/>
      </c>
      <c r="Z1349" s="42" t="str">
        <f t="shared" si="99"/>
        <v/>
      </c>
    </row>
    <row r="1350" spans="23:26" x14ac:dyDescent="0.25">
      <c r="W1350" t="str">
        <f t="shared" si="96"/>
        <v/>
      </c>
      <c r="X1350" t="str">
        <f t="shared" si="97"/>
        <v/>
      </c>
      <c r="Y1350" s="42" t="str">
        <f t="shared" si="98"/>
        <v/>
      </c>
      <c r="Z1350" s="42" t="str">
        <f t="shared" si="99"/>
        <v/>
      </c>
    </row>
    <row r="1351" spans="23:26" x14ac:dyDescent="0.25">
      <c r="W1351" t="str">
        <f t="shared" si="96"/>
        <v/>
      </c>
      <c r="X1351" t="str">
        <f t="shared" si="97"/>
        <v/>
      </c>
      <c r="Y1351" s="42" t="str">
        <f t="shared" si="98"/>
        <v/>
      </c>
      <c r="Z1351" s="42" t="str">
        <f t="shared" si="99"/>
        <v/>
      </c>
    </row>
    <row r="1352" spans="23:26" x14ac:dyDescent="0.25">
      <c r="W1352" t="str">
        <f t="shared" si="96"/>
        <v/>
      </c>
      <c r="X1352" t="str">
        <f t="shared" si="97"/>
        <v/>
      </c>
      <c r="Y1352" s="42" t="str">
        <f t="shared" si="98"/>
        <v/>
      </c>
      <c r="Z1352" s="42" t="str">
        <f t="shared" si="99"/>
        <v/>
      </c>
    </row>
    <row r="1353" spans="23:26" x14ac:dyDescent="0.25">
      <c r="W1353" t="str">
        <f t="shared" si="96"/>
        <v/>
      </c>
      <c r="X1353" t="str">
        <f t="shared" si="97"/>
        <v/>
      </c>
      <c r="Y1353" s="42" t="str">
        <f t="shared" si="98"/>
        <v/>
      </c>
      <c r="Z1353" s="42" t="str">
        <f t="shared" si="99"/>
        <v/>
      </c>
    </row>
    <row r="1354" spans="23:26" x14ac:dyDescent="0.25">
      <c r="W1354" t="str">
        <f t="shared" si="96"/>
        <v/>
      </c>
      <c r="X1354" t="str">
        <f t="shared" si="97"/>
        <v/>
      </c>
      <c r="Y1354" s="42" t="str">
        <f t="shared" si="98"/>
        <v/>
      </c>
      <c r="Z1354" s="42" t="str">
        <f t="shared" si="99"/>
        <v/>
      </c>
    </row>
    <row r="1355" spans="23:26" x14ac:dyDescent="0.25">
      <c r="W1355" t="str">
        <f t="shared" si="96"/>
        <v/>
      </c>
      <c r="X1355" t="str">
        <f t="shared" si="97"/>
        <v/>
      </c>
      <c r="Y1355" s="42" t="str">
        <f t="shared" si="98"/>
        <v/>
      </c>
      <c r="Z1355" s="42" t="str">
        <f t="shared" si="99"/>
        <v/>
      </c>
    </row>
    <row r="1356" spans="23:26" x14ac:dyDescent="0.25">
      <c r="W1356" t="str">
        <f t="shared" si="96"/>
        <v/>
      </c>
      <c r="X1356" t="str">
        <f t="shared" si="97"/>
        <v/>
      </c>
      <c r="Y1356" s="42" t="str">
        <f t="shared" si="98"/>
        <v/>
      </c>
      <c r="Z1356" s="42" t="str">
        <f t="shared" si="99"/>
        <v/>
      </c>
    </row>
    <row r="1357" spans="23:26" x14ac:dyDescent="0.25">
      <c r="W1357" t="str">
        <f t="shared" si="96"/>
        <v/>
      </c>
      <c r="X1357" t="str">
        <f t="shared" si="97"/>
        <v/>
      </c>
      <c r="Y1357" s="42" t="str">
        <f t="shared" si="98"/>
        <v/>
      </c>
      <c r="Z1357" s="42" t="str">
        <f t="shared" si="99"/>
        <v/>
      </c>
    </row>
    <row r="1358" spans="23:26" x14ac:dyDescent="0.25">
      <c r="W1358" t="str">
        <f t="shared" si="96"/>
        <v/>
      </c>
      <c r="X1358" t="str">
        <f t="shared" si="97"/>
        <v/>
      </c>
      <c r="Y1358" s="42" t="str">
        <f t="shared" si="98"/>
        <v/>
      </c>
      <c r="Z1358" s="42" t="str">
        <f t="shared" si="99"/>
        <v/>
      </c>
    </row>
    <row r="1359" spans="23:26" x14ac:dyDescent="0.25">
      <c r="W1359" t="str">
        <f t="shared" si="96"/>
        <v/>
      </c>
      <c r="X1359" t="str">
        <f t="shared" si="97"/>
        <v/>
      </c>
      <c r="Y1359" s="42" t="str">
        <f t="shared" si="98"/>
        <v/>
      </c>
      <c r="Z1359" s="42" t="str">
        <f t="shared" si="99"/>
        <v/>
      </c>
    </row>
    <row r="1360" spans="23:26" x14ac:dyDescent="0.25">
      <c r="W1360" t="str">
        <f t="shared" si="96"/>
        <v/>
      </c>
      <c r="X1360" t="str">
        <f t="shared" si="97"/>
        <v/>
      </c>
      <c r="Y1360" s="42" t="str">
        <f t="shared" si="98"/>
        <v/>
      </c>
      <c r="Z1360" s="42" t="str">
        <f t="shared" si="99"/>
        <v/>
      </c>
    </row>
    <row r="1361" spans="23:26" x14ac:dyDescent="0.25">
      <c r="W1361" t="str">
        <f t="shared" si="96"/>
        <v/>
      </c>
      <c r="X1361" t="str">
        <f t="shared" si="97"/>
        <v/>
      </c>
      <c r="Y1361" s="42" t="str">
        <f t="shared" si="98"/>
        <v/>
      </c>
      <c r="Z1361" s="42" t="str">
        <f t="shared" si="99"/>
        <v/>
      </c>
    </row>
    <row r="1362" spans="23:26" x14ac:dyDescent="0.25">
      <c r="W1362" t="str">
        <f t="shared" si="96"/>
        <v/>
      </c>
      <c r="X1362" t="str">
        <f t="shared" si="97"/>
        <v/>
      </c>
      <c r="Y1362" s="42" t="str">
        <f t="shared" si="98"/>
        <v/>
      </c>
      <c r="Z1362" s="42" t="str">
        <f t="shared" si="99"/>
        <v/>
      </c>
    </row>
    <row r="1363" spans="23:26" x14ac:dyDescent="0.25">
      <c r="W1363" t="str">
        <f t="shared" si="96"/>
        <v/>
      </c>
      <c r="X1363" t="str">
        <f t="shared" si="97"/>
        <v/>
      </c>
      <c r="Y1363" s="42" t="str">
        <f t="shared" si="98"/>
        <v/>
      </c>
      <c r="Z1363" s="42" t="str">
        <f t="shared" si="99"/>
        <v/>
      </c>
    </row>
    <row r="1364" spans="23:26" x14ac:dyDescent="0.25">
      <c r="W1364" t="str">
        <f t="shared" si="96"/>
        <v/>
      </c>
      <c r="X1364" t="str">
        <f t="shared" si="97"/>
        <v/>
      </c>
      <c r="Y1364" s="42" t="str">
        <f t="shared" si="98"/>
        <v/>
      </c>
      <c r="Z1364" s="42" t="str">
        <f t="shared" si="99"/>
        <v/>
      </c>
    </row>
    <row r="1365" spans="23:26" x14ac:dyDescent="0.25">
      <c r="W1365" t="str">
        <f t="shared" si="96"/>
        <v/>
      </c>
      <c r="X1365" t="str">
        <f t="shared" si="97"/>
        <v/>
      </c>
      <c r="Y1365" s="42" t="str">
        <f t="shared" si="98"/>
        <v/>
      </c>
      <c r="Z1365" s="42" t="str">
        <f t="shared" si="99"/>
        <v/>
      </c>
    </row>
    <row r="1366" spans="23:26" x14ac:dyDescent="0.25">
      <c r="W1366" t="str">
        <f t="shared" si="96"/>
        <v/>
      </c>
      <c r="X1366" t="str">
        <f t="shared" si="97"/>
        <v/>
      </c>
      <c r="Y1366" s="42" t="str">
        <f t="shared" si="98"/>
        <v/>
      </c>
      <c r="Z1366" s="42" t="str">
        <f t="shared" si="99"/>
        <v/>
      </c>
    </row>
    <row r="1367" spans="23:26" x14ac:dyDescent="0.25">
      <c r="W1367" t="str">
        <f t="shared" si="96"/>
        <v/>
      </c>
      <c r="X1367" t="str">
        <f t="shared" si="97"/>
        <v/>
      </c>
      <c r="Y1367" s="42" t="str">
        <f t="shared" si="98"/>
        <v/>
      </c>
      <c r="Z1367" s="42" t="str">
        <f t="shared" si="99"/>
        <v/>
      </c>
    </row>
    <row r="1368" spans="23:26" x14ac:dyDescent="0.25">
      <c r="W1368" t="str">
        <f t="shared" si="96"/>
        <v/>
      </c>
      <c r="X1368" t="str">
        <f t="shared" si="97"/>
        <v/>
      </c>
      <c r="Y1368" s="42" t="str">
        <f t="shared" si="98"/>
        <v/>
      </c>
      <c r="Z1368" s="42" t="str">
        <f t="shared" si="99"/>
        <v/>
      </c>
    </row>
    <row r="1369" spans="23:26" x14ac:dyDescent="0.25">
      <c r="W1369" t="str">
        <f t="shared" si="96"/>
        <v/>
      </c>
      <c r="X1369" t="str">
        <f t="shared" si="97"/>
        <v/>
      </c>
      <c r="Y1369" s="42" t="str">
        <f t="shared" si="98"/>
        <v/>
      </c>
      <c r="Z1369" s="42" t="str">
        <f t="shared" si="99"/>
        <v/>
      </c>
    </row>
    <row r="1370" spans="23:26" x14ac:dyDescent="0.25">
      <c r="W1370" t="str">
        <f t="shared" si="96"/>
        <v/>
      </c>
      <c r="X1370" t="str">
        <f t="shared" si="97"/>
        <v/>
      </c>
      <c r="Y1370" s="42" t="str">
        <f t="shared" si="98"/>
        <v/>
      </c>
      <c r="Z1370" s="42" t="str">
        <f t="shared" si="99"/>
        <v/>
      </c>
    </row>
    <row r="1371" spans="23:26" x14ac:dyDescent="0.25">
      <c r="W1371" t="str">
        <f t="shared" si="96"/>
        <v/>
      </c>
      <c r="X1371" t="str">
        <f t="shared" si="97"/>
        <v/>
      </c>
      <c r="Y1371" s="42" t="str">
        <f t="shared" si="98"/>
        <v/>
      </c>
      <c r="Z1371" s="42" t="str">
        <f t="shared" si="99"/>
        <v/>
      </c>
    </row>
    <row r="1372" spans="23:26" x14ac:dyDescent="0.25">
      <c r="W1372" t="str">
        <f t="shared" si="96"/>
        <v/>
      </c>
      <c r="X1372" t="str">
        <f t="shared" si="97"/>
        <v/>
      </c>
      <c r="Y1372" s="42" t="str">
        <f t="shared" si="98"/>
        <v/>
      </c>
      <c r="Z1372" s="42" t="str">
        <f t="shared" si="99"/>
        <v/>
      </c>
    </row>
    <row r="1373" spans="23:26" x14ac:dyDescent="0.25">
      <c r="W1373" t="str">
        <f t="shared" si="96"/>
        <v/>
      </c>
      <c r="X1373" t="str">
        <f t="shared" si="97"/>
        <v/>
      </c>
      <c r="Y1373" s="42" t="str">
        <f t="shared" si="98"/>
        <v/>
      </c>
      <c r="Z1373" s="42" t="str">
        <f t="shared" si="99"/>
        <v/>
      </c>
    </row>
    <row r="1374" spans="23:26" x14ac:dyDescent="0.25">
      <c r="W1374" t="str">
        <f t="shared" si="96"/>
        <v/>
      </c>
      <c r="X1374" t="str">
        <f t="shared" si="97"/>
        <v/>
      </c>
      <c r="Y1374" s="42" t="str">
        <f t="shared" si="98"/>
        <v/>
      </c>
      <c r="Z1374" s="42" t="str">
        <f t="shared" si="99"/>
        <v/>
      </c>
    </row>
    <row r="1375" spans="23:26" x14ac:dyDescent="0.25">
      <c r="W1375" t="str">
        <f t="shared" si="96"/>
        <v/>
      </c>
      <c r="X1375" t="str">
        <f t="shared" si="97"/>
        <v/>
      </c>
      <c r="Y1375" s="42" t="str">
        <f t="shared" si="98"/>
        <v/>
      </c>
      <c r="Z1375" s="42" t="str">
        <f t="shared" si="99"/>
        <v/>
      </c>
    </row>
    <row r="1376" spans="23:26" x14ac:dyDescent="0.25">
      <c r="W1376" t="str">
        <f t="shared" si="96"/>
        <v/>
      </c>
      <c r="X1376" t="str">
        <f t="shared" si="97"/>
        <v/>
      </c>
      <c r="Y1376" s="42" t="str">
        <f t="shared" si="98"/>
        <v/>
      </c>
      <c r="Z1376" s="42" t="str">
        <f t="shared" si="99"/>
        <v/>
      </c>
    </row>
    <row r="1377" spans="23:26" x14ac:dyDescent="0.25">
      <c r="W1377" t="str">
        <f t="shared" si="96"/>
        <v/>
      </c>
      <c r="X1377" t="str">
        <f t="shared" si="97"/>
        <v/>
      </c>
      <c r="Y1377" s="42" t="str">
        <f t="shared" si="98"/>
        <v/>
      </c>
      <c r="Z1377" s="42" t="str">
        <f t="shared" si="99"/>
        <v/>
      </c>
    </row>
    <row r="1378" spans="23:26" x14ac:dyDescent="0.25">
      <c r="W1378" t="str">
        <f t="shared" si="96"/>
        <v/>
      </c>
      <c r="X1378" t="str">
        <f t="shared" si="97"/>
        <v/>
      </c>
      <c r="Y1378" s="42" t="str">
        <f t="shared" si="98"/>
        <v/>
      </c>
      <c r="Z1378" s="42" t="str">
        <f t="shared" si="99"/>
        <v/>
      </c>
    </row>
    <row r="1379" spans="23:26" x14ac:dyDescent="0.25">
      <c r="W1379" t="str">
        <f t="shared" si="96"/>
        <v/>
      </c>
      <c r="X1379" t="str">
        <f t="shared" si="97"/>
        <v/>
      </c>
      <c r="Y1379" s="42" t="str">
        <f t="shared" si="98"/>
        <v/>
      </c>
      <c r="Z1379" s="42" t="str">
        <f t="shared" si="99"/>
        <v/>
      </c>
    </row>
    <row r="1380" spans="23:26" x14ac:dyDescent="0.25">
      <c r="W1380" t="str">
        <f t="shared" si="96"/>
        <v/>
      </c>
      <c r="X1380" t="str">
        <f t="shared" si="97"/>
        <v/>
      </c>
      <c r="Y1380" s="42" t="str">
        <f t="shared" si="98"/>
        <v/>
      </c>
      <c r="Z1380" s="42" t="str">
        <f t="shared" si="99"/>
        <v/>
      </c>
    </row>
    <row r="1381" spans="23:26" x14ac:dyDescent="0.25">
      <c r="W1381" t="str">
        <f t="shared" si="96"/>
        <v/>
      </c>
      <c r="X1381" t="str">
        <f t="shared" si="97"/>
        <v/>
      </c>
      <c r="Y1381" s="42" t="str">
        <f t="shared" si="98"/>
        <v/>
      </c>
      <c r="Z1381" s="42" t="str">
        <f t="shared" si="99"/>
        <v/>
      </c>
    </row>
    <row r="1382" spans="23:26" x14ac:dyDescent="0.25">
      <c r="W1382" t="str">
        <f t="shared" si="96"/>
        <v/>
      </c>
      <c r="X1382" t="str">
        <f t="shared" si="97"/>
        <v/>
      </c>
      <c r="Y1382" s="42" t="str">
        <f t="shared" si="98"/>
        <v/>
      </c>
      <c r="Z1382" s="42" t="str">
        <f t="shared" si="99"/>
        <v/>
      </c>
    </row>
    <row r="1383" spans="23:26" x14ac:dyDescent="0.25">
      <c r="W1383" t="str">
        <f t="shared" si="96"/>
        <v/>
      </c>
      <c r="X1383" t="str">
        <f t="shared" si="97"/>
        <v/>
      </c>
      <c r="Y1383" s="42" t="str">
        <f t="shared" si="98"/>
        <v/>
      </c>
      <c r="Z1383" s="42" t="str">
        <f t="shared" si="99"/>
        <v/>
      </c>
    </row>
    <row r="1384" spans="23:26" x14ac:dyDescent="0.25">
      <c r="W1384" t="str">
        <f t="shared" si="96"/>
        <v/>
      </c>
      <c r="X1384" t="str">
        <f t="shared" si="97"/>
        <v/>
      </c>
      <c r="Y1384" s="42" t="str">
        <f t="shared" si="98"/>
        <v/>
      </c>
      <c r="Z1384" s="42" t="str">
        <f t="shared" si="99"/>
        <v/>
      </c>
    </row>
    <row r="1385" spans="23:26" x14ac:dyDescent="0.25">
      <c r="W1385" t="str">
        <f t="shared" si="96"/>
        <v/>
      </c>
      <c r="X1385" t="str">
        <f t="shared" si="97"/>
        <v/>
      </c>
      <c r="Y1385" s="42" t="str">
        <f t="shared" si="98"/>
        <v/>
      </c>
      <c r="Z1385" s="42" t="str">
        <f t="shared" si="99"/>
        <v/>
      </c>
    </row>
    <row r="1386" spans="23:26" x14ac:dyDescent="0.25">
      <c r="W1386" t="str">
        <f t="shared" si="96"/>
        <v/>
      </c>
      <c r="X1386" t="str">
        <f t="shared" si="97"/>
        <v/>
      </c>
      <c r="Y1386" s="42" t="str">
        <f t="shared" si="98"/>
        <v/>
      </c>
      <c r="Z1386" s="42" t="str">
        <f t="shared" si="99"/>
        <v/>
      </c>
    </row>
    <row r="1387" spans="23:26" x14ac:dyDescent="0.25">
      <c r="W1387" t="str">
        <f t="shared" si="96"/>
        <v/>
      </c>
      <c r="X1387" t="str">
        <f t="shared" si="97"/>
        <v/>
      </c>
      <c r="Y1387" s="42" t="str">
        <f t="shared" si="98"/>
        <v/>
      </c>
      <c r="Z1387" s="42" t="str">
        <f t="shared" si="99"/>
        <v/>
      </c>
    </row>
    <row r="1388" spans="23:26" x14ac:dyDescent="0.25">
      <c r="W1388" t="str">
        <f t="shared" si="96"/>
        <v/>
      </c>
      <c r="X1388" t="str">
        <f t="shared" si="97"/>
        <v/>
      </c>
      <c r="Y1388" s="42" t="str">
        <f t="shared" si="98"/>
        <v/>
      </c>
      <c r="Z1388" s="42" t="str">
        <f t="shared" si="99"/>
        <v/>
      </c>
    </row>
    <row r="1389" spans="23:26" x14ac:dyDescent="0.25">
      <c r="W1389" t="str">
        <f t="shared" si="96"/>
        <v/>
      </c>
      <c r="X1389" t="str">
        <f t="shared" si="97"/>
        <v/>
      </c>
      <c r="Y1389" s="42" t="str">
        <f t="shared" si="98"/>
        <v/>
      </c>
      <c r="Z1389" s="42" t="str">
        <f t="shared" si="99"/>
        <v/>
      </c>
    </row>
    <row r="1390" spans="23:26" x14ac:dyDescent="0.25">
      <c r="W1390" t="str">
        <f t="shared" si="96"/>
        <v/>
      </c>
      <c r="X1390" t="str">
        <f t="shared" si="97"/>
        <v/>
      </c>
      <c r="Y1390" s="42" t="str">
        <f t="shared" si="98"/>
        <v/>
      </c>
      <c r="Z1390" s="42" t="str">
        <f t="shared" si="99"/>
        <v/>
      </c>
    </row>
    <row r="1391" spans="23:26" x14ac:dyDescent="0.25">
      <c r="W1391" t="str">
        <f t="shared" si="96"/>
        <v/>
      </c>
      <c r="X1391" t="str">
        <f t="shared" si="97"/>
        <v/>
      </c>
      <c r="Y1391" s="42" t="str">
        <f t="shared" si="98"/>
        <v/>
      </c>
      <c r="Z1391" s="42" t="str">
        <f t="shared" si="99"/>
        <v/>
      </c>
    </row>
    <row r="1392" spans="23:26" x14ac:dyDescent="0.25">
      <c r="W1392" t="str">
        <f t="shared" si="96"/>
        <v/>
      </c>
      <c r="X1392" t="str">
        <f t="shared" si="97"/>
        <v/>
      </c>
      <c r="Y1392" s="42" t="str">
        <f t="shared" si="98"/>
        <v/>
      </c>
      <c r="Z1392" s="42" t="str">
        <f t="shared" si="99"/>
        <v/>
      </c>
    </row>
    <row r="1393" spans="23:26" x14ac:dyDescent="0.25">
      <c r="W1393" t="str">
        <f t="shared" si="96"/>
        <v/>
      </c>
      <c r="X1393" t="str">
        <f t="shared" si="97"/>
        <v/>
      </c>
      <c r="Y1393" s="42" t="str">
        <f t="shared" si="98"/>
        <v/>
      </c>
      <c r="Z1393" s="42" t="str">
        <f t="shared" si="99"/>
        <v/>
      </c>
    </row>
    <row r="1394" spans="23:26" x14ac:dyDescent="0.25">
      <c r="W1394" t="str">
        <f t="shared" si="96"/>
        <v/>
      </c>
      <c r="X1394" t="str">
        <f t="shared" si="97"/>
        <v/>
      </c>
      <c r="Y1394" s="42" t="str">
        <f t="shared" si="98"/>
        <v/>
      </c>
      <c r="Z1394" s="42" t="str">
        <f t="shared" si="99"/>
        <v/>
      </c>
    </row>
    <row r="1395" spans="23:26" x14ac:dyDescent="0.25">
      <c r="W1395" t="str">
        <f t="shared" si="96"/>
        <v/>
      </c>
      <c r="X1395" t="str">
        <f t="shared" si="97"/>
        <v/>
      </c>
      <c r="Y1395" s="42" t="str">
        <f t="shared" si="98"/>
        <v/>
      </c>
      <c r="Z1395" s="42" t="str">
        <f t="shared" si="99"/>
        <v/>
      </c>
    </row>
    <row r="1396" spans="23:26" x14ac:dyDescent="0.25">
      <c r="W1396" t="str">
        <f t="shared" si="96"/>
        <v/>
      </c>
      <c r="X1396" t="str">
        <f t="shared" si="97"/>
        <v/>
      </c>
      <c r="Y1396" s="42" t="str">
        <f t="shared" si="98"/>
        <v/>
      </c>
      <c r="Z1396" s="42" t="str">
        <f t="shared" si="99"/>
        <v/>
      </c>
    </row>
    <row r="1397" spans="23:26" x14ac:dyDescent="0.25">
      <c r="W1397" t="str">
        <f t="shared" si="96"/>
        <v/>
      </c>
      <c r="X1397" t="str">
        <f t="shared" si="97"/>
        <v/>
      </c>
      <c r="Y1397" s="42" t="str">
        <f t="shared" si="98"/>
        <v/>
      </c>
      <c r="Z1397" s="42" t="str">
        <f t="shared" si="99"/>
        <v/>
      </c>
    </row>
    <row r="1398" spans="23:26" x14ac:dyDescent="0.25">
      <c r="W1398" t="str">
        <f t="shared" si="96"/>
        <v/>
      </c>
      <c r="X1398" t="str">
        <f t="shared" si="97"/>
        <v/>
      </c>
      <c r="Y1398" s="42" t="str">
        <f t="shared" si="98"/>
        <v/>
      </c>
      <c r="Z1398" s="42" t="str">
        <f t="shared" si="99"/>
        <v/>
      </c>
    </row>
    <row r="1399" spans="23:26" x14ac:dyDescent="0.25">
      <c r="W1399" t="str">
        <f t="shared" si="96"/>
        <v/>
      </c>
      <c r="X1399" t="str">
        <f t="shared" si="97"/>
        <v/>
      </c>
      <c r="Y1399" s="42" t="str">
        <f t="shared" si="98"/>
        <v/>
      </c>
      <c r="Z1399" s="42" t="str">
        <f t="shared" si="99"/>
        <v/>
      </c>
    </row>
    <row r="1400" spans="23:26" x14ac:dyDescent="0.25">
      <c r="W1400" t="str">
        <f t="shared" si="96"/>
        <v/>
      </c>
      <c r="X1400" t="str">
        <f t="shared" si="97"/>
        <v/>
      </c>
      <c r="Y1400" s="42" t="str">
        <f t="shared" si="98"/>
        <v/>
      </c>
      <c r="Z1400" s="42" t="str">
        <f t="shared" si="99"/>
        <v/>
      </c>
    </row>
    <row r="1401" spans="23:26" x14ac:dyDescent="0.25">
      <c r="W1401" t="str">
        <f t="shared" si="96"/>
        <v/>
      </c>
      <c r="X1401" t="str">
        <f t="shared" si="97"/>
        <v/>
      </c>
      <c r="Y1401" s="42" t="str">
        <f t="shared" si="98"/>
        <v/>
      </c>
      <c r="Z1401" s="42" t="str">
        <f t="shared" si="99"/>
        <v/>
      </c>
    </row>
    <row r="1402" spans="23:26" x14ac:dyDescent="0.25">
      <c r="W1402" t="str">
        <f t="shared" si="96"/>
        <v/>
      </c>
      <c r="X1402" t="str">
        <f t="shared" si="97"/>
        <v/>
      </c>
      <c r="Y1402" s="42" t="str">
        <f t="shared" si="98"/>
        <v/>
      </c>
      <c r="Z1402" s="42" t="str">
        <f t="shared" si="99"/>
        <v/>
      </c>
    </row>
    <row r="1403" spans="23:26" x14ac:dyDescent="0.25">
      <c r="W1403" t="str">
        <f t="shared" si="96"/>
        <v/>
      </c>
      <c r="X1403" t="str">
        <f t="shared" si="97"/>
        <v/>
      </c>
      <c r="Y1403" s="42" t="str">
        <f t="shared" si="98"/>
        <v/>
      </c>
      <c r="Z1403" s="42" t="str">
        <f t="shared" si="99"/>
        <v/>
      </c>
    </row>
    <row r="1404" spans="23:26" x14ac:dyDescent="0.25">
      <c r="W1404" t="str">
        <f t="shared" si="96"/>
        <v/>
      </c>
      <c r="X1404" t="str">
        <f t="shared" si="97"/>
        <v/>
      </c>
      <c r="Y1404" s="42" t="str">
        <f t="shared" si="98"/>
        <v/>
      </c>
      <c r="Z1404" s="42" t="str">
        <f t="shared" si="99"/>
        <v/>
      </c>
    </row>
    <row r="1405" spans="23:26" x14ac:dyDescent="0.25">
      <c r="W1405" t="str">
        <f t="shared" si="96"/>
        <v/>
      </c>
      <c r="X1405" t="str">
        <f t="shared" si="97"/>
        <v/>
      </c>
      <c r="Y1405" s="42" t="str">
        <f t="shared" si="98"/>
        <v/>
      </c>
      <c r="Z1405" s="42" t="str">
        <f t="shared" si="99"/>
        <v/>
      </c>
    </row>
    <row r="1406" spans="23:26" x14ac:dyDescent="0.25">
      <c r="W1406" t="str">
        <f t="shared" si="96"/>
        <v/>
      </c>
      <c r="X1406" t="str">
        <f t="shared" si="97"/>
        <v/>
      </c>
      <c r="Y1406" s="42" t="str">
        <f t="shared" si="98"/>
        <v/>
      </c>
      <c r="Z1406" s="42" t="str">
        <f t="shared" si="99"/>
        <v/>
      </c>
    </row>
    <row r="1407" spans="23:26" x14ac:dyDescent="0.25">
      <c r="W1407" t="str">
        <f t="shared" si="96"/>
        <v/>
      </c>
      <c r="X1407" t="str">
        <f t="shared" si="97"/>
        <v/>
      </c>
      <c r="Y1407" s="42" t="str">
        <f t="shared" si="98"/>
        <v/>
      </c>
      <c r="Z1407" s="42" t="str">
        <f t="shared" si="99"/>
        <v/>
      </c>
    </row>
    <row r="1408" spans="23:26" x14ac:dyDescent="0.25">
      <c r="W1408" t="str">
        <f t="shared" si="96"/>
        <v/>
      </c>
      <c r="X1408" t="str">
        <f t="shared" si="97"/>
        <v/>
      </c>
      <c r="Y1408" s="42" t="str">
        <f t="shared" si="98"/>
        <v/>
      </c>
      <c r="Z1408" s="42" t="str">
        <f t="shared" si="99"/>
        <v/>
      </c>
    </row>
    <row r="1409" spans="23:26" x14ac:dyDescent="0.25">
      <c r="W1409" t="str">
        <f t="shared" si="96"/>
        <v/>
      </c>
      <c r="X1409" t="str">
        <f t="shared" si="97"/>
        <v/>
      </c>
      <c r="Y1409" s="42" t="str">
        <f t="shared" si="98"/>
        <v/>
      </c>
      <c r="Z1409" s="42" t="str">
        <f t="shared" si="99"/>
        <v/>
      </c>
    </row>
    <row r="1410" spans="23:26" x14ac:dyDescent="0.25">
      <c r="W1410" t="str">
        <f t="shared" si="96"/>
        <v/>
      </c>
      <c r="X1410" t="str">
        <f t="shared" si="97"/>
        <v/>
      </c>
      <c r="Y1410" s="42" t="str">
        <f t="shared" si="98"/>
        <v/>
      </c>
      <c r="Z1410" s="42" t="str">
        <f t="shared" si="99"/>
        <v/>
      </c>
    </row>
    <row r="1411" spans="23:26" x14ac:dyDescent="0.25">
      <c r="W1411" t="str">
        <f t="shared" si="96"/>
        <v/>
      </c>
      <c r="X1411" t="str">
        <f t="shared" si="97"/>
        <v/>
      </c>
      <c r="Y1411" s="42" t="str">
        <f t="shared" si="98"/>
        <v/>
      </c>
      <c r="Z1411" s="42" t="str">
        <f t="shared" si="99"/>
        <v/>
      </c>
    </row>
    <row r="1412" spans="23:26" x14ac:dyDescent="0.25">
      <c r="W1412" t="str">
        <f t="shared" ref="W1412:W1475" si="100">IF($A1412="","",$A1412)</f>
        <v/>
      </c>
      <c r="X1412" t="str">
        <f t="shared" ref="X1412:X1475" si="101">IF($A1412="","",$C1412)</f>
        <v/>
      </c>
      <c r="Y1412" s="42" t="str">
        <f t="shared" ref="Y1412:Y1475" si="102">IF($A1412="","",$E1412)</f>
        <v/>
      </c>
      <c r="Z1412" s="42" t="str">
        <f t="shared" ref="Z1412:Z1475" si="103">IF($A1412="","",IF(ISERROR($G1412),0,$G1412))</f>
        <v/>
      </c>
    </row>
    <row r="1413" spans="23:26" x14ac:dyDescent="0.25">
      <c r="W1413" t="str">
        <f t="shared" si="100"/>
        <v/>
      </c>
      <c r="X1413" t="str">
        <f t="shared" si="101"/>
        <v/>
      </c>
      <c r="Y1413" s="42" t="str">
        <f t="shared" si="102"/>
        <v/>
      </c>
      <c r="Z1413" s="42" t="str">
        <f t="shared" si="103"/>
        <v/>
      </c>
    </row>
    <row r="1414" spans="23:26" x14ac:dyDescent="0.25">
      <c r="W1414" t="str">
        <f t="shared" si="100"/>
        <v/>
      </c>
      <c r="X1414" t="str">
        <f t="shared" si="101"/>
        <v/>
      </c>
      <c r="Y1414" s="42" t="str">
        <f t="shared" si="102"/>
        <v/>
      </c>
      <c r="Z1414" s="42" t="str">
        <f t="shared" si="103"/>
        <v/>
      </c>
    </row>
    <row r="1415" spans="23:26" x14ac:dyDescent="0.25">
      <c r="W1415" t="str">
        <f t="shared" si="100"/>
        <v/>
      </c>
      <c r="X1415" t="str">
        <f t="shared" si="101"/>
        <v/>
      </c>
      <c r="Y1415" s="42" t="str">
        <f t="shared" si="102"/>
        <v/>
      </c>
      <c r="Z1415" s="42" t="str">
        <f t="shared" si="103"/>
        <v/>
      </c>
    </row>
    <row r="1416" spans="23:26" x14ac:dyDescent="0.25">
      <c r="W1416" t="str">
        <f t="shared" si="100"/>
        <v/>
      </c>
      <c r="X1416" t="str">
        <f t="shared" si="101"/>
        <v/>
      </c>
      <c r="Y1416" s="42" t="str">
        <f t="shared" si="102"/>
        <v/>
      </c>
      <c r="Z1416" s="42" t="str">
        <f t="shared" si="103"/>
        <v/>
      </c>
    </row>
    <row r="1417" spans="23:26" x14ac:dyDescent="0.25">
      <c r="W1417" t="str">
        <f t="shared" si="100"/>
        <v/>
      </c>
      <c r="X1417" t="str">
        <f t="shared" si="101"/>
        <v/>
      </c>
      <c r="Y1417" s="42" t="str">
        <f t="shared" si="102"/>
        <v/>
      </c>
      <c r="Z1417" s="42" t="str">
        <f t="shared" si="103"/>
        <v/>
      </c>
    </row>
    <row r="1418" spans="23:26" x14ac:dyDescent="0.25">
      <c r="W1418" t="str">
        <f t="shared" si="100"/>
        <v/>
      </c>
      <c r="X1418" t="str">
        <f t="shared" si="101"/>
        <v/>
      </c>
      <c r="Y1418" s="42" t="str">
        <f t="shared" si="102"/>
        <v/>
      </c>
      <c r="Z1418" s="42" t="str">
        <f t="shared" si="103"/>
        <v/>
      </c>
    </row>
    <row r="1419" spans="23:26" x14ac:dyDescent="0.25">
      <c r="W1419" t="str">
        <f t="shared" si="100"/>
        <v/>
      </c>
      <c r="X1419" t="str">
        <f t="shared" si="101"/>
        <v/>
      </c>
      <c r="Y1419" s="42" t="str">
        <f t="shared" si="102"/>
        <v/>
      </c>
      <c r="Z1419" s="42" t="str">
        <f t="shared" si="103"/>
        <v/>
      </c>
    </row>
    <row r="1420" spans="23:26" x14ac:dyDescent="0.25">
      <c r="W1420" t="str">
        <f t="shared" si="100"/>
        <v/>
      </c>
      <c r="X1420" t="str">
        <f t="shared" si="101"/>
        <v/>
      </c>
      <c r="Y1420" s="42" t="str">
        <f t="shared" si="102"/>
        <v/>
      </c>
      <c r="Z1420" s="42" t="str">
        <f t="shared" si="103"/>
        <v/>
      </c>
    </row>
    <row r="1421" spans="23:26" x14ac:dyDescent="0.25">
      <c r="W1421" t="str">
        <f t="shared" si="100"/>
        <v/>
      </c>
      <c r="X1421" t="str">
        <f t="shared" si="101"/>
        <v/>
      </c>
      <c r="Y1421" s="42" t="str">
        <f t="shared" si="102"/>
        <v/>
      </c>
      <c r="Z1421" s="42" t="str">
        <f t="shared" si="103"/>
        <v/>
      </c>
    </row>
    <row r="1422" spans="23:26" x14ac:dyDescent="0.25">
      <c r="W1422" t="str">
        <f t="shared" si="100"/>
        <v/>
      </c>
      <c r="X1422" t="str">
        <f t="shared" si="101"/>
        <v/>
      </c>
      <c r="Y1422" s="42" t="str">
        <f t="shared" si="102"/>
        <v/>
      </c>
      <c r="Z1422" s="42" t="str">
        <f t="shared" si="103"/>
        <v/>
      </c>
    </row>
    <row r="1423" spans="23:26" x14ac:dyDescent="0.25">
      <c r="W1423" t="str">
        <f t="shared" si="100"/>
        <v/>
      </c>
      <c r="X1423" t="str">
        <f t="shared" si="101"/>
        <v/>
      </c>
      <c r="Y1423" s="42" t="str">
        <f t="shared" si="102"/>
        <v/>
      </c>
      <c r="Z1423" s="42" t="str">
        <f t="shared" si="103"/>
        <v/>
      </c>
    </row>
    <row r="1424" spans="23:26" x14ac:dyDescent="0.25">
      <c r="W1424" t="str">
        <f t="shared" si="100"/>
        <v/>
      </c>
      <c r="X1424" t="str">
        <f t="shared" si="101"/>
        <v/>
      </c>
      <c r="Y1424" s="42" t="str">
        <f t="shared" si="102"/>
        <v/>
      </c>
      <c r="Z1424" s="42" t="str">
        <f t="shared" si="103"/>
        <v/>
      </c>
    </row>
    <row r="1425" spans="23:26" x14ac:dyDescent="0.25">
      <c r="W1425" t="str">
        <f t="shared" si="100"/>
        <v/>
      </c>
      <c r="X1425" t="str">
        <f t="shared" si="101"/>
        <v/>
      </c>
      <c r="Y1425" s="42" t="str">
        <f t="shared" si="102"/>
        <v/>
      </c>
      <c r="Z1425" s="42" t="str">
        <f t="shared" si="103"/>
        <v/>
      </c>
    </row>
    <row r="1426" spans="23:26" x14ac:dyDescent="0.25">
      <c r="W1426" t="str">
        <f t="shared" si="100"/>
        <v/>
      </c>
      <c r="X1426" t="str">
        <f t="shared" si="101"/>
        <v/>
      </c>
      <c r="Y1426" s="42" t="str">
        <f t="shared" si="102"/>
        <v/>
      </c>
      <c r="Z1426" s="42" t="str">
        <f t="shared" si="103"/>
        <v/>
      </c>
    </row>
    <row r="1427" spans="23:26" x14ac:dyDescent="0.25">
      <c r="W1427" t="str">
        <f t="shared" si="100"/>
        <v/>
      </c>
      <c r="X1427" t="str">
        <f t="shared" si="101"/>
        <v/>
      </c>
      <c r="Y1427" s="42" t="str">
        <f t="shared" si="102"/>
        <v/>
      </c>
      <c r="Z1427" s="42" t="str">
        <f t="shared" si="103"/>
        <v/>
      </c>
    </row>
    <row r="1428" spans="23:26" x14ac:dyDescent="0.25">
      <c r="W1428" t="str">
        <f t="shared" si="100"/>
        <v/>
      </c>
      <c r="X1428" t="str">
        <f t="shared" si="101"/>
        <v/>
      </c>
      <c r="Y1428" s="42" t="str">
        <f t="shared" si="102"/>
        <v/>
      </c>
      <c r="Z1428" s="42" t="str">
        <f t="shared" si="103"/>
        <v/>
      </c>
    </row>
    <row r="1429" spans="23:26" x14ac:dyDescent="0.25">
      <c r="W1429" t="str">
        <f t="shared" si="100"/>
        <v/>
      </c>
      <c r="X1429" t="str">
        <f t="shared" si="101"/>
        <v/>
      </c>
      <c r="Y1429" s="42" t="str">
        <f t="shared" si="102"/>
        <v/>
      </c>
      <c r="Z1429" s="42" t="str">
        <f t="shared" si="103"/>
        <v/>
      </c>
    </row>
    <row r="1430" spans="23:26" x14ac:dyDescent="0.25">
      <c r="W1430" t="str">
        <f t="shared" si="100"/>
        <v/>
      </c>
      <c r="X1430" t="str">
        <f t="shared" si="101"/>
        <v/>
      </c>
      <c r="Y1430" s="42" t="str">
        <f t="shared" si="102"/>
        <v/>
      </c>
      <c r="Z1430" s="42" t="str">
        <f t="shared" si="103"/>
        <v/>
      </c>
    </row>
    <row r="1431" spans="23:26" x14ac:dyDescent="0.25">
      <c r="W1431" t="str">
        <f t="shared" si="100"/>
        <v/>
      </c>
      <c r="X1431" t="str">
        <f t="shared" si="101"/>
        <v/>
      </c>
      <c r="Y1431" s="42" t="str">
        <f t="shared" si="102"/>
        <v/>
      </c>
      <c r="Z1431" s="42" t="str">
        <f t="shared" si="103"/>
        <v/>
      </c>
    </row>
    <row r="1432" spans="23:26" x14ac:dyDescent="0.25">
      <c r="W1432" t="str">
        <f t="shared" si="100"/>
        <v/>
      </c>
      <c r="X1432" t="str">
        <f t="shared" si="101"/>
        <v/>
      </c>
      <c r="Y1432" s="42" t="str">
        <f t="shared" si="102"/>
        <v/>
      </c>
      <c r="Z1432" s="42" t="str">
        <f t="shared" si="103"/>
        <v/>
      </c>
    </row>
    <row r="1433" spans="23:26" x14ac:dyDescent="0.25">
      <c r="W1433" t="str">
        <f t="shared" si="100"/>
        <v/>
      </c>
      <c r="X1433" t="str">
        <f t="shared" si="101"/>
        <v/>
      </c>
      <c r="Y1433" s="42" t="str">
        <f t="shared" si="102"/>
        <v/>
      </c>
      <c r="Z1433" s="42" t="str">
        <f t="shared" si="103"/>
        <v/>
      </c>
    </row>
    <row r="1434" spans="23:26" x14ac:dyDescent="0.25">
      <c r="W1434" t="str">
        <f t="shared" si="100"/>
        <v/>
      </c>
      <c r="X1434" t="str">
        <f t="shared" si="101"/>
        <v/>
      </c>
      <c r="Y1434" s="42" t="str">
        <f t="shared" si="102"/>
        <v/>
      </c>
      <c r="Z1434" s="42" t="str">
        <f t="shared" si="103"/>
        <v/>
      </c>
    </row>
    <row r="1435" spans="23:26" x14ac:dyDescent="0.25">
      <c r="W1435" t="str">
        <f t="shared" si="100"/>
        <v/>
      </c>
      <c r="X1435" t="str">
        <f t="shared" si="101"/>
        <v/>
      </c>
      <c r="Y1435" s="42" t="str">
        <f t="shared" si="102"/>
        <v/>
      </c>
      <c r="Z1435" s="42" t="str">
        <f t="shared" si="103"/>
        <v/>
      </c>
    </row>
    <row r="1436" spans="23:26" x14ac:dyDescent="0.25">
      <c r="W1436" t="str">
        <f t="shared" si="100"/>
        <v/>
      </c>
      <c r="X1436" t="str">
        <f t="shared" si="101"/>
        <v/>
      </c>
      <c r="Y1436" s="42" t="str">
        <f t="shared" si="102"/>
        <v/>
      </c>
      <c r="Z1436" s="42" t="str">
        <f t="shared" si="103"/>
        <v/>
      </c>
    </row>
    <row r="1437" spans="23:26" x14ac:dyDescent="0.25">
      <c r="W1437" t="str">
        <f t="shared" si="100"/>
        <v/>
      </c>
      <c r="X1437" t="str">
        <f t="shared" si="101"/>
        <v/>
      </c>
      <c r="Y1437" s="42" t="str">
        <f t="shared" si="102"/>
        <v/>
      </c>
      <c r="Z1437" s="42" t="str">
        <f t="shared" si="103"/>
        <v/>
      </c>
    </row>
    <row r="1438" spans="23:26" x14ac:dyDescent="0.25">
      <c r="W1438" t="str">
        <f t="shared" si="100"/>
        <v/>
      </c>
      <c r="X1438" t="str">
        <f t="shared" si="101"/>
        <v/>
      </c>
      <c r="Y1438" s="42" t="str">
        <f t="shared" si="102"/>
        <v/>
      </c>
      <c r="Z1438" s="42" t="str">
        <f t="shared" si="103"/>
        <v/>
      </c>
    </row>
    <row r="1439" spans="23:26" x14ac:dyDescent="0.25">
      <c r="W1439" t="str">
        <f t="shared" si="100"/>
        <v/>
      </c>
      <c r="X1439" t="str">
        <f t="shared" si="101"/>
        <v/>
      </c>
      <c r="Y1439" s="42" t="str">
        <f t="shared" si="102"/>
        <v/>
      </c>
      <c r="Z1439" s="42" t="str">
        <f t="shared" si="103"/>
        <v/>
      </c>
    </row>
    <row r="1440" spans="23:26" x14ac:dyDescent="0.25">
      <c r="W1440" t="str">
        <f t="shared" si="100"/>
        <v/>
      </c>
      <c r="X1440" t="str">
        <f t="shared" si="101"/>
        <v/>
      </c>
      <c r="Y1440" s="42" t="str">
        <f t="shared" si="102"/>
        <v/>
      </c>
      <c r="Z1440" s="42" t="str">
        <f t="shared" si="103"/>
        <v/>
      </c>
    </row>
    <row r="1441" spans="23:26" x14ac:dyDescent="0.25">
      <c r="W1441" t="str">
        <f t="shared" si="100"/>
        <v/>
      </c>
      <c r="X1441" t="str">
        <f t="shared" si="101"/>
        <v/>
      </c>
      <c r="Y1441" s="42" t="str">
        <f t="shared" si="102"/>
        <v/>
      </c>
      <c r="Z1441" s="42" t="str">
        <f t="shared" si="103"/>
        <v/>
      </c>
    </row>
    <row r="1442" spans="23:26" x14ac:dyDescent="0.25">
      <c r="W1442" t="str">
        <f t="shared" si="100"/>
        <v/>
      </c>
      <c r="X1442" t="str">
        <f t="shared" si="101"/>
        <v/>
      </c>
      <c r="Y1442" s="42" t="str">
        <f t="shared" si="102"/>
        <v/>
      </c>
      <c r="Z1442" s="42" t="str">
        <f t="shared" si="103"/>
        <v/>
      </c>
    </row>
    <row r="1443" spans="23:26" x14ac:dyDescent="0.25">
      <c r="W1443" t="str">
        <f t="shared" si="100"/>
        <v/>
      </c>
      <c r="X1443" t="str">
        <f t="shared" si="101"/>
        <v/>
      </c>
      <c r="Y1443" s="42" t="str">
        <f t="shared" si="102"/>
        <v/>
      </c>
      <c r="Z1443" s="42" t="str">
        <f t="shared" si="103"/>
        <v/>
      </c>
    </row>
    <row r="1444" spans="23:26" x14ac:dyDescent="0.25">
      <c r="W1444" t="str">
        <f t="shared" si="100"/>
        <v/>
      </c>
      <c r="X1444" t="str">
        <f t="shared" si="101"/>
        <v/>
      </c>
      <c r="Y1444" s="42" t="str">
        <f t="shared" si="102"/>
        <v/>
      </c>
      <c r="Z1444" s="42" t="str">
        <f t="shared" si="103"/>
        <v/>
      </c>
    </row>
    <row r="1445" spans="23:26" x14ac:dyDescent="0.25">
      <c r="W1445" t="str">
        <f t="shared" si="100"/>
        <v/>
      </c>
      <c r="X1445" t="str">
        <f t="shared" si="101"/>
        <v/>
      </c>
      <c r="Y1445" s="42" t="str">
        <f t="shared" si="102"/>
        <v/>
      </c>
      <c r="Z1445" s="42" t="str">
        <f t="shared" si="103"/>
        <v/>
      </c>
    </row>
    <row r="1446" spans="23:26" x14ac:dyDescent="0.25">
      <c r="W1446" t="str">
        <f t="shared" si="100"/>
        <v/>
      </c>
      <c r="X1446" t="str">
        <f t="shared" si="101"/>
        <v/>
      </c>
      <c r="Y1446" s="42" t="str">
        <f t="shared" si="102"/>
        <v/>
      </c>
      <c r="Z1446" s="42" t="str">
        <f t="shared" si="103"/>
        <v/>
      </c>
    </row>
    <row r="1447" spans="23:26" x14ac:dyDescent="0.25">
      <c r="W1447" t="str">
        <f t="shared" si="100"/>
        <v/>
      </c>
      <c r="X1447" t="str">
        <f t="shared" si="101"/>
        <v/>
      </c>
      <c r="Y1447" s="42" t="str">
        <f t="shared" si="102"/>
        <v/>
      </c>
      <c r="Z1447" s="42" t="str">
        <f t="shared" si="103"/>
        <v/>
      </c>
    </row>
    <row r="1448" spans="23:26" x14ac:dyDescent="0.25">
      <c r="W1448" t="str">
        <f t="shared" si="100"/>
        <v/>
      </c>
      <c r="X1448" t="str">
        <f t="shared" si="101"/>
        <v/>
      </c>
      <c r="Y1448" s="42" t="str">
        <f t="shared" si="102"/>
        <v/>
      </c>
      <c r="Z1448" s="42" t="str">
        <f t="shared" si="103"/>
        <v/>
      </c>
    </row>
    <row r="1449" spans="23:26" x14ac:dyDescent="0.25">
      <c r="W1449" t="str">
        <f t="shared" si="100"/>
        <v/>
      </c>
      <c r="X1449" t="str">
        <f t="shared" si="101"/>
        <v/>
      </c>
      <c r="Y1449" s="42" t="str">
        <f t="shared" si="102"/>
        <v/>
      </c>
      <c r="Z1449" s="42" t="str">
        <f t="shared" si="103"/>
        <v/>
      </c>
    </row>
    <row r="1450" spans="23:26" x14ac:dyDescent="0.25">
      <c r="W1450" t="str">
        <f t="shared" si="100"/>
        <v/>
      </c>
      <c r="X1450" t="str">
        <f t="shared" si="101"/>
        <v/>
      </c>
      <c r="Y1450" s="42" t="str">
        <f t="shared" si="102"/>
        <v/>
      </c>
      <c r="Z1450" s="42" t="str">
        <f t="shared" si="103"/>
        <v/>
      </c>
    </row>
    <row r="1451" spans="23:26" x14ac:dyDescent="0.25">
      <c r="W1451" t="str">
        <f t="shared" si="100"/>
        <v/>
      </c>
      <c r="X1451" t="str">
        <f t="shared" si="101"/>
        <v/>
      </c>
      <c r="Y1451" s="42" t="str">
        <f t="shared" si="102"/>
        <v/>
      </c>
      <c r="Z1451" s="42" t="str">
        <f t="shared" si="103"/>
        <v/>
      </c>
    </row>
    <row r="1452" spans="23:26" x14ac:dyDescent="0.25">
      <c r="W1452" t="str">
        <f t="shared" si="100"/>
        <v/>
      </c>
      <c r="X1452" t="str">
        <f t="shared" si="101"/>
        <v/>
      </c>
      <c r="Y1452" s="42" t="str">
        <f t="shared" si="102"/>
        <v/>
      </c>
      <c r="Z1452" s="42" t="str">
        <f t="shared" si="103"/>
        <v/>
      </c>
    </row>
    <row r="1453" spans="23:26" x14ac:dyDescent="0.25">
      <c r="W1453" t="str">
        <f t="shared" si="100"/>
        <v/>
      </c>
      <c r="X1453" t="str">
        <f t="shared" si="101"/>
        <v/>
      </c>
      <c r="Y1453" s="42" t="str">
        <f t="shared" si="102"/>
        <v/>
      </c>
      <c r="Z1453" s="42" t="str">
        <f t="shared" si="103"/>
        <v/>
      </c>
    </row>
    <row r="1454" spans="23:26" x14ac:dyDescent="0.25">
      <c r="W1454" t="str">
        <f t="shared" si="100"/>
        <v/>
      </c>
      <c r="X1454" t="str">
        <f t="shared" si="101"/>
        <v/>
      </c>
      <c r="Y1454" s="42" t="str">
        <f t="shared" si="102"/>
        <v/>
      </c>
      <c r="Z1454" s="42" t="str">
        <f t="shared" si="103"/>
        <v/>
      </c>
    </row>
    <row r="1455" spans="23:26" x14ac:dyDescent="0.25">
      <c r="W1455" t="str">
        <f t="shared" si="100"/>
        <v/>
      </c>
      <c r="X1455" t="str">
        <f t="shared" si="101"/>
        <v/>
      </c>
      <c r="Y1455" s="42" t="str">
        <f t="shared" si="102"/>
        <v/>
      </c>
      <c r="Z1455" s="42" t="str">
        <f t="shared" si="103"/>
        <v/>
      </c>
    </row>
    <row r="1456" spans="23:26" x14ac:dyDescent="0.25">
      <c r="W1456" t="str">
        <f t="shared" si="100"/>
        <v/>
      </c>
      <c r="X1456" t="str">
        <f t="shared" si="101"/>
        <v/>
      </c>
      <c r="Y1456" s="42" t="str">
        <f t="shared" si="102"/>
        <v/>
      </c>
      <c r="Z1456" s="42" t="str">
        <f t="shared" si="103"/>
        <v/>
      </c>
    </row>
    <row r="1457" spans="23:26" x14ac:dyDescent="0.25">
      <c r="W1457" t="str">
        <f t="shared" si="100"/>
        <v/>
      </c>
      <c r="X1457" t="str">
        <f t="shared" si="101"/>
        <v/>
      </c>
      <c r="Y1457" s="42" t="str">
        <f t="shared" si="102"/>
        <v/>
      </c>
      <c r="Z1457" s="42" t="str">
        <f t="shared" si="103"/>
        <v/>
      </c>
    </row>
    <row r="1458" spans="23:26" x14ac:dyDescent="0.25">
      <c r="W1458" t="str">
        <f t="shared" si="100"/>
        <v/>
      </c>
      <c r="X1458" t="str">
        <f t="shared" si="101"/>
        <v/>
      </c>
      <c r="Y1458" s="42" t="str">
        <f t="shared" si="102"/>
        <v/>
      </c>
      <c r="Z1458" s="42" t="str">
        <f t="shared" si="103"/>
        <v/>
      </c>
    </row>
    <row r="1459" spans="23:26" x14ac:dyDescent="0.25">
      <c r="W1459" t="str">
        <f t="shared" si="100"/>
        <v/>
      </c>
      <c r="X1459" t="str">
        <f t="shared" si="101"/>
        <v/>
      </c>
      <c r="Y1459" s="42" t="str">
        <f t="shared" si="102"/>
        <v/>
      </c>
      <c r="Z1459" s="42" t="str">
        <f t="shared" si="103"/>
        <v/>
      </c>
    </row>
    <row r="1460" spans="23:26" x14ac:dyDescent="0.25">
      <c r="W1460" t="str">
        <f t="shared" si="100"/>
        <v/>
      </c>
      <c r="X1460" t="str">
        <f t="shared" si="101"/>
        <v/>
      </c>
      <c r="Y1460" s="42" t="str">
        <f t="shared" si="102"/>
        <v/>
      </c>
      <c r="Z1460" s="42" t="str">
        <f t="shared" si="103"/>
        <v/>
      </c>
    </row>
    <row r="1461" spans="23:26" x14ac:dyDescent="0.25">
      <c r="W1461" t="str">
        <f t="shared" si="100"/>
        <v/>
      </c>
      <c r="X1461" t="str">
        <f t="shared" si="101"/>
        <v/>
      </c>
      <c r="Y1461" s="42" t="str">
        <f t="shared" si="102"/>
        <v/>
      </c>
      <c r="Z1461" s="42" t="str">
        <f t="shared" si="103"/>
        <v/>
      </c>
    </row>
    <row r="1462" spans="23:26" x14ac:dyDescent="0.25">
      <c r="W1462" t="str">
        <f t="shared" si="100"/>
        <v/>
      </c>
      <c r="X1462" t="str">
        <f t="shared" si="101"/>
        <v/>
      </c>
      <c r="Y1462" s="42" t="str">
        <f t="shared" si="102"/>
        <v/>
      </c>
      <c r="Z1462" s="42" t="str">
        <f t="shared" si="103"/>
        <v/>
      </c>
    </row>
    <row r="1463" spans="23:26" x14ac:dyDescent="0.25">
      <c r="W1463" t="str">
        <f t="shared" si="100"/>
        <v/>
      </c>
      <c r="X1463" t="str">
        <f t="shared" si="101"/>
        <v/>
      </c>
      <c r="Y1463" s="42" t="str">
        <f t="shared" si="102"/>
        <v/>
      </c>
      <c r="Z1463" s="42" t="str">
        <f t="shared" si="103"/>
        <v/>
      </c>
    </row>
    <row r="1464" spans="23:26" x14ac:dyDescent="0.25">
      <c r="W1464" t="str">
        <f t="shared" si="100"/>
        <v/>
      </c>
      <c r="X1464" t="str">
        <f t="shared" si="101"/>
        <v/>
      </c>
      <c r="Y1464" s="42" t="str">
        <f t="shared" si="102"/>
        <v/>
      </c>
      <c r="Z1464" s="42" t="str">
        <f t="shared" si="103"/>
        <v/>
      </c>
    </row>
    <row r="1465" spans="23:26" x14ac:dyDescent="0.25">
      <c r="W1465" t="str">
        <f t="shared" si="100"/>
        <v/>
      </c>
      <c r="X1465" t="str">
        <f t="shared" si="101"/>
        <v/>
      </c>
      <c r="Y1465" s="42" t="str">
        <f t="shared" si="102"/>
        <v/>
      </c>
      <c r="Z1465" s="42" t="str">
        <f t="shared" si="103"/>
        <v/>
      </c>
    </row>
    <row r="1466" spans="23:26" x14ac:dyDescent="0.25">
      <c r="W1466" t="str">
        <f t="shared" si="100"/>
        <v/>
      </c>
      <c r="X1466" t="str">
        <f t="shared" si="101"/>
        <v/>
      </c>
      <c r="Y1466" s="42" t="str">
        <f t="shared" si="102"/>
        <v/>
      </c>
      <c r="Z1466" s="42" t="str">
        <f t="shared" si="103"/>
        <v/>
      </c>
    </row>
    <row r="1467" spans="23:26" x14ac:dyDescent="0.25">
      <c r="W1467" t="str">
        <f t="shared" si="100"/>
        <v/>
      </c>
      <c r="X1467" t="str">
        <f t="shared" si="101"/>
        <v/>
      </c>
      <c r="Y1467" s="42" t="str">
        <f t="shared" si="102"/>
        <v/>
      </c>
      <c r="Z1467" s="42" t="str">
        <f t="shared" si="103"/>
        <v/>
      </c>
    </row>
    <row r="1468" spans="23:26" x14ac:dyDescent="0.25">
      <c r="W1468" t="str">
        <f t="shared" si="100"/>
        <v/>
      </c>
      <c r="X1468" t="str">
        <f t="shared" si="101"/>
        <v/>
      </c>
      <c r="Y1468" s="42" t="str">
        <f t="shared" si="102"/>
        <v/>
      </c>
      <c r="Z1468" s="42" t="str">
        <f t="shared" si="103"/>
        <v/>
      </c>
    </row>
    <row r="1469" spans="23:26" x14ac:dyDescent="0.25">
      <c r="W1469" t="str">
        <f t="shared" si="100"/>
        <v/>
      </c>
      <c r="X1469" t="str">
        <f t="shared" si="101"/>
        <v/>
      </c>
      <c r="Y1469" s="42" t="str">
        <f t="shared" si="102"/>
        <v/>
      </c>
      <c r="Z1469" s="42" t="str">
        <f t="shared" si="103"/>
        <v/>
      </c>
    </row>
    <row r="1470" spans="23:26" x14ac:dyDescent="0.25">
      <c r="W1470" t="str">
        <f t="shared" si="100"/>
        <v/>
      </c>
      <c r="X1470" t="str">
        <f t="shared" si="101"/>
        <v/>
      </c>
      <c r="Y1470" s="42" t="str">
        <f t="shared" si="102"/>
        <v/>
      </c>
      <c r="Z1470" s="42" t="str">
        <f t="shared" si="103"/>
        <v/>
      </c>
    </row>
    <row r="1471" spans="23:26" x14ac:dyDescent="0.25">
      <c r="W1471" t="str">
        <f t="shared" si="100"/>
        <v/>
      </c>
      <c r="X1471" t="str">
        <f t="shared" si="101"/>
        <v/>
      </c>
      <c r="Y1471" s="42" t="str">
        <f t="shared" si="102"/>
        <v/>
      </c>
      <c r="Z1471" s="42" t="str">
        <f t="shared" si="103"/>
        <v/>
      </c>
    </row>
    <row r="1472" spans="23:26" x14ac:dyDescent="0.25">
      <c r="W1472" t="str">
        <f t="shared" si="100"/>
        <v/>
      </c>
      <c r="X1472" t="str">
        <f t="shared" si="101"/>
        <v/>
      </c>
      <c r="Y1472" s="42" t="str">
        <f t="shared" si="102"/>
        <v/>
      </c>
      <c r="Z1472" s="42" t="str">
        <f t="shared" si="103"/>
        <v/>
      </c>
    </row>
    <row r="1473" spans="23:26" x14ac:dyDescent="0.25">
      <c r="W1473" t="str">
        <f t="shared" si="100"/>
        <v/>
      </c>
      <c r="X1473" t="str">
        <f t="shared" si="101"/>
        <v/>
      </c>
      <c r="Y1473" s="42" t="str">
        <f t="shared" si="102"/>
        <v/>
      </c>
      <c r="Z1473" s="42" t="str">
        <f t="shared" si="103"/>
        <v/>
      </c>
    </row>
    <row r="1474" spans="23:26" x14ac:dyDescent="0.25">
      <c r="W1474" t="str">
        <f t="shared" si="100"/>
        <v/>
      </c>
      <c r="X1474" t="str">
        <f t="shared" si="101"/>
        <v/>
      </c>
      <c r="Y1474" s="42" t="str">
        <f t="shared" si="102"/>
        <v/>
      </c>
      <c r="Z1474" s="42" t="str">
        <f t="shared" si="103"/>
        <v/>
      </c>
    </row>
    <row r="1475" spans="23:26" x14ac:dyDescent="0.25">
      <c r="W1475" t="str">
        <f t="shared" si="100"/>
        <v/>
      </c>
      <c r="X1475" t="str">
        <f t="shared" si="101"/>
        <v/>
      </c>
      <c r="Y1475" s="42" t="str">
        <f t="shared" si="102"/>
        <v/>
      </c>
      <c r="Z1475" s="42" t="str">
        <f t="shared" si="103"/>
        <v/>
      </c>
    </row>
    <row r="1476" spans="23:26" x14ac:dyDescent="0.25">
      <c r="W1476" t="str">
        <f t="shared" ref="W1476:W1539" si="104">IF($A1476="","",$A1476)</f>
        <v/>
      </c>
      <c r="X1476" t="str">
        <f t="shared" ref="X1476:X1539" si="105">IF($A1476="","",$C1476)</f>
        <v/>
      </c>
      <c r="Y1476" s="42" t="str">
        <f t="shared" ref="Y1476:Y1539" si="106">IF($A1476="","",$E1476)</f>
        <v/>
      </c>
      <c r="Z1476" s="42" t="str">
        <f t="shared" ref="Z1476:Z1539" si="107">IF($A1476="","",IF(ISERROR($G1476),0,$G1476))</f>
        <v/>
      </c>
    </row>
    <row r="1477" spans="23:26" x14ac:dyDescent="0.25">
      <c r="W1477" t="str">
        <f t="shared" si="104"/>
        <v/>
      </c>
      <c r="X1477" t="str">
        <f t="shared" si="105"/>
        <v/>
      </c>
      <c r="Y1477" s="42" t="str">
        <f t="shared" si="106"/>
        <v/>
      </c>
      <c r="Z1477" s="42" t="str">
        <f t="shared" si="107"/>
        <v/>
      </c>
    </row>
    <row r="1478" spans="23:26" x14ac:dyDescent="0.25">
      <c r="W1478" t="str">
        <f t="shared" si="104"/>
        <v/>
      </c>
      <c r="X1478" t="str">
        <f t="shared" si="105"/>
        <v/>
      </c>
      <c r="Y1478" s="42" t="str">
        <f t="shared" si="106"/>
        <v/>
      </c>
      <c r="Z1478" s="42" t="str">
        <f t="shared" si="107"/>
        <v/>
      </c>
    </row>
    <row r="1479" spans="23:26" x14ac:dyDescent="0.25">
      <c r="W1479" t="str">
        <f t="shared" si="104"/>
        <v/>
      </c>
      <c r="X1479" t="str">
        <f t="shared" si="105"/>
        <v/>
      </c>
      <c r="Y1479" s="42" t="str">
        <f t="shared" si="106"/>
        <v/>
      </c>
      <c r="Z1479" s="42" t="str">
        <f t="shared" si="107"/>
        <v/>
      </c>
    </row>
    <row r="1480" spans="23:26" x14ac:dyDescent="0.25">
      <c r="W1480" t="str">
        <f t="shared" si="104"/>
        <v/>
      </c>
      <c r="X1480" t="str">
        <f t="shared" si="105"/>
        <v/>
      </c>
      <c r="Y1480" s="42" t="str">
        <f t="shared" si="106"/>
        <v/>
      </c>
      <c r="Z1480" s="42" t="str">
        <f t="shared" si="107"/>
        <v/>
      </c>
    </row>
    <row r="1481" spans="23:26" x14ac:dyDescent="0.25">
      <c r="W1481" t="str">
        <f t="shared" si="104"/>
        <v/>
      </c>
      <c r="X1481" t="str">
        <f t="shared" si="105"/>
        <v/>
      </c>
      <c r="Y1481" s="42" t="str">
        <f t="shared" si="106"/>
        <v/>
      </c>
      <c r="Z1481" s="42" t="str">
        <f t="shared" si="107"/>
        <v/>
      </c>
    </row>
    <row r="1482" spans="23:26" x14ac:dyDescent="0.25">
      <c r="W1482" t="str">
        <f t="shared" si="104"/>
        <v/>
      </c>
      <c r="X1482" t="str">
        <f t="shared" si="105"/>
        <v/>
      </c>
      <c r="Y1482" s="42" t="str">
        <f t="shared" si="106"/>
        <v/>
      </c>
      <c r="Z1482" s="42" t="str">
        <f t="shared" si="107"/>
        <v/>
      </c>
    </row>
    <row r="1483" spans="23:26" x14ac:dyDescent="0.25">
      <c r="W1483" t="str">
        <f t="shared" si="104"/>
        <v/>
      </c>
      <c r="X1483" t="str">
        <f t="shared" si="105"/>
        <v/>
      </c>
      <c r="Y1483" s="42" t="str">
        <f t="shared" si="106"/>
        <v/>
      </c>
      <c r="Z1483" s="42" t="str">
        <f t="shared" si="107"/>
        <v/>
      </c>
    </row>
    <row r="1484" spans="23:26" x14ac:dyDescent="0.25">
      <c r="W1484" t="str">
        <f t="shared" si="104"/>
        <v/>
      </c>
      <c r="X1484" t="str">
        <f t="shared" si="105"/>
        <v/>
      </c>
      <c r="Y1484" s="42" t="str">
        <f t="shared" si="106"/>
        <v/>
      </c>
      <c r="Z1484" s="42" t="str">
        <f t="shared" si="107"/>
        <v/>
      </c>
    </row>
    <row r="1485" spans="23:26" x14ac:dyDescent="0.25">
      <c r="W1485" t="str">
        <f t="shared" si="104"/>
        <v/>
      </c>
      <c r="X1485" t="str">
        <f t="shared" si="105"/>
        <v/>
      </c>
      <c r="Y1485" s="42" t="str">
        <f t="shared" si="106"/>
        <v/>
      </c>
      <c r="Z1485" s="42" t="str">
        <f t="shared" si="107"/>
        <v/>
      </c>
    </row>
    <row r="1486" spans="23:26" x14ac:dyDescent="0.25">
      <c r="W1486" t="str">
        <f t="shared" si="104"/>
        <v/>
      </c>
      <c r="X1486" t="str">
        <f t="shared" si="105"/>
        <v/>
      </c>
      <c r="Y1486" s="42" t="str">
        <f t="shared" si="106"/>
        <v/>
      </c>
      <c r="Z1486" s="42" t="str">
        <f t="shared" si="107"/>
        <v/>
      </c>
    </row>
    <row r="1487" spans="23:26" x14ac:dyDescent="0.25">
      <c r="W1487" t="str">
        <f t="shared" si="104"/>
        <v/>
      </c>
      <c r="X1487" t="str">
        <f t="shared" si="105"/>
        <v/>
      </c>
      <c r="Y1487" s="42" t="str">
        <f t="shared" si="106"/>
        <v/>
      </c>
      <c r="Z1487" s="42" t="str">
        <f t="shared" si="107"/>
        <v/>
      </c>
    </row>
    <row r="1488" spans="23:26" x14ac:dyDescent="0.25">
      <c r="W1488" t="str">
        <f t="shared" si="104"/>
        <v/>
      </c>
      <c r="X1488" t="str">
        <f t="shared" si="105"/>
        <v/>
      </c>
      <c r="Y1488" s="42" t="str">
        <f t="shared" si="106"/>
        <v/>
      </c>
      <c r="Z1488" s="42" t="str">
        <f t="shared" si="107"/>
        <v/>
      </c>
    </row>
    <row r="1489" spans="23:26" x14ac:dyDescent="0.25">
      <c r="W1489" t="str">
        <f t="shared" si="104"/>
        <v/>
      </c>
      <c r="X1489" t="str">
        <f t="shared" si="105"/>
        <v/>
      </c>
      <c r="Y1489" s="42" t="str">
        <f t="shared" si="106"/>
        <v/>
      </c>
      <c r="Z1489" s="42" t="str">
        <f t="shared" si="107"/>
        <v/>
      </c>
    </row>
    <row r="1490" spans="23:26" x14ac:dyDescent="0.25">
      <c r="W1490" t="str">
        <f t="shared" si="104"/>
        <v/>
      </c>
      <c r="X1490" t="str">
        <f t="shared" si="105"/>
        <v/>
      </c>
      <c r="Y1490" s="42" t="str">
        <f t="shared" si="106"/>
        <v/>
      </c>
      <c r="Z1490" s="42" t="str">
        <f t="shared" si="107"/>
        <v/>
      </c>
    </row>
    <row r="1491" spans="23:26" x14ac:dyDescent="0.25">
      <c r="W1491" t="str">
        <f t="shared" si="104"/>
        <v/>
      </c>
      <c r="X1491" t="str">
        <f t="shared" si="105"/>
        <v/>
      </c>
      <c r="Y1491" s="42" t="str">
        <f t="shared" si="106"/>
        <v/>
      </c>
      <c r="Z1491" s="42" t="str">
        <f t="shared" si="107"/>
        <v/>
      </c>
    </row>
    <row r="1492" spans="23:26" x14ac:dyDescent="0.25">
      <c r="W1492" t="str">
        <f t="shared" si="104"/>
        <v/>
      </c>
      <c r="X1492" t="str">
        <f t="shared" si="105"/>
        <v/>
      </c>
      <c r="Y1492" s="42" t="str">
        <f t="shared" si="106"/>
        <v/>
      </c>
      <c r="Z1492" s="42" t="str">
        <f t="shared" si="107"/>
        <v/>
      </c>
    </row>
    <row r="1493" spans="23:26" x14ac:dyDescent="0.25">
      <c r="W1493" t="str">
        <f t="shared" si="104"/>
        <v/>
      </c>
      <c r="X1493" t="str">
        <f t="shared" si="105"/>
        <v/>
      </c>
      <c r="Y1493" s="42" t="str">
        <f t="shared" si="106"/>
        <v/>
      </c>
      <c r="Z1493" s="42" t="str">
        <f t="shared" si="107"/>
        <v/>
      </c>
    </row>
    <row r="1494" spans="23:26" x14ac:dyDescent="0.25">
      <c r="W1494" t="str">
        <f t="shared" si="104"/>
        <v/>
      </c>
      <c r="X1494" t="str">
        <f t="shared" si="105"/>
        <v/>
      </c>
      <c r="Y1494" s="42" t="str">
        <f t="shared" si="106"/>
        <v/>
      </c>
      <c r="Z1494" s="42" t="str">
        <f t="shared" si="107"/>
        <v/>
      </c>
    </row>
    <row r="1495" spans="23:26" x14ac:dyDescent="0.25">
      <c r="W1495" t="str">
        <f t="shared" si="104"/>
        <v/>
      </c>
      <c r="X1495" t="str">
        <f t="shared" si="105"/>
        <v/>
      </c>
      <c r="Y1495" s="42" t="str">
        <f t="shared" si="106"/>
        <v/>
      </c>
      <c r="Z1495" s="42" t="str">
        <f t="shared" si="107"/>
        <v/>
      </c>
    </row>
    <row r="1496" spans="23:26" x14ac:dyDescent="0.25">
      <c r="W1496" t="str">
        <f t="shared" si="104"/>
        <v/>
      </c>
      <c r="X1496" t="str">
        <f t="shared" si="105"/>
        <v/>
      </c>
      <c r="Y1496" s="42" t="str">
        <f t="shared" si="106"/>
        <v/>
      </c>
      <c r="Z1496" s="42" t="str">
        <f t="shared" si="107"/>
        <v/>
      </c>
    </row>
    <row r="1497" spans="23:26" x14ac:dyDescent="0.25">
      <c r="W1497" t="str">
        <f t="shared" si="104"/>
        <v/>
      </c>
      <c r="X1497" t="str">
        <f t="shared" si="105"/>
        <v/>
      </c>
      <c r="Y1497" s="42" t="str">
        <f t="shared" si="106"/>
        <v/>
      </c>
      <c r="Z1497" s="42" t="str">
        <f t="shared" si="107"/>
        <v/>
      </c>
    </row>
    <row r="1498" spans="23:26" x14ac:dyDescent="0.25">
      <c r="W1498" t="str">
        <f t="shared" si="104"/>
        <v/>
      </c>
      <c r="X1498" t="str">
        <f t="shared" si="105"/>
        <v/>
      </c>
      <c r="Y1498" s="42" t="str">
        <f t="shared" si="106"/>
        <v/>
      </c>
      <c r="Z1498" s="42" t="str">
        <f t="shared" si="107"/>
        <v/>
      </c>
    </row>
    <row r="1499" spans="23:26" x14ac:dyDescent="0.25">
      <c r="W1499" t="str">
        <f t="shared" si="104"/>
        <v/>
      </c>
      <c r="X1499" t="str">
        <f t="shared" si="105"/>
        <v/>
      </c>
      <c r="Y1499" s="42" t="str">
        <f t="shared" si="106"/>
        <v/>
      </c>
      <c r="Z1499" s="42" t="str">
        <f t="shared" si="107"/>
        <v/>
      </c>
    </row>
    <row r="1500" spans="23:26" x14ac:dyDescent="0.25">
      <c r="W1500" t="str">
        <f t="shared" si="104"/>
        <v/>
      </c>
      <c r="X1500" t="str">
        <f t="shared" si="105"/>
        <v/>
      </c>
      <c r="Y1500" s="42" t="str">
        <f t="shared" si="106"/>
        <v/>
      </c>
      <c r="Z1500" s="42" t="str">
        <f t="shared" si="107"/>
        <v/>
      </c>
    </row>
    <row r="1501" spans="23:26" x14ac:dyDescent="0.25">
      <c r="W1501" t="str">
        <f t="shared" si="104"/>
        <v/>
      </c>
      <c r="X1501" t="str">
        <f t="shared" si="105"/>
        <v/>
      </c>
      <c r="Y1501" s="42" t="str">
        <f t="shared" si="106"/>
        <v/>
      </c>
      <c r="Z1501" s="42" t="str">
        <f t="shared" si="107"/>
        <v/>
      </c>
    </row>
    <row r="1502" spans="23:26" x14ac:dyDescent="0.25">
      <c r="W1502" t="str">
        <f t="shared" si="104"/>
        <v/>
      </c>
      <c r="X1502" t="str">
        <f t="shared" si="105"/>
        <v/>
      </c>
      <c r="Y1502" s="42" t="str">
        <f t="shared" si="106"/>
        <v/>
      </c>
      <c r="Z1502" s="42" t="str">
        <f t="shared" si="107"/>
        <v/>
      </c>
    </row>
    <row r="1503" spans="23:26" x14ac:dyDescent="0.25">
      <c r="W1503" t="str">
        <f t="shared" si="104"/>
        <v/>
      </c>
      <c r="X1503" t="str">
        <f t="shared" si="105"/>
        <v/>
      </c>
      <c r="Y1503" s="42" t="str">
        <f t="shared" si="106"/>
        <v/>
      </c>
      <c r="Z1503" s="42" t="str">
        <f t="shared" si="107"/>
        <v/>
      </c>
    </row>
    <row r="1504" spans="23:26" x14ac:dyDescent="0.25">
      <c r="W1504" t="str">
        <f t="shared" si="104"/>
        <v/>
      </c>
      <c r="X1504" t="str">
        <f t="shared" si="105"/>
        <v/>
      </c>
      <c r="Y1504" s="42" t="str">
        <f t="shared" si="106"/>
        <v/>
      </c>
      <c r="Z1504" s="42" t="str">
        <f t="shared" si="107"/>
        <v/>
      </c>
    </row>
    <row r="1505" spans="23:26" x14ac:dyDescent="0.25">
      <c r="W1505" t="str">
        <f t="shared" si="104"/>
        <v/>
      </c>
      <c r="X1505" t="str">
        <f t="shared" si="105"/>
        <v/>
      </c>
      <c r="Y1505" s="42" t="str">
        <f t="shared" si="106"/>
        <v/>
      </c>
      <c r="Z1505" s="42" t="str">
        <f t="shared" si="107"/>
        <v/>
      </c>
    </row>
    <row r="1506" spans="23:26" x14ac:dyDescent="0.25">
      <c r="W1506" t="str">
        <f t="shared" si="104"/>
        <v/>
      </c>
      <c r="X1506" t="str">
        <f t="shared" si="105"/>
        <v/>
      </c>
      <c r="Y1506" s="42" t="str">
        <f t="shared" si="106"/>
        <v/>
      </c>
      <c r="Z1506" s="42" t="str">
        <f t="shared" si="107"/>
        <v/>
      </c>
    </row>
    <row r="1507" spans="23:26" x14ac:dyDescent="0.25">
      <c r="W1507" t="str">
        <f t="shared" si="104"/>
        <v/>
      </c>
      <c r="X1507" t="str">
        <f t="shared" si="105"/>
        <v/>
      </c>
      <c r="Y1507" s="42" t="str">
        <f t="shared" si="106"/>
        <v/>
      </c>
      <c r="Z1507" s="42" t="str">
        <f t="shared" si="107"/>
        <v/>
      </c>
    </row>
    <row r="1508" spans="23:26" x14ac:dyDescent="0.25">
      <c r="W1508" t="str">
        <f t="shared" si="104"/>
        <v/>
      </c>
      <c r="X1508" t="str">
        <f t="shared" si="105"/>
        <v/>
      </c>
      <c r="Y1508" s="42" t="str">
        <f t="shared" si="106"/>
        <v/>
      </c>
      <c r="Z1508" s="42" t="str">
        <f t="shared" si="107"/>
        <v/>
      </c>
    </row>
    <row r="1509" spans="23:26" x14ac:dyDescent="0.25">
      <c r="W1509" t="str">
        <f t="shared" si="104"/>
        <v/>
      </c>
      <c r="X1509" t="str">
        <f t="shared" si="105"/>
        <v/>
      </c>
      <c r="Y1509" s="42" t="str">
        <f t="shared" si="106"/>
        <v/>
      </c>
      <c r="Z1509" s="42" t="str">
        <f t="shared" si="107"/>
        <v/>
      </c>
    </row>
    <row r="1510" spans="23:26" x14ac:dyDescent="0.25">
      <c r="W1510" t="str">
        <f t="shared" si="104"/>
        <v/>
      </c>
      <c r="X1510" t="str">
        <f t="shared" si="105"/>
        <v/>
      </c>
      <c r="Y1510" s="42" t="str">
        <f t="shared" si="106"/>
        <v/>
      </c>
      <c r="Z1510" s="42" t="str">
        <f t="shared" si="107"/>
        <v/>
      </c>
    </row>
    <row r="1511" spans="23:26" x14ac:dyDescent="0.25">
      <c r="W1511" t="str">
        <f t="shared" si="104"/>
        <v/>
      </c>
      <c r="X1511" t="str">
        <f t="shared" si="105"/>
        <v/>
      </c>
      <c r="Y1511" s="42" t="str">
        <f t="shared" si="106"/>
        <v/>
      </c>
      <c r="Z1511" s="42" t="str">
        <f t="shared" si="107"/>
        <v/>
      </c>
    </row>
    <row r="1512" spans="23:26" x14ac:dyDescent="0.25">
      <c r="W1512" t="str">
        <f t="shared" si="104"/>
        <v/>
      </c>
      <c r="X1512" t="str">
        <f t="shared" si="105"/>
        <v/>
      </c>
      <c r="Y1512" s="42" t="str">
        <f t="shared" si="106"/>
        <v/>
      </c>
      <c r="Z1512" s="42" t="str">
        <f t="shared" si="107"/>
        <v/>
      </c>
    </row>
    <row r="1513" spans="23:26" x14ac:dyDescent="0.25">
      <c r="W1513" t="str">
        <f t="shared" si="104"/>
        <v/>
      </c>
      <c r="X1513" t="str">
        <f t="shared" si="105"/>
        <v/>
      </c>
      <c r="Y1513" s="42" t="str">
        <f t="shared" si="106"/>
        <v/>
      </c>
      <c r="Z1513" s="42" t="str">
        <f t="shared" si="107"/>
        <v/>
      </c>
    </row>
    <row r="1514" spans="23:26" x14ac:dyDescent="0.25">
      <c r="W1514" t="str">
        <f t="shared" si="104"/>
        <v/>
      </c>
      <c r="X1514" t="str">
        <f t="shared" si="105"/>
        <v/>
      </c>
      <c r="Y1514" s="42" t="str">
        <f t="shared" si="106"/>
        <v/>
      </c>
      <c r="Z1514" s="42" t="str">
        <f t="shared" si="107"/>
        <v/>
      </c>
    </row>
    <row r="1515" spans="23:26" x14ac:dyDescent="0.25">
      <c r="W1515" t="str">
        <f t="shared" si="104"/>
        <v/>
      </c>
      <c r="X1515" t="str">
        <f t="shared" si="105"/>
        <v/>
      </c>
      <c r="Y1515" s="42" t="str">
        <f t="shared" si="106"/>
        <v/>
      </c>
      <c r="Z1515" s="42" t="str">
        <f t="shared" si="107"/>
        <v/>
      </c>
    </row>
    <row r="1516" spans="23:26" x14ac:dyDescent="0.25">
      <c r="W1516" t="str">
        <f t="shared" si="104"/>
        <v/>
      </c>
      <c r="X1516" t="str">
        <f t="shared" si="105"/>
        <v/>
      </c>
      <c r="Y1516" s="42" t="str">
        <f t="shared" si="106"/>
        <v/>
      </c>
      <c r="Z1516" s="42" t="str">
        <f t="shared" si="107"/>
        <v/>
      </c>
    </row>
    <row r="1517" spans="23:26" x14ac:dyDescent="0.25">
      <c r="W1517" t="str">
        <f t="shared" si="104"/>
        <v/>
      </c>
      <c r="X1517" t="str">
        <f t="shared" si="105"/>
        <v/>
      </c>
      <c r="Y1517" s="42" t="str">
        <f t="shared" si="106"/>
        <v/>
      </c>
      <c r="Z1517" s="42" t="str">
        <f t="shared" si="107"/>
        <v/>
      </c>
    </row>
    <row r="1518" spans="23:26" x14ac:dyDescent="0.25">
      <c r="W1518" t="str">
        <f t="shared" si="104"/>
        <v/>
      </c>
      <c r="X1518" t="str">
        <f t="shared" si="105"/>
        <v/>
      </c>
      <c r="Y1518" s="42" t="str">
        <f t="shared" si="106"/>
        <v/>
      </c>
      <c r="Z1518" s="42" t="str">
        <f t="shared" si="107"/>
        <v/>
      </c>
    </row>
    <row r="1519" spans="23:26" x14ac:dyDescent="0.25">
      <c r="W1519" t="str">
        <f t="shared" si="104"/>
        <v/>
      </c>
      <c r="X1519" t="str">
        <f t="shared" si="105"/>
        <v/>
      </c>
      <c r="Y1519" s="42" t="str">
        <f t="shared" si="106"/>
        <v/>
      </c>
      <c r="Z1519" s="42" t="str">
        <f t="shared" si="107"/>
        <v/>
      </c>
    </row>
    <row r="1520" spans="23:26" x14ac:dyDescent="0.25">
      <c r="W1520" t="str">
        <f t="shared" si="104"/>
        <v/>
      </c>
      <c r="X1520" t="str">
        <f t="shared" si="105"/>
        <v/>
      </c>
      <c r="Y1520" s="42" t="str">
        <f t="shared" si="106"/>
        <v/>
      </c>
      <c r="Z1520" s="42" t="str">
        <f t="shared" si="107"/>
        <v/>
      </c>
    </row>
    <row r="1521" spans="23:26" x14ac:dyDescent="0.25">
      <c r="W1521" t="str">
        <f t="shared" si="104"/>
        <v/>
      </c>
      <c r="X1521" t="str">
        <f t="shared" si="105"/>
        <v/>
      </c>
      <c r="Y1521" s="42" t="str">
        <f t="shared" si="106"/>
        <v/>
      </c>
      <c r="Z1521" s="42" t="str">
        <f t="shared" si="107"/>
        <v/>
      </c>
    </row>
    <row r="1522" spans="23:26" x14ac:dyDescent="0.25">
      <c r="W1522" t="str">
        <f t="shared" si="104"/>
        <v/>
      </c>
      <c r="X1522" t="str">
        <f t="shared" si="105"/>
        <v/>
      </c>
      <c r="Y1522" s="42" t="str">
        <f t="shared" si="106"/>
        <v/>
      </c>
      <c r="Z1522" s="42" t="str">
        <f t="shared" si="107"/>
        <v/>
      </c>
    </row>
    <row r="1523" spans="23:26" x14ac:dyDescent="0.25">
      <c r="W1523" t="str">
        <f t="shared" si="104"/>
        <v/>
      </c>
      <c r="X1523" t="str">
        <f t="shared" si="105"/>
        <v/>
      </c>
      <c r="Y1523" s="42" t="str">
        <f t="shared" si="106"/>
        <v/>
      </c>
      <c r="Z1523" s="42" t="str">
        <f t="shared" si="107"/>
        <v/>
      </c>
    </row>
    <row r="1524" spans="23:26" x14ac:dyDescent="0.25">
      <c r="W1524" t="str">
        <f t="shared" si="104"/>
        <v/>
      </c>
      <c r="X1524" t="str">
        <f t="shared" si="105"/>
        <v/>
      </c>
      <c r="Y1524" s="42" t="str">
        <f t="shared" si="106"/>
        <v/>
      </c>
      <c r="Z1524" s="42" t="str">
        <f t="shared" si="107"/>
        <v/>
      </c>
    </row>
    <row r="1525" spans="23:26" x14ac:dyDescent="0.25">
      <c r="W1525" t="str">
        <f t="shared" si="104"/>
        <v/>
      </c>
      <c r="X1525" t="str">
        <f t="shared" si="105"/>
        <v/>
      </c>
      <c r="Y1525" s="42" t="str">
        <f t="shared" si="106"/>
        <v/>
      </c>
      <c r="Z1525" s="42" t="str">
        <f t="shared" si="107"/>
        <v/>
      </c>
    </row>
    <row r="1526" spans="23:26" x14ac:dyDescent="0.25">
      <c r="W1526" t="str">
        <f t="shared" si="104"/>
        <v/>
      </c>
      <c r="X1526" t="str">
        <f t="shared" si="105"/>
        <v/>
      </c>
      <c r="Y1526" s="42" t="str">
        <f t="shared" si="106"/>
        <v/>
      </c>
      <c r="Z1526" s="42" t="str">
        <f t="shared" si="107"/>
        <v/>
      </c>
    </row>
    <row r="1527" spans="23:26" x14ac:dyDescent="0.25">
      <c r="W1527" t="str">
        <f t="shared" si="104"/>
        <v/>
      </c>
      <c r="X1527" t="str">
        <f t="shared" si="105"/>
        <v/>
      </c>
      <c r="Y1527" s="42" t="str">
        <f t="shared" si="106"/>
        <v/>
      </c>
      <c r="Z1527" s="42" t="str">
        <f t="shared" si="107"/>
        <v/>
      </c>
    </row>
    <row r="1528" spans="23:26" x14ac:dyDescent="0.25">
      <c r="W1528" t="str">
        <f t="shared" si="104"/>
        <v/>
      </c>
      <c r="X1528" t="str">
        <f t="shared" si="105"/>
        <v/>
      </c>
      <c r="Y1528" s="42" t="str">
        <f t="shared" si="106"/>
        <v/>
      </c>
      <c r="Z1528" s="42" t="str">
        <f t="shared" si="107"/>
        <v/>
      </c>
    </row>
    <row r="1529" spans="23:26" x14ac:dyDescent="0.25">
      <c r="W1529" t="str">
        <f t="shared" si="104"/>
        <v/>
      </c>
      <c r="X1529" t="str">
        <f t="shared" si="105"/>
        <v/>
      </c>
      <c r="Y1529" s="42" t="str">
        <f t="shared" si="106"/>
        <v/>
      </c>
      <c r="Z1529" s="42" t="str">
        <f t="shared" si="107"/>
        <v/>
      </c>
    </row>
    <row r="1530" spans="23:26" x14ac:dyDescent="0.25">
      <c r="W1530" t="str">
        <f t="shared" si="104"/>
        <v/>
      </c>
      <c r="X1530" t="str">
        <f t="shared" si="105"/>
        <v/>
      </c>
      <c r="Y1530" s="42" t="str">
        <f t="shared" si="106"/>
        <v/>
      </c>
      <c r="Z1530" s="42" t="str">
        <f t="shared" si="107"/>
        <v/>
      </c>
    </row>
    <row r="1531" spans="23:26" x14ac:dyDescent="0.25">
      <c r="W1531" t="str">
        <f t="shared" si="104"/>
        <v/>
      </c>
      <c r="X1531" t="str">
        <f t="shared" si="105"/>
        <v/>
      </c>
      <c r="Y1531" s="42" t="str">
        <f t="shared" si="106"/>
        <v/>
      </c>
      <c r="Z1531" s="42" t="str">
        <f t="shared" si="107"/>
        <v/>
      </c>
    </row>
    <row r="1532" spans="23:26" x14ac:dyDescent="0.25">
      <c r="W1532" t="str">
        <f t="shared" si="104"/>
        <v/>
      </c>
      <c r="X1532" t="str">
        <f t="shared" si="105"/>
        <v/>
      </c>
      <c r="Y1532" s="42" t="str">
        <f t="shared" si="106"/>
        <v/>
      </c>
      <c r="Z1532" s="42" t="str">
        <f t="shared" si="107"/>
        <v/>
      </c>
    </row>
    <row r="1533" spans="23:26" x14ac:dyDescent="0.25">
      <c r="W1533" t="str">
        <f t="shared" si="104"/>
        <v/>
      </c>
      <c r="X1533" t="str">
        <f t="shared" si="105"/>
        <v/>
      </c>
      <c r="Y1533" s="42" t="str">
        <f t="shared" si="106"/>
        <v/>
      </c>
      <c r="Z1533" s="42" t="str">
        <f t="shared" si="107"/>
        <v/>
      </c>
    </row>
    <row r="1534" spans="23:26" x14ac:dyDescent="0.25">
      <c r="W1534" t="str">
        <f t="shared" si="104"/>
        <v/>
      </c>
      <c r="X1534" t="str">
        <f t="shared" si="105"/>
        <v/>
      </c>
      <c r="Y1534" s="42" t="str">
        <f t="shared" si="106"/>
        <v/>
      </c>
      <c r="Z1534" s="42" t="str">
        <f t="shared" si="107"/>
        <v/>
      </c>
    </row>
    <row r="1535" spans="23:26" x14ac:dyDescent="0.25">
      <c r="W1535" t="str">
        <f t="shared" si="104"/>
        <v/>
      </c>
      <c r="X1535" t="str">
        <f t="shared" si="105"/>
        <v/>
      </c>
      <c r="Y1535" s="42" t="str">
        <f t="shared" si="106"/>
        <v/>
      </c>
      <c r="Z1535" s="42" t="str">
        <f t="shared" si="107"/>
        <v/>
      </c>
    </row>
    <row r="1536" spans="23:26" x14ac:dyDescent="0.25">
      <c r="W1536" t="str">
        <f t="shared" si="104"/>
        <v/>
      </c>
      <c r="X1536" t="str">
        <f t="shared" si="105"/>
        <v/>
      </c>
      <c r="Y1536" s="42" t="str">
        <f t="shared" si="106"/>
        <v/>
      </c>
      <c r="Z1536" s="42" t="str">
        <f t="shared" si="107"/>
        <v/>
      </c>
    </row>
    <row r="1537" spans="23:26" x14ac:dyDescent="0.25">
      <c r="W1537" t="str">
        <f t="shared" si="104"/>
        <v/>
      </c>
      <c r="X1537" t="str">
        <f t="shared" si="105"/>
        <v/>
      </c>
      <c r="Y1537" s="42" t="str">
        <f t="shared" si="106"/>
        <v/>
      </c>
      <c r="Z1537" s="42" t="str">
        <f t="shared" si="107"/>
        <v/>
      </c>
    </row>
    <row r="1538" spans="23:26" x14ac:dyDescent="0.25">
      <c r="W1538" t="str">
        <f t="shared" si="104"/>
        <v/>
      </c>
      <c r="X1538" t="str">
        <f t="shared" si="105"/>
        <v/>
      </c>
      <c r="Y1538" s="42" t="str">
        <f t="shared" si="106"/>
        <v/>
      </c>
      <c r="Z1538" s="42" t="str">
        <f t="shared" si="107"/>
        <v/>
      </c>
    </row>
    <row r="1539" spans="23:26" x14ac:dyDescent="0.25">
      <c r="W1539" t="str">
        <f t="shared" si="104"/>
        <v/>
      </c>
      <c r="X1539" t="str">
        <f t="shared" si="105"/>
        <v/>
      </c>
      <c r="Y1539" s="42" t="str">
        <f t="shared" si="106"/>
        <v/>
      </c>
      <c r="Z1539" s="42" t="str">
        <f t="shared" si="107"/>
        <v/>
      </c>
    </row>
    <row r="1540" spans="23:26" x14ac:dyDescent="0.25">
      <c r="W1540" t="str">
        <f t="shared" ref="W1540:W1584" si="108">IF($A1540="","",$A1540)</f>
        <v/>
      </c>
      <c r="X1540" t="str">
        <f t="shared" ref="X1540:X1584" si="109">IF($A1540="","",$C1540)</f>
        <v/>
      </c>
      <c r="Y1540" s="42" t="str">
        <f t="shared" ref="Y1540:Y1584" si="110">IF($A1540="","",$E1540)</f>
        <v/>
      </c>
      <c r="Z1540" s="42" t="str">
        <f t="shared" ref="Z1540:Z1584" si="111">IF($A1540="","",IF(ISERROR($G1540),0,$G1540))</f>
        <v/>
      </c>
    </row>
    <row r="1541" spans="23:26" x14ac:dyDescent="0.25">
      <c r="W1541" t="str">
        <f t="shared" si="108"/>
        <v/>
      </c>
      <c r="X1541" t="str">
        <f t="shared" si="109"/>
        <v/>
      </c>
      <c r="Y1541" s="42" t="str">
        <f t="shared" si="110"/>
        <v/>
      </c>
      <c r="Z1541" s="42" t="str">
        <f t="shared" si="111"/>
        <v/>
      </c>
    </row>
    <row r="1542" spans="23:26" x14ac:dyDescent="0.25">
      <c r="W1542" t="str">
        <f t="shared" si="108"/>
        <v/>
      </c>
      <c r="X1542" t="str">
        <f t="shared" si="109"/>
        <v/>
      </c>
      <c r="Y1542" s="42" t="str">
        <f t="shared" si="110"/>
        <v/>
      </c>
      <c r="Z1542" s="42" t="str">
        <f t="shared" si="111"/>
        <v/>
      </c>
    </row>
    <row r="1543" spans="23:26" x14ac:dyDescent="0.25">
      <c r="W1543" t="str">
        <f t="shared" si="108"/>
        <v/>
      </c>
      <c r="X1543" t="str">
        <f t="shared" si="109"/>
        <v/>
      </c>
      <c r="Y1543" s="42" t="str">
        <f t="shared" si="110"/>
        <v/>
      </c>
      <c r="Z1543" s="42" t="str">
        <f t="shared" si="111"/>
        <v/>
      </c>
    </row>
    <row r="1544" spans="23:26" x14ac:dyDescent="0.25">
      <c r="W1544" t="str">
        <f t="shared" si="108"/>
        <v/>
      </c>
      <c r="X1544" t="str">
        <f t="shared" si="109"/>
        <v/>
      </c>
      <c r="Y1544" s="42" t="str">
        <f t="shared" si="110"/>
        <v/>
      </c>
      <c r="Z1544" s="42" t="str">
        <f t="shared" si="111"/>
        <v/>
      </c>
    </row>
    <row r="1545" spans="23:26" x14ac:dyDescent="0.25">
      <c r="W1545" t="str">
        <f t="shared" si="108"/>
        <v/>
      </c>
      <c r="X1545" t="str">
        <f t="shared" si="109"/>
        <v/>
      </c>
      <c r="Y1545" s="42" t="str">
        <f t="shared" si="110"/>
        <v/>
      </c>
      <c r="Z1545" s="42" t="str">
        <f t="shared" si="111"/>
        <v/>
      </c>
    </row>
    <row r="1546" spans="23:26" x14ac:dyDescent="0.25">
      <c r="W1546" t="str">
        <f t="shared" si="108"/>
        <v/>
      </c>
      <c r="X1546" t="str">
        <f t="shared" si="109"/>
        <v/>
      </c>
      <c r="Y1546" s="42" t="str">
        <f t="shared" si="110"/>
        <v/>
      </c>
      <c r="Z1546" s="42" t="str">
        <f t="shared" si="111"/>
        <v/>
      </c>
    </row>
    <row r="1547" spans="23:26" x14ac:dyDescent="0.25">
      <c r="W1547" t="str">
        <f t="shared" si="108"/>
        <v/>
      </c>
      <c r="X1547" t="str">
        <f t="shared" si="109"/>
        <v/>
      </c>
      <c r="Y1547" s="42" t="str">
        <f t="shared" si="110"/>
        <v/>
      </c>
      <c r="Z1547" s="42" t="str">
        <f t="shared" si="111"/>
        <v/>
      </c>
    </row>
    <row r="1548" spans="23:26" x14ac:dyDescent="0.25">
      <c r="W1548" t="str">
        <f t="shared" si="108"/>
        <v/>
      </c>
      <c r="X1548" t="str">
        <f t="shared" si="109"/>
        <v/>
      </c>
      <c r="Y1548" s="42" t="str">
        <f t="shared" si="110"/>
        <v/>
      </c>
      <c r="Z1548" s="42" t="str">
        <f t="shared" si="111"/>
        <v/>
      </c>
    </row>
    <row r="1549" spans="23:26" x14ac:dyDescent="0.25">
      <c r="W1549" t="str">
        <f t="shared" si="108"/>
        <v/>
      </c>
      <c r="X1549" t="str">
        <f t="shared" si="109"/>
        <v/>
      </c>
      <c r="Y1549" s="42" t="str">
        <f t="shared" si="110"/>
        <v/>
      </c>
      <c r="Z1549" s="42" t="str">
        <f t="shared" si="111"/>
        <v/>
      </c>
    </row>
    <row r="1550" spans="23:26" x14ac:dyDescent="0.25">
      <c r="W1550" t="str">
        <f t="shared" si="108"/>
        <v/>
      </c>
      <c r="X1550" t="str">
        <f t="shared" si="109"/>
        <v/>
      </c>
      <c r="Y1550" s="42" t="str">
        <f t="shared" si="110"/>
        <v/>
      </c>
      <c r="Z1550" s="42" t="str">
        <f t="shared" si="111"/>
        <v/>
      </c>
    </row>
    <row r="1551" spans="23:26" x14ac:dyDescent="0.25">
      <c r="W1551" t="str">
        <f t="shared" si="108"/>
        <v/>
      </c>
      <c r="X1551" t="str">
        <f t="shared" si="109"/>
        <v/>
      </c>
      <c r="Y1551" s="42" t="str">
        <f t="shared" si="110"/>
        <v/>
      </c>
      <c r="Z1551" s="42" t="str">
        <f t="shared" si="111"/>
        <v/>
      </c>
    </row>
    <row r="1552" spans="23:26" x14ac:dyDescent="0.25">
      <c r="W1552" t="str">
        <f t="shared" si="108"/>
        <v/>
      </c>
      <c r="X1552" t="str">
        <f t="shared" si="109"/>
        <v/>
      </c>
      <c r="Y1552" s="42" t="str">
        <f t="shared" si="110"/>
        <v/>
      </c>
      <c r="Z1552" s="42" t="str">
        <f t="shared" si="111"/>
        <v/>
      </c>
    </row>
    <row r="1553" spans="23:26" x14ac:dyDescent="0.25">
      <c r="W1553" t="str">
        <f t="shared" si="108"/>
        <v/>
      </c>
      <c r="X1553" t="str">
        <f t="shared" si="109"/>
        <v/>
      </c>
      <c r="Y1553" s="42" t="str">
        <f t="shared" si="110"/>
        <v/>
      </c>
      <c r="Z1553" s="42" t="str">
        <f t="shared" si="111"/>
        <v/>
      </c>
    </row>
    <row r="1554" spans="23:26" x14ac:dyDescent="0.25">
      <c r="W1554" t="str">
        <f t="shared" si="108"/>
        <v/>
      </c>
      <c r="X1554" t="str">
        <f t="shared" si="109"/>
        <v/>
      </c>
      <c r="Y1554" s="42" t="str">
        <f t="shared" si="110"/>
        <v/>
      </c>
      <c r="Z1554" s="42" t="str">
        <f t="shared" si="111"/>
        <v/>
      </c>
    </row>
    <row r="1555" spans="23:26" x14ac:dyDescent="0.25">
      <c r="W1555" t="str">
        <f t="shared" si="108"/>
        <v/>
      </c>
      <c r="X1555" t="str">
        <f t="shared" si="109"/>
        <v/>
      </c>
      <c r="Y1555" s="42" t="str">
        <f t="shared" si="110"/>
        <v/>
      </c>
      <c r="Z1555" s="42" t="str">
        <f t="shared" si="111"/>
        <v/>
      </c>
    </row>
    <row r="1556" spans="23:26" x14ac:dyDescent="0.25">
      <c r="W1556" t="str">
        <f t="shared" si="108"/>
        <v/>
      </c>
      <c r="X1556" t="str">
        <f t="shared" si="109"/>
        <v/>
      </c>
      <c r="Y1556" s="42" t="str">
        <f t="shared" si="110"/>
        <v/>
      </c>
      <c r="Z1556" s="42" t="str">
        <f t="shared" si="111"/>
        <v/>
      </c>
    </row>
    <row r="1557" spans="23:26" x14ac:dyDescent="0.25">
      <c r="W1557" t="str">
        <f t="shared" si="108"/>
        <v/>
      </c>
      <c r="X1557" t="str">
        <f t="shared" si="109"/>
        <v/>
      </c>
      <c r="Y1557" s="42" t="str">
        <f t="shared" si="110"/>
        <v/>
      </c>
      <c r="Z1557" s="42" t="str">
        <f t="shared" si="111"/>
        <v/>
      </c>
    </row>
    <row r="1558" spans="23:26" x14ac:dyDescent="0.25">
      <c r="W1558" t="str">
        <f t="shared" si="108"/>
        <v/>
      </c>
      <c r="X1558" t="str">
        <f t="shared" si="109"/>
        <v/>
      </c>
      <c r="Y1558" s="42" t="str">
        <f t="shared" si="110"/>
        <v/>
      </c>
      <c r="Z1558" s="42" t="str">
        <f t="shared" si="111"/>
        <v/>
      </c>
    </row>
    <row r="1559" spans="23:26" x14ac:dyDescent="0.25">
      <c r="W1559" t="str">
        <f t="shared" si="108"/>
        <v/>
      </c>
      <c r="X1559" t="str">
        <f t="shared" si="109"/>
        <v/>
      </c>
      <c r="Y1559" s="42" t="str">
        <f t="shared" si="110"/>
        <v/>
      </c>
      <c r="Z1559" s="42" t="str">
        <f t="shared" si="111"/>
        <v/>
      </c>
    </row>
    <row r="1560" spans="23:26" x14ac:dyDescent="0.25">
      <c r="W1560" t="str">
        <f t="shared" si="108"/>
        <v/>
      </c>
      <c r="X1560" t="str">
        <f t="shared" si="109"/>
        <v/>
      </c>
      <c r="Y1560" s="42" t="str">
        <f t="shared" si="110"/>
        <v/>
      </c>
      <c r="Z1560" s="42" t="str">
        <f t="shared" si="111"/>
        <v/>
      </c>
    </row>
    <row r="1561" spans="23:26" x14ac:dyDescent="0.25">
      <c r="W1561" t="str">
        <f t="shared" si="108"/>
        <v/>
      </c>
      <c r="X1561" t="str">
        <f t="shared" si="109"/>
        <v/>
      </c>
      <c r="Y1561" s="42" t="str">
        <f t="shared" si="110"/>
        <v/>
      </c>
      <c r="Z1561" s="42" t="str">
        <f t="shared" si="111"/>
        <v/>
      </c>
    </row>
    <row r="1562" spans="23:26" x14ac:dyDescent="0.25">
      <c r="W1562" t="str">
        <f t="shared" si="108"/>
        <v/>
      </c>
      <c r="X1562" t="str">
        <f t="shared" si="109"/>
        <v/>
      </c>
      <c r="Y1562" s="42" t="str">
        <f t="shared" si="110"/>
        <v/>
      </c>
      <c r="Z1562" s="42" t="str">
        <f t="shared" si="111"/>
        <v/>
      </c>
    </row>
    <row r="1563" spans="23:26" x14ac:dyDescent="0.25">
      <c r="W1563" t="str">
        <f t="shared" si="108"/>
        <v/>
      </c>
      <c r="X1563" t="str">
        <f t="shared" si="109"/>
        <v/>
      </c>
      <c r="Y1563" s="42" t="str">
        <f t="shared" si="110"/>
        <v/>
      </c>
      <c r="Z1563" s="42" t="str">
        <f t="shared" si="111"/>
        <v/>
      </c>
    </row>
    <row r="1564" spans="23:26" x14ac:dyDescent="0.25">
      <c r="W1564" t="str">
        <f t="shared" si="108"/>
        <v/>
      </c>
      <c r="X1564" t="str">
        <f t="shared" si="109"/>
        <v/>
      </c>
      <c r="Y1564" s="42" t="str">
        <f t="shared" si="110"/>
        <v/>
      </c>
      <c r="Z1564" s="42" t="str">
        <f t="shared" si="111"/>
        <v/>
      </c>
    </row>
    <row r="1565" spans="23:26" x14ac:dyDescent="0.25">
      <c r="W1565" t="str">
        <f t="shared" si="108"/>
        <v/>
      </c>
      <c r="X1565" t="str">
        <f t="shared" si="109"/>
        <v/>
      </c>
      <c r="Y1565" s="42" t="str">
        <f t="shared" si="110"/>
        <v/>
      </c>
      <c r="Z1565" s="42" t="str">
        <f t="shared" si="111"/>
        <v/>
      </c>
    </row>
    <row r="1566" spans="23:26" x14ac:dyDescent="0.25">
      <c r="W1566" t="str">
        <f t="shared" si="108"/>
        <v/>
      </c>
      <c r="X1566" t="str">
        <f t="shared" si="109"/>
        <v/>
      </c>
      <c r="Y1566" s="42" t="str">
        <f t="shared" si="110"/>
        <v/>
      </c>
      <c r="Z1566" s="42" t="str">
        <f t="shared" si="111"/>
        <v/>
      </c>
    </row>
    <row r="1567" spans="23:26" x14ac:dyDescent="0.25">
      <c r="W1567" t="str">
        <f t="shared" si="108"/>
        <v/>
      </c>
      <c r="X1567" t="str">
        <f t="shared" si="109"/>
        <v/>
      </c>
      <c r="Y1567" s="42" t="str">
        <f t="shared" si="110"/>
        <v/>
      </c>
      <c r="Z1567" s="42" t="str">
        <f t="shared" si="111"/>
        <v/>
      </c>
    </row>
    <row r="1568" spans="23:26" x14ac:dyDescent="0.25">
      <c r="W1568" t="str">
        <f t="shared" si="108"/>
        <v/>
      </c>
      <c r="X1568" t="str">
        <f t="shared" si="109"/>
        <v/>
      </c>
      <c r="Y1568" s="42" t="str">
        <f t="shared" si="110"/>
        <v/>
      </c>
      <c r="Z1568" s="42" t="str">
        <f t="shared" si="111"/>
        <v/>
      </c>
    </row>
    <row r="1569" spans="23:26" x14ac:dyDescent="0.25">
      <c r="W1569" t="str">
        <f t="shared" si="108"/>
        <v/>
      </c>
      <c r="X1569" t="str">
        <f t="shared" si="109"/>
        <v/>
      </c>
      <c r="Y1569" s="42" t="str">
        <f t="shared" si="110"/>
        <v/>
      </c>
      <c r="Z1569" s="42" t="str">
        <f t="shared" si="111"/>
        <v/>
      </c>
    </row>
    <row r="1570" spans="23:26" x14ac:dyDescent="0.25">
      <c r="W1570" t="str">
        <f t="shared" si="108"/>
        <v/>
      </c>
      <c r="X1570" t="str">
        <f t="shared" si="109"/>
        <v/>
      </c>
      <c r="Y1570" s="42" t="str">
        <f t="shared" si="110"/>
        <v/>
      </c>
      <c r="Z1570" s="42" t="str">
        <f t="shared" si="111"/>
        <v/>
      </c>
    </row>
    <row r="1571" spans="23:26" x14ac:dyDescent="0.25">
      <c r="W1571" t="str">
        <f t="shared" si="108"/>
        <v/>
      </c>
      <c r="X1571" t="str">
        <f t="shared" si="109"/>
        <v/>
      </c>
      <c r="Y1571" s="42" t="str">
        <f t="shared" si="110"/>
        <v/>
      </c>
      <c r="Z1571" s="42" t="str">
        <f t="shared" si="111"/>
        <v/>
      </c>
    </row>
    <row r="1572" spans="23:26" x14ac:dyDescent="0.25">
      <c r="W1572" t="str">
        <f t="shared" si="108"/>
        <v/>
      </c>
      <c r="X1572" t="str">
        <f t="shared" si="109"/>
        <v/>
      </c>
      <c r="Y1572" s="42" t="str">
        <f t="shared" si="110"/>
        <v/>
      </c>
      <c r="Z1572" s="42" t="str">
        <f t="shared" si="111"/>
        <v/>
      </c>
    </row>
    <row r="1573" spans="23:26" x14ac:dyDescent="0.25">
      <c r="W1573" t="str">
        <f t="shared" si="108"/>
        <v/>
      </c>
      <c r="X1573" t="str">
        <f t="shared" si="109"/>
        <v/>
      </c>
      <c r="Y1573" s="42" t="str">
        <f t="shared" si="110"/>
        <v/>
      </c>
      <c r="Z1573" s="42" t="str">
        <f t="shared" si="111"/>
        <v/>
      </c>
    </row>
    <row r="1574" spans="23:26" x14ac:dyDescent="0.25">
      <c r="W1574" t="str">
        <f t="shared" si="108"/>
        <v/>
      </c>
      <c r="X1574" t="str">
        <f t="shared" si="109"/>
        <v/>
      </c>
      <c r="Y1574" s="42" t="str">
        <f t="shared" si="110"/>
        <v/>
      </c>
      <c r="Z1574" s="42" t="str">
        <f t="shared" si="111"/>
        <v/>
      </c>
    </row>
    <row r="1575" spans="23:26" x14ac:dyDescent="0.25">
      <c r="W1575" t="str">
        <f t="shared" si="108"/>
        <v/>
      </c>
      <c r="X1575" t="str">
        <f t="shared" si="109"/>
        <v/>
      </c>
      <c r="Y1575" s="42" t="str">
        <f t="shared" si="110"/>
        <v/>
      </c>
      <c r="Z1575" s="42" t="str">
        <f t="shared" si="111"/>
        <v/>
      </c>
    </row>
    <row r="1576" spans="23:26" x14ac:dyDescent="0.25">
      <c r="W1576" t="str">
        <f t="shared" si="108"/>
        <v/>
      </c>
      <c r="X1576" t="str">
        <f t="shared" si="109"/>
        <v/>
      </c>
      <c r="Y1576" s="42" t="str">
        <f t="shared" si="110"/>
        <v/>
      </c>
      <c r="Z1576" s="42" t="str">
        <f t="shared" si="111"/>
        <v/>
      </c>
    </row>
    <row r="1577" spans="23:26" x14ac:dyDescent="0.25">
      <c r="W1577" t="str">
        <f t="shared" si="108"/>
        <v/>
      </c>
      <c r="X1577" t="str">
        <f t="shared" si="109"/>
        <v/>
      </c>
      <c r="Y1577" s="42" t="str">
        <f t="shared" si="110"/>
        <v/>
      </c>
      <c r="Z1577" s="42" t="str">
        <f t="shared" si="111"/>
        <v/>
      </c>
    </row>
    <row r="1578" spans="23:26" x14ac:dyDescent="0.25">
      <c r="W1578" t="str">
        <f t="shared" si="108"/>
        <v/>
      </c>
      <c r="X1578" t="str">
        <f t="shared" si="109"/>
        <v/>
      </c>
      <c r="Y1578" s="42" t="str">
        <f t="shared" si="110"/>
        <v/>
      </c>
      <c r="Z1578" s="42" t="str">
        <f t="shared" si="111"/>
        <v/>
      </c>
    </row>
    <row r="1579" spans="23:26" x14ac:dyDescent="0.25">
      <c r="W1579" t="str">
        <f t="shared" si="108"/>
        <v/>
      </c>
      <c r="X1579" t="str">
        <f t="shared" si="109"/>
        <v/>
      </c>
      <c r="Y1579" s="42" t="str">
        <f t="shared" si="110"/>
        <v/>
      </c>
      <c r="Z1579" s="42" t="str">
        <f t="shared" si="111"/>
        <v/>
      </c>
    </row>
    <row r="1580" spans="23:26" x14ac:dyDescent="0.25">
      <c r="W1580" t="str">
        <f t="shared" si="108"/>
        <v/>
      </c>
      <c r="X1580" t="str">
        <f t="shared" si="109"/>
        <v/>
      </c>
      <c r="Y1580" s="42" t="str">
        <f t="shared" si="110"/>
        <v/>
      </c>
      <c r="Z1580" s="42" t="str">
        <f t="shared" si="111"/>
        <v/>
      </c>
    </row>
    <row r="1581" spans="23:26" x14ac:dyDescent="0.25">
      <c r="W1581" t="str">
        <f t="shared" si="108"/>
        <v/>
      </c>
      <c r="X1581" t="str">
        <f t="shared" si="109"/>
        <v/>
      </c>
      <c r="Y1581" s="42" t="str">
        <f t="shared" si="110"/>
        <v/>
      </c>
      <c r="Z1581" s="42" t="str">
        <f t="shared" si="111"/>
        <v/>
      </c>
    </row>
    <row r="1582" spans="23:26" x14ac:dyDescent="0.25">
      <c r="W1582" t="str">
        <f t="shared" si="108"/>
        <v/>
      </c>
      <c r="X1582" t="str">
        <f t="shared" si="109"/>
        <v/>
      </c>
      <c r="Y1582" s="42" t="str">
        <f t="shared" si="110"/>
        <v/>
      </c>
      <c r="Z1582" s="42" t="str">
        <f t="shared" si="111"/>
        <v/>
      </c>
    </row>
    <row r="1583" spans="23:26" x14ac:dyDescent="0.25">
      <c r="W1583" t="str">
        <f t="shared" si="108"/>
        <v/>
      </c>
      <c r="X1583" t="str">
        <f t="shared" si="109"/>
        <v/>
      </c>
      <c r="Y1583" s="42" t="str">
        <f t="shared" si="110"/>
        <v/>
      </c>
      <c r="Z1583" s="42" t="str">
        <f t="shared" si="111"/>
        <v/>
      </c>
    </row>
    <row r="1584" spans="23:26" x14ac:dyDescent="0.25">
      <c r="W1584" t="str">
        <f t="shared" si="108"/>
        <v/>
      </c>
      <c r="X1584" t="str">
        <f t="shared" si="109"/>
        <v/>
      </c>
      <c r="Y1584" s="42" t="str">
        <f t="shared" si="110"/>
        <v/>
      </c>
      <c r="Z1584" s="42" t="str">
        <f t="shared" si="111"/>
        <v/>
      </c>
    </row>
  </sheetData>
  <mergeCells count="2">
    <mergeCell ref="A1:E1"/>
    <mergeCell ref="N1:T1"/>
  </mergeCells>
  <conditionalFormatting sqref="G3:H667">
    <cfRule type="expression" dxfId="52" priority="13">
      <formula>#REF!=#REF!</formula>
    </cfRule>
  </conditionalFormatting>
  <pageMargins left="0.7" right="0.7" top="0.75" bottom="0.75" header="0.3" footer="0.3"/>
  <pageSetup orientation="portrait" r:id="rId2"/>
  <ignoredErrors>
    <ignoredError sqref="Q4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91008-6ACC-41CE-9B2D-E201AE790AB1}">
  <sheetPr codeName="Sheet13"/>
  <dimension ref="A1:X62"/>
  <sheetViews>
    <sheetView topLeftCell="A3" zoomScale="80" zoomScaleNormal="80" workbookViewId="0">
      <selection activeCell="J34" sqref="J34"/>
    </sheetView>
  </sheetViews>
  <sheetFormatPr defaultRowHeight="15" x14ac:dyDescent="0.25"/>
  <cols>
    <col min="1" max="1" width="39" style="103" customWidth="1" collapsed="1"/>
    <col min="2" max="2" width="19.28515625" style="103" customWidth="1"/>
    <col min="3" max="3" width="20.5703125" style="103" customWidth="1"/>
    <col min="4" max="4" width="23.28515625" style="103" customWidth="1"/>
    <col min="5" max="5" width="39" style="103" customWidth="1" collapsed="1"/>
    <col min="23" max="24" width="25.5703125" bestFit="1" customWidth="1"/>
  </cols>
  <sheetData>
    <row r="1" spans="1:24" x14ac:dyDescent="0.25">
      <c r="A1" s="181" t="s">
        <v>817</v>
      </c>
      <c r="B1" s="182"/>
      <c r="C1" s="182"/>
      <c r="D1" s="182"/>
      <c r="E1" s="182"/>
      <c r="F1" s="103"/>
    </row>
    <row r="2" spans="1:24" x14ac:dyDescent="0.25">
      <c r="F2" s="103"/>
    </row>
    <row r="3" spans="1:24" ht="21" x14ac:dyDescent="0.25">
      <c r="A3" s="183" t="s">
        <v>818</v>
      </c>
      <c r="B3" s="182"/>
      <c r="C3" s="182"/>
      <c r="D3" s="182"/>
      <c r="E3" s="182"/>
      <c r="F3" s="182"/>
    </row>
    <row r="4" spans="1:24" ht="18.75" x14ac:dyDescent="0.3">
      <c r="A4" s="184" t="s">
        <v>819</v>
      </c>
      <c r="B4" s="185"/>
      <c r="C4" s="185"/>
      <c r="D4" s="185"/>
      <c r="E4" s="185"/>
      <c r="F4" s="185"/>
    </row>
    <row r="5" spans="1:24" ht="17.25" x14ac:dyDescent="0.3">
      <c r="A5" s="104" t="s">
        <v>820</v>
      </c>
      <c r="B5" s="105"/>
      <c r="C5" s="105"/>
      <c r="D5" s="105"/>
      <c r="E5" s="105"/>
      <c r="F5" s="137"/>
    </row>
    <row r="6" spans="1:24" ht="17.25" x14ac:dyDescent="0.3">
      <c r="A6" s="106"/>
      <c r="B6" s="105"/>
      <c r="C6" s="105"/>
      <c r="D6" s="105"/>
      <c r="E6" s="105"/>
      <c r="F6" s="137"/>
      <c r="W6" s="177" t="s">
        <v>825</v>
      </c>
      <c r="X6" s="177"/>
    </row>
    <row r="7" spans="1:24" x14ac:dyDescent="0.25">
      <c r="A7" s="107"/>
      <c r="B7" s="107"/>
      <c r="C7" s="107"/>
      <c r="D7" s="107"/>
      <c r="E7" s="107"/>
      <c r="F7" s="138"/>
      <c r="W7" s="21" t="s">
        <v>233</v>
      </c>
      <c r="X7" s="21" t="s">
        <v>11</v>
      </c>
    </row>
    <row r="8" spans="1:24" x14ac:dyDescent="0.25">
      <c r="F8" s="103"/>
      <c r="W8" s="21" t="s">
        <v>242</v>
      </c>
      <c r="X8" s="21" t="s">
        <v>217</v>
      </c>
    </row>
    <row r="9" spans="1:24" x14ac:dyDescent="0.25">
      <c r="F9" s="103"/>
      <c r="W9" s="21" t="s">
        <v>239</v>
      </c>
      <c r="X9" s="21" t="s">
        <v>97</v>
      </c>
    </row>
    <row r="10" spans="1:24" ht="15" customHeight="1" x14ac:dyDescent="0.25">
      <c r="A10" s="108" t="s">
        <v>228</v>
      </c>
      <c r="B10" s="109" t="s">
        <v>806</v>
      </c>
      <c r="C10" s="109" t="s">
        <v>421</v>
      </c>
      <c r="D10" s="109" t="s">
        <v>807</v>
      </c>
      <c r="E10" s="139" t="s">
        <v>821</v>
      </c>
      <c r="F10" s="140" t="s">
        <v>822</v>
      </c>
      <c r="W10" s="21" t="s">
        <v>244</v>
      </c>
      <c r="X10" s="21" t="s">
        <v>101</v>
      </c>
    </row>
    <row r="11" spans="1:24" x14ac:dyDescent="0.25">
      <c r="A11" s="110" t="s">
        <v>229</v>
      </c>
      <c r="B11" s="111">
        <f>IF(VLOOKUP($A11,NAVReportLabelMap,2,FALSE)="",0,VLOOKUP(VLOOKUP($A11,NAVReportLabelMap,2,FALSE),'Exchange-Positions'!$A:$L,MATCH("COLLATERAL",'Exchange-Positions'!$8:$8,0),FALSE)+VLOOKUP(VLOOKUP($A11,NAVReportLabelMap,2,FALSE),'Exchange-Positions'!$A:$L,MATCH("ASSET",'Exchange-Positions'!$8:$8,0),FALSE)+VLOOKUP(VLOOKUP($A11,NAVReportLabelMap,2,FALSE),'Exchange-Positions'!$A:$L,MATCH("UNREALIZED",'Exchange-Positions'!$8:$8,0),FALSE))</f>
        <v>13662799.549138399</v>
      </c>
      <c r="C11" s="111">
        <f>IF(VLOOKUP($A11,NAVReportLabelMap,2,FALSE)="",0,VLOOKUP(VLOOKUP($A11,NAVReportLabelMap,2,FALSE),'Exchange-Positions'!$A:$L,MATCH("EXCHLOAN",'Exchange-Positions'!$8:$8,0),FALSE)+VLOOKUP(VLOOKUP($A11,NAVReportLabelMap,2,FALSE),'Exchange-Positions'!$A:$L,MATCH("MARGINLOAN",'Exchange-Positions'!$8:$8,0),FALSE))</f>
        <v>-10870665.882277451</v>
      </c>
      <c r="D11" s="34">
        <f>B11+C11</f>
        <v>2792133.6668609474</v>
      </c>
      <c r="E11" s="141">
        <f t="shared" ref="E11" si="0">IFERROR(-C11/D11,0)</f>
        <v>3.8933185797293093</v>
      </c>
      <c r="F11" s="141">
        <f t="shared" ref="F11" si="1">D11/D$34</f>
        <v>1.1311902293409172E-2</v>
      </c>
      <c r="W11" s="21" t="s">
        <v>246</v>
      </c>
      <c r="X11" s="21" t="s">
        <v>259</v>
      </c>
    </row>
    <row r="12" spans="1:24" x14ac:dyDescent="0.25">
      <c r="A12" s="110" t="s">
        <v>230</v>
      </c>
      <c r="B12" s="111">
        <f>IF(VLOOKUP($A12,NAVReportLabelMap,2,FALSE)="",0,VLOOKUP(VLOOKUP($A12,NAVReportLabelMap,2,FALSE),'Exchange-Positions'!$A:$L,MATCH("COLLATERAL",'Exchange-Positions'!$8:$8,0),FALSE)+VLOOKUP(VLOOKUP($A12,NAVReportLabelMap,2,FALSE),'Exchange-Positions'!$A:$L,MATCH("ASSET",'Exchange-Positions'!$8:$8,0),FALSE)+VLOOKUP(VLOOKUP($A12,NAVReportLabelMap,2,FALSE),'Exchange-Positions'!$A:$L,MATCH("UNREALIZED",'Exchange-Positions'!$8:$8,0),FALSE))</f>
        <v>0</v>
      </c>
      <c r="C12" s="111">
        <f>IF(VLOOKUP($A12,NAVReportLabelMap,2,FALSE)="",0,VLOOKUP(VLOOKUP($A12,NAVReportLabelMap,2,FALSE),'Exchange-Positions'!$A:$L,MATCH("EXCHLOAN",'Exchange-Positions'!$8:$8,0),FALSE)+VLOOKUP(VLOOKUP($A12,NAVReportLabelMap,2,FALSE),'Exchange-Positions'!$A:$L,MATCH("MARGINLOAN",'Exchange-Positions'!$8:$8,0),FALSE))</f>
        <v>0</v>
      </c>
      <c r="D12" s="34">
        <f t="shared" ref="D12:D33" si="2">B12+C12</f>
        <v>0</v>
      </c>
      <c r="E12" s="141">
        <f t="shared" ref="E12:E33" si="3">IFERROR(-C12/D12,0)</f>
        <v>0</v>
      </c>
      <c r="F12" s="141">
        <f t="shared" ref="F12:F33" si="4">D12/D$34</f>
        <v>0</v>
      </c>
      <c r="W12" s="21" t="s">
        <v>809</v>
      </c>
      <c r="X12" s="21" t="s">
        <v>294</v>
      </c>
    </row>
    <row r="13" spans="1:24" x14ac:dyDescent="0.25">
      <c r="A13" s="110" t="s">
        <v>231</v>
      </c>
      <c r="B13" s="111">
        <f>IF(VLOOKUP($A13,NAVReportLabelMap,2,FALSE)="",0,VLOOKUP(VLOOKUP($A13,NAVReportLabelMap,2,FALSE),'Exchange-Positions'!$A:$L,MATCH("COLLATERAL",'Exchange-Positions'!$8:$8,0),FALSE)+VLOOKUP(VLOOKUP($A13,NAVReportLabelMap,2,FALSE),'Exchange-Positions'!$A:$L,MATCH("ASSET",'Exchange-Positions'!$8:$8,0),FALSE)+VLOOKUP(VLOOKUP($A13,NAVReportLabelMap,2,FALSE),'Exchange-Positions'!$A:$L,MATCH("UNREALIZED",'Exchange-Positions'!$8:$8,0),FALSE))</f>
        <v>29803810.528839007</v>
      </c>
      <c r="C13" s="111">
        <f>IF(VLOOKUP($A13,NAVReportLabelMap,2,FALSE)="",0,VLOOKUP(VLOOKUP($A13,NAVReportLabelMap,2,FALSE),'Exchange-Positions'!$A:$L,MATCH("EXCHLOAN",'Exchange-Positions'!$8:$8,0),FALSE)+VLOOKUP(VLOOKUP($A13,NAVReportLabelMap,2,FALSE),'Exchange-Positions'!$A:$L,MATCH("MARGINLOAN",'Exchange-Positions'!$8:$8,0),FALSE))</f>
        <v>-50149.778816708531</v>
      </c>
      <c r="D13" s="34">
        <f t="shared" si="2"/>
        <v>29753660.7500223</v>
      </c>
      <c r="E13" s="141">
        <f t="shared" si="3"/>
        <v>1.685499449565074E-3</v>
      </c>
      <c r="F13" s="141">
        <f t="shared" si="4"/>
        <v>0.12054240356404021</v>
      </c>
      <c r="W13" s="21" t="s">
        <v>32</v>
      </c>
      <c r="X13" s="21" t="s">
        <v>32</v>
      </c>
    </row>
    <row r="14" spans="1:24" x14ac:dyDescent="0.25">
      <c r="A14" s="110" t="s">
        <v>232</v>
      </c>
      <c r="B14" s="111">
        <f>IF(VLOOKUP($A14,NAVReportLabelMap,2,FALSE)="",0,VLOOKUP(VLOOKUP($A14,NAVReportLabelMap,2,FALSE),'Exchange-Positions'!$A:$L,MATCH("COLLATERAL",'Exchange-Positions'!$8:$8,0),FALSE)+VLOOKUP(VLOOKUP($A14,NAVReportLabelMap,2,FALSE),'Exchange-Positions'!$A:$L,MATCH("ASSET",'Exchange-Positions'!$8:$8,0),FALSE)+VLOOKUP(VLOOKUP($A14,NAVReportLabelMap,2,FALSE),'Exchange-Positions'!$A:$L,MATCH("UNREALIZED",'Exchange-Positions'!$8:$8,0),FALSE))</f>
        <v>1.0427770482510064</v>
      </c>
      <c r="C14" s="111">
        <f>IF(VLOOKUP($A14,NAVReportLabelMap,2,FALSE)="",0,VLOOKUP(VLOOKUP($A14,NAVReportLabelMap,2,FALSE),'Exchange-Positions'!$A:$L,MATCH("EXCHLOAN",'Exchange-Positions'!$8:$8,0),FALSE)+VLOOKUP(VLOOKUP($A14,NAVReportLabelMap,2,FALSE),'Exchange-Positions'!$A:$L,MATCH("MARGINLOAN",'Exchange-Positions'!$8:$8,0),FALSE))</f>
        <v>0</v>
      </c>
      <c r="D14" s="34">
        <f t="shared" si="2"/>
        <v>1.0427770482510064</v>
      </c>
      <c r="E14" s="141">
        <f t="shared" si="3"/>
        <v>0</v>
      </c>
      <c r="F14" s="141">
        <f t="shared" si="4"/>
        <v>4.2246516431594798E-9</v>
      </c>
      <c r="W14" s="21" t="s">
        <v>237</v>
      </c>
      <c r="X14" s="21" t="s">
        <v>265</v>
      </c>
    </row>
    <row r="15" spans="1:24" x14ac:dyDescent="0.25">
      <c r="A15" s="110" t="s">
        <v>233</v>
      </c>
      <c r="B15" s="111">
        <f>IF(VLOOKUP($A15,NAVReportLabelMap,2,FALSE)="",0,VLOOKUP(VLOOKUP($A15,NAVReportLabelMap,2,FALSE),'Exchange-Positions'!$A:$L,MATCH("COLLATERAL",'Exchange-Positions'!$8:$8,0),FALSE)+VLOOKUP(VLOOKUP($A15,NAVReportLabelMap,2,FALSE),'Exchange-Positions'!$A:$L,MATCH("ASSET",'Exchange-Positions'!$8:$8,0),FALSE)+VLOOKUP(VLOOKUP($A15,NAVReportLabelMap,2,FALSE),'Exchange-Positions'!$A:$L,MATCH("UNREALIZED",'Exchange-Positions'!$8:$8,0),FALSE))</f>
        <v>92375008.568721429</v>
      </c>
      <c r="C15" s="111">
        <f>IF(VLOOKUP($A15,NAVReportLabelMap,2,FALSE)="",0,VLOOKUP(VLOOKUP($A15,NAVReportLabelMap,2,FALSE),'Exchange-Positions'!$A:$L,MATCH("EXCHLOAN",'Exchange-Positions'!$8:$8,0),FALSE)+VLOOKUP(VLOOKUP($A15,NAVReportLabelMap,2,FALSE),'Exchange-Positions'!$A:$L,MATCH("MARGINLOAN",'Exchange-Positions'!$8:$8,0),FALSE))</f>
        <v>-1910695.032732401</v>
      </c>
      <c r="D15" s="34">
        <f t="shared" si="2"/>
        <v>90464313.535989031</v>
      </c>
      <c r="E15" s="141">
        <f t="shared" si="3"/>
        <v>2.1120980838176342E-2</v>
      </c>
      <c r="F15" s="141">
        <f t="shared" si="4"/>
        <v>0.36650232326087412</v>
      </c>
      <c r="W15" s="21" t="s">
        <v>240</v>
      </c>
      <c r="X15" s="21" t="s">
        <v>186</v>
      </c>
    </row>
    <row r="16" spans="1:24" x14ac:dyDescent="0.25">
      <c r="A16" s="110" t="s">
        <v>234</v>
      </c>
      <c r="B16" s="111">
        <f>IF(VLOOKUP($A16,NAVReportLabelMap,2,FALSE)="",0,VLOOKUP(VLOOKUP($A16,NAVReportLabelMap,2,FALSE),'Exchange-Positions'!$A:$L,MATCH("COLLATERAL",'Exchange-Positions'!$8:$8,0),FALSE)+VLOOKUP(VLOOKUP($A16,NAVReportLabelMap,2,FALSE),'Exchange-Positions'!$A:$L,MATCH("ASSET",'Exchange-Positions'!$8:$8,0),FALSE)+VLOOKUP(VLOOKUP($A16,NAVReportLabelMap,2,FALSE),'Exchange-Positions'!$A:$L,MATCH("UNREALIZED",'Exchange-Positions'!$8:$8,0),FALSE))</f>
        <v>0</v>
      </c>
      <c r="C16" s="111">
        <f>IF(VLOOKUP($A16,NAVReportLabelMap,2,FALSE)="",0,VLOOKUP(VLOOKUP($A16,NAVReportLabelMap,2,FALSE),'Exchange-Positions'!$A:$L,MATCH("EXCHLOAN",'Exchange-Positions'!$8:$8,0),FALSE)+VLOOKUP(VLOOKUP($A16,NAVReportLabelMap,2,FALSE),'Exchange-Positions'!$A:$L,MATCH("MARGINLOAN",'Exchange-Positions'!$8:$8,0),FALSE))</f>
        <v>0</v>
      </c>
      <c r="D16" s="34">
        <f t="shared" si="2"/>
        <v>0</v>
      </c>
      <c r="E16" s="141">
        <f t="shared" si="3"/>
        <v>0</v>
      </c>
      <c r="F16" s="141">
        <f t="shared" si="4"/>
        <v>0</v>
      </c>
      <c r="W16" s="21" t="s">
        <v>247</v>
      </c>
      <c r="X16" s="21" t="s">
        <v>170</v>
      </c>
    </row>
    <row r="17" spans="1:24" x14ac:dyDescent="0.25">
      <c r="A17" s="110" t="s">
        <v>32</v>
      </c>
      <c r="B17" s="111">
        <f>IF(VLOOKUP($A17,NAVReportLabelMap,2,FALSE)="",0,VLOOKUP(VLOOKUP($A17,NAVReportLabelMap,2,FALSE),'Exchange-Positions'!$A:$L,MATCH("COLLATERAL",'Exchange-Positions'!$8:$8,0),FALSE)+VLOOKUP(VLOOKUP($A17,NAVReportLabelMap,2,FALSE),'Exchange-Positions'!$A:$L,MATCH("ASSET",'Exchange-Positions'!$8:$8,0),FALSE)+VLOOKUP(VLOOKUP($A17,NAVReportLabelMap,2,FALSE),'Exchange-Positions'!$A:$L,MATCH("UNREALIZED",'Exchange-Positions'!$8:$8,0),FALSE))</f>
        <v>15673.2151290496</v>
      </c>
      <c r="C17" s="111">
        <f>IF(VLOOKUP($A17,NAVReportLabelMap,2,FALSE)="",0,VLOOKUP(VLOOKUP($A17,NAVReportLabelMap,2,FALSE),'Exchange-Positions'!$A:$L,MATCH("EXCHLOAN",'Exchange-Positions'!$8:$8,0),FALSE)+VLOOKUP(VLOOKUP($A17,NAVReportLabelMap,2,FALSE),'Exchange-Positions'!$A:$L,MATCH("MARGINLOAN",'Exchange-Positions'!$8:$8,0),FALSE))</f>
        <v>0</v>
      </c>
      <c r="D17" s="34">
        <f t="shared" si="2"/>
        <v>15673.2151290496</v>
      </c>
      <c r="E17" s="141">
        <f t="shared" si="3"/>
        <v>0</v>
      </c>
      <c r="F17" s="141">
        <f t="shared" si="4"/>
        <v>6.3497632748619063E-5</v>
      </c>
      <c r="W17" s="21" t="s">
        <v>295</v>
      </c>
      <c r="X17" s="21" t="s">
        <v>295</v>
      </c>
    </row>
    <row r="18" spans="1:24" x14ac:dyDescent="0.25">
      <c r="A18" s="110" t="s">
        <v>235</v>
      </c>
      <c r="B18" s="111">
        <f>IF(VLOOKUP($A18,NAVReportLabelMap,2,FALSE)="",0,VLOOKUP(VLOOKUP($A18,NAVReportLabelMap,2,FALSE),'Exchange-Positions'!$A:$L,MATCH("COLLATERAL",'Exchange-Positions'!$8:$8,0),FALSE)+VLOOKUP(VLOOKUP($A18,NAVReportLabelMap,2,FALSE),'Exchange-Positions'!$A:$L,MATCH("ASSET",'Exchange-Positions'!$8:$8,0),FALSE)+VLOOKUP(VLOOKUP($A18,NAVReportLabelMap,2,FALSE),'Exchange-Positions'!$A:$L,MATCH("UNREALIZED",'Exchange-Positions'!$8:$8,0),FALSE))</f>
        <v>5821114.775656092</v>
      </c>
      <c r="C18" s="111">
        <f>IF(VLOOKUP($A18,NAVReportLabelMap,2,FALSE)="",0,VLOOKUP(VLOOKUP($A18,NAVReportLabelMap,2,FALSE),'Exchange-Positions'!$A:$L,MATCH("EXCHLOAN",'Exchange-Positions'!$8:$8,0),FALSE)+VLOOKUP(VLOOKUP($A18,NAVReportLabelMap,2,FALSE),'Exchange-Positions'!$A:$L,MATCH("MARGINLOAN",'Exchange-Positions'!$8:$8,0),FALSE))</f>
        <v>-2376846.6380742299</v>
      </c>
      <c r="D18" s="34">
        <f t="shared" si="2"/>
        <v>3444268.137581862</v>
      </c>
      <c r="E18" s="141">
        <f t="shared" si="3"/>
        <v>0.69008757249165764</v>
      </c>
      <c r="F18" s="141">
        <f t="shared" si="4"/>
        <v>1.3953925310613983E-2</v>
      </c>
      <c r="W18" s="21" t="s">
        <v>229</v>
      </c>
      <c r="X18" s="21" t="s">
        <v>39</v>
      </c>
    </row>
    <row r="19" spans="1:24" x14ac:dyDescent="0.25">
      <c r="A19" s="110" t="s">
        <v>236</v>
      </c>
      <c r="B19" s="111">
        <f>IF(VLOOKUP($A19,NAVReportLabelMap,2,FALSE)="",0,VLOOKUP(VLOOKUP($A19,NAVReportLabelMap,2,FALSE),'Exchange-Positions'!$A:$L,MATCH("COLLATERAL",'Exchange-Positions'!$8:$8,0),FALSE)+VLOOKUP(VLOOKUP($A19,NAVReportLabelMap,2,FALSE),'Exchange-Positions'!$A:$L,MATCH("ASSET",'Exchange-Positions'!$8:$8,0),FALSE)+VLOOKUP(VLOOKUP($A19,NAVReportLabelMap,2,FALSE),'Exchange-Positions'!$A:$L,MATCH("UNREALIZED",'Exchange-Positions'!$8:$8,0),FALSE))</f>
        <v>0</v>
      </c>
      <c r="C19" s="111">
        <f>IF(VLOOKUP($A19,NAVReportLabelMap,2,FALSE)="",0,VLOOKUP(VLOOKUP($A19,NAVReportLabelMap,2,FALSE),'Exchange-Positions'!$A:$L,MATCH("EXCHLOAN",'Exchange-Positions'!$8:$8,0),FALSE)+VLOOKUP(VLOOKUP($A19,NAVReportLabelMap,2,FALSE),'Exchange-Positions'!$A:$L,MATCH("MARGINLOAN",'Exchange-Positions'!$8:$8,0),FALSE))</f>
        <v>0</v>
      </c>
      <c r="D19" s="34">
        <f t="shared" si="2"/>
        <v>0</v>
      </c>
      <c r="E19" s="141">
        <f t="shared" si="3"/>
        <v>0</v>
      </c>
      <c r="F19" s="141">
        <f t="shared" si="4"/>
        <v>0</v>
      </c>
      <c r="W19" s="21" t="s">
        <v>241</v>
      </c>
      <c r="X19" s="21" t="s">
        <v>167</v>
      </c>
    </row>
    <row r="20" spans="1:24" x14ac:dyDescent="0.25">
      <c r="A20" s="110" t="s">
        <v>237</v>
      </c>
      <c r="B20" s="111">
        <f>IF(VLOOKUP($A20,NAVReportLabelMap,2,FALSE)="",0,VLOOKUP(VLOOKUP($A20,NAVReportLabelMap,2,FALSE),'Exchange-Positions'!$A:$L,MATCH("COLLATERAL",'Exchange-Positions'!$8:$8,0),FALSE)+VLOOKUP(VLOOKUP($A20,NAVReportLabelMap,2,FALSE),'Exchange-Positions'!$A:$L,MATCH("ASSET",'Exchange-Positions'!$8:$8,0),FALSE)+VLOOKUP(VLOOKUP($A20,NAVReportLabelMap,2,FALSE),'Exchange-Positions'!$A:$L,MATCH("UNREALIZED",'Exchange-Positions'!$8:$8,0),FALSE))</f>
        <v>27324183.52</v>
      </c>
      <c r="C20" s="111">
        <f>IF(VLOOKUP($A20,NAVReportLabelMap,2,FALSE)="",0,VLOOKUP(VLOOKUP($A20,NAVReportLabelMap,2,FALSE),'Exchange-Positions'!$A:$L,MATCH("EXCHLOAN",'Exchange-Positions'!$8:$8,0),FALSE)+VLOOKUP(VLOOKUP($A20,NAVReportLabelMap,2,FALSE),'Exchange-Positions'!$A:$L,MATCH("MARGINLOAN",'Exchange-Positions'!$8:$8,0),FALSE))</f>
        <v>0</v>
      </c>
      <c r="D20" s="34">
        <f t="shared" si="2"/>
        <v>27324183.52</v>
      </c>
      <c r="E20" s="141">
        <f t="shared" si="3"/>
        <v>0</v>
      </c>
      <c r="F20" s="141">
        <f t="shared" si="4"/>
        <v>0.11069974833006954</v>
      </c>
      <c r="W20" s="21" t="s">
        <v>238</v>
      </c>
      <c r="X20" s="21" t="s">
        <v>172</v>
      </c>
    </row>
    <row r="21" spans="1:24" x14ac:dyDescent="0.25">
      <c r="A21" s="110" t="s">
        <v>808</v>
      </c>
      <c r="B21" s="111">
        <f>IF(VLOOKUP($A21,NAVReportLabelMap,2,FALSE)="",0,VLOOKUP(VLOOKUP($A21,NAVReportLabelMap,2,FALSE),'Exchange-Positions'!$A:$L,MATCH("COLLATERAL",'Exchange-Positions'!$8:$8,0),FALSE)+VLOOKUP(VLOOKUP($A21,NAVReportLabelMap,2,FALSE),'Exchange-Positions'!$A:$L,MATCH("ASSET",'Exchange-Positions'!$8:$8,0),FALSE)+VLOOKUP(VLOOKUP($A21,NAVReportLabelMap,2,FALSE),'Exchange-Positions'!$A:$L,MATCH("UNREALIZED",'Exchange-Positions'!$8:$8,0),FALSE))</f>
        <v>79941.919999999998</v>
      </c>
      <c r="C21" s="111">
        <f>IF(VLOOKUP($A21,NAVReportLabelMap,2,FALSE)="",0,VLOOKUP(VLOOKUP($A21,NAVReportLabelMap,2,FALSE),'Exchange-Positions'!$A:$L,MATCH("EXCHLOAN",'Exchange-Positions'!$8:$8,0),FALSE)+VLOOKUP(VLOOKUP($A21,NAVReportLabelMap,2,FALSE),'Exchange-Positions'!$A:$L,MATCH("MARGINLOAN",'Exchange-Positions'!$8:$8,0),FALSE))</f>
        <v>0</v>
      </c>
      <c r="D21" s="34">
        <f t="shared" si="2"/>
        <v>79941.919999999998</v>
      </c>
      <c r="E21" s="141">
        <f t="shared" si="3"/>
        <v>0</v>
      </c>
      <c r="F21" s="141">
        <f t="shared" si="4"/>
        <v>3.2387245600751816E-4</v>
      </c>
      <c r="W21" s="21" t="s">
        <v>243</v>
      </c>
      <c r="X21" s="21" t="s">
        <v>173</v>
      </c>
    </row>
    <row r="22" spans="1:24" x14ac:dyDescent="0.25">
      <c r="A22" s="110" t="s">
        <v>238</v>
      </c>
      <c r="B22" s="111">
        <f>IF(VLOOKUP($A22,NAVReportLabelMap,2,FALSE)="",0,VLOOKUP(VLOOKUP($A22,NAVReportLabelMap,2,FALSE),'Exchange-Positions'!$A:$L,MATCH("COLLATERAL",'Exchange-Positions'!$8:$8,0),FALSE)+VLOOKUP(VLOOKUP($A22,NAVReportLabelMap,2,FALSE),'Exchange-Positions'!$A:$L,MATCH("ASSET",'Exchange-Positions'!$8:$8,0),FALSE)+VLOOKUP(VLOOKUP($A22,NAVReportLabelMap,2,FALSE),'Exchange-Positions'!$A:$L,MATCH("UNREALIZED",'Exchange-Positions'!$8:$8,0),FALSE))</f>
        <v>0.71159926155560904</v>
      </c>
      <c r="C22" s="111">
        <f>IF(VLOOKUP($A22,NAVReportLabelMap,2,FALSE)="",0,VLOOKUP(VLOOKUP($A22,NAVReportLabelMap,2,FALSE),'Exchange-Positions'!$A:$L,MATCH("EXCHLOAN",'Exchange-Positions'!$8:$8,0),FALSE)+VLOOKUP(VLOOKUP($A22,NAVReportLabelMap,2,FALSE),'Exchange-Positions'!$A:$L,MATCH("MARGINLOAN",'Exchange-Positions'!$8:$8,0),FALSE))</f>
        <v>0</v>
      </c>
      <c r="D22" s="34">
        <f t="shared" si="2"/>
        <v>0.71159926155560904</v>
      </c>
      <c r="E22" s="141">
        <f t="shared" si="3"/>
        <v>0</v>
      </c>
      <c r="F22" s="141">
        <f t="shared" si="4"/>
        <v>2.8829355178503518E-9</v>
      </c>
      <c r="W22" s="21" t="s">
        <v>231</v>
      </c>
      <c r="X22" s="21" t="s">
        <v>45</v>
      </c>
    </row>
    <row r="23" spans="1:24" x14ac:dyDescent="0.25">
      <c r="A23" s="110" t="s">
        <v>239</v>
      </c>
      <c r="B23" s="111">
        <f>IF(VLOOKUP($A23,NAVReportLabelMap,2,FALSE)="",0,VLOOKUP(VLOOKUP($A23,NAVReportLabelMap,2,FALSE),'Exchange-Positions'!$A:$L,MATCH("COLLATERAL",'Exchange-Positions'!$8:$8,0),FALSE)+VLOOKUP(VLOOKUP($A23,NAVReportLabelMap,2,FALSE),'Exchange-Positions'!$A:$L,MATCH("ASSET",'Exchange-Positions'!$8:$8,0),FALSE)+VLOOKUP(VLOOKUP($A23,NAVReportLabelMap,2,FALSE),'Exchange-Positions'!$A:$L,MATCH("UNREALIZED",'Exchange-Positions'!$8:$8,0),FALSE))</f>
        <v>161247.87995042282</v>
      </c>
      <c r="C23" s="111">
        <f>IF(VLOOKUP($A23,NAVReportLabelMap,2,FALSE)="",0,VLOOKUP(VLOOKUP($A23,NAVReportLabelMap,2,FALSE),'Exchange-Positions'!$A:$L,MATCH("EXCHLOAN",'Exchange-Positions'!$8:$8,0),FALSE)+VLOOKUP(VLOOKUP($A23,NAVReportLabelMap,2,FALSE),'Exchange-Positions'!$A:$L,MATCH("MARGINLOAN",'Exchange-Positions'!$8:$8,0),FALSE))</f>
        <v>0</v>
      </c>
      <c r="D23" s="34">
        <f t="shared" si="2"/>
        <v>161247.87995042282</v>
      </c>
      <c r="E23" s="141">
        <f t="shared" si="3"/>
        <v>0</v>
      </c>
      <c r="F23" s="141">
        <f t="shared" si="4"/>
        <v>6.5327111114605305E-4</v>
      </c>
      <c r="W23" s="21" t="s">
        <v>251</v>
      </c>
      <c r="X23" s="21" t="s">
        <v>209</v>
      </c>
    </row>
    <row r="24" spans="1:24" x14ac:dyDescent="0.25">
      <c r="A24" s="110" t="s">
        <v>240</v>
      </c>
      <c r="B24" s="111">
        <f>IF(VLOOKUP($A24,NAVReportLabelMap,2,FALSE)="",0,VLOOKUP(VLOOKUP($A24,NAVReportLabelMap,2,FALSE),'Exchange-Positions'!$A:$L,MATCH("COLLATERAL",'Exchange-Positions'!$8:$8,0),FALSE)+VLOOKUP(VLOOKUP($A24,NAVReportLabelMap,2,FALSE),'Exchange-Positions'!$A:$L,MATCH("ASSET",'Exchange-Positions'!$8:$8,0),FALSE)+VLOOKUP(VLOOKUP($A24,NAVReportLabelMap,2,FALSE),'Exchange-Positions'!$A:$L,MATCH("UNREALIZED",'Exchange-Positions'!$8:$8,0),FALSE))</f>
        <v>27548625.98421951</v>
      </c>
      <c r="C24" s="111">
        <f>IF(VLOOKUP($A24,NAVReportLabelMap,2,FALSE)="",0,VLOOKUP(VLOOKUP($A24,NAVReportLabelMap,2,FALSE),'Exchange-Positions'!$A:$L,MATCH("EXCHLOAN",'Exchange-Positions'!$8:$8,0),FALSE)+VLOOKUP(VLOOKUP($A24,NAVReportLabelMap,2,FALSE),'Exchange-Positions'!$A:$L,MATCH("MARGINLOAN",'Exchange-Positions'!$8:$8,0),FALSE))</f>
        <v>0</v>
      </c>
      <c r="D24" s="34">
        <f t="shared" si="2"/>
        <v>27548625.98421951</v>
      </c>
      <c r="E24" s="141">
        <f t="shared" si="3"/>
        <v>0</v>
      </c>
      <c r="F24" s="141">
        <f t="shared" si="4"/>
        <v>0.11160904262922013</v>
      </c>
      <c r="W24" s="21" t="s">
        <v>232</v>
      </c>
      <c r="X24" s="21" t="s">
        <v>176</v>
      </c>
    </row>
    <row r="25" spans="1:24" x14ac:dyDescent="0.25">
      <c r="A25" s="110" t="s">
        <v>241</v>
      </c>
      <c r="B25" s="111">
        <f>IF(VLOOKUP($A25,NAVReportLabelMap,2,FALSE)="",0,VLOOKUP(VLOOKUP($A25,NAVReportLabelMap,2,FALSE),'Exchange-Positions'!$A:$L,MATCH("COLLATERAL",'Exchange-Positions'!$8:$8,0),FALSE)+VLOOKUP(VLOOKUP($A25,NAVReportLabelMap,2,FALSE),'Exchange-Positions'!$A:$L,MATCH("ASSET",'Exchange-Positions'!$8:$8,0),FALSE)+VLOOKUP(VLOOKUP($A25,NAVReportLabelMap,2,FALSE),'Exchange-Positions'!$A:$L,MATCH("UNREALIZED",'Exchange-Positions'!$8:$8,0),FALSE))</f>
        <v>180954.97713932805</v>
      </c>
      <c r="C25" s="111">
        <f>IF(VLOOKUP($A25,NAVReportLabelMap,2,FALSE)="",0,VLOOKUP(VLOOKUP($A25,NAVReportLabelMap,2,FALSE),'Exchange-Positions'!$A:$L,MATCH("EXCHLOAN",'Exchange-Positions'!$8:$8,0),FALSE)+VLOOKUP(VLOOKUP($A25,NAVReportLabelMap,2,FALSE),'Exchange-Positions'!$A:$L,MATCH("MARGINLOAN",'Exchange-Positions'!$8:$8,0),FALSE))</f>
        <v>0</v>
      </c>
      <c r="D25" s="34">
        <f t="shared" si="2"/>
        <v>180954.97713932805</v>
      </c>
      <c r="E25" s="141">
        <f t="shared" si="3"/>
        <v>0</v>
      </c>
      <c r="F25" s="141">
        <f t="shared" si="4"/>
        <v>7.3311139978747672E-4</v>
      </c>
      <c r="W25" s="21" t="s">
        <v>250</v>
      </c>
      <c r="X25" s="21" t="s">
        <v>211</v>
      </c>
    </row>
    <row r="26" spans="1:24" x14ac:dyDescent="0.25">
      <c r="A26" s="110" t="s">
        <v>242</v>
      </c>
      <c r="B26" s="111">
        <f>IF(VLOOKUP($A26,NAVReportLabelMap,2,FALSE)="",0,VLOOKUP(VLOOKUP($A26,NAVReportLabelMap,2,FALSE),'Exchange-Positions'!$A:$L,MATCH("COLLATERAL",'Exchange-Positions'!$8:$8,0),FALSE)+VLOOKUP(VLOOKUP($A26,NAVReportLabelMap,2,FALSE),'Exchange-Positions'!$A:$L,MATCH("ASSET",'Exchange-Positions'!$8:$8,0),FALSE)+VLOOKUP(VLOOKUP($A26,NAVReportLabelMap,2,FALSE),'Exchange-Positions'!$A:$L,MATCH("UNREALIZED",'Exchange-Positions'!$8:$8,0),FALSE))</f>
        <v>179.40416360735975</v>
      </c>
      <c r="C26" s="111">
        <f>IF(VLOOKUP($A26,NAVReportLabelMap,2,FALSE)="",0,VLOOKUP(VLOOKUP($A26,NAVReportLabelMap,2,FALSE),'Exchange-Positions'!$A:$L,MATCH("EXCHLOAN",'Exchange-Positions'!$8:$8,0),FALSE)+VLOOKUP(VLOOKUP($A26,NAVReportLabelMap,2,FALSE),'Exchange-Positions'!$A:$L,MATCH("MARGINLOAN",'Exchange-Positions'!$8:$8,0),FALSE))</f>
        <v>0</v>
      </c>
      <c r="D26" s="34">
        <f t="shared" si="2"/>
        <v>179.40416360735975</v>
      </c>
      <c r="E26" s="141">
        <f t="shared" si="3"/>
        <v>0</v>
      </c>
      <c r="F26" s="141">
        <f t="shared" si="4"/>
        <v>7.2682851607129537E-7</v>
      </c>
      <c r="W26" s="21" t="s">
        <v>245</v>
      </c>
      <c r="X26" s="21" t="s">
        <v>182</v>
      </c>
    </row>
    <row r="27" spans="1:24" x14ac:dyDescent="0.25">
      <c r="A27" s="110" t="s">
        <v>243</v>
      </c>
      <c r="B27" s="111">
        <f>IF(VLOOKUP($A27,NAVReportLabelMap,2,FALSE)="",0,VLOOKUP(VLOOKUP($A27,NAVReportLabelMap,2,FALSE),'Exchange-Positions'!$A:$L,MATCH("COLLATERAL",'Exchange-Positions'!$8:$8,0),FALSE)+VLOOKUP(VLOOKUP($A27,NAVReportLabelMap,2,FALSE),'Exchange-Positions'!$A:$L,MATCH("ASSET",'Exchange-Positions'!$8:$8,0),FALSE)+VLOOKUP(VLOOKUP($A27,NAVReportLabelMap,2,FALSE),'Exchange-Positions'!$A:$L,MATCH("UNREALIZED",'Exchange-Positions'!$8:$8,0),FALSE))</f>
        <v>10138.725630000001</v>
      </c>
      <c r="C27" s="111">
        <f>IF(VLOOKUP($A27,NAVReportLabelMap,2,FALSE)="",0,VLOOKUP(VLOOKUP($A27,NAVReportLabelMap,2,FALSE),'Exchange-Positions'!$A:$L,MATCH("EXCHLOAN",'Exchange-Positions'!$8:$8,0),FALSE)+VLOOKUP(VLOOKUP($A27,NAVReportLabelMap,2,FALSE),'Exchange-Positions'!$A:$L,MATCH("MARGINLOAN",'Exchange-Positions'!$8:$8,0),FALSE))</f>
        <v>0</v>
      </c>
      <c r="D27" s="34">
        <f t="shared" si="2"/>
        <v>10138.725630000001</v>
      </c>
      <c r="E27" s="141">
        <f t="shared" si="3"/>
        <v>0</v>
      </c>
      <c r="F27" s="141">
        <f t="shared" si="4"/>
        <v>4.1075495441871701E-5</v>
      </c>
      <c r="W27" s="21" t="s">
        <v>235</v>
      </c>
      <c r="X27" s="21" t="s">
        <v>184</v>
      </c>
    </row>
    <row r="28" spans="1:24" x14ac:dyDescent="0.25">
      <c r="A28" s="110" t="s">
        <v>244</v>
      </c>
      <c r="B28" s="111">
        <f>IF(VLOOKUP($A28,NAVReportLabelMap,2,FALSE)="",0,VLOOKUP(VLOOKUP($A28,NAVReportLabelMap,2,FALSE),'Exchange-Positions'!$A:$L,MATCH("COLLATERAL",'Exchange-Positions'!$8:$8,0),FALSE)+VLOOKUP(VLOOKUP($A28,NAVReportLabelMap,2,FALSE),'Exchange-Positions'!$A:$L,MATCH("ASSET",'Exchange-Positions'!$8:$8,0),FALSE)+VLOOKUP(VLOOKUP($A28,NAVReportLabelMap,2,FALSE),'Exchange-Positions'!$A:$L,MATCH("UNREALIZED",'Exchange-Positions'!$8:$8,0),FALSE))</f>
        <v>122857697.68533443</v>
      </c>
      <c r="C28" s="111">
        <f>IF(VLOOKUP($A28,NAVReportLabelMap,2,FALSE)="",0,VLOOKUP(VLOOKUP($A28,NAVReportLabelMap,2,FALSE),'Exchange-Positions'!$A:$L,MATCH("EXCHLOAN",'Exchange-Positions'!$8:$8,0),FALSE)+VLOOKUP(VLOOKUP($A28,NAVReportLabelMap,2,FALSE),'Exchange-Positions'!$A:$L,MATCH("MARGINLOAN",'Exchange-Positions'!$8:$8,0),FALSE))</f>
        <v>-76738082.227339789</v>
      </c>
      <c r="D28" s="34">
        <f t="shared" si="2"/>
        <v>46119615.45799464</v>
      </c>
      <c r="E28" s="141">
        <f t="shared" si="3"/>
        <v>1.663892499217219</v>
      </c>
      <c r="F28" s="141">
        <f t="shared" si="4"/>
        <v>0.1868465647122689</v>
      </c>
      <c r="W28" s="21" t="s">
        <v>808</v>
      </c>
      <c r="X28" s="21" t="s">
        <v>427</v>
      </c>
    </row>
    <row r="29" spans="1:24" x14ac:dyDescent="0.25">
      <c r="A29" s="110" t="s">
        <v>295</v>
      </c>
      <c r="B29" s="111">
        <f>IF(VLOOKUP($A29,NAVReportLabelMap,2,FALSE)="",0,VLOOKUP(VLOOKUP($A29,NAVReportLabelMap,2,FALSE),'Exchange-Positions'!$A:$L,MATCH("COLLATERAL",'Exchange-Positions'!$8:$8,0),FALSE)+VLOOKUP(VLOOKUP($A29,NAVReportLabelMap,2,FALSE),'Exchange-Positions'!$A:$L,MATCH("ASSET",'Exchange-Positions'!$8:$8,0),FALSE)+VLOOKUP(VLOOKUP($A29,NAVReportLabelMap,2,FALSE),'Exchange-Positions'!$A:$L,MATCH("UNREALIZED",'Exchange-Positions'!$8:$8,0),FALSE))</f>
        <v>20739.331650465319</v>
      </c>
      <c r="C29" s="111">
        <f>IF(VLOOKUP($A29,NAVReportLabelMap,2,FALSE)="",0,VLOOKUP(VLOOKUP($A29,NAVReportLabelMap,2,FALSE),'Exchange-Positions'!$A:$L,MATCH("EXCHLOAN",'Exchange-Positions'!$8:$8,0),FALSE)+VLOOKUP(VLOOKUP($A29,NAVReportLabelMap,2,FALSE),'Exchange-Positions'!$A:$L,MATCH("MARGINLOAN",'Exchange-Positions'!$8:$8,0),FALSE))</f>
        <v>0</v>
      </c>
      <c r="D29" s="34">
        <f t="shared" si="2"/>
        <v>20739.331650465319</v>
      </c>
      <c r="E29" s="141">
        <f t="shared" si="3"/>
        <v>0</v>
      </c>
      <c r="F29" s="141">
        <f t="shared" si="4"/>
        <v>8.4022228607852527E-5</v>
      </c>
      <c r="W29" s="21"/>
      <c r="X29" s="21"/>
    </row>
    <row r="30" spans="1:24" x14ac:dyDescent="0.25">
      <c r="A30" s="110" t="s">
        <v>809</v>
      </c>
      <c r="B30" s="111">
        <f>IF(VLOOKUP($A30,NAVReportLabelMap,2,FALSE)="",0,VLOOKUP(VLOOKUP($A30,NAVReportLabelMap,2,FALSE),'Exchange-Positions'!$A:$L,MATCH("COLLATERAL",'Exchange-Positions'!$8:$8,0),FALSE)+VLOOKUP(VLOOKUP($A30,NAVReportLabelMap,2,FALSE),'Exchange-Positions'!$A:$L,MATCH("ASSET",'Exchange-Positions'!$8:$8,0),FALSE)+VLOOKUP(VLOOKUP($A30,NAVReportLabelMap,2,FALSE),'Exchange-Positions'!$A:$L,MATCH("UNREALIZED",'Exchange-Positions'!$8:$8,0),FALSE))</f>
        <v>14761908.972518019</v>
      </c>
      <c r="C30" s="111">
        <f>IF(VLOOKUP($A30,NAVReportLabelMap,2,FALSE)="",0,VLOOKUP(VLOOKUP($A30,NAVReportLabelMap,2,FALSE),'Exchange-Positions'!$A:$L,MATCH("EXCHLOAN",'Exchange-Positions'!$8:$8,0),FALSE)+VLOOKUP(VLOOKUP($A30,NAVReportLabelMap,2,FALSE),'Exchange-Positions'!$A:$L,MATCH("MARGINLOAN",'Exchange-Positions'!$8:$8,0),FALSE))</f>
        <v>-9993998.2487299498</v>
      </c>
      <c r="D30" s="34">
        <f t="shared" si="2"/>
        <v>4767910.7237880696</v>
      </c>
      <c r="E30" s="141">
        <f t="shared" si="3"/>
        <v>2.0960959270625339</v>
      </c>
      <c r="F30" s="141">
        <f t="shared" si="4"/>
        <v>1.9316460702192614E-2</v>
      </c>
      <c r="W30" s="21" t="s">
        <v>234</v>
      </c>
      <c r="X30" s="21"/>
    </row>
    <row r="31" spans="1:24" x14ac:dyDescent="0.25">
      <c r="A31" s="110" t="s">
        <v>245</v>
      </c>
      <c r="B31" s="111">
        <f>IF(VLOOKUP($A31,NAVReportLabelMap,2,FALSE)="",0,VLOOKUP(VLOOKUP($A31,NAVReportLabelMap,2,FALSE),'Exchange-Positions'!$A:$L,MATCH("COLLATERAL",'Exchange-Positions'!$8:$8,0),FALSE)+VLOOKUP(VLOOKUP($A31,NAVReportLabelMap,2,FALSE),'Exchange-Positions'!$A:$L,MATCH("ASSET",'Exchange-Positions'!$8:$8,0),FALSE)+VLOOKUP(VLOOKUP($A31,NAVReportLabelMap,2,FALSE),'Exchange-Positions'!$A:$L,MATCH("UNREALIZED",'Exchange-Positions'!$8:$8,0),FALSE))</f>
        <v>27668.2027522961</v>
      </c>
      <c r="C31" s="111">
        <f>IF(VLOOKUP($A31,NAVReportLabelMap,2,FALSE)="",0,VLOOKUP(VLOOKUP($A31,NAVReportLabelMap,2,FALSE),'Exchange-Positions'!$A:$L,MATCH("EXCHLOAN",'Exchange-Positions'!$8:$8,0),FALSE)+VLOOKUP(VLOOKUP($A31,NAVReportLabelMap,2,FALSE),'Exchange-Positions'!$A:$L,MATCH("MARGINLOAN",'Exchange-Positions'!$8:$8,0),FALSE))</f>
        <v>0</v>
      </c>
      <c r="D31" s="34">
        <f t="shared" si="2"/>
        <v>27668.2027522961</v>
      </c>
      <c r="E31" s="141">
        <f t="shared" si="3"/>
        <v>0</v>
      </c>
      <c r="F31" s="141">
        <f t="shared" si="4"/>
        <v>1.1209348960720623E-4</v>
      </c>
      <c r="W31" s="21" t="s">
        <v>230</v>
      </c>
      <c r="X31" s="21"/>
    </row>
    <row r="32" spans="1:24" x14ac:dyDescent="0.25">
      <c r="A32" s="110" t="s">
        <v>246</v>
      </c>
      <c r="B32" s="111">
        <f>IF(VLOOKUP($A32,NAVReportLabelMap,2,FALSE)="",0,VLOOKUP(VLOOKUP($A32,NAVReportLabelMap,2,FALSE),'Exchange-Positions'!$A:$L,MATCH("COLLATERAL",'Exchange-Positions'!$8:$8,0),FALSE)+VLOOKUP(VLOOKUP($A32,NAVReportLabelMap,2,FALSE),'Exchange-Positions'!$A:$L,MATCH("ASSET",'Exchange-Positions'!$8:$8,0),FALSE)+VLOOKUP(VLOOKUP($A32,NAVReportLabelMap,2,FALSE),'Exchange-Positions'!$A:$L,MATCH("UNREALIZED",'Exchange-Positions'!$8:$8,0),FALSE))</f>
        <v>830007.48</v>
      </c>
      <c r="C32" s="111">
        <f>IF(VLOOKUP($A32,NAVReportLabelMap,2,FALSE)="",0,VLOOKUP(VLOOKUP($A32,NAVReportLabelMap,2,FALSE),'Exchange-Positions'!$A:$L,MATCH("EXCHLOAN",'Exchange-Positions'!$8:$8,0),FALSE)+VLOOKUP(VLOOKUP($A32,NAVReportLabelMap,2,FALSE),'Exchange-Positions'!$A:$L,MATCH("MARGINLOAN",'Exchange-Positions'!$8:$8,0),FALSE))</f>
        <v>0</v>
      </c>
      <c r="D32" s="34">
        <f t="shared" si="2"/>
        <v>830007.48</v>
      </c>
      <c r="E32" s="141">
        <f t="shared" si="3"/>
        <v>0</v>
      </c>
      <c r="F32" s="141">
        <f t="shared" si="4"/>
        <v>3.3626482958153997E-3</v>
      </c>
      <c r="W32" s="21" t="s">
        <v>236</v>
      </c>
      <c r="X32" s="21"/>
    </row>
    <row r="33" spans="1:24" x14ac:dyDescent="0.25">
      <c r="A33" s="110" t="s">
        <v>247</v>
      </c>
      <c r="B33" s="111">
        <f>IF(VLOOKUP($A33,NAVReportLabelMap,2,FALSE)="",0,VLOOKUP(VLOOKUP($A33,NAVReportLabelMap,2,FALSE),'Exchange-Positions'!$A:$L,MATCH("COLLATERAL",'Exchange-Positions'!$8:$8,0),FALSE)+VLOOKUP(VLOOKUP($A33,NAVReportLabelMap,2,FALSE),'Exchange-Positions'!$A:$L,MATCH("ASSET",'Exchange-Positions'!$8:$8,0),FALSE)+VLOOKUP(VLOOKUP($A33,NAVReportLabelMap,2,FALSE),'Exchange-Positions'!$A:$L,MATCH("UNREALIZED",'Exchange-Positions'!$8:$8,0),FALSE))</f>
        <v>13290222.596196052</v>
      </c>
      <c r="C33" s="111">
        <f>IF(VLOOKUP($A33,NAVReportLabelMap,2,FALSE)="",0,VLOOKUP(VLOOKUP($A33,NAVReportLabelMap,2,FALSE),'Exchange-Positions'!$A:$L,MATCH("EXCHLOAN",'Exchange-Positions'!$8:$8,0),FALSE)+VLOOKUP(VLOOKUP($A33,NAVReportLabelMap,2,FALSE),'Exchange-Positions'!$A:$L,MATCH("MARGINLOAN",'Exchange-Positions'!$8:$8,0),FALSE))</f>
        <v>0</v>
      </c>
      <c r="D33" s="34">
        <f t="shared" si="2"/>
        <v>13290222.596196052</v>
      </c>
      <c r="E33" s="141">
        <f t="shared" si="3"/>
        <v>0</v>
      </c>
      <c r="F33" s="141">
        <f t="shared" si="4"/>
        <v>5.3843303152046253E-2</v>
      </c>
      <c r="W33" s="21"/>
      <c r="X33" s="21"/>
    </row>
    <row r="34" spans="1:24" ht="15.75" x14ac:dyDescent="0.25">
      <c r="A34" s="112" t="s">
        <v>248</v>
      </c>
      <c r="B34" s="113">
        <f>SUM(B11:B33)</f>
        <v>348771925.07141441</v>
      </c>
      <c r="C34" s="113">
        <f>SUM(C11:C33)</f>
        <v>-101940437.80797052</v>
      </c>
      <c r="D34" s="113">
        <f>SUM(D11:D33)</f>
        <v>246831487.26344386</v>
      </c>
      <c r="E34" s="142">
        <f t="shared" ref="E34" si="5">IFERROR(-C34/D34,0)</f>
        <v>0.41299608464931886</v>
      </c>
      <c r="F34" s="143"/>
      <c r="J34" t="s">
        <v>824</v>
      </c>
      <c r="W34" s="21" t="s">
        <v>424</v>
      </c>
      <c r="X34" s="21" t="s">
        <v>170</v>
      </c>
    </row>
    <row r="35" spans="1:24" ht="15.75" x14ac:dyDescent="0.25">
      <c r="A35" s="114"/>
      <c r="B35" s="115"/>
      <c r="C35" s="115"/>
      <c r="D35" s="115"/>
      <c r="E35" s="144"/>
      <c r="F35" s="103"/>
      <c r="W35" s="21"/>
      <c r="X35" s="21"/>
    </row>
    <row r="36" spans="1:24" x14ac:dyDescent="0.25">
      <c r="B36" s="116"/>
      <c r="C36" s="116"/>
      <c r="D36" s="116"/>
      <c r="E36" s="145"/>
      <c r="F36" s="103"/>
      <c r="W36" s="21"/>
      <c r="X36" s="21"/>
    </row>
    <row r="37" spans="1:24" ht="15.75" x14ac:dyDescent="0.25">
      <c r="A37" s="117" t="s">
        <v>249</v>
      </c>
      <c r="B37" s="118"/>
      <c r="C37" s="119" t="s">
        <v>810</v>
      </c>
      <c r="D37" s="119" t="s">
        <v>807</v>
      </c>
      <c r="E37" s="119" t="s">
        <v>823</v>
      </c>
      <c r="F37" s="103"/>
      <c r="W37" s="21"/>
      <c r="X37" s="21"/>
    </row>
    <row r="38" spans="1:24" x14ac:dyDescent="0.25">
      <c r="A38" s="34" t="s">
        <v>250</v>
      </c>
      <c r="C38" s="111">
        <f>IF(VLOOKUP($A38,NAVReportLabelMap,2,FALSE)="",0,VLOOKUP(VLOOKUP($A38,NAVReportLabelMap,2,FALSE),'Exchange-Positions'!$A:$L,MATCH("LOAN",'Exchange-Positions'!$8:$8,0),FALSE))</f>
        <v>-75.478409104803205</v>
      </c>
      <c r="D38" s="111">
        <f>C38+B38</f>
        <v>-75.478409104803205</v>
      </c>
      <c r="F38" s="103"/>
      <c r="W38" s="21"/>
      <c r="X38" s="21"/>
    </row>
    <row r="39" spans="1:24" x14ac:dyDescent="0.25">
      <c r="A39" s="34" t="s">
        <v>251</v>
      </c>
      <c r="C39" s="111">
        <f>IF(VLOOKUP($A39,NAVReportLabelMap,2,FALSE)="",0,VLOOKUP(VLOOKUP($A39,NAVReportLabelMap,2,FALSE),'Exchange-Positions'!$A:$L,MATCH("LOAN",'Exchange-Positions'!$8:$8,0),FALSE))</f>
        <v>-1190717.663020327</v>
      </c>
      <c r="D39" s="111">
        <f>C39+B39</f>
        <v>-1190717.663020327</v>
      </c>
      <c r="F39" s="103"/>
      <c r="W39" s="21"/>
      <c r="X39" s="21"/>
    </row>
    <row r="40" spans="1:24" ht="15.75" x14ac:dyDescent="0.25">
      <c r="A40" s="112" t="s">
        <v>811</v>
      </c>
      <c r="B40" s="120"/>
      <c r="C40" s="113">
        <f>SUM(C38:C39)</f>
        <v>-1190793.1414294317</v>
      </c>
      <c r="D40" s="113">
        <f>SUM(D38:D39)</f>
        <v>-1190793.1414294317</v>
      </c>
      <c r="E40" s="120"/>
      <c r="F40" s="103"/>
      <c r="W40" s="21"/>
      <c r="X40" s="21"/>
    </row>
    <row r="41" spans="1:24" ht="15.75" x14ac:dyDescent="0.25">
      <c r="A41" s="114"/>
      <c r="B41" s="121"/>
      <c r="C41" s="122"/>
      <c r="D41" s="122"/>
      <c r="E41" s="121"/>
      <c r="F41" s="103"/>
      <c r="W41" s="21"/>
      <c r="X41" s="21"/>
    </row>
    <row r="42" spans="1:24" ht="15.75" x14ac:dyDescent="0.25">
      <c r="A42" s="112" t="s">
        <v>812</v>
      </c>
      <c r="B42" s="120"/>
      <c r="C42" s="113"/>
      <c r="D42" s="113"/>
      <c r="E42" s="120"/>
      <c r="F42" s="103"/>
      <c r="W42" s="21"/>
      <c r="X42" s="21"/>
    </row>
    <row r="43" spans="1:24" ht="15.75" x14ac:dyDescent="0.25">
      <c r="A43" s="114" t="s">
        <v>796</v>
      </c>
      <c r="B43" s="121"/>
      <c r="C43" s="122"/>
      <c r="D43" s="122"/>
      <c r="E43" s="121"/>
      <c r="F43" s="103"/>
      <c r="W43" s="21"/>
      <c r="X43" s="21"/>
    </row>
    <row r="44" spans="1:24" ht="15.75" x14ac:dyDescent="0.25">
      <c r="A44" s="114" t="s">
        <v>813</v>
      </c>
      <c r="B44" s="121"/>
      <c r="C44" s="122"/>
      <c r="D44" s="122"/>
      <c r="E44" s="121"/>
      <c r="F44" s="103"/>
      <c r="W44" s="21"/>
      <c r="X44" s="21"/>
    </row>
    <row r="45" spans="1:24" ht="15.75" x14ac:dyDescent="0.25">
      <c r="A45" s="112" t="s">
        <v>814</v>
      </c>
      <c r="B45" s="120"/>
      <c r="C45" s="113"/>
      <c r="D45" s="113"/>
      <c r="E45" s="120"/>
      <c r="F45" s="103"/>
      <c r="W45" s="21"/>
      <c r="X45" s="21"/>
    </row>
    <row r="46" spans="1:24" ht="15.75" x14ac:dyDescent="0.25">
      <c r="A46" s="114"/>
      <c r="B46" s="122"/>
      <c r="F46" s="103"/>
      <c r="W46" s="21"/>
      <c r="X46" s="21"/>
    </row>
    <row r="47" spans="1:24" ht="18.75" x14ac:dyDescent="0.3">
      <c r="A47" s="123" t="s">
        <v>815</v>
      </c>
      <c r="B47" s="124">
        <f>B34+B40+B45</f>
        <v>348771925.07141441</v>
      </c>
      <c r="C47" s="124">
        <f>C34+C40+C45</f>
        <v>-103131230.94939995</v>
      </c>
      <c r="D47" s="124">
        <f>D34+D40+D45</f>
        <v>245640694.12201443</v>
      </c>
      <c r="E47" s="146"/>
      <c r="F47" s="147"/>
      <c r="W47" s="21"/>
      <c r="X47" s="21"/>
    </row>
    <row r="48" spans="1:24" x14ac:dyDescent="0.25">
      <c r="B48" s="125"/>
      <c r="C48" s="126"/>
      <c r="D48" s="127"/>
      <c r="F48" s="103"/>
      <c r="W48" s="21"/>
      <c r="X48" s="21"/>
    </row>
    <row r="49" spans="1:24" x14ac:dyDescent="0.25">
      <c r="A49" s="103" t="s">
        <v>14</v>
      </c>
      <c r="B49" s="111"/>
      <c r="C49" s="128"/>
      <c r="D49" s="129"/>
      <c r="F49" s="103"/>
      <c r="W49" s="21"/>
      <c r="X49" s="21"/>
    </row>
    <row r="50" spans="1:24" x14ac:dyDescent="0.25">
      <c r="A50" s="103" t="s">
        <v>15</v>
      </c>
      <c r="B50" s="111"/>
      <c r="C50" s="128"/>
      <c r="D50" s="129"/>
      <c r="F50" s="103"/>
      <c r="W50" s="21"/>
      <c r="X50" s="21"/>
    </row>
    <row r="51" spans="1:24" x14ac:dyDescent="0.25">
      <c r="A51" s="103" t="s">
        <v>107</v>
      </c>
      <c r="B51" s="111"/>
      <c r="C51" s="128"/>
      <c r="D51" s="129"/>
      <c r="F51" s="103"/>
      <c r="W51" s="21"/>
      <c r="X51" s="21"/>
    </row>
    <row r="52" spans="1:24" x14ac:dyDescent="0.25">
      <c r="A52" s="103" t="s">
        <v>258</v>
      </c>
      <c r="B52" s="111"/>
      <c r="C52" s="128"/>
      <c r="D52" s="129"/>
      <c r="F52" s="103"/>
      <c r="W52" s="21"/>
      <c r="X52" s="21"/>
    </row>
    <row r="53" spans="1:24" x14ac:dyDescent="0.25">
      <c r="A53" s="103" t="s">
        <v>95</v>
      </c>
      <c r="B53" s="111"/>
      <c r="C53" s="128"/>
      <c r="D53" s="129"/>
      <c r="F53" s="103"/>
      <c r="W53" s="21"/>
      <c r="X53" s="21"/>
    </row>
    <row r="54" spans="1:24" x14ac:dyDescent="0.25">
      <c r="A54" s="103" t="s">
        <v>92</v>
      </c>
      <c r="B54" s="111"/>
      <c r="C54" s="128"/>
      <c r="D54" s="129"/>
      <c r="F54" s="103"/>
      <c r="W54" s="21"/>
      <c r="X54" s="21"/>
    </row>
    <row r="55" spans="1:24" x14ac:dyDescent="0.25">
      <c r="A55" s="103" t="s">
        <v>26</v>
      </c>
      <c r="B55" s="111"/>
      <c r="C55" s="128"/>
      <c r="D55" s="129"/>
      <c r="F55" s="103"/>
    </row>
    <row r="56" spans="1:24" ht="15.75" x14ac:dyDescent="0.25">
      <c r="A56" s="112" t="s">
        <v>424</v>
      </c>
      <c r="B56" s="130"/>
      <c r="C56" s="130">
        <f>IF(VLOOKUP($A56,NAVReportLabelMap,2,FALSE)="",0,VLOOKUP(VLOOKUP($A56,NAVReportLabelMap,2,FALSE),'Exchange-Positions'!$A:$L,MATCH("FUND",'Exchange-Positions'!$8:$8,0),FALSE))</f>
        <v>-211206773.49899808</v>
      </c>
      <c r="D56" s="130">
        <f>C56</f>
        <v>-211206773.49899808</v>
      </c>
      <c r="E56" s="148"/>
      <c r="F56" s="103"/>
    </row>
    <row r="57" spans="1:24" x14ac:dyDescent="0.25">
      <c r="B57" s="111"/>
      <c r="C57" s="128"/>
      <c r="F57" s="103"/>
    </row>
    <row r="58" spans="1:24" ht="18.75" x14ac:dyDescent="0.3">
      <c r="A58" s="123" t="s">
        <v>816</v>
      </c>
      <c r="B58" s="131"/>
      <c r="C58" s="131"/>
      <c r="D58" s="132">
        <f>D47+D56</f>
        <v>34433920.623016357</v>
      </c>
      <c r="E58" s="126"/>
      <c r="F58" s="103"/>
    </row>
    <row r="59" spans="1:24" x14ac:dyDescent="0.25">
      <c r="C59" s="128"/>
      <c r="F59" s="103"/>
    </row>
    <row r="60" spans="1:24" ht="15.75" x14ac:dyDescent="0.25">
      <c r="A60" s="178"/>
      <c r="B60" s="179"/>
      <c r="C60" s="179"/>
      <c r="D60" s="134"/>
      <c r="E60" s="133"/>
    </row>
    <row r="61" spans="1:24" ht="15.75" x14ac:dyDescent="0.25">
      <c r="A61" s="135"/>
      <c r="B61" s="135"/>
      <c r="C61" s="135"/>
      <c r="D61" s="135"/>
      <c r="E61" s="135"/>
    </row>
    <row r="62" spans="1:24" ht="18.75" x14ac:dyDescent="0.3">
      <c r="A62" s="180"/>
      <c r="B62" s="179"/>
      <c r="C62" s="179"/>
      <c r="D62" s="131"/>
      <c r="E62" s="136"/>
    </row>
  </sheetData>
  <mergeCells count="6">
    <mergeCell ref="W6:X6"/>
    <mergeCell ref="A60:C60"/>
    <mergeCell ref="A62:C62"/>
    <mergeCell ref="A1:E1"/>
    <mergeCell ref="A3:F3"/>
    <mergeCell ref="A4:F4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BA57-7490-4753-AE48-5C059F678BC4}">
  <sheetPr codeName="Sheet12">
    <tabColor rgb="FF92D050"/>
  </sheetPr>
  <dimension ref="A1:AW581"/>
  <sheetViews>
    <sheetView zoomScale="73" zoomScaleNormal="73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C32" sqref="C32:I32"/>
    </sheetView>
  </sheetViews>
  <sheetFormatPr defaultRowHeight="15" x14ac:dyDescent="0.25"/>
  <cols>
    <col min="1" max="1" width="6.28515625" customWidth="1"/>
    <col min="2" max="2" width="24" customWidth="1"/>
    <col min="3" max="3" width="21.140625" style="1" bestFit="1" customWidth="1"/>
    <col min="4" max="4" width="15.85546875" bestFit="1" customWidth="1"/>
    <col min="5" max="5" width="45.42578125" bestFit="1" customWidth="1"/>
    <col min="6" max="6" width="38.140625" bestFit="1" customWidth="1"/>
    <col min="7" max="7" width="14.42578125" bestFit="1" customWidth="1"/>
    <col min="8" max="8" width="21.42578125" style="56" bestFit="1" customWidth="1"/>
    <col min="9" max="9" width="18" bestFit="1" customWidth="1"/>
    <col min="10" max="10" width="28" customWidth="1"/>
    <col min="11" max="11" width="69.5703125" bestFit="1" customWidth="1"/>
    <col min="12" max="12" width="21.85546875" bestFit="1" customWidth="1"/>
    <col min="13" max="13" width="12.28515625" bestFit="1" customWidth="1"/>
    <col min="14" max="14" width="15.140625" bestFit="1" customWidth="1"/>
    <col min="15" max="15" width="3" customWidth="1"/>
    <col min="16" max="16" width="35.28515625" customWidth="1"/>
    <col min="17" max="17" width="15" bestFit="1" customWidth="1"/>
    <col min="18" max="18" width="16.42578125" bestFit="1" customWidth="1"/>
    <col min="19" max="20" width="14" customWidth="1"/>
    <col min="21" max="21" width="18.140625" bestFit="1" customWidth="1"/>
    <col min="22" max="22" width="24.28515625" bestFit="1" customWidth="1"/>
    <col min="23" max="23" width="17.5703125" bestFit="1" customWidth="1"/>
    <col min="24" max="24" width="14.85546875" bestFit="1" customWidth="1"/>
    <col min="25" max="26" width="14.28515625" bestFit="1" customWidth="1"/>
    <col min="27" max="27" width="18.140625" bestFit="1" customWidth="1"/>
    <col min="28" max="28" width="18.28515625" customWidth="1"/>
    <col min="29" max="31" width="14.85546875" bestFit="1" customWidth="1"/>
    <col min="32" max="34" width="14.85546875" customWidth="1"/>
    <col min="35" max="35" width="5.5703125" customWidth="1"/>
    <col min="36" max="36" width="46.42578125" bestFit="1" customWidth="1"/>
    <col min="37" max="37" width="21.7109375" style="42" bestFit="1" customWidth="1"/>
    <col min="38" max="38" width="15.85546875" bestFit="1" customWidth="1"/>
    <col min="39" max="39" width="2.85546875" customWidth="1"/>
    <col min="43" max="43" width="3" customWidth="1"/>
    <col min="44" max="44" width="52.28515625" bestFit="1" customWidth="1"/>
    <col min="45" max="45" width="21.140625" style="42" bestFit="1" customWidth="1"/>
    <col min="46" max="46" width="3.140625" customWidth="1"/>
    <col min="47" max="49" width="19.42578125" customWidth="1"/>
    <col min="85" max="85" width="14.85546875" bestFit="1" customWidth="1"/>
    <col min="86" max="88" width="14.28515625" bestFit="1" customWidth="1"/>
    <col min="89" max="89" width="14.85546875" bestFit="1" customWidth="1"/>
    <col min="90" max="90" width="5.42578125" bestFit="1" customWidth="1"/>
    <col min="91" max="91" width="14.85546875" bestFit="1" customWidth="1"/>
    <col min="92" max="92" width="14.28515625" bestFit="1" customWidth="1"/>
    <col min="93" max="93" width="14.85546875" bestFit="1" customWidth="1"/>
    <col min="94" max="94" width="14.28515625" bestFit="1" customWidth="1"/>
    <col min="95" max="95" width="9.5703125" bestFit="1" customWidth="1"/>
    <col min="96" max="96" width="14.28515625" bestFit="1" customWidth="1"/>
    <col min="97" max="97" width="14.85546875" bestFit="1" customWidth="1"/>
    <col min="98" max="98" width="10.140625" bestFit="1" customWidth="1"/>
    <col min="99" max="99" width="13" bestFit="1" customWidth="1"/>
    <col min="100" max="100" width="9" bestFit="1" customWidth="1"/>
    <col min="101" max="101" width="14.28515625" bestFit="1" customWidth="1"/>
    <col min="102" max="102" width="19.140625" bestFit="1" customWidth="1"/>
    <col min="103" max="103" width="18.7109375" bestFit="1" customWidth="1"/>
    <col min="104" max="104" width="14.85546875" bestFit="1" customWidth="1"/>
    <col min="105" max="105" width="7.42578125" bestFit="1" customWidth="1"/>
    <col min="106" max="106" width="17.42578125" bestFit="1" customWidth="1"/>
    <col min="107" max="107" width="8" bestFit="1" customWidth="1"/>
    <col min="108" max="108" width="14.28515625" bestFit="1" customWidth="1"/>
    <col min="109" max="109" width="6" bestFit="1" customWidth="1"/>
    <col min="110" max="110" width="14.28515625" bestFit="1" customWidth="1"/>
    <col min="111" max="111" width="14.85546875" bestFit="1" customWidth="1"/>
    <col min="112" max="112" width="6.140625" bestFit="1" customWidth="1"/>
    <col min="113" max="113" width="5.28515625" bestFit="1" customWidth="1"/>
    <col min="114" max="114" width="14.28515625" bestFit="1" customWidth="1"/>
    <col min="115" max="115" width="6.140625" bestFit="1" customWidth="1"/>
    <col min="116" max="116" width="14.28515625" bestFit="1" customWidth="1"/>
    <col min="117" max="117" width="5.42578125" bestFit="1" customWidth="1"/>
    <col min="118" max="118" width="14.28515625" bestFit="1" customWidth="1"/>
    <col min="119" max="119" width="8.7109375" bestFit="1" customWidth="1"/>
    <col min="120" max="120" width="6" bestFit="1" customWidth="1"/>
    <col min="121" max="121" width="14.85546875" bestFit="1" customWidth="1"/>
    <col min="122" max="124" width="14.28515625" bestFit="1" customWidth="1"/>
    <col min="125" max="125" width="14.85546875" bestFit="1" customWidth="1"/>
    <col min="126" max="126" width="8.42578125" bestFit="1" customWidth="1"/>
    <col min="127" max="127" width="5.28515625" bestFit="1" customWidth="1"/>
    <col min="128" max="128" width="7.42578125" bestFit="1" customWidth="1"/>
    <col min="129" max="129" width="13.28515625" bestFit="1" customWidth="1"/>
    <col min="130" max="130" width="19.140625" bestFit="1" customWidth="1"/>
    <col min="131" max="131" width="18.7109375" bestFit="1" customWidth="1"/>
    <col min="132" max="132" width="14.85546875" bestFit="1" customWidth="1"/>
    <col min="133" max="133" width="7.42578125" bestFit="1" customWidth="1"/>
    <col min="134" max="134" width="17.140625" bestFit="1" customWidth="1"/>
    <col min="135" max="135" width="22.42578125" bestFit="1" customWidth="1"/>
  </cols>
  <sheetData>
    <row r="1" spans="1:48" x14ac:dyDescent="0.25">
      <c r="A1" s="49"/>
      <c r="B1" s="19" t="s">
        <v>71</v>
      </c>
      <c r="C1" s="66" t="s">
        <v>72</v>
      </c>
      <c r="D1" s="19" t="s">
        <v>73</v>
      </c>
      <c r="E1" s="19" t="s">
        <v>74</v>
      </c>
      <c r="F1" s="19" t="s">
        <v>75</v>
      </c>
      <c r="G1" s="19" t="s">
        <v>76</v>
      </c>
      <c r="H1" s="55" t="s">
        <v>77</v>
      </c>
      <c r="I1" s="19" t="s">
        <v>78</v>
      </c>
      <c r="J1" s="188"/>
      <c r="K1" s="19" t="s">
        <v>79</v>
      </c>
      <c r="L1" s="19" t="s">
        <v>80</v>
      </c>
      <c r="M1" s="19" t="s">
        <v>81</v>
      </c>
      <c r="N1" s="19" t="s">
        <v>82</v>
      </c>
      <c r="O1" s="49"/>
      <c r="P1" s="19" t="s">
        <v>74</v>
      </c>
      <c r="Q1" s="19" t="s">
        <v>314</v>
      </c>
      <c r="R1" s="58" t="s">
        <v>314</v>
      </c>
      <c r="S1" s="58" t="s">
        <v>412</v>
      </c>
      <c r="T1" t="s">
        <v>411</v>
      </c>
      <c r="U1" t="s">
        <v>317</v>
      </c>
      <c r="V1" t="s">
        <v>75</v>
      </c>
      <c r="W1" t="s">
        <v>65</v>
      </c>
      <c r="AN1" t="s">
        <v>216</v>
      </c>
      <c r="AO1" t="s">
        <v>321</v>
      </c>
      <c r="AP1" t="s">
        <v>322</v>
      </c>
    </row>
    <row r="2" spans="1:48" x14ac:dyDescent="0.25">
      <c r="A2">
        <v>0</v>
      </c>
      <c r="B2" t="s">
        <v>83</v>
      </c>
      <c r="C2" s="1">
        <v>628.35861419000003</v>
      </c>
      <c r="E2" t="s">
        <v>116</v>
      </c>
      <c r="F2" t="s">
        <v>479</v>
      </c>
      <c r="G2" s="22">
        <v>20230112</v>
      </c>
      <c r="H2" s="56">
        <v>44939.000003356479</v>
      </c>
      <c r="I2">
        <v>42641.129708168803</v>
      </c>
      <c r="K2" s="21" t="s">
        <v>480</v>
      </c>
      <c r="L2" s="21" t="s">
        <v>481</v>
      </c>
      <c r="M2" s="21" t="s">
        <v>85</v>
      </c>
      <c r="N2" s="21" t="s">
        <v>86</v>
      </c>
      <c r="P2" t="str">
        <f t="shared" ref="P2:P65" si="0">IF($C2="","",$E2)</f>
        <v>AAVE</v>
      </c>
      <c r="Q2">
        <f>IF($C2="","",$I2/$C2)</f>
        <v>67.861136531304382</v>
      </c>
      <c r="R2">
        <v>59.23</v>
      </c>
      <c r="S2">
        <f>IF($B2="","",$C2*$R2)</f>
        <v>37217.680718473697</v>
      </c>
      <c r="T2" t="str">
        <f>"'"&amp;P2&amp;"', "</f>
        <v xml:space="preserve">'AAVE', </v>
      </c>
      <c r="AN2" t="s">
        <v>86</v>
      </c>
      <c r="AO2" t="s">
        <v>116</v>
      </c>
      <c r="AP2">
        <v>-200</v>
      </c>
    </row>
    <row r="3" spans="1:48" x14ac:dyDescent="0.25">
      <c r="A3">
        <v>1</v>
      </c>
      <c r="B3" t="s">
        <v>83</v>
      </c>
      <c r="C3" s="1">
        <v>291912.33526399999</v>
      </c>
      <c r="E3" t="s">
        <v>84</v>
      </c>
      <c r="F3" t="s">
        <v>479</v>
      </c>
      <c r="G3" s="22">
        <v>20230112</v>
      </c>
      <c r="H3" s="56">
        <v>44939.000003356479</v>
      </c>
      <c r="I3">
        <v>96260.566435433502</v>
      </c>
      <c r="K3" s="21" t="s">
        <v>482</v>
      </c>
      <c r="L3" s="21" t="s">
        <v>481</v>
      </c>
      <c r="M3" s="21" t="s">
        <v>85</v>
      </c>
      <c r="N3" s="21" t="s">
        <v>86</v>
      </c>
      <c r="P3" t="str">
        <f t="shared" si="0"/>
        <v>ADA</v>
      </c>
      <c r="Q3">
        <f t="shared" ref="Q3:Q66" si="1">IF($C3="","",$I3/$C3)</f>
        <v>0.3297584747433755</v>
      </c>
      <c r="R3">
        <v>0.32653653999999999</v>
      </c>
      <c r="S3">
        <f t="shared" ref="S3:S66" si="2">IF($B3="","",$C3*$R3)</f>
        <v>95320.043940426534</v>
      </c>
      <c r="T3" t="str">
        <f t="shared" ref="T3:T66" si="3">"'"&amp;P3&amp;"', "</f>
        <v xml:space="preserve">'ADA', </v>
      </c>
      <c r="V3" t="s">
        <v>318</v>
      </c>
      <c r="W3" t="s">
        <v>54</v>
      </c>
      <c r="AJ3" t="s">
        <v>57</v>
      </c>
      <c r="AK3" s="44" t="s">
        <v>318</v>
      </c>
      <c r="AL3" t="s">
        <v>320</v>
      </c>
      <c r="AN3" t="s">
        <v>86</v>
      </c>
      <c r="AO3" t="s">
        <v>116</v>
      </c>
      <c r="AP3">
        <v>200.07893852000001</v>
      </c>
      <c r="AR3" t="s">
        <v>57</v>
      </c>
      <c r="AS3" s="42" t="s">
        <v>404</v>
      </c>
    </row>
    <row r="4" spans="1:48" x14ac:dyDescent="0.25">
      <c r="A4">
        <v>2</v>
      </c>
      <c r="B4" t="s">
        <v>83</v>
      </c>
      <c r="C4" s="1">
        <v>215007.15676099999</v>
      </c>
      <c r="E4" t="s">
        <v>122</v>
      </c>
      <c r="F4" t="s">
        <v>479</v>
      </c>
      <c r="G4" s="22">
        <v>20230112</v>
      </c>
      <c r="H4" s="56">
        <v>44939.000003356479</v>
      </c>
      <c r="I4">
        <v>45694.716690300898</v>
      </c>
      <c r="K4" s="21" t="s">
        <v>483</v>
      </c>
      <c r="L4" s="21" t="s">
        <v>481</v>
      </c>
      <c r="M4" s="21" t="s">
        <v>85</v>
      </c>
      <c r="N4" s="21" t="s">
        <v>86</v>
      </c>
      <c r="P4" t="str">
        <f t="shared" si="0"/>
        <v>ALGO</v>
      </c>
      <c r="Q4">
        <f t="shared" si="1"/>
        <v>0.21252649157671868</v>
      </c>
      <c r="R4">
        <v>0.26910000000000001</v>
      </c>
      <c r="S4">
        <f t="shared" si="2"/>
        <v>57858.425884385098</v>
      </c>
      <c r="T4" t="str">
        <f t="shared" si="3"/>
        <v xml:space="preserve">'ALGO', </v>
      </c>
      <c r="V4" t="s">
        <v>57</v>
      </c>
      <c r="W4" t="s">
        <v>72</v>
      </c>
      <c r="X4" t="s">
        <v>200</v>
      </c>
      <c r="Y4" t="s">
        <v>286</v>
      </c>
      <c r="Z4" t="s">
        <v>287</v>
      </c>
      <c r="AA4" t="s">
        <v>90</v>
      </c>
      <c r="AB4" t="s">
        <v>288</v>
      </c>
      <c r="AC4" t="s">
        <v>278</v>
      </c>
      <c r="AD4" t="s">
        <v>319</v>
      </c>
      <c r="AE4" t="s">
        <v>56</v>
      </c>
      <c r="AJ4" s="3" t="s">
        <v>86</v>
      </c>
      <c r="AK4" s="44">
        <v>-5936704448.3722601</v>
      </c>
      <c r="AL4">
        <v>84737357.291510075</v>
      </c>
      <c r="AN4" t="s">
        <v>86</v>
      </c>
      <c r="AO4" t="s">
        <v>84</v>
      </c>
      <c r="AP4">
        <v>-20000</v>
      </c>
      <c r="AR4" s="3" t="s">
        <v>86</v>
      </c>
      <c r="AS4" s="42">
        <v>-5919848669.9895267</v>
      </c>
    </row>
    <row r="5" spans="1:48" x14ac:dyDescent="0.25">
      <c r="A5">
        <v>3</v>
      </c>
      <c r="B5" t="s">
        <v>83</v>
      </c>
      <c r="C5" s="1">
        <v>4.2548999999999998E-3</v>
      </c>
      <c r="E5" t="s">
        <v>35</v>
      </c>
      <c r="F5" t="s">
        <v>479</v>
      </c>
      <c r="G5" s="22">
        <v>20230112</v>
      </c>
      <c r="H5" s="56">
        <v>44939.000003356479</v>
      </c>
      <c r="I5">
        <v>5.2227586277640702E-2</v>
      </c>
      <c r="K5" s="21" t="s">
        <v>484</v>
      </c>
      <c r="L5" s="21" t="s">
        <v>481</v>
      </c>
      <c r="M5" s="21" t="s">
        <v>85</v>
      </c>
      <c r="N5" s="21" t="s">
        <v>86</v>
      </c>
      <c r="P5" t="str">
        <f t="shared" si="0"/>
        <v>ATOM</v>
      </c>
      <c r="Q5">
        <f>IF($C5="","",$I5/$C5)</f>
        <v>12.274691832391056</v>
      </c>
      <c r="R5">
        <v>9.9934670000000008</v>
      </c>
      <c r="S5">
        <f t="shared" si="2"/>
        <v>4.2521202738299999E-2</v>
      </c>
      <c r="T5" t="str">
        <f t="shared" si="3"/>
        <v xml:space="preserve">'ATOM', </v>
      </c>
      <c r="V5" s="3" t="s">
        <v>83</v>
      </c>
      <c r="W5" s="8"/>
      <c r="X5" s="8"/>
      <c r="Y5" s="8"/>
      <c r="Z5" s="8"/>
      <c r="AA5" s="8"/>
      <c r="AB5" s="8"/>
      <c r="AC5" s="8">
        <v>1977914.8957953099</v>
      </c>
      <c r="AD5" s="8"/>
      <c r="AE5" s="8">
        <v>1977914.8957953099</v>
      </c>
      <c r="AF5" s="8"/>
      <c r="AG5" s="8"/>
      <c r="AH5" s="8"/>
      <c r="AJ5" s="4" t="s">
        <v>116</v>
      </c>
      <c r="AK5" s="44">
        <v>7.8938520000008339E-2</v>
      </c>
      <c r="AL5">
        <v>4.4755983969298541</v>
      </c>
      <c r="AN5" t="s">
        <v>86</v>
      </c>
      <c r="AO5" t="s">
        <v>84</v>
      </c>
      <c r="AP5">
        <v>28311.975235000002</v>
      </c>
      <c r="AR5" s="4" t="s">
        <v>116</v>
      </c>
      <c r="AS5" s="42">
        <v>7.8938520000008339E-2</v>
      </c>
    </row>
    <row r="6" spans="1:48" x14ac:dyDescent="0.25">
      <c r="A6">
        <v>4</v>
      </c>
      <c r="B6" t="s">
        <v>83</v>
      </c>
      <c r="C6" s="1">
        <v>3951.2305524499998</v>
      </c>
      <c r="E6" t="s">
        <v>187</v>
      </c>
      <c r="F6" t="s">
        <v>479</v>
      </c>
      <c r="G6" s="22">
        <v>20230112</v>
      </c>
      <c r="H6" s="56">
        <v>44939.000003356479</v>
      </c>
      <c r="I6">
        <v>61075.554606368001</v>
      </c>
      <c r="K6" s="21" t="s">
        <v>485</v>
      </c>
      <c r="L6" s="21" t="s">
        <v>481</v>
      </c>
      <c r="M6" s="21" t="s">
        <v>85</v>
      </c>
      <c r="N6" s="21" t="s">
        <v>86</v>
      </c>
      <c r="P6" t="str">
        <f t="shared" si="0"/>
        <v>AVAX</v>
      </c>
      <c r="Q6">
        <f t="shared" si="1"/>
        <v>15.457350259781094</v>
      </c>
      <c r="R6">
        <v>13.03</v>
      </c>
      <c r="S6">
        <f t="shared" si="2"/>
        <v>51484.534098423494</v>
      </c>
      <c r="T6" t="str">
        <f t="shared" si="3"/>
        <v xml:space="preserve">'AVAX', </v>
      </c>
      <c r="V6" s="3" t="s">
        <v>12</v>
      </c>
      <c r="W6" s="8">
        <v>6677.6558129299992</v>
      </c>
      <c r="X6" s="8"/>
      <c r="Y6" s="8"/>
      <c r="Z6" s="8"/>
      <c r="AA6" s="8">
        <v>35.531564270000004</v>
      </c>
      <c r="AB6" s="8"/>
      <c r="AC6" s="8"/>
      <c r="AD6" s="8"/>
      <c r="AE6" s="8">
        <v>6713.187377199999</v>
      </c>
      <c r="AF6" s="8"/>
      <c r="AG6" s="8"/>
      <c r="AH6" s="8"/>
      <c r="AJ6" s="27" t="s">
        <v>85</v>
      </c>
      <c r="AK6" s="44">
        <v>200.07893852000001</v>
      </c>
      <c r="AL6">
        <v>11343.929129895499</v>
      </c>
      <c r="AN6" t="s">
        <v>86</v>
      </c>
      <c r="AO6" t="s">
        <v>122</v>
      </c>
      <c r="AP6">
        <v>25.399726000000001</v>
      </c>
      <c r="AR6" s="4" t="s">
        <v>84</v>
      </c>
      <c r="AS6" s="42">
        <v>8311.9752350000017</v>
      </c>
    </row>
    <row r="7" spans="1:48" x14ac:dyDescent="0.25">
      <c r="A7">
        <v>5</v>
      </c>
      <c r="B7" t="s">
        <v>83</v>
      </c>
      <c r="C7" s="1">
        <v>99068.070622019994</v>
      </c>
      <c r="E7" t="s">
        <v>124</v>
      </c>
      <c r="F7" t="s">
        <v>479</v>
      </c>
      <c r="G7" s="22">
        <v>20230112</v>
      </c>
      <c r="H7" s="56">
        <v>44939.000003356479</v>
      </c>
      <c r="I7">
        <v>20286.566598580001</v>
      </c>
      <c r="K7" s="21" t="s">
        <v>486</v>
      </c>
      <c r="L7" s="21" t="s">
        <v>481</v>
      </c>
      <c r="M7" s="21" t="s">
        <v>85</v>
      </c>
      <c r="N7" s="21" t="s">
        <v>86</v>
      </c>
      <c r="P7" t="str">
        <f t="shared" si="0"/>
        <v>BAT</v>
      </c>
      <c r="Q7">
        <f t="shared" si="1"/>
        <v>0.20477401519184202</v>
      </c>
      <c r="R7">
        <v>0.22422048</v>
      </c>
      <c r="S7">
        <f t="shared" si="2"/>
        <v>22213.090347543221</v>
      </c>
      <c r="T7" t="str">
        <f t="shared" si="3"/>
        <v xml:space="preserve">'BAT', </v>
      </c>
      <c r="V7" s="3" t="s">
        <v>91</v>
      </c>
      <c r="W7" s="8"/>
      <c r="X7" s="8"/>
      <c r="Y7" s="8"/>
      <c r="Z7" s="8"/>
      <c r="AA7" s="8"/>
      <c r="AB7" s="8"/>
      <c r="AC7" s="8">
        <v>15736094.66368779</v>
      </c>
      <c r="AD7" s="8"/>
      <c r="AE7" s="8">
        <v>15736094.66368779</v>
      </c>
      <c r="AF7" s="8"/>
      <c r="AG7" s="8"/>
      <c r="AH7" s="8"/>
      <c r="AJ7" s="27" t="s">
        <v>195</v>
      </c>
      <c r="AK7" s="44">
        <v>-200</v>
      </c>
      <c r="AL7">
        <v>-11339.45353149857</v>
      </c>
      <c r="AN7" t="s">
        <v>86</v>
      </c>
      <c r="AO7" t="s">
        <v>35</v>
      </c>
      <c r="AP7">
        <v>4.2548999999999998E-3</v>
      </c>
      <c r="AR7" s="4" t="s">
        <v>122</v>
      </c>
      <c r="AS7" s="42">
        <v>25.399726000000001</v>
      </c>
    </row>
    <row r="8" spans="1:48" x14ac:dyDescent="0.25">
      <c r="A8">
        <v>6</v>
      </c>
      <c r="B8" t="s">
        <v>83</v>
      </c>
      <c r="C8" s="1">
        <v>647.60989974999995</v>
      </c>
      <c r="E8" t="s">
        <v>20</v>
      </c>
      <c r="F8" t="s">
        <v>479</v>
      </c>
      <c r="G8" s="22">
        <v>20230112</v>
      </c>
      <c r="H8" s="56">
        <v>44939.000003356479</v>
      </c>
      <c r="I8">
        <v>77525.682974275202</v>
      </c>
      <c r="K8" s="21" t="s">
        <v>487</v>
      </c>
      <c r="L8" s="21" t="s">
        <v>481</v>
      </c>
      <c r="M8" s="21" t="s">
        <v>85</v>
      </c>
      <c r="N8" s="21" t="s">
        <v>86</v>
      </c>
      <c r="P8" t="str">
        <f t="shared" si="0"/>
        <v>BCH</v>
      </c>
      <c r="Q8">
        <f t="shared" si="1"/>
        <v>119.71046613741208</v>
      </c>
      <c r="R8">
        <v>103.98</v>
      </c>
      <c r="S8">
        <f t="shared" si="2"/>
        <v>67338.477376005001</v>
      </c>
      <c r="T8" t="str">
        <f t="shared" si="3"/>
        <v xml:space="preserve">'BCH', </v>
      </c>
      <c r="V8" s="3" t="s">
        <v>194</v>
      </c>
      <c r="W8" s="8"/>
      <c r="X8" s="8"/>
      <c r="Y8" s="8"/>
      <c r="Z8" s="8"/>
      <c r="AA8" s="8"/>
      <c r="AB8" s="8"/>
      <c r="AC8" s="8">
        <v>-6005721140.2242556</v>
      </c>
      <c r="AD8" s="8"/>
      <c r="AE8" s="8">
        <v>-6005721140.2242556</v>
      </c>
      <c r="AF8" s="8"/>
      <c r="AG8" s="8"/>
      <c r="AH8" s="8"/>
      <c r="AJ8" s="4" t="s">
        <v>84</v>
      </c>
      <c r="AK8" s="44">
        <v>8311.9752350000017</v>
      </c>
      <c r="AL8">
        <v>2744.0073319859648</v>
      </c>
      <c r="AN8" t="s">
        <v>86</v>
      </c>
      <c r="AO8" t="s">
        <v>187</v>
      </c>
      <c r="AP8">
        <v>359.80767796999999</v>
      </c>
      <c r="AR8" s="4" t="s">
        <v>35</v>
      </c>
      <c r="AS8" s="42">
        <v>4.2548999999999998E-3</v>
      </c>
    </row>
    <row r="9" spans="1:48" x14ac:dyDescent="0.25">
      <c r="A9">
        <v>7</v>
      </c>
      <c r="B9" t="s">
        <v>83</v>
      </c>
      <c r="C9" s="1">
        <v>36.319834</v>
      </c>
      <c r="E9" t="s">
        <v>87</v>
      </c>
      <c r="F9" t="s">
        <v>479</v>
      </c>
      <c r="G9" s="22">
        <v>20230112</v>
      </c>
      <c r="H9" s="56">
        <v>44939.000003356479</v>
      </c>
      <c r="I9">
        <v>10453.2962784585</v>
      </c>
      <c r="K9" s="21" t="s">
        <v>488</v>
      </c>
      <c r="L9" s="21" t="s">
        <v>481</v>
      </c>
      <c r="M9" s="21" t="s">
        <v>85</v>
      </c>
      <c r="N9" s="21" t="s">
        <v>86</v>
      </c>
      <c r="P9" t="str">
        <f t="shared" si="0"/>
        <v>BNB</v>
      </c>
      <c r="Q9">
        <f t="shared" si="1"/>
        <v>287.81233632451347</v>
      </c>
      <c r="R9">
        <v>268.61020000000002</v>
      </c>
      <c r="S9">
        <f t="shared" si="2"/>
        <v>9755.8778747068009</v>
      </c>
      <c r="T9" t="str">
        <f t="shared" si="3"/>
        <v xml:space="preserve">'BNB', </v>
      </c>
      <c r="V9" s="3" t="s">
        <v>18</v>
      </c>
      <c r="W9" s="8">
        <v>46712223.521003865</v>
      </c>
      <c r="X9" s="8"/>
      <c r="Y9" s="8"/>
      <c r="Z9" s="8"/>
      <c r="AA9" s="8">
        <v>2628589.32911707</v>
      </c>
      <c r="AB9" s="8"/>
      <c r="AC9" s="8"/>
      <c r="AD9" s="8"/>
      <c r="AE9" s="8">
        <v>49340812.850120932</v>
      </c>
      <c r="AF9" s="8"/>
      <c r="AG9" s="8"/>
      <c r="AH9" s="8"/>
      <c r="AJ9" s="27" t="s">
        <v>85</v>
      </c>
      <c r="AK9" s="44">
        <v>28311.975235000002</v>
      </c>
      <c r="AL9">
        <v>9346.5470518627026</v>
      </c>
      <c r="AN9" t="s">
        <v>86</v>
      </c>
      <c r="AO9" t="s">
        <v>187</v>
      </c>
      <c r="AP9">
        <v>-500</v>
      </c>
      <c r="AR9" s="4" t="s">
        <v>187</v>
      </c>
      <c r="AS9" s="42">
        <v>-140.19232203000001</v>
      </c>
    </row>
    <row r="10" spans="1:48" x14ac:dyDescent="0.25">
      <c r="A10">
        <v>8</v>
      </c>
      <c r="B10" t="s">
        <v>83</v>
      </c>
      <c r="C10" s="1">
        <v>54.877967439999999</v>
      </c>
      <c r="E10" t="s">
        <v>14</v>
      </c>
      <c r="F10" t="s">
        <v>479</v>
      </c>
      <c r="G10" s="22">
        <v>20230112</v>
      </c>
      <c r="H10" s="56">
        <v>44939.000003356479</v>
      </c>
      <c r="I10">
        <v>1035524.63890307</v>
      </c>
      <c r="K10" s="21" t="s">
        <v>489</v>
      </c>
      <c r="L10" s="21" t="s">
        <v>481</v>
      </c>
      <c r="M10" s="21" t="s">
        <v>85</v>
      </c>
      <c r="N10" s="21" t="s">
        <v>86</v>
      </c>
      <c r="P10" t="str">
        <f t="shared" si="0"/>
        <v>BTC</v>
      </c>
      <c r="Q10">
        <f t="shared" si="1"/>
        <v>18869.588055265445</v>
      </c>
      <c r="R10">
        <v>16719.740000000002</v>
      </c>
      <c r="S10">
        <f t="shared" si="2"/>
        <v>917545.34732526564</v>
      </c>
      <c r="T10" t="str">
        <f t="shared" si="3"/>
        <v xml:space="preserve">'BTC', </v>
      </c>
      <c r="V10" s="3" t="s">
        <v>299</v>
      </c>
      <c r="W10" s="8">
        <v>1966905.2624124701</v>
      </c>
      <c r="X10" s="8"/>
      <c r="Y10" s="8"/>
      <c r="Z10" s="8"/>
      <c r="AA10" s="8">
        <v>-11749.007398719999</v>
      </c>
      <c r="AB10" s="8"/>
      <c r="AC10" s="8"/>
      <c r="AD10" s="8"/>
      <c r="AE10" s="8">
        <v>1955156.2550137502</v>
      </c>
      <c r="AF10" s="8"/>
      <c r="AG10" s="8"/>
      <c r="AH10" s="8"/>
      <c r="AJ10" s="27" t="s">
        <v>195</v>
      </c>
      <c r="AK10" s="44">
        <v>-20000</v>
      </c>
      <c r="AL10">
        <v>-6602.5397198767378</v>
      </c>
      <c r="AN10" t="s">
        <v>86</v>
      </c>
      <c r="AO10" t="s">
        <v>124</v>
      </c>
      <c r="AP10">
        <v>25156.055035879999</v>
      </c>
      <c r="AR10" s="4" t="s">
        <v>124</v>
      </c>
      <c r="AS10" s="42">
        <v>-4843.9449641200008</v>
      </c>
      <c r="AV10">
        <v>-1081.7570189400001</v>
      </c>
    </row>
    <row r="11" spans="1:48" x14ac:dyDescent="0.25">
      <c r="A11">
        <v>9</v>
      </c>
      <c r="B11" t="s">
        <v>83</v>
      </c>
      <c r="C11" s="1">
        <v>926.54662797000003</v>
      </c>
      <c r="E11" t="s">
        <v>88</v>
      </c>
      <c r="F11" t="s">
        <v>479</v>
      </c>
      <c r="G11" s="22">
        <v>20230112</v>
      </c>
      <c r="H11" s="56">
        <v>44939.000003356479</v>
      </c>
      <c r="I11">
        <v>926.84225655627404</v>
      </c>
      <c r="K11" s="21" t="s">
        <v>490</v>
      </c>
      <c r="L11" s="21" t="s">
        <v>481</v>
      </c>
      <c r="M11" s="21" t="s">
        <v>85</v>
      </c>
      <c r="N11" s="21" t="s">
        <v>86</v>
      </c>
      <c r="P11" t="str">
        <f t="shared" si="0"/>
        <v>BUSD</v>
      </c>
      <c r="Q11">
        <f t="shared" si="1"/>
        <v>1.0003190649853442</v>
      </c>
      <c r="R11">
        <v>1.0002433738949958</v>
      </c>
      <c r="S11">
        <f t="shared" si="2"/>
        <v>926.77212523174433</v>
      </c>
      <c r="T11" t="str">
        <f t="shared" si="3"/>
        <v xml:space="preserve">'BUSD', </v>
      </c>
      <c r="V11" s="3" t="s">
        <v>93</v>
      </c>
      <c r="W11" s="8"/>
      <c r="X11" s="8"/>
      <c r="Y11" s="8"/>
      <c r="Z11" s="8"/>
      <c r="AA11" s="8"/>
      <c r="AB11" s="8"/>
      <c r="AC11" s="8">
        <v>30.064147470000002</v>
      </c>
      <c r="AD11" s="8"/>
      <c r="AE11" s="8">
        <v>30.064147470000002</v>
      </c>
      <c r="AF11" s="8"/>
      <c r="AG11" s="8"/>
      <c r="AH11" s="8"/>
      <c r="AJ11" s="4" t="s">
        <v>122</v>
      </c>
      <c r="AK11" s="44">
        <v>25.399726000000001</v>
      </c>
      <c r="AL11">
        <v>6.6592121155059782</v>
      </c>
      <c r="AN11" t="s">
        <v>86</v>
      </c>
      <c r="AO11" t="s">
        <v>124</v>
      </c>
      <c r="AP11">
        <v>-30000</v>
      </c>
      <c r="AR11" s="4" t="s">
        <v>20</v>
      </c>
      <c r="AS11" s="42">
        <v>1.0294571799999943</v>
      </c>
      <c r="AV11">
        <v>1920.99591691</v>
      </c>
    </row>
    <row r="12" spans="1:48" x14ac:dyDescent="0.25">
      <c r="A12">
        <v>10</v>
      </c>
      <c r="B12" t="s">
        <v>83</v>
      </c>
      <c r="C12" s="1">
        <v>2144.7124639100002</v>
      </c>
      <c r="E12" t="s">
        <v>31</v>
      </c>
      <c r="F12" t="s">
        <v>479</v>
      </c>
      <c r="G12" s="22">
        <v>20230112</v>
      </c>
      <c r="H12" s="56">
        <v>44939.000003356479</v>
      </c>
      <c r="I12">
        <v>80869.425103363305</v>
      </c>
      <c r="K12" s="21" t="s">
        <v>491</v>
      </c>
      <c r="L12" s="21" t="s">
        <v>481</v>
      </c>
      <c r="M12" s="21" t="s">
        <v>85</v>
      </c>
      <c r="N12" s="21" t="s">
        <v>86</v>
      </c>
      <c r="P12" t="str">
        <f t="shared" si="0"/>
        <v>COMP</v>
      </c>
      <c r="Q12">
        <f t="shared" si="1"/>
        <v>37.706418209521289</v>
      </c>
      <c r="R12">
        <v>39.366320000000002</v>
      </c>
      <c r="S12">
        <f t="shared" si="2"/>
        <v>84429.437162269518</v>
      </c>
      <c r="T12" t="str">
        <f t="shared" si="3"/>
        <v xml:space="preserve">'COMP', </v>
      </c>
      <c r="V12" s="3" t="s">
        <v>97</v>
      </c>
      <c r="W12" s="8"/>
      <c r="X12" s="8"/>
      <c r="Y12" s="8"/>
      <c r="Z12" s="8"/>
      <c r="AA12" s="8"/>
      <c r="AB12" s="8"/>
      <c r="AC12" s="8">
        <v>253663.06867432001</v>
      </c>
      <c r="AD12" s="8"/>
      <c r="AE12" s="8">
        <v>253663.06867432001</v>
      </c>
      <c r="AF12" s="8"/>
      <c r="AG12" s="8"/>
      <c r="AH12" s="8"/>
      <c r="AJ12" s="27" t="s">
        <v>85</v>
      </c>
      <c r="AK12" s="44">
        <v>25.399726000000001</v>
      </c>
      <c r="AL12">
        <v>6.6592121155059782</v>
      </c>
      <c r="AN12" t="s">
        <v>86</v>
      </c>
      <c r="AO12" t="s">
        <v>20</v>
      </c>
      <c r="AP12">
        <v>-90</v>
      </c>
      <c r="AR12" s="4" t="s">
        <v>87</v>
      </c>
      <c r="AS12" s="42">
        <v>2602.9167859499998</v>
      </c>
      <c r="AV12">
        <v>88.195337589999994</v>
      </c>
    </row>
    <row r="13" spans="1:48" x14ac:dyDescent="0.25">
      <c r="A13">
        <v>11</v>
      </c>
      <c r="B13" t="s">
        <v>83</v>
      </c>
      <c r="C13" s="1">
        <v>1.5637979999999999E-2</v>
      </c>
      <c r="E13" t="s">
        <v>188</v>
      </c>
      <c r="F13" t="s">
        <v>479</v>
      </c>
      <c r="G13" s="22">
        <v>20230112</v>
      </c>
      <c r="H13" s="56">
        <v>44939.000003356479</v>
      </c>
      <c r="I13">
        <v>1.0776384243842E-2</v>
      </c>
      <c r="K13" s="21" t="s">
        <v>492</v>
      </c>
      <c r="L13" s="21" t="s">
        <v>481</v>
      </c>
      <c r="M13" s="21" t="s">
        <v>85</v>
      </c>
      <c r="N13" s="21" t="s">
        <v>86</v>
      </c>
      <c r="P13" t="str">
        <f t="shared" si="0"/>
        <v>CRV</v>
      </c>
      <c r="Q13">
        <f t="shared" si="1"/>
        <v>0.6891161290551594</v>
      </c>
      <c r="R13">
        <v>0.55510000000000004</v>
      </c>
      <c r="S13">
        <f t="shared" si="2"/>
        <v>8.6806426980000004E-3</v>
      </c>
      <c r="T13" t="str">
        <f t="shared" si="3"/>
        <v xml:space="preserve">'CRV', </v>
      </c>
      <c r="V13" s="3" t="s">
        <v>100</v>
      </c>
      <c r="W13" s="8"/>
      <c r="X13" s="8"/>
      <c r="Y13" s="8"/>
      <c r="Z13" s="8"/>
      <c r="AA13" s="8"/>
      <c r="AB13" s="8"/>
      <c r="AC13" s="8">
        <v>27344674.248021707</v>
      </c>
      <c r="AD13" s="8"/>
      <c r="AE13" s="8">
        <v>27344674.248021707</v>
      </c>
      <c r="AF13" s="8"/>
      <c r="AG13" s="8"/>
      <c r="AH13" s="8"/>
      <c r="AJ13" s="4" t="s">
        <v>35</v>
      </c>
      <c r="AK13" s="44">
        <v>4.2548999999999998E-3</v>
      </c>
      <c r="AL13">
        <v>4.3299983536071208E-2</v>
      </c>
      <c r="AN13" t="s">
        <v>86</v>
      </c>
      <c r="AO13" t="s">
        <v>20</v>
      </c>
      <c r="AP13">
        <v>91.029457179999994</v>
      </c>
      <c r="AR13" s="4" t="s">
        <v>14</v>
      </c>
      <c r="AS13" s="42">
        <v>677.52234898000006</v>
      </c>
      <c r="AV13">
        <v>0</v>
      </c>
    </row>
    <row r="14" spans="1:48" x14ac:dyDescent="0.25">
      <c r="A14">
        <v>12</v>
      </c>
      <c r="B14" t="s">
        <v>83</v>
      </c>
      <c r="C14" s="1">
        <v>897.22841947999996</v>
      </c>
      <c r="E14" t="s">
        <v>132</v>
      </c>
      <c r="F14" t="s">
        <v>479</v>
      </c>
      <c r="G14" s="22">
        <v>20230112</v>
      </c>
      <c r="H14" s="56">
        <v>44939.000003356479</v>
      </c>
      <c r="I14">
        <v>44284.042928966599</v>
      </c>
      <c r="K14" s="21" t="s">
        <v>493</v>
      </c>
      <c r="L14" s="21" t="s">
        <v>481</v>
      </c>
      <c r="M14" s="21" t="s">
        <v>85</v>
      </c>
      <c r="N14" s="21" t="s">
        <v>86</v>
      </c>
      <c r="P14" t="str">
        <f t="shared" si="0"/>
        <v>DASH</v>
      </c>
      <c r="Q14">
        <f t="shared" si="1"/>
        <v>49.356487119112849</v>
      </c>
      <c r="R14">
        <v>8.5419999999999996E-2</v>
      </c>
      <c r="S14">
        <f t="shared" si="2"/>
        <v>76.641251591981586</v>
      </c>
      <c r="T14" t="str">
        <f t="shared" si="3"/>
        <v xml:space="preserve">'DASH', </v>
      </c>
      <c r="V14" s="3" t="s">
        <v>102</v>
      </c>
      <c r="W14" s="8"/>
      <c r="X14" s="8"/>
      <c r="Y14" s="8"/>
      <c r="Z14" s="8"/>
      <c r="AA14" s="8"/>
      <c r="AB14" s="8"/>
      <c r="AC14" s="8">
        <v>8968736.0602921993</v>
      </c>
      <c r="AD14" s="8"/>
      <c r="AE14" s="8">
        <v>8968736.0602921993</v>
      </c>
      <c r="AF14" s="8"/>
      <c r="AG14" s="8"/>
      <c r="AH14" s="8"/>
      <c r="AJ14" s="27" t="s">
        <v>85</v>
      </c>
      <c r="AK14" s="44">
        <v>4.2548999999999998E-3</v>
      </c>
      <c r="AL14">
        <v>4.3299983536071208E-2</v>
      </c>
      <c r="AN14" t="s">
        <v>86</v>
      </c>
      <c r="AO14" t="s">
        <v>87</v>
      </c>
      <c r="AP14">
        <v>2516.18097941</v>
      </c>
      <c r="AR14" s="4" t="s">
        <v>88</v>
      </c>
      <c r="AS14" s="42">
        <v>15434443.31398461</v>
      </c>
      <c r="AV14">
        <v>-900.07141582999998</v>
      </c>
    </row>
    <row r="15" spans="1:48" x14ac:dyDescent="0.25">
      <c r="A15">
        <v>13</v>
      </c>
      <c r="B15" t="s">
        <v>83</v>
      </c>
      <c r="C15" s="1">
        <v>572364.17811884999</v>
      </c>
      <c r="E15" t="s">
        <v>190</v>
      </c>
      <c r="F15" t="s">
        <v>479</v>
      </c>
      <c r="G15" s="22">
        <v>20230112</v>
      </c>
      <c r="H15" s="56">
        <v>44939.000003356479</v>
      </c>
      <c r="I15">
        <v>45952.679301803502</v>
      </c>
      <c r="K15" s="21" t="s">
        <v>494</v>
      </c>
      <c r="L15" s="21" t="s">
        <v>481</v>
      </c>
      <c r="M15" s="21" t="s">
        <v>85</v>
      </c>
      <c r="N15" s="21" t="s">
        <v>86</v>
      </c>
      <c r="P15" t="str">
        <f t="shared" si="0"/>
        <v>DOGE</v>
      </c>
      <c r="Q15">
        <f t="shared" si="1"/>
        <v>8.0285736002614655E-2</v>
      </c>
      <c r="R15">
        <v>5.6989999999999998</v>
      </c>
      <c r="S15">
        <f t="shared" si="2"/>
        <v>3261903.4510993259</v>
      </c>
      <c r="T15" t="str">
        <f t="shared" si="3"/>
        <v xml:space="preserve">'DOGE', </v>
      </c>
      <c r="V15" s="3" t="s">
        <v>104</v>
      </c>
      <c r="W15" s="8"/>
      <c r="X15" s="8"/>
      <c r="Y15" s="8"/>
      <c r="Z15" s="8"/>
      <c r="AA15" s="8"/>
      <c r="AB15" s="8"/>
      <c r="AC15" s="8">
        <v>10628535.39115072</v>
      </c>
      <c r="AD15" s="8"/>
      <c r="AE15" s="8">
        <v>10628535.39115072</v>
      </c>
      <c r="AF15" s="8"/>
      <c r="AG15" s="8"/>
      <c r="AH15" s="8"/>
      <c r="AJ15" s="4" t="s">
        <v>187</v>
      </c>
      <c r="AK15" s="44">
        <v>-138.49232203000003</v>
      </c>
      <c r="AL15">
        <v>-1807.6045965439862</v>
      </c>
      <c r="AN15" t="s">
        <v>86</v>
      </c>
      <c r="AO15" t="s">
        <v>87</v>
      </c>
      <c r="AP15">
        <v>86.735806530000005</v>
      </c>
      <c r="AR15" s="4" t="s">
        <v>31</v>
      </c>
      <c r="AS15" s="42">
        <v>-4763.1309661300002</v>
      </c>
      <c r="AV15">
        <v>-628.89498469</v>
      </c>
    </row>
    <row r="16" spans="1:48" x14ac:dyDescent="0.25">
      <c r="A16">
        <v>14</v>
      </c>
      <c r="B16" t="s">
        <v>83</v>
      </c>
      <c r="C16" s="1">
        <v>4160.7489116799998</v>
      </c>
      <c r="E16" t="s">
        <v>22</v>
      </c>
      <c r="F16" t="s">
        <v>479</v>
      </c>
      <c r="G16" s="22">
        <v>20230112</v>
      </c>
      <c r="H16" s="56">
        <v>44939.000003356479</v>
      </c>
      <c r="I16">
        <v>21758.5446436567</v>
      </c>
      <c r="K16" s="21" t="s">
        <v>495</v>
      </c>
      <c r="L16" s="21" t="s">
        <v>481</v>
      </c>
      <c r="M16" s="21" t="s">
        <v>85</v>
      </c>
      <c r="N16" s="21" t="s">
        <v>86</v>
      </c>
      <c r="P16" t="str">
        <f t="shared" si="0"/>
        <v>DOT</v>
      </c>
      <c r="Q16">
        <f t="shared" si="1"/>
        <v>5.2294779390739965</v>
      </c>
      <c r="R16">
        <v>0.30611965000000002</v>
      </c>
      <c r="S16">
        <f t="shared" si="2"/>
        <v>1273.6870005813626</v>
      </c>
      <c r="T16" t="str">
        <f t="shared" si="3"/>
        <v xml:space="preserve">'DOT', </v>
      </c>
      <c r="V16" s="3" t="s">
        <v>105</v>
      </c>
      <c r="W16" s="8"/>
      <c r="X16" s="8"/>
      <c r="Y16" s="8"/>
      <c r="Z16" s="8"/>
      <c r="AA16" s="8"/>
      <c r="AB16" s="8"/>
      <c r="AC16" s="8">
        <v>1226.15282757</v>
      </c>
      <c r="AD16" s="8"/>
      <c r="AE16" s="8">
        <v>1226.15282757</v>
      </c>
      <c r="AF16" s="8"/>
      <c r="AG16" s="8"/>
      <c r="AH16" s="8"/>
      <c r="AJ16" s="27" t="s">
        <v>85</v>
      </c>
      <c r="AK16" s="44">
        <v>361.50767796999997</v>
      </c>
      <c r="AL16">
        <v>4718.4055462869874</v>
      </c>
      <c r="AN16" t="s">
        <v>86</v>
      </c>
      <c r="AO16" t="s">
        <v>87</v>
      </c>
      <c r="AP16" s="29">
        <v>1E-8</v>
      </c>
      <c r="AR16" s="4" t="s">
        <v>188</v>
      </c>
      <c r="AS16" s="42">
        <v>1.5637979999999999E-2</v>
      </c>
    </row>
    <row r="17" spans="1:49" x14ac:dyDescent="0.25">
      <c r="A17">
        <v>15</v>
      </c>
      <c r="B17" t="s">
        <v>83</v>
      </c>
      <c r="C17" s="1">
        <v>46415.886590100003</v>
      </c>
      <c r="E17" t="s">
        <v>28</v>
      </c>
      <c r="F17" t="s">
        <v>479</v>
      </c>
      <c r="G17" s="22">
        <v>20230112</v>
      </c>
      <c r="H17" s="56">
        <v>44939.000003356479</v>
      </c>
      <c r="I17">
        <v>14114.894680797301</v>
      </c>
      <c r="K17" s="21" t="s">
        <v>496</v>
      </c>
      <c r="L17" s="21" t="s">
        <v>481</v>
      </c>
      <c r="M17" s="21" t="s">
        <v>85</v>
      </c>
      <c r="N17" s="21" t="s">
        <v>86</v>
      </c>
      <c r="P17" t="str">
        <f t="shared" si="0"/>
        <v>ENJ</v>
      </c>
      <c r="Q17">
        <f t="shared" si="1"/>
        <v>0.3040961989037575</v>
      </c>
      <c r="R17">
        <v>0.90154135000000002</v>
      </c>
      <c r="S17">
        <f t="shared" si="2"/>
        <v>41845.841057885656</v>
      </c>
      <c r="T17" t="str">
        <f t="shared" si="3"/>
        <v xml:space="preserve">'ENJ', </v>
      </c>
      <c r="V17" s="3" t="s">
        <v>259</v>
      </c>
      <c r="W17" s="8">
        <v>118588.3</v>
      </c>
      <c r="X17" s="8"/>
      <c r="Y17" s="8"/>
      <c r="Z17" s="8"/>
      <c r="AA17" s="8"/>
      <c r="AB17" s="8"/>
      <c r="AC17" s="8"/>
      <c r="AD17" s="8"/>
      <c r="AE17" s="8">
        <v>118588.3</v>
      </c>
      <c r="AF17" s="8"/>
      <c r="AG17" s="8"/>
      <c r="AH17" s="8"/>
      <c r="AJ17" s="27" t="s">
        <v>195</v>
      </c>
      <c r="AK17" s="44">
        <v>-500</v>
      </c>
      <c r="AL17">
        <v>-6526.0101428309736</v>
      </c>
      <c r="AN17" t="s">
        <v>86</v>
      </c>
      <c r="AO17" t="s">
        <v>14</v>
      </c>
      <c r="AP17">
        <v>823.10059785999999</v>
      </c>
      <c r="AR17" s="4" t="s">
        <v>190</v>
      </c>
      <c r="AS17" s="42">
        <v>-118389.52953572999</v>
      </c>
    </row>
    <row r="18" spans="1:49" x14ac:dyDescent="0.25">
      <c r="A18">
        <v>16</v>
      </c>
      <c r="B18" t="s">
        <v>83</v>
      </c>
      <c r="C18" s="1">
        <v>91912.112699999998</v>
      </c>
      <c r="E18" t="s">
        <v>23</v>
      </c>
      <c r="F18" t="s">
        <v>479</v>
      </c>
      <c r="G18" s="22">
        <v>20230112</v>
      </c>
      <c r="H18" s="56">
        <v>44939.000003356479</v>
      </c>
      <c r="I18">
        <v>91015.278128606806</v>
      </c>
      <c r="K18" s="21" t="s">
        <v>497</v>
      </c>
      <c r="L18" s="21" t="s">
        <v>481</v>
      </c>
      <c r="M18" s="21" t="s">
        <v>85</v>
      </c>
      <c r="N18" s="21" t="s">
        <v>86</v>
      </c>
      <c r="P18" t="str">
        <f t="shared" si="0"/>
        <v>EOS</v>
      </c>
      <c r="Q18">
        <f t="shared" si="1"/>
        <v>0.99024247680694222</v>
      </c>
      <c r="R18">
        <v>1208.73</v>
      </c>
      <c r="S18">
        <f t="shared" si="2"/>
        <v>111096927.983871</v>
      </c>
      <c r="T18" t="str">
        <f t="shared" si="3"/>
        <v xml:space="preserve">'EOS', </v>
      </c>
      <c r="V18" s="3" t="s">
        <v>285</v>
      </c>
      <c r="W18" s="8"/>
      <c r="X18" s="8"/>
      <c r="Y18" s="8">
        <v>0.29792891999999999</v>
      </c>
      <c r="Z18" s="8">
        <v>12553.524226160001</v>
      </c>
      <c r="AA18" s="8"/>
      <c r="AB18" s="8">
        <v>13985.66844722</v>
      </c>
      <c r="AC18" s="8"/>
      <c r="AD18" s="8"/>
      <c r="AE18" s="8">
        <v>26539.4906023</v>
      </c>
      <c r="AF18" s="8"/>
      <c r="AG18" s="8"/>
      <c r="AH18" s="8"/>
      <c r="AJ18" s="4" t="s">
        <v>124</v>
      </c>
      <c r="AK18" s="44">
        <v>-4843.9449641200008</v>
      </c>
      <c r="AL18">
        <v>-1080.6828501880073</v>
      </c>
      <c r="AN18" t="s">
        <v>86</v>
      </c>
      <c r="AO18" t="s">
        <v>14</v>
      </c>
      <c r="AP18">
        <v>38.26334335</v>
      </c>
      <c r="AR18" s="4" t="s">
        <v>22</v>
      </c>
      <c r="AS18" s="42">
        <v>-0.98473884000009093</v>
      </c>
    </row>
    <row r="19" spans="1:49" x14ac:dyDescent="0.25">
      <c r="A19">
        <v>17</v>
      </c>
      <c r="B19" t="s">
        <v>83</v>
      </c>
      <c r="C19" s="1">
        <v>30.1417</v>
      </c>
      <c r="E19" t="s">
        <v>15</v>
      </c>
      <c r="F19" t="s">
        <v>479</v>
      </c>
      <c r="G19" s="22">
        <v>20230112</v>
      </c>
      <c r="H19" s="56">
        <v>44939.000003356479</v>
      </c>
      <c r="I19">
        <v>42739.0775820614</v>
      </c>
      <c r="K19" s="21" t="s">
        <v>498</v>
      </c>
      <c r="L19" s="21" t="s">
        <v>481</v>
      </c>
      <c r="M19" s="21" t="s">
        <v>85</v>
      </c>
      <c r="N19" s="21" t="s">
        <v>86</v>
      </c>
      <c r="P19" t="str">
        <f t="shared" si="0"/>
        <v>ETH</v>
      </c>
      <c r="Q19">
        <f t="shared" si="1"/>
        <v>1417.938523111218</v>
      </c>
      <c r="R19">
        <v>1.0364599999999999</v>
      </c>
      <c r="S19">
        <f t="shared" si="2"/>
        <v>31.240666381999997</v>
      </c>
      <c r="T19" t="str">
        <f t="shared" si="3"/>
        <v xml:space="preserve">'ETH', </v>
      </c>
      <c r="V19" s="3" t="s">
        <v>300</v>
      </c>
      <c r="W19" s="8"/>
      <c r="X19" s="8"/>
      <c r="Y19" s="8"/>
      <c r="Z19" s="8"/>
      <c r="AA19" s="8"/>
      <c r="AB19" s="8">
        <v>85841.961448179994</v>
      </c>
      <c r="AC19" s="8"/>
      <c r="AD19" s="8"/>
      <c r="AE19" s="8">
        <v>85841.961448179994</v>
      </c>
      <c r="AF19" s="8"/>
      <c r="AG19" s="8"/>
      <c r="AH19" s="8"/>
      <c r="AJ19" s="27" t="s">
        <v>85</v>
      </c>
      <c r="AK19" s="44">
        <v>25156.055035879999</v>
      </c>
      <c r="AL19">
        <v>5612.3092762264696</v>
      </c>
      <c r="AN19" t="s">
        <v>86</v>
      </c>
      <c r="AO19" t="s">
        <v>14</v>
      </c>
      <c r="AP19">
        <v>-183.84159223</v>
      </c>
      <c r="AR19" s="4" t="s">
        <v>23</v>
      </c>
      <c r="AS19" s="42">
        <v>234649.4014</v>
      </c>
    </row>
    <row r="20" spans="1:49" x14ac:dyDescent="0.25">
      <c r="A20">
        <v>18</v>
      </c>
      <c r="B20" t="s">
        <v>83</v>
      </c>
      <c r="C20" s="1">
        <v>799777.3893865</v>
      </c>
      <c r="E20" t="s">
        <v>107</v>
      </c>
      <c r="F20" t="s">
        <v>479</v>
      </c>
      <c r="G20" s="22">
        <v>20230112</v>
      </c>
      <c r="H20" s="56">
        <v>44939.000003356479</v>
      </c>
      <c r="I20">
        <v>867934.41851001699</v>
      </c>
      <c r="K20" s="21" t="s">
        <v>499</v>
      </c>
      <c r="L20" s="21" t="s">
        <v>481</v>
      </c>
      <c r="M20" s="21" t="s">
        <v>85</v>
      </c>
      <c r="N20" s="21" t="s">
        <v>86</v>
      </c>
      <c r="P20" t="str">
        <f t="shared" si="0"/>
        <v>EUR</v>
      </c>
      <c r="Q20">
        <f t="shared" si="1"/>
        <v>1.0852199999999994</v>
      </c>
      <c r="R20">
        <v>4.3366579999999999</v>
      </c>
      <c r="S20">
        <f t="shared" si="2"/>
        <v>3468361.0139020802</v>
      </c>
      <c r="T20" t="str">
        <f t="shared" si="3"/>
        <v xml:space="preserve">'EUR', </v>
      </c>
      <c r="V20" s="3" t="s">
        <v>304</v>
      </c>
      <c r="W20" s="8"/>
      <c r="X20" s="8"/>
      <c r="Y20" s="8"/>
      <c r="Z20" s="8"/>
      <c r="AA20" s="8"/>
      <c r="AB20" s="8">
        <v>1006534.1803422499</v>
      </c>
      <c r="AC20" s="8"/>
      <c r="AD20" s="8"/>
      <c r="AE20" s="8">
        <v>1006534.1803422499</v>
      </c>
      <c r="AF20" s="8"/>
      <c r="AG20" s="8"/>
      <c r="AH20" s="8"/>
      <c r="AJ20" s="27" t="s">
        <v>195</v>
      </c>
      <c r="AK20" s="44">
        <v>-30000</v>
      </c>
      <c r="AL20">
        <v>-6692.9921264144768</v>
      </c>
      <c r="AN20" t="s">
        <v>86</v>
      </c>
      <c r="AO20" t="s">
        <v>88</v>
      </c>
      <c r="AP20">
        <v>18100000</v>
      </c>
      <c r="AR20" s="4" t="s">
        <v>29</v>
      </c>
      <c r="AS20" s="42">
        <v>0.15721859999999999</v>
      </c>
    </row>
    <row r="21" spans="1:49" x14ac:dyDescent="0.25">
      <c r="A21">
        <v>19</v>
      </c>
      <c r="B21" t="s">
        <v>83</v>
      </c>
      <c r="C21" s="1">
        <v>0.19800000000000001</v>
      </c>
      <c r="E21" t="s">
        <v>30</v>
      </c>
      <c r="F21" t="s">
        <v>479</v>
      </c>
      <c r="G21" s="22">
        <v>20230112</v>
      </c>
      <c r="H21" s="56">
        <v>44939.000003356479</v>
      </c>
      <c r="I21">
        <v>0.7629464615821</v>
      </c>
      <c r="K21" s="21" t="s">
        <v>500</v>
      </c>
      <c r="L21" s="21" t="s">
        <v>481</v>
      </c>
      <c r="M21" s="21" t="s">
        <v>85</v>
      </c>
      <c r="N21" s="21" t="s">
        <v>86</v>
      </c>
      <c r="P21" t="str">
        <f t="shared" si="0"/>
        <v>FIL</v>
      </c>
      <c r="Q21">
        <f t="shared" si="1"/>
        <v>3.8532649574853535</v>
      </c>
      <c r="R21">
        <v>0.17945811</v>
      </c>
      <c r="S21">
        <f t="shared" si="2"/>
        <v>3.553270578E-2</v>
      </c>
      <c r="T21" t="str">
        <f t="shared" si="3"/>
        <v xml:space="preserve">'FIL', </v>
      </c>
      <c r="V21" s="3" t="s">
        <v>305</v>
      </c>
      <c r="W21" s="8"/>
      <c r="X21" s="8"/>
      <c r="Y21" s="8">
        <v>1774.5303259100001</v>
      </c>
      <c r="Z21" s="8">
        <v>1556.75028071</v>
      </c>
      <c r="AA21" s="8"/>
      <c r="AB21" s="8">
        <v>4.5371115499999997</v>
      </c>
      <c r="AC21" s="8"/>
      <c r="AD21" s="8"/>
      <c r="AE21" s="8">
        <v>3335.8177181700003</v>
      </c>
      <c r="AF21" s="8"/>
      <c r="AG21" s="8"/>
      <c r="AH21" s="8"/>
      <c r="AJ21" s="4" t="s">
        <v>20</v>
      </c>
      <c r="AK21" s="44">
        <v>1.0294571799999943</v>
      </c>
      <c r="AL21">
        <v>102.58181269224224</v>
      </c>
      <c r="AN21" t="s">
        <v>86</v>
      </c>
      <c r="AO21" t="s">
        <v>88</v>
      </c>
      <c r="AP21">
        <v>2114122.1871344098</v>
      </c>
      <c r="AR21" s="4" t="s">
        <v>15</v>
      </c>
      <c r="AS21" s="42">
        <v>6844.1409846100005</v>
      </c>
    </row>
    <row r="22" spans="1:49" x14ac:dyDescent="0.25">
      <c r="A22">
        <v>20</v>
      </c>
      <c r="B22" t="s">
        <v>83</v>
      </c>
      <c r="C22" s="1">
        <v>270803.45285949</v>
      </c>
      <c r="E22" t="s">
        <v>191</v>
      </c>
      <c r="F22" t="s">
        <v>479</v>
      </c>
      <c r="G22" s="22">
        <v>20230112</v>
      </c>
      <c r="H22" s="56">
        <v>44939.000003356479</v>
      </c>
      <c r="I22">
        <v>74050.348254760494</v>
      </c>
      <c r="K22" s="21" t="s">
        <v>501</v>
      </c>
      <c r="L22" s="21" t="s">
        <v>481</v>
      </c>
      <c r="M22" s="21" t="s">
        <v>85</v>
      </c>
      <c r="N22" s="21" t="s">
        <v>86</v>
      </c>
      <c r="P22" t="str">
        <f t="shared" si="0"/>
        <v>FTM</v>
      </c>
      <c r="Q22">
        <f t="shared" si="1"/>
        <v>0.27344683929559238</v>
      </c>
      <c r="R22">
        <v>6.2919999999999998</v>
      </c>
      <c r="S22">
        <f t="shared" si="2"/>
        <v>1703895.325391911</v>
      </c>
      <c r="T22" t="str">
        <f t="shared" si="3"/>
        <v xml:space="preserve">'FTM', </v>
      </c>
      <c r="V22" s="3" t="s">
        <v>33</v>
      </c>
      <c r="W22" s="8"/>
      <c r="X22" s="8"/>
      <c r="Y22" s="8"/>
      <c r="Z22" s="8"/>
      <c r="AA22" s="8"/>
      <c r="AB22" s="8"/>
      <c r="AC22" s="8">
        <v>174960.64689599999</v>
      </c>
      <c r="AD22" s="8"/>
      <c r="AE22" s="8">
        <v>174960.64689599999</v>
      </c>
      <c r="AF22" s="8"/>
      <c r="AG22" s="8"/>
      <c r="AH22" s="8"/>
      <c r="AJ22" s="27" t="s">
        <v>85</v>
      </c>
      <c r="AK22" s="44">
        <v>91.029457179999994</v>
      </c>
      <c r="AL22">
        <v>9070.7674950747351</v>
      </c>
      <c r="AN22" t="s">
        <v>86</v>
      </c>
      <c r="AO22" t="s">
        <v>88</v>
      </c>
      <c r="AP22">
        <v>-4779678.8731498001</v>
      </c>
      <c r="AR22" s="4" t="s">
        <v>107</v>
      </c>
      <c r="AS22" s="42">
        <v>668899.17272104998</v>
      </c>
    </row>
    <row r="23" spans="1:49" x14ac:dyDescent="0.25">
      <c r="A23">
        <v>21</v>
      </c>
      <c r="B23" t="s">
        <v>83</v>
      </c>
      <c r="C23" s="1">
        <v>186945.44699999999</v>
      </c>
      <c r="E23" t="s">
        <v>415</v>
      </c>
      <c r="F23" t="s">
        <v>479</v>
      </c>
      <c r="G23" s="22">
        <v>20230112</v>
      </c>
      <c r="H23" s="56">
        <v>44939.000003356479</v>
      </c>
      <c r="I23">
        <v>13740.856450371801</v>
      </c>
      <c r="K23" s="21" t="s">
        <v>840</v>
      </c>
      <c r="L23" s="21" t="s">
        <v>481</v>
      </c>
      <c r="M23" s="21" t="s">
        <v>85</v>
      </c>
      <c r="N23" s="21" t="s">
        <v>86</v>
      </c>
      <c r="P23" t="str">
        <f t="shared" si="0"/>
        <v>GRT</v>
      </c>
      <c r="Q23">
        <f t="shared" si="1"/>
        <v>7.3501958303225229E-2</v>
      </c>
      <c r="R23">
        <v>62.35</v>
      </c>
      <c r="S23">
        <f t="shared" si="2"/>
        <v>11656048.620449999</v>
      </c>
      <c r="T23" t="str">
        <f t="shared" si="3"/>
        <v xml:space="preserve">'GRT', </v>
      </c>
      <c r="V23" s="3" t="s">
        <v>237</v>
      </c>
      <c r="W23" s="8">
        <v>39244603.490000002</v>
      </c>
      <c r="X23" s="8"/>
      <c r="Y23" s="8"/>
      <c r="Z23" s="8"/>
      <c r="AA23" s="8"/>
      <c r="AB23" s="8"/>
      <c r="AC23" s="8"/>
      <c r="AD23" s="8"/>
      <c r="AE23" s="8">
        <v>39244603.490000002</v>
      </c>
      <c r="AF23" s="8"/>
      <c r="AG23" s="8"/>
      <c r="AH23" s="8"/>
      <c r="AJ23" s="27" t="s">
        <v>195</v>
      </c>
      <c r="AK23" s="44">
        <v>-90</v>
      </c>
      <c r="AL23">
        <v>-8968.1856823824928</v>
      </c>
      <c r="AN23" t="s">
        <v>86</v>
      </c>
      <c r="AO23" t="s">
        <v>31</v>
      </c>
      <c r="AP23">
        <v>36.869033870000003</v>
      </c>
      <c r="AR23" s="4" t="s">
        <v>30</v>
      </c>
      <c r="AS23" s="42">
        <v>0.19800000000000001</v>
      </c>
    </row>
    <row r="24" spans="1:49" x14ac:dyDescent="0.25">
      <c r="A24">
        <v>22</v>
      </c>
      <c r="B24" t="s">
        <v>83</v>
      </c>
      <c r="C24" s="1">
        <v>249422.74733057999</v>
      </c>
      <c r="E24" t="s">
        <v>135</v>
      </c>
      <c r="F24" t="s">
        <v>479</v>
      </c>
      <c r="G24" s="22">
        <v>20230112</v>
      </c>
      <c r="H24" s="56">
        <v>44939.000003356479</v>
      </c>
      <c r="I24">
        <v>11884.4044656608</v>
      </c>
      <c r="K24" s="21" t="s">
        <v>502</v>
      </c>
      <c r="L24" s="21" t="s">
        <v>481</v>
      </c>
      <c r="M24" s="21" t="s">
        <v>85</v>
      </c>
      <c r="N24" s="21" t="s">
        <v>86</v>
      </c>
      <c r="P24" t="str">
        <f t="shared" si="0"/>
        <v>HBAR</v>
      </c>
      <c r="Q24">
        <f t="shared" si="1"/>
        <v>4.764763676469911E-2</v>
      </c>
      <c r="R24">
        <v>0.41775250000000003</v>
      </c>
      <c r="S24">
        <f t="shared" si="2"/>
        <v>104196.97625421813</v>
      </c>
      <c r="T24" t="str">
        <f t="shared" si="3"/>
        <v xml:space="preserve">'HBAR', </v>
      </c>
      <c r="V24" s="3" t="s">
        <v>186</v>
      </c>
      <c r="W24" s="8"/>
      <c r="X24" s="8"/>
      <c r="Y24" s="8"/>
      <c r="Z24" s="8"/>
      <c r="AA24" s="8"/>
      <c r="AB24" s="8"/>
      <c r="AC24" s="8">
        <v>5137700.5682828585</v>
      </c>
      <c r="AD24" s="8"/>
      <c r="AE24" s="8">
        <v>5137700.5682828585</v>
      </c>
      <c r="AF24" s="8"/>
      <c r="AG24" s="8"/>
      <c r="AH24" s="8"/>
      <c r="AJ24" s="4" t="s">
        <v>87</v>
      </c>
      <c r="AK24" s="44">
        <v>2608.6483694500002</v>
      </c>
      <c r="AL24">
        <v>721498.47380898939</v>
      </c>
      <c r="AN24" t="s">
        <v>86</v>
      </c>
      <c r="AO24" t="s">
        <v>31</v>
      </c>
      <c r="AP24">
        <v>-4800</v>
      </c>
      <c r="AR24" s="4" t="s">
        <v>27</v>
      </c>
      <c r="AS24" s="42">
        <v>-879.41953096999998</v>
      </c>
    </row>
    <row r="25" spans="1:49" x14ac:dyDescent="0.25">
      <c r="A25">
        <v>23</v>
      </c>
      <c r="B25" t="s">
        <v>83</v>
      </c>
      <c r="C25" s="1">
        <v>8419.0230946600004</v>
      </c>
      <c r="E25" t="s">
        <v>27</v>
      </c>
      <c r="F25" t="s">
        <v>479</v>
      </c>
      <c r="G25" s="22">
        <v>20230112</v>
      </c>
      <c r="H25" s="56">
        <v>44939.000003356479</v>
      </c>
      <c r="I25">
        <v>53724.577714657004</v>
      </c>
      <c r="K25" s="21" t="s">
        <v>503</v>
      </c>
      <c r="L25" s="21" t="s">
        <v>481</v>
      </c>
      <c r="M25" s="21" t="s">
        <v>85</v>
      </c>
      <c r="N25" s="21" t="s">
        <v>86</v>
      </c>
      <c r="P25" t="str">
        <f t="shared" si="0"/>
        <v>LINK</v>
      </c>
      <c r="Q25">
        <f t="shared" si="1"/>
        <v>6.3813315524378726</v>
      </c>
      <c r="R25">
        <v>1.1276999999999999</v>
      </c>
      <c r="S25">
        <f t="shared" si="2"/>
        <v>9494.1323438480813</v>
      </c>
      <c r="T25" t="str">
        <f t="shared" si="3"/>
        <v xml:space="preserve">'LINK', </v>
      </c>
      <c r="V25" s="3" t="s">
        <v>106</v>
      </c>
      <c r="W25" s="8"/>
      <c r="X25" s="8"/>
      <c r="Y25" s="8"/>
      <c r="Z25" s="8"/>
      <c r="AA25" s="8"/>
      <c r="AB25" s="8"/>
      <c r="AC25" s="8">
        <v>45569755.842872329</v>
      </c>
      <c r="AD25" s="8"/>
      <c r="AE25" s="8">
        <v>45569755.842872329</v>
      </c>
      <c r="AF25" s="8"/>
      <c r="AG25" s="8"/>
      <c r="AH25" s="8"/>
      <c r="AJ25" s="27" t="s">
        <v>85</v>
      </c>
      <c r="AK25" s="44">
        <v>2608.6483694500002</v>
      </c>
      <c r="AL25">
        <v>721498.47380898939</v>
      </c>
      <c r="AN25" t="s">
        <v>86</v>
      </c>
      <c r="AO25" t="s">
        <v>188</v>
      </c>
      <c r="AP25">
        <v>1.5637979999999999E-2</v>
      </c>
      <c r="AR25" s="4" t="s">
        <v>24</v>
      </c>
      <c r="AS25" s="42">
        <v>-596.09387604999995</v>
      </c>
    </row>
    <row r="26" spans="1:49" x14ac:dyDescent="0.25">
      <c r="A26">
        <v>24</v>
      </c>
      <c r="B26" t="s">
        <v>83</v>
      </c>
      <c r="C26" s="1">
        <v>975.24722336000002</v>
      </c>
      <c r="E26" t="s">
        <v>24</v>
      </c>
      <c r="F26" t="s">
        <v>479</v>
      </c>
      <c r="G26" s="22">
        <v>20230112</v>
      </c>
      <c r="H26" s="56">
        <v>44939.000003356479</v>
      </c>
      <c r="I26">
        <v>83836.376080131799</v>
      </c>
      <c r="K26" s="21" t="s">
        <v>504</v>
      </c>
      <c r="L26" s="21" t="s">
        <v>481</v>
      </c>
      <c r="M26" s="21" t="s">
        <v>85</v>
      </c>
      <c r="N26" s="21" t="s">
        <v>86</v>
      </c>
      <c r="P26" t="str">
        <f t="shared" si="0"/>
        <v>LTC</v>
      </c>
      <c r="Q26">
        <f t="shared" si="1"/>
        <v>85.964229450756065</v>
      </c>
      <c r="R26">
        <v>8.09E-2</v>
      </c>
      <c r="S26">
        <f t="shared" si="2"/>
        <v>78.897500369824002</v>
      </c>
      <c r="T26" t="str">
        <f t="shared" si="3"/>
        <v xml:space="preserve">'LTC', </v>
      </c>
      <c r="V26" s="3" t="s">
        <v>198</v>
      </c>
      <c r="W26" s="8"/>
      <c r="X26" s="8"/>
      <c r="Y26" s="8"/>
      <c r="Z26" s="8"/>
      <c r="AA26" s="8"/>
      <c r="AB26" s="8"/>
      <c r="AC26" s="8">
        <v>-205773.38874420003</v>
      </c>
      <c r="AD26" s="8"/>
      <c r="AE26" s="8">
        <v>-205773.38874420003</v>
      </c>
      <c r="AF26" s="8"/>
      <c r="AG26" s="8"/>
      <c r="AH26" s="8"/>
      <c r="AJ26" s="4" t="s">
        <v>14</v>
      </c>
      <c r="AK26" s="44">
        <v>742.48935090999998</v>
      </c>
      <c r="AL26">
        <v>12142199.896539932</v>
      </c>
      <c r="AN26" t="s">
        <v>86</v>
      </c>
      <c r="AO26" t="s">
        <v>190</v>
      </c>
      <c r="AP26">
        <v>61610.470464270002</v>
      </c>
      <c r="AR26" s="4" t="s">
        <v>192</v>
      </c>
      <c r="AS26" s="42">
        <v>-15874.837827430001</v>
      </c>
    </row>
    <row r="27" spans="1:49" x14ac:dyDescent="0.25">
      <c r="A27">
        <v>25</v>
      </c>
      <c r="B27" t="s">
        <v>83</v>
      </c>
      <c r="C27" s="1">
        <v>54984.847193989997</v>
      </c>
      <c r="E27" t="s">
        <v>192</v>
      </c>
      <c r="F27" t="s">
        <v>479</v>
      </c>
      <c r="G27" s="22">
        <v>20230112</v>
      </c>
      <c r="H27" s="56">
        <v>44939.000003356479</v>
      </c>
      <c r="I27">
        <v>22678.630462443802</v>
      </c>
      <c r="K27" s="21" t="s">
        <v>505</v>
      </c>
      <c r="L27" s="21" t="s">
        <v>481</v>
      </c>
      <c r="M27" s="21" t="s">
        <v>85</v>
      </c>
      <c r="N27" s="21" t="s">
        <v>86</v>
      </c>
      <c r="P27" t="str">
        <f t="shared" si="0"/>
        <v>MANA</v>
      </c>
      <c r="Q27">
        <f t="shared" si="1"/>
        <v>0.41245236860315659</v>
      </c>
      <c r="R27">
        <v>13.78</v>
      </c>
      <c r="S27">
        <f t="shared" si="2"/>
        <v>757691.19433318218</v>
      </c>
      <c r="T27" t="str">
        <f t="shared" si="3"/>
        <v xml:space="preserve">'MANA', </v>
      </c>
      <c r="V27" s="3" t="s">
        <v>111</v>
      </c>
      <c r="W27" s="8">
        <v>0.47315217999999998</v>
      </c>
      <c r="X27" s="8"/>
      <c r="Y27" s="8"/>
      <c r="Z27" s="8"/>
      <c r="AA27" s="8"/>
      <c r="AB27" s="8"/>
      <c r="AC27" s="8"/>
      <c r="AD27" s="8"/>
      <c r="AE27" s="8">
        <v>0.47315217999999998</v>
      </c>
      <c r="AF27" s="8"/>
      <c r="AG27" s="8"/>
      <c r="AH27" s="8"/>
      <c r="AJ27" s="27" t="s">
        <v>85</v>
      </c>
      <c r="AK27" s="44">
        <v>825.19605321999995</v>
      </c>
      <c r="AL27">
        <v>13494732.846676975</v>
      </c>
      <c r="AN27" t="s">
        <v>86</v>
      </c>
      <c r="AO27" t="s">
        <v>190</v>
      </c>
      <c r="AP27">
        <v>-180000</v>
      </c>
      <c r="AR27" s="4" t="s">
        <v>89</v>
      </c>
      <c r="AS27" s="42">
        <v>402320.62526320003</v>
      </c>
    </row>
    <row r="28" spans="1:49" x14ac:dyDescent="0.25">
      <c r="A28">
        <v>26</v>
      </c>
      <c r="B28" t="s">
        <v>83</v>
      </c>
      <c r="C28" s="1">
        <v>47252.316829759999</v>
      </c>
      <c r="E28" t="s">
        <v>193</v>
      </c>
      <c r="F28" t="s">
        <v>479</v>
      </c>
      <c r="G28" s="22">
        <v>20230112</v>
      </c>
      <c r="H28" s="56">
        <v>44939.000003356479</v>
      </c>
      <c r="I28">
        <v>43296.783539646203</v>
      </c>
      <c r="K28" s="21" t="s">
        <v>506</v>
      </c>
      <c r="L28" s="21" t="s">
        <v>481</v>
      </c>
      <c r="M28" s="21" t="s">
        <v>85</v>
      </c>
      <c r="N28" s="21" t="s">
        <v>86</v>
      </c>
      <c r="P28" t="str">
        <f t="shared" si="0"/>
        <v>MATIC</v>
      </c>
      <c r="Q28">
        <f t="shared" si="1"/>
        <v>0.91628911436523341</v>
      </c>
      <c r="R28">
        <v>5.7869999999999999</v>
      </c>
      <c r="S28">
        <f t="shared" si="2"/>
        <v>273449.15749382111</v>
      </c>
      <c r="T28" t="str">
        <f t="shared" si="3"/>
        <v xml:space="preserve">'MATIC', </v>
      </c>
      <c r="V28" s="3" t="s">
        <v>40</v>
      </c>
      <c r="W28" s="8">
        <v>9325.7742130199986</v>
      </c>
      <c r="X28" s="8"/>
      <c r="Y28" s="8"/>
      <c r="Z28" s="8"/>
      <c r="AA28" s="8">
        <v>-97.520491469999996</v>
      </c>
      <c r="AB28" s="8"/>
      <c r="AC28" s="8"/>
      <c r="AD28" s="8"/>
      <c r="AE28" s="8">
        <v>9228.2537215499979</v>
      </c>
      <c r="AF28" s="8"/>
      <c r="AG28" s="8"/>
      <c r="AH28" s="8"/>
      <c r="AJ28" s="27" t="s">
        <v>195</v>
      </c>
      <c r="AK28" s="44">
        <v>-82.706702309999997</v>
      </c>
      <c r="AL28">
        <v>-1352532.9501370429</v>
      </c>
      <c r="AN28" t="s">
        <v>86</v>
      </c>
      <c r="AO28" t="s">
        <v>22</v>
      </c>
      <c r="AP28">
        <v>-2000</v>
      </c>
      <c r="AR28" s="4" t="s">
        <v>37</v>
      </c>
      <c r="AS28" s="42">
        <v>-6000000000</v>
      </c>
    </row>
    <row r="29" spans="1:49" x14ac:dyDescent="0.25">
      <c r="A29">
        <v>27</v>
      </c>
      <c r="B29" t="s">
        <v>83</v>
      </c>
      <c r="C29" s="1">
        <v>11.133492329999999</v>
      </c>
      <c r="E29" t="s">
        <v>413</v>
      </c>
      <c r="F29" t="s">
        <v>479</v>
      </c>
      <c r="G29" s="22">
        <v>20230112</v>
      </c>
      <c r="H29" s="56">
        <v>44939.000003356479</v>
      </c>
      <c r="I29">
        <v>7265.4461614147704</v>
      </c>
      <c r="K29" s="21" t="s">
        <v>507</v>
      </c>
      <c r="L29" s="21" t="s">
        <v>481</v>
      </c>
      <c r="M29" s="21" t="s">
        <v>85</v>
      </c>
      <c r="N29" s="21" t="s">
        <v>86</v>
      </c>
      <c r="P29" t="str">
        <f t="shared" si="0"/>
        <v>MKR</v>
      </c>
      <c r="Q29">
        <f t="shared" si="1"/>
        <v>652.57566503526493</v>
      </c>
      <c r="R29">
        <v>0.99940190110900418</v>
      </c>
      <c r="S29">
        <f t="shared" si="2"/>
        <v>11.126833400584516</v>
      </c>
      <c r="T29" t="str">
        <f t="shared" si="3"/>
        <v xml:space="preserve">'MKR', </v>
      </c>
      <c r="V29" s="3" t="s">
        <v>289</v>
      </c>
      <c r="W29" s="8"/>
      <c r="X29" s="8"/>
      <c r="Y29" s="8"/>
      <c r="Z29" s="8"/>
      <c r="AA29" s="8"/>
      <c r="AB29" s="8"/>
      <c r="AC29" s="8">
        <v>27.183990349999998</v>
      </c>
      <c r="AD29" s="8"/>
      <c r="AE29" s="8">
        <v>27.183990349999998</v>
      </c>
      <c r="AF29" s="8"/>
      <c r="AG29" s="8"/>
      <c r="AH29" s="8"/>
      <c r="AJ29" s="4" t="s">
        <v>88</v>
      </c>
      <c r="AK29" s="44">
        <v>7661438.6118996805</v>
      </c>
      <c r="AL29">
        <v>7669825.539192033</v>
      </c>
      <c r="AN29" t="s">
        <v>86</v>
      </c>
      <c r="AO29" t="s">
        <v>22</v>
      </c>
      <c r="AP29">
        <v>1999.0152611599999</v>
      </c>
      <c r="AR29" s="4" t="s">
        <v>154</v>
      </c>
      <c r="AS29" s="42">
        <v>-2.7772087900000031</v>
      </c>
    </row>
    <row r="30" spans="1:49" x14ac:dyDescent="0.25">
      <c r="A30">
        <v>28</v>
      </c>
      <c r="B30" t="s">
        <v>83</v>
      </c>
      <c r="C30" s="1">
        <v>24199.849819300001</v>
      </c>
      <c r="E30" t="s">
        <v>150</v>
      </c>
      <c r="F30" t="s">
        <v>479</v>
      </c>
      <c r="G30" s="22">
        <v>20230112</v>
      </c>
      <c r="H30" s="56">
        <v>44939.000003356479</v>
      </c>
      <c r="I30">
        <v>29336.8002806806</v>
      </c>
      <c r="K30" s="21" t="s">
        <v>508</v>
      </c>
      <c r="L30" s="21" t="s">
        <v>481</v>
      </c>
      <c r="M30" s="21" t="s">
        <v>85</v>
      </c>
      <c r="N30" s="21" t="s">
        <v>86</v>
      </c>
      <c r="P30" t="str">
        <f t="shared" si="0"/>
        <v>OMG</v>
      </c>
      <c r="Q30">
        <f t="shared" si="1"/>
        <v>1.2122719975428835</v>
      </c>
      <c r="R30">
        <v>9.0786800000000001E-2</v>
      </c>
      <c r="S30">
        <f t="shared" si="2"/>
        <v>2197.0269255748253</v>
      </c>
      <c r="T30" t="str">
        <f t="shared" si="3"/>
        <v xml:space="preserve">'OMG', </v>
      </c>
      <c r="V30" s="3" t="s">
        <v>292</v>
      </c>
      <c r="W30" s="8"/>
      <c r="X30" s="8"/>
      <c r="Y30" s="8"/>
      <c r="Z30" s="8"/>
      <c r="AA30" s="8"/>
      <c r="AB30" s="8"/>
      <c r="AC30" s="8">
        <v>59.395103750000004</v>
      </c>
      <c r="AD30" s="8"/>
      <c r="AE30" s="8">
        <v>59.395103750000004</v>
      </c>
      <c r="AF30" s="8"/>
      <c r="AG30" s="8"/>
      <c r="AH30" s="8"/>
      <c r="AJ30" s="27" t="s">
        <v>85</v>
      </c>
      <c r="AK30" s="44">
        <v>13124746.12945288</v>
      </c>
      <c r="AL30">
        <v>13139113.704146668</v>
      </c>
      <c r="AN30" t="s">
        <v>86</v>
      </c>
      <c r="AO30" t="s">
        <v>23</v>
      </c>
      <c r="AP30">
        <v>204649.5</v>
      </c>
      <c r="AR30" s="4" t="s">
        <v>38</v>
      </c>
      <c r="AS30" s="42">
        <v>63538144.969486356</v>
      </c>
    </row>
    <row r="31" spans="1:49" x14ac:dyDescent="0.25">
      <c r="A31">
        <v>29</v>
      </c>
      <c r="B31" t="s">
        <v>83</v>
      </c>
      <c r="C31" s="1">
        <v>313858.75941951998</v>
      </c>
      <c r="E31" t="s">
        <v>89</v>
      </c>
      <c r="F31" t="s">
        <v>479</v>
      </c>
      <c r="G31" s="22">
        <v>20230112</v>
      </c>
      <c r="H31" s="56">
        <v>44939.000003356479</v>
      </c>
      <c r="I31">
        <v>23011.9145554516</v>
      </c>
      <c r="K31" s="21" t="s">
        <v>509</v>
      </c>
      <c r="L31" s="21" t="s">
        <v>481</v>
      </c>
      <c r="M31" s="21" t="s">
        <v>85</v>
      </c>
      <c r="N31" s="21" t="s">
        <v>86</v>
      </c>
      <c r="P31" t="str">
        <f t="shared" si="0"/>
        <v>OXT</v>
      </c>
      <c r="Q31">
        <f t="shared" si="1"/>
        <v>7.3319331912265279E-2</v>
      </c>
      <c r="R31">
        <v>16719.740000000002</v>
      </c>
      <c r="S31">
        <f t="shared" si="2"/>
        <v>5247636854.2169256</v>
      </c>
      <c r="T31" t="str">
        <f t="shared" si="3"/>
        <v xml:space="preserve">'OXT', </v>
      </c>
      <c r="V31" s="3" t="s">
        <v>114</v>
      </c>
      <c r="W31" s="8"/>
      <c r="X31" s="8"/>
      <c r="Y31" s="8"/>
      <c r="Z31" s="8"/>
      <c r="AA31" s="8"/>
      <c r="AB31" s="8"/>
      <c r="AC31" s="8">
        <v>7.4219999999999991E-5</v>
      </c>
      <c r="AD31" s="8"/>
      <c r="AE31" s="8">
        <v>7.4219999999999991E-5</v>
      </c>
      <c r="AF31" s="8"/>
      <c r="AG31" s="8"/>
      <c r="AH31" s="8"/>
      <c r="AJ31" s="27" t="s">
        <v>195</v>
      </c>
      <c r="AK31" s="44">
        <v>-5463307.5175532</v>
      </c>
      <c r="AL31">
        <v>-5469288.1649546353</v>
      </c>
      <c r="AN31" t="s">
        <v>86</v>
      </c>
      <c r="AO31" t="s">
        <v>23</v>
      </c>
      <c r="AP31">
        <v>29999.901399999999</v>
      </c>
      <c r="AR31" s="4" t="s">
        <v>196</v>
      </c>
      <c r="AS31" s="42">
        <v>-100</v>
      </c>
    </row>
    <row r="32" spans="1:49" x14ac:dyDescent="0.25">
      <c r="A32">
        <v>30</v>
      </c>
      <c r="B32" t="s">
        <v>83</v>
      </c>
      <c r="C32" s="1">
        <v>81762615062.479996</v>
      </c>
      <c r="E32" t="s">
        <v>37</v>
      </c>
      <c r="F32" t="s">
        <v>479</v>
      </c>
      <c r="G32" s="22">
        <v>20230112</v>
      </c>
      <c r="H32" s="56">
        <v>44939.000003356479</v>
      </c>
      <c r="I32">
        <v>774405.07018634095</v>
      </c>
      <c r="K32" s="21" t="s">
        <v>830</v>
      </c>
      <c r="L32" s="21" t="s">
        <v>481</v>
      </c>
      <c r="M32" s="21" t="s">
        <v>85</v>
      </c>
      <c r="N32" s="21" t="s">
        <v>86</v>
      </c>
      <c r="P32" t="str">
        <f t="shared" si="0"/>
        <v>SHIB</v>
      </c>
      <c r="Q32">
        <f t="shared" si="1"/>
        <v>9.4713833405960535E-6</v>
      </c>
      <c r="R32">
        <v>16719.740000000002</v>
      </c>
      <c r="S32">
        <f t="shared" si="2"/>
        <v>1367049665564749.5</v>
      </c>
      <c r="T32" t="str">
        <f t="shared" si="3"/>
        <v xml:space="preserve">'SHIB', </v>
      </c>
      <c r="V32" s="3" t="s">
        <v>115</v>
      </c>
      <c r="W32" s="8"/>
      <c r="X32" s="8"/>
      <c r="Y32" s="8"/>
      <c r="Z32" s="8"/>
      <c r="AA32" s="8"/>
      <c r="AB32" s="8"/>
      <c r="AC32" s="8">
        <v>3.2621679000000001</v>
      </c>
      <c r="AD32" s="8"/>
      <c r="AE32" s="8">
        <v>3.2621679000000001</v>
      </c>
      <c r="AF32" s="8"/>
      <c r="AG32" s="8"/>
      <c r="AH32" s="8"/>
      <c r="AJ32" s="4" t="s">
        <v>31</v>
      </c>
      <c r="AK32" s="44">
        <v>-4763.1309661300002</v>
      </c>
      <c r="AL32">
        <v>-184545.78553360116</v>
      </c>
      <c r="AN32" t="s">
        <v>86</v>
      </c>
      <c r="AO32" t="s">
        <v>29</v>
      </c>
      <c r="AP32">
        <v>0.15721859999999999</v>
      </c>
      <c r="AR32" s="3" t="s">
        <v>217</v>
      </c>
      <c r="AS32" s="42">
        <v>90.065147469999999</v>
      </c>
      <c r="AU32" s="50"/>
      <c r="AV32" s="51"/>
      <c r="AW32" s="51"/>
    </row>
    <row r="33" spans="1:49" x14ac:dyDescent="0.25">
      <c r="A33">
        <v>31</v>
      </c>
      <c r="B33" t="s">
        <v>83</v>
      </c>
      <c r="C33" s="1">
        <v>5426.8777341900004</v>
      </c>
      <c r="E33" t="s">
        <v>154</v>
      </c>
      <c r="F33" t="s">
        <v>479</v>
      </c>
      <c r="G33" s="22">
        <v>20230112</v>
      </c>
      <c r="H33" s="56">
        <v>44939.000003356479</v>
      </c>
      <c r="I33">
        <v>90189.520912775901</v>
      </c>
      <c r="K33" s="21" t="s">
        <v>510</v>
      </c>
      <c r="L33" s="21" t="s">
        <v>481</v>
      </c>
      <c r="M33" s="21" t="s">
        <v>85</v>
      </c>
      <c r="N33" s="21" t="s">
        <v>86</v>
      </c>
      <c r="P33" t="str">
        <f t="shared" si="0"/>
        <v>SOL</v>
      </c>
      <c r="Q33">
        <f t="shared" si="1"/>
        <v>16.619044196365579</v>
      </c>
      <c r="R33">
        <v>1208.73</v>
      </c>
      <c r="S33">
        <f t="shared" si="2"/>
        <v>6559629.9236474792</v>
      </c>
      <c r="T33" t="str">
        <f t="shared" si="3"/>
        <v xml:space="preserve">'SOL', </v>
      </c>
      <c r="V33" s="3" t="s">
        <v>41</v>
      </c>
      <c r="W33" s="8">
        <v>72938.451449059983</v>
      </c>
      <c r="X33" s="8"/>
      <c r="Y33" s="8"/>
      <c r="Z33" s="8"/>
      <c r="AA33" s="8">
        <v>18.277459290000003</v>
      </c>
      <c r="AB33" s="8"/>
      <c r="AC33" s="8"/>
      <c r="AD33" s="8"/>
      <c r="AE33" s="8">
        <v>72956.728908349978</v>
      </c>
      <c r="AF33" s="8"/>
      <c r="AG33" s="8"/>
      <c r="AH33" s="8"/>
      <c r="AJ33" s="27" t="s">
        <v>85</v>
      </c>
      <c r="AK33" s="44">
        <v>36.869033870000003</v>
      </c>
      <c r="AL33">
        <v>1428.4773746064559</v>
      </c>
      <c r="AN33" t="s">
        <v>86</v>
      </c>
      <c r="AO33" t="s">
        <v>15</v>
      </c>
      <c r="AP33">
        <v>9.9330999999999996</v>
      </c>
      <c r="AR33" s="4" t="s">
        <v>14</v>
      </c>
      <c r="AS33" s="42">
        <v>8.9996E-3</v>
      </c>
      <c r="AU33" s="4"/>
    </row>
    <row r="34" spans="1:49" x14ac:dyDescent="0.25">
      <c r="A34">
        <v>32</v>
      </c>
      <c r="B34" t="s">
        <v>83</v>
      </c>
      <c r="C34" s="1">
        <v>20883.602943549999</v>
      </c>
      <c r="E34" t="s">
        <v>414</v>
      </c>
      <c r="F34" t="s">
        <v>479</v>
      </c>
      <c r="G34" s="22">
        <v>20230112</v>
      </c>
      <c r="H34" s="56">
        <v>44939.000003356479</v>
      </c>
      <c r="I34">
        <v>23759.057496110101</v>
      </c>
      <c r="K34" s="21" t="s">
        <v>831</v>
      </c>
      <c r="L34" s="21" t="s">
        <v>481</v>
      </c>
      <c r="M34" s="21" t="s">
        <v>85</v>
      </c>
      <c r="N34" s="21" t="s">
        <v>86</v>
      </c>
      <c r="P34" t="str">
        <f t="shared" si="0"/>
        <v>SUSHI</v>
      </c>
      <c r="Q34">
        <f t="shared" si="1"/>
        <v>1.1376895816460733</v>
      </c>
      <c r="R34">
        <v>1208.73</v>
      </c>
      <c r="S34">
        <f t="shared" si="2"/>
        <v>25242637.385957189</v>
      </c>
      <c r="T34" t="str">
        <f t="shared" si="3"/>
        <v xml:space="preserve">'SUSHI', </v>
      </c>
      <c r="V34" s="3" t="s">
        <v>42</v>
      </c>
      <c r="W34" s="8">
        <v>4422816.4880867004</v>
      </c>
      <c r="X34" s="8"/>
      <c r="Y34" s="8"/>
      <c r="Z34" s="8"/>
      <c r="AA34" s="8">
        <v>171440.16190000001</v>
      </c>
      <c r="AB34" s="8"/>
      <c r="AC34" s="8"/>
      <c r="AD34" s="8"/>
      <c r="AE34" s="8">
        <v>4594256.6499867002</v>
      </c>
      <c r="AF34" s="8"/>
      <c r="AG34" s="8"/>
      <c r="AH34" s="8"/>
      <c r="AJ34" s="27" t="s">
        <v>195</v>
      </c>
      <c r="AK34" s="44">
        <v>-4800</v>
      </c>
      <c r="AL34">
        <v>-185974.2629082076</v>
      </c>
      <c r="AN34" t="s">
        <v>86</v>
      </c>
      <c r="AO34" t="s">
        <v>15</v>
      </c>
      <c r="AP34">
        <v>5884.9906846100002</v>
      </c>
      <c r="AR34" s="4" t="s">
        <v>15</v>
      </c>
      <c r="AS34" s="42">
        <v>0.02</v>
      </c>
      <c r="AU34" s="4"/>
    </row>
    <row r="35" spans="1:49" x14ac:dyDescent="0.25">
      <c r="A35">
        <v>33</v>
      </c>
      <c r="B35" t="s">
        <v>83</v>
      </c>
      <c r="C35" s="1">
        <v>5710.7047593899997</v>
      </c>
      <c r="E35" t="s">
        <v>159</v>
      </c>
      <c r="F35" t="s">
        <v>479</v>
      </c>
      <c r="G35" s="22">
        <v>20230112</v>
      </c>
      <c r="H35" s="56">
        <v>44939.000003356479</v>
      </c>
      <c r="I35">
        <v>35254.357869090498</v>
      </c>
      <c r="K35" s="21" t="s">
        <v>511</v>
      </c>
      <c r="L35" s="21" t="s">
        <v>481</v>
      </c>
      <c r="M35" s="21" t="s">
        <v>85</v>
      </c>
      <c r="N35" s="21" t="s">
        <v>86</v>
      </c>
      <c r="P35" t="str">
        <f t="shared" si="0"/>
        <v>UNI</v>
      </c>
      <c r="Q35">
        <f t="shared" si="1"/>
        <v>6.1733812820777416</v>
      </c>
      <c r="R35">
        <v>268.61020000000002</v>
      </c>
      <c r="S35">
        <f t="shared" si="2"/>
        <v>1533953.5475606997</v>
      </c>
      <c r="T35" t="str">
        <f t="shared" si="3"/>
        <v xml:space="preserve">'UNI', </v>
      </c>
      <c r="V35" s="3" t="s">
        <v>44</v>
      </c>
      <c r="W35" s="8">
        <v>259.63940638000003</v>
      </c>
      <c r="X35" s="8"/>
      <c r="Y35" s="8"/>
      <c r="Z35" s="8"/>
      <c r="AA35" s="8">
        <v>-2.54193164</v>
      </c>
      <c r="AB35" s="8"/>
      <c r="AC35" s="8"/>
      <c r="AD35" s="8"/>
      <c r="AE35" s="8">
        <v>257.09747474000005</v>
      </c>
      <c r="AF35" s="8"/>
      <c r="AG35" s="8"/>
      <c r="AH35" s="8"/>
      <c r="AJ35" s="4" t="s">
        <v>188</v>
      </c>
      <c r="AK35" s="44">
        <v>1.5637979999999999E-2</v>
      </c>
      <c r="AL35">
        <v>9.8747518422494362E-3</v>
      </c>
      <c r="AN35" t="s">
        <v>86</v>
      </c>
      <c r="AO35" t="s">
        <v>15</v>
      </c>
      <c r="AP35">
        <v>949.21720000000005</v>
      </c>
      <c r="AR35" s="4" t="s">
        <v>272</v>
      </c>
      <c r="AS35" s="42">
        <v>0.02</v>
      </c>
      <c r="AU35" s="50"/>
      <c r="AV35" s="51"/>
      <c r="AW35" s="51"/>
    </row>
    <row r="36" spans="1:49" x14ac:dyDescent="0.25">
      <c r="A36">
        <v>34</v>
      </c>
      <c r="B36" t="s">
        <v>83</v>
      </c>
      <c r="C36" s="1">
        <v>618871.51817801001</v>
      </c>
      <c r="E36" t="s">
        <v>38</v>
      </c>
      <c r="F36" t="s">
        <v>479</v>
      </c>
      <c r="G36" s="22">
        <v>20230112</v>
      </c>
      <c r="H36" s="56">
        <v>44939.000003356479</v>
      </c>
      <c r="I36">
        <v>618928.48479657702</v>
      </c>
      <c r="K36" s="21" t="s">
        <v>512</v>
      </c>
      <c r="L36" s="21" t="s">
        <v>481</v>
      </c>
      <c r="M36" s="21" t="s">
        <v>85</v>
      </c>
      <c r="N36" s="21" t="s">
        <v>86</v>
      </c>
      <c r="P36" t="str">
        <f t="shared" si="0"/>
        <v>USDT</v>
      </c>
      <c r="Q36">
        <f t="shared" si="1"/>
        <v>1.0000920491845136</v>
      </c>
      <c r="R36">
        <v>0.90154135000000002</v>
      </c>
      <c r="S36">
        <f t="shared" si="2"/>
        <v>557938.26397475274</v>
      </c>
      <c r="T36" t="str">
        <f t="shared" si="3"/>
        <v xml:space="preserve">'USDT', </v>
      </c>
      <c r="V36" s="3" t="s">
        <v>119</v>
      </c>
      <c r="W36" s="8"/>
      <c r="X36" s="8"/>
      <c r="Y36" s="8"/>
      <c r="Z36" s="8"/>
      <c r="AA36" s="8"/>
      <c r="AB36" s="8"/>
      <c r="AC36" s="8">
        <v>10186308.855408698</v>
      </c>
      <c r="AD36" s="8"/>
      <c r="AE36" s="8">
        <v>10186308.855408698</v>
      </c>
      <c r="AF36" s="8"/>
      <c r="AG36" s="8"/>
      <c r="AH36" s="8"/>
      <c r="AJ36" s="27" t="s">
        <v>85</v>
      </c>
      <c r="AK36" s="44">
        <v>1.5637979999999999E-2</v>
      </c>
      <c r="AL36">
        <v>9.8747518422494362E-3</v>
      </c>
      <c r="AN36" t="s">
        <v>86</v>
      </c>
      <c r="AO36" t="s">
        <v>107</v>
      </c>
      <c r="AP36">
        <v>668899.17272104998</v>
      </c>
      <c r="AR36" s="4" t="s">
        <v>95</v>
      </c>
      <c r="AS36" s="42">
        <v>2.755467E-2</v>
      </c>
    </row>
    <row r="37" spans="1:49" x14ac:dyDescent="0.25">
      <c r="A37">
        <v>35</v>
      </c>
      <c r="B37" t="s">
        <v>83</v>
      </c>
      <c r="C37" s="1">
        <v>877798.90472430002</v>
      </c>
      <c r="E37" t="s">
        <v>163</v>
      </c>
      <c r="F37" t="s">
        <v>479</v>
      </c>
      <c r="G37" s="22">
        <v>20230112</v>
      </c>
      <c r="H37" s="56">
        <v>44939.000003356479</v>
      </c>
      <c r="I37">
        <v>71666.824089438407</v>
      </c>
      <c r="K37" s="21" t="s">
        <v>513</v>
      </c>
      <c r="L37" s="21" t="s">
        <v>481</v>
      </c>
      <c r="M37" s="21" t="s">
        <v>85</v>
      </c>
      <c r="N37" s="21" t="s">
        <v>86</v>
      </c>
      <c r="P37" t="str">
        <f t="shared" si="0"/>
        <v>XLM</v>
      </c>
      <c r="Q37">
        <f t="shared" si="1"/>
        <v>8.1643783905093387E-2</v>
      </c>
      <c r="R37">
        <v>19.614688999999998</v>
      </c>
      <c r="S37">
        <f t="shared" si="2"/>
        <v>17217752.520707775</v>
      </c>
      <c r="T37" t="str">
        <f t="shared" si="3"/>
        <v xml:space="preserve">'XLM', </v>
      </c>
      <c r="V37" s="3" t="s">
        <v>201</v>
      </c>
      <c r="W37" s="8"/>
      <c r="X37" s="8"/>
      <c r="Y37" s="8"/>
      <c r="Z37" s="8"/>
      <c r="AA37" s="8"/>
      <c r="AB37" s="8"/>
      <c r="AC37" s="8">
        <v>-9528648.0788313001</v>
      </c>
      <c r="AD37" s="8"/>
      <c r="AE37" s="8">
        <v>-9528648.0788313001</v>
      </c>
      <c r="AF37" s="8"/>
      <c r="AG37" s="8"/>
      <c r="AH37" s="8"/>
      <c r="AJ37" s="4" t="s">
        <v>190</v>
      </c>
      <c r="AK37" s="44">
        <v>-118389.52953572999</v>
      </c>
      <c r="AL37">
        <v>-10050.440549318246</v>
      </c>
      <c r="AN37" t="s">
        <v>86</v>
      </c>
      <c r="AO37" t="s">
        <v>30</v>
      </c>
      <c r="AP37">
        <v>0.19800000000000001</v>
      </c>
      <c r="AR37" s="4" t="s">
        <v>96</v>
      </c>
      <c r="AS37" s="42">
        <v>59.988593199999997</v>
      </c>
    </row>
    <row r="38" spans="1:49" x14ac:dyDescent="0.25">
      <c r="A38">
        <v>36</v>
      </c>
      <c r="B38" t="s">
        <v>83</v>
      </c>
      <c r="C38" s="1">
        <v>30000</v>
      </c>
      <c r="E38" t="s">
        <v>99</v>
      </c>
      <c r="F38" t="s">
        <v>479</v>
      </c>
      <c r="G38" s="22">
        <v>20230112</v>
      </c>
      <c r="H38" s="56">
        <v>44939.000003356479</v>
      </c>
      <c r="I38">
        <v>11255.914267257</v>
      </c>
      <c r="K38" s="21" t="s">
        <v>984</v>
      </c>
      <c r="L38" s="21" t="s">
        <v>481</v>
      </c>
      <c r="M38" s="21" t="s">
        <v>85</v>
      </c>
      <c r="N38" s="21" t="s">
        <v>86</v>
      </c>
      <c r="P38" t="str">
        <f t="shared" si="0"/>
        <v>XRP</v>
      </c>
      <c r="Q38">
        <f t="shared" si="1"/>
        <v>0.37519714224189998</v>
      </c>
      <c r="R38">
        <v>1208.73</v>
      </c>
      <c r="S38">
        <f t="shared" si="2"/>
        <v>36261900</v>
      </c>
      <c r="T38" t="str">
        <f t="shared" si="3"/>
        <v xml:space="preserve">'XRP', </v>
      </c>
      <c r="V38" s="3" t="s">
        <v>120</v>
      </c>
      <c r="W38" s="8"/>
      <c r="X38" s="8"/>
      <c r="Y38" s="8"/>
      <c r="Z38" s="8"/>
      <c r="AA38" s="8"/>
      <c r="AB38" s="8"/>
      <c r="AC38" s="8">
        <v>9324171044.5834751</v>
      </c>
      <c r="AD38" s="8"/>
      <c r="AE38" s="8">
        <v>9324171044.5834751</v>
      </c>
      <c r="AF38" s="8"/>
      <c r="AG38" s="8"/>
      <c r="AH38" s="8"/>
      <c r="AJ38" s="27" t="s">
        <v>85</v>
      </c>
      <c r="AK38" s="44">
        <v>61610.470464270002</v>
      </c>
      <c r="AL38">
        <v>5230.2967419918232</v>
      </c>
      <c r="AN38" t="s">
        <v>86</v>
      </c>
      <c r="AO38" t="s">
        <v>27</v>
      </c>
      <c r="AP38">
        <v>12.72046903</v>
      </c>
      <c r="AR38" s="4" t="s">
        <v>323</v>
      </c>
      <c r="AS38" s="42">
        <v>30</v>
      </c>
    </row>
    <row r="39" spans="1:49" x14ac:dyDescent="0.25">
      <c r="A39">
        <v>37</v>
      </c>
      <c r="B39" t="s">
        <v>83</v>
      </c>
      <c r="C39" s="1">
        <v>62752.228199999998</v>
      </c>
      <c r="E39" t="s">
        <v>164</v>
      </c>
      <c r="F39" t="s">
        <v>479</v>
      </c>
      <c r="G39" s="22">
        <v>20230112</v>
      </c>
      <c r="H39" s="56">
        <v>44939.000003356479</v>
      </c>
      <c r="I39">
        <v>55801.153984328099</v>
      </c>
      <c r="K39" s="21" t="s">
        <v>841</v>
      </c>
      <c r="L39" s="21" t="s">
        <v>481</v>
      </c>
      <c r="M39" s="21" t="s">
        <v>85</v>
      </c>
      <c r="N39" s="21" t="s">
        <v>86</v>
      </c>
      <c r="P39" t="str">
        <f t="shared" si="0"/>
        <v>XTZ</v>
      </c>
      <c r="Q39">
        <f t="shared" si="1"/>
        <v>0.88922984226921997</v>
      </c>
      <c r="R39">
        <v>0.99940190110900473</v>
      </c>
      <c r="S39">
        <f t="shared" si="2"/>
        <v>62714.696161906097</v>
      </c>
      <c r="T39" t="str">
        <f t="shared" si="3"/>
        <v xml:space="preserve">'XTZ', </v>
      </c>
      <c r="V39" s="3" t="s">
        <v>166</v>
      </c>
      <c r="W39" s="8"/>
      <c r="X39" s="8"/>
      <c r="Y39" s="8"/>
      <c r="Z39" s="8"/>
      <c r="AA39" s="8"/>
      <c r="AB39" s="8"/>
      <c r="AC39" s="8">
        <v>21991660.25422658</v>
      </c>
      <c r="AD39" s="8"/>
      <c r="AE39" s="8">
        <v>21991660.25422658</v>
      </c>
      <c r="AF39" s="8"/>
      <c r="AG39" s="8"/>
      <c r="AH39" s="8"/>
      <c r="AJ39" s="27" t="s">
        <v>195</v>
      </c>
      <c r="AK39" s="44">
        <v>-180000</v>
      </c>
      <c r="AL39">
        <v>-15280.73729131007</v>
      </c>
      <c r="AN39" t="s">
        <v>86</v>
      </c>
      <c r="AO39" t="s">
        <v>27</v>
      </c>
      <c r="AP39">
        <v>-892.14</v>
      </c>
      <c r="AR39" s="3" t="s">
        <v>97</v>
      </c>
      <c r="AS39" s="42">
        <v>253678.96081933996</v>
      </c>
    </row>
    <row r="40" spans="1:49" x14ac:dyDescent="0.25">
      <c r="A40">
        <v>38</v>
      </c>
      <c r="B40" t="s">
        <v>83</v>
      </c>
      <c r="C40" s="1">
        <v>7.6026700000000003E-2</v>
      </c>
      <c r="E40" t="s">
        <v>171</v>
      </c>
      <c r="F40" t="s">
        <v>479</v>
      </c>
      <c r="G40" s="22">
        <v>20230112</v>
      </c>
      <c r="H40" s="56">
        <v>44939.000003356479</v>
      </c>
      <c r="I40">
        <v>473.97457770520998</v>
      </c>
      <c r="K40" s="21" t="s">
        <v>898</v>
      </c>
      <c r="L40" s="21" t="s">
        <v>481</v>
      </c>
      <c r="M40" s="21" t="s">
        <v>85</v>
      </c>
      <c r="N40" s="21" t="s">
        <v>86</v>
      </c>
      <c r="P40" t="str">
        <f t="shared" si="0"/>
        <v>YFI</v>
      </c>
      <c r="Q40">
        <f t="shared" si="1"/>
        <v>6234.3173872496109</v>
      </c>
      <c r="R40">
        <v>268.61020000000002</v>
      </c>
      <c r="S40">
        <f t="shared" si="2"/>
        <v>20.421547092340003</v>
      </c>
      <c r="T40" t="str">
        <f t="shared" si="3"/>
        <v xml:space="preserve">'YFI', </v>
      </c>
      <c r="V40" s="3" t="s">
        <v>202</v>
      </c>
      <c r="W40" s="8"/>
      <c r="X40" s="8">
        <v>-8882057.2731500994</v>
      </c>
      <c r="Y40" s="8"/>
      <c r="Z40" s="8"/>
      <c r="AA40" s="8"/>
      <c r="AB40" s="8"/>
      <c r="AC40" s="8"/>
      <c r="AD40" s="8"/>
      <c r="AE40" s="8">
        <v>-8882057.2731500994</v>
      </c>
      <c r="AF40" s="8"/>
      <c r="AG40" s="8"/>
      <c r="AH40" s="8"/>
      <c r="AJ40" s="4" t="s">
        <v>22</v>
      </c>
      <c r="AK40" s="44">
        <v>-0.98473884000009093</v>
      </c>
      <c r="AL40">
        <v>-5.6654467304688296</v>
      </c>
      <c r="AN40" t="s">
        <v>86</v>
      </c>
      <c r="AO40" t="s">
        <v>24</v>
      </c>
      <c r="AP40">
        <v>-597.54899999999998</v>
      </c>
      <c r="AR40" s="4" t="s">
        <v>20</v>
      </c>
      <c r="AS40" s="42">
        <v>0.21932823000000001</v>
      </c>
    </row>
    <row r="41" spans="1:49" x14ac:dyDescent="0.25">
      <c r="A41">
        <v>39</v>
      </c>
      <c r="B41" t="s">
        <v>83</v>
      </c>
      <c r="C41" s="1">
        <v>18966318.7722039</v>
      </c>
      <c r="E41" t="s">
        <v>26</v>
      </c>
      <c r="F41" t="s">
        <v>479</v>
      </c>
      <c r="G41" s="22">
        <v>20230112</v>
      </c>
      <c r="H41" s="56">
        <v>44939.000003356479</v>
      </c>
      <c r="I41">
        <v>454707.62832038099</v>
      </c>
      <c r="K41" s="21" t="s">
        <v>968</v>
      </c>
      <c r="L41" s="21" t="s">
        <v>481</v>
      </c>
      <c r="M41" s="21" t="s">
        <v>85</v>
      </c>
      <c r="N41" s="21" t="s">
        <v>86</v>
      </c>
      <c r="P41" t="str">
        <f t="shared" si="0"/>
        <v>ZIL</v>
      </c>
      <c r="Q41">
        <f t="shared" si="1"/>
        <v>2.3974479907338583E-2</v>
      </c>
      <c r="R41">
        <v>1.0002433738949958</v>
      </c>
      <c r="S41">
        <f t="shared" si="2"/>
        <v>18970934.679077223</v>
      </c>
      <c r="T41" t="str">
        <f t="shared" si="3"/>
        <v xml:space="preserve">'ZIL', </v>
      </c>
      <c r="V41" s="3" t="s">
        <v>167</v>
      </c>
      <c r="W41" s="8"/>
      <c r="X41" s="8"/>
      <c r="Y41" s="8"/>
      <c r="Z41" s="8"/>
      <c r="AA41" s="8"/>
      <c r="AB41" s="8"/>
      <c r="AC41" s="8">
        <v>984235.53820117004</v>
      </c>
      <c r="AD41" s="8"/>
      <c r="AE41" s="8">
        <v>984235.53820117004</v>
      </c>
      <c r="AF41" s="8"/>
      <c r="AG41" s="8"/>
      <c r="AH41" s="8"/>
      <c r="AJ41" s="27" t="s">
        <v>85</v>
      </c>
      <c r="AK41" s="44">
        <v>1999.0152611599999</v>
      </c>
      <c r="AL41">
        <v>11500.830489743121</v>
      </c>
      <c r="AN41" t="s">
        <v>86</v>
      </c>
      <c r="AO41" t="s">
        <v>24</v>
      </c>
      <c r="AP41">
        <v>1.4551239499999999</v>
      </c>
      <c r="AR41" s="4" t="s">
        <v>14</v>
      </c>
      <c r="AS41" s="42">
        <v>5.7861299999999997E-2</v>
      </c>
    </row>
    <row r="42" spans="1:49" x14ac:dyDescent="0.25">
      <c r="A42">
        <v>40</v>
      </c>
      <c r="B42" t="s">
        <v>12</v>
      </c>
      <c r="C42" s="1">
        <v>954.60935715000005</v>
      </c>
      <c r="D42" t="s">
        <v>72</v>
      </c>
      <c r="E42" t="s">
        <v>14</v>
      </c>
      <c r="F42" t="s">
        <v>514</v>
      </c>
      <c r="G42" s="22">
        <v>20230112</v>
      </c>
      <c r="H42" s="56">
        <v>44939.000001192129</v>
      </c>
      <c r="I42">
        <v>18013085.3231223</v>
      </c>
      <c r="K42" s="21" t="s">
        <v>489</v>
      </c>
      <c r="L42" s="21" t="s">
        <v>481</v>
      </c>
      <c r="M42" s="21" t="s">
        <v>85</v>
      </c>
      <c r="N42" s="21" t="s">
        <v>86</v>
      </c>
      <c r="P42" t="str">
        <f t="shared" si="0"/>
        <v>BTC</v>
      </c>
      <c r="Q42">
        <f t="shared" si="1"/>
        <v>18869.588055265482</v>
      </c>
      <c r="R42">
        <v>0.99940190110900473</v>
      </c>
      <c r="S42">
        <f t="shared" si="2"/>
        <v>954.03840635215488</v>
      </c>
      <c r="T42" t="str">
        <f t="shared" si="3"/>
        <v xml:space="preserve">'BTC', </v>
      </c>
      <c r="V42" s="3" t="s">
        <v>203</v>
      </c>
      <c r="W42" s="8"/>
      <c r="X42" s="8"/>
      <c r="Y42" s="8"/>
      <c r="Z42" s="8"/>
      <c r="AA42" s="8"/>
      <c r="AB42" s="8"/>
      <c r="AC42" s="8">
        <v>-4360676</v>
      </c>
      <c r="AD42" s="8"/>
      <c r="AE42" s="8">
        <v>-4360676</v>
      </c>
      <c r="AF42" s="8"/>
      <c r="AG42" s="8"/>
      <c r="AH42" s="8"/>
      <c r="AJ42" s="27" t="s">
        <v>195</v>
      </c>
      <c r="AK42" s="44">
        <v>-2000</v>
      </c>
      <c r="AL42">
        <v>-11506.49593647359</v>
      </c>
      <c r="AN42" t="s">
        <v>86</v>
      </c>
      <c r="AO42" t="s">
        <v>192</v>
      </c>
      <c r="AP42">
        <v>-20000</v>
      </c>
      <c r="AR42" s="4" t="s">
        <v>15</v>
      </c>
      <c r="AS42" s="42">
        <v>0.73541904000000002</v>
      </c>
    </row>
    <row r="43" spans="1:49" x14ac:dyDescent="0.25">
      <c r="A43">
        <v>41</v>
      </c>
      <c r="B43" t="s">
        <v>12</v>
      </c>
      <c r="C43" s="1">
        <v>-21.15213086</v>
      </c>
      <c r="D43" t="s">
        <v>90</v>
      </c>
      <c r="E43" t="s">
        <v>14</v>
      </c>
      <c r="F43" t="s">
        <v>514</v>
      </c>
      <c r="G43" s="22">
        <v>20230112</v>
      </c>
      <c r="H43" s="56">
        <v>44939.000001192129</v>
      </c>
      <c r="I43">
        <v>-399131.99581927003</v>
      </c>
      <c r="K43" s="21" t="s">
        <v>489</v>
      </c>
      <c r="L43" s="21" t="s">
        <v>481</v>
      </c>
      <c r="M43" s="21" t="s">
        <v>85</v>
      </c>
      <c r="N43" s="21" t="s">
        <v>86</v>
      </c>
      <c r="P43" t="str">
        <f t="shared" si="0"/>
        <v>BTC</v>
      </c>
      <c r="Q43">
        <f t="shared" si="1"/>
        <v>18869.588055265558</v>
      </c>
      <c r="R43">
        <v>0.99940190110900429</v>
      </c>
      <c r="S43">
        <f t="shared" si="2"/>
        <v>-21.139479793990439</v>
      </c>
      <c r="T43" t="str">
        <f t="shared" si="3"/>
        <v xml:space="preserve">'BTC', </v>
      </c>
      <c r="V43" s="3" t="s">
        <v>168</v>
      </c>
      <c r="W43" s="8"/>
      <c r="X43" s="8"/>
      <c r="Y43" s="8"/>
      <c r="Z43" s="8"/>
      <c r="AA43" s="8"/>
      <c r="AB43" s="8"/>
      <c r="AC43" s="8">
        <v>186756865105.98315</v>
      </c>
      <c r="AD43" s="8"/>
      <c r="AE43" s="8">
        <v>186756865105.98315</v>
      </c>
      <c r="AF43" s="8"/>
      <c r="AG43" s="8"/>
      <c r="AH43" s="8"/>
      <c r="AJ43" s="4" t="s">
        <v>23</v>
      </c>
      <c r="AK43" s="44">
        <v>234642.50140000001</v>
      </c>
      <c r="AL43">
        <v>208026.13650371</v>
      </c>
      <c r="AN43" t="s">
        <v>86</v>
      </c>
      <c r="AO43" t="s">
        <v>192</v>
      </c>
      <c r="AP43">
        <v>4125.1621725699997</v>
      </c>
      <c r="AR43" s="4" t="s">
        <v>24</v>
      </c>
      <c r="AS43" s="42">
        <v>15.892145019999999</v>
      </c>
    </row>
    <row r="44" spans="1:49" x14ac:dyDescent="0.25">
      <c r="A44">
        <v>42</v>
      </c>
      <c r="B44" t="s">
        <v>12</v>
      </c>
      <c r="C44" s="1">
        <v>6682.76875475</v>
      </c>
      <c r="D44" t="s">
        <v>72</v>
      </c>
      <c r="E44" t="s">
        <v>15</v>
      </c>
      <c r="F44" t="s">
        <v>514</v>
      </c>
      <c r="G44" s="22">
        <v>20230112</v>
      </c>
      <c r="H44" s="56">
        <v>44939.000001192129</v>
      </c>
      <c r="I44">
        <v>9475755.2584040202</v>
      </c>
      <c r="K44" s="21" t="s">
        <v>498</v>
      </c>
      <c r="L44" s="21" t="s">
        <v>481</v>
      </c>
      <c r="M44" s="21" t="s">
        <v>85</v>
      </c>
      <c r="N44" s="21" t="s">
        <v>86</v>
      </c>
      <c r="P44" t="str">
        <f t="shared" si="0"/>
        <v>ETH</v>
      </c>
      <c r="Q44">
        <f t="shared" si="1"/>
        <v>1417.9385231112199</v>
      </c>
      <c r="R44">
        <v>0.9994019011090044</v>
      </c>
      <c r="S44">
        <f t="shared" si="2"/>
        <v>6678.7717981690039</v>
      </c>
      <c r="T44" t="str">
        <f t="shared" si="3"/>
        <v xml:space="preserve">'ETH', </v>
      </c>
      <c r="V44" s="3" t="s">
        <v>204</v>
      </c>
      <c r="W44" s="8"/>
      <c r="X44" s="8"/>
      <c r="Y44" s="8"/>
      <c r="Z44" s="8"/>
      <c r="AA44" s="8"/>
      <c r="AB44" s="8"/>
      <c r="AC44" s="8">
        <v>-46350000</v>
      </c>
      <c r="AD44" s="8"/>
      <c r="AE44" s="8">
        <v>-46350000</v>
      </c>
      <c r="AF44" s="8"/>
      <c r="AG44" s="8"/>
      <c r="AH44" s="8"/>
      <c r="AJ44" s="27" t="s">
        <v>85</v>
      </c>
      <c r="AK44" s="44">
        <v>234642.50140000001</v>
      </c>
      <c r="AL44">
        <v>208026.13650371</v>
      </c>
      <c r="AN44" t="s">
        <v>86</v>
      </c>
      <c r="AO44" t="s">
        <v>89</v>
      </c>
      <c r="AP44">
        <v>402320.62526320003</v>
      </c>
      <c r="AR44" s="4" t="s">
        <v>98</v>
      </c>
      <c r="AS44" s="42">
        <v>22277.5319929</v>
      </c>
    </row>
    <row r="45" spans="1:49" x14ac:dyDescent="0.25">
      <c r="A45">
        <v>43</v>
      </c>
      <c r="B45" t="s">
        <v>12</v>
      </c>
      <c r="C45" s="1">
        <v>-114.70020413</v>
      </c>
      <c r="D45" t="s">
        <v>90</v>
      </c>
      <c r="E45" t="s">
        <v>15</v>
      </c>
      <c r="F45" t="s">
        <v>514</v>
      </c>
      <c r="G45" s="22">
        <v>20230112</v>
      </c>
      <c r="H45" s="56">
        <v>44939.000001192129</v>
      </c>
      <c r="I45">
        <v>-162637.83804464701</v>
      </c>
      <c r="K45" s="21" t="s">
        <v>498</v>
      </c>
      <c r="L45" s="21" t="s">
        <v>481</v>
      </c>
      <c r="M45" s="21" t="s">
        <v>85</v>
      </c>
      <c r="N45" s="21" t="s">
        <v>86</v>
      </c>
      <c r="P45" t="str">
        <f t="shared" si="0"/>
        <v>ETH</v>
      </c>
      <c r="Q45">
        <f t="shared" si="1"/>
        <v>1417.9385231112144</v>
      </c>
      <c r="R45">
        <v>0.99940190110900451</v>
      </c>
      <c r="S45">
        <f t="shared" si="2"/>
        <v>-114.63160206511289</v>
      </c>
      <c r="T45" t="str">
        <f t="shared" si="3"/>
        <v xml:space="preserve">'ETH', </v>
      </c>
      <c r="V45" s="3" t="s">
        <v>205</v>
      </c>
      <c r="W45" s="8"/>
      <c r="X45" s="8"/>
      <c r="Y45" s="8"/>
      <c r="Z45" s="8"/>
      <c r="AA45" s="8"/>
      <c r="AB45" s="8"/>
      <c r="AC45" s="8">
        <v>-500</v>
      </c>
      <c r="AD45" s="8"/>
      <c r="AE45" s="8">
        <v>-500</v>
      </c>
      <c r="AF45" s="8"/>
      <c r="AG45" s="8"/>
      <c r="AH45" s="8"/>
      <c r="AJ45" s="4" t="s">
        <v>29</v>
      </c>
      <c r="AK45" s="44">
        <v>0.15721859999999999</v>
      </c>
      <c r="AL45">
        <v>3.1377137942216091</v>
      </c>
      <c r="AN45" t="s">
        <v>86</v>
      </c>
      <c r="AO45" t="s">
        <v>37</v>
      </c>
      <c r="AP45">
        <v>-6000000000</v>
      </c>
      <c r="AR45" s="4" t="s">
        <v>95</v>
      </c>
      <c r="AS45" s="42">
        <v>114736.84</v>
      </c>
    </row>
    <row r="46" spans="1:49" x14ac:dyDescent="0.25">
      <c r="A46">
        <v>44</v>
      </c>
      <c r="B46" t="s">
        <v>91</v>
      </c>
      <c r="C46" s="1">
        <v>2496.2188523499999</v>
      </c>
      <c r="E46" t="s">
        <v>87</v>
      </c>
      <c r="F46" t="s">
        <v>515</v>
      </c>
      <c r="G46" s="22">
        <v>20230112</v>
      </c>
      <c r="H46" s="56">
        <v>44939.000002199071</v>
      </c>
      <c r="I46">
        <v>718442.57987214997</v>
      </c>
      <c r="K46" s="21" t="s">
        <v>488</v>
      </c>
      <c r="L46" s="21" t="s">
        <v>481</v>
      </c>
      <c r="M46" s="21" t="s">
        <v>85</v>
      </c>
      <c r="N46" s="21" t="s">
        <v>86</v>
      </c>
      <c r="P46" t="str">
        <f t="shared" si="0"/>
        <v>BNB</v>
      </c>
      <c r="Q46">
        <f t="shared" si="1"/>
        <v>287.81233632451375</v>
      </c>
      <c r="R46">
        <v>16719.740000000002</v>
      </c>
      <c r="S46">
        <f t="shared" si="2"/>
        <v>41736130.194390394</v>
      </c>
      <c r="T46" t="str">
        <f t="shared" si="3"/>
        <v xml:space="preserve">'BNB', </v>
      </c>
      <c r="V46" s="3" t="s">
        <v>207</v>
      </c>
      <c r="W46" s="8"/>
      <c r="X46" s="8"/>
      <c r="Y46" s="8"/>
      <c r="Z46" s="8"/>
      <c r="AA46" s="8"/>
      <c r="AB46" s="8"/>
      <c r="AC46" s="8">
        <v>-3600208</v>
      </c>
      <c r="AD46" s="8"/>
      <c r="AE46" s="8">
        <v>-3600208</v>
      </c>
      <c r="AF46" s="8"/>
      <c r="AG46" s="8"/>
      <c r="AH46" s="8"/>
      <c r="AJ46" s="27" t="s">
        <v>85</v>
      </c>
      <c r="AK46" s="44">
        <v>0.15721859999999999</v>
      </c>
      <c r="AL46">
        <v>3.1377137942216091</v>
      </c>
      <c r="AN46" t="s">
        <v>86</v>
      </c>
      <c r="AO46" t="s">
        <v>154</v>
      </c>
      <c r="AP46">
        <v>-60</v>
      </c>
      <c r="AR46" s="4" t="s">
        <v>99</v>
      </c>
      <c r="AS46" s="42">
        <v>116647.68407285</v>
      </c>
    </row>
    <row r="47" spans="1:49" x14ac:dyDescent="0.25">
      <c r="A47">
        <v>45</v>
      </c>
      <c r="B47" t="s">
        <v>91</v>
      </c>
      <c r="C47" s="1">
        <v>820.94862506000004</v>
      </c>
      <c r="E47" t="s">
        <v>14</v>
      </c>
      <c r="F47" t="s">
        <v>515</v>
      </c>
      <c r="G47" s="22">
        <v>20230112</v>
      </c>
      <c r="H47" s="56">
        <v>44939.000002199071</v>
      </c>
      <c r="I47">
        <v>15490962.3694188</v>
      </c>
      <c r="K47" s="21" t="s">
        <v>489</v>
      </c>
      <c r="L47" s="21" t="s">
        <v>481</v>
      </c>
      <c r="M47" s="21" t="s">
        <v>85</v>
      </c>
      <c r="N47" s="21" t="s">
        <v>86</v>
      </c>
      <c r="P47" t="str">
        <f t="shared" si="0"/>
        <v>BTC</v>
      </c>
      <c r="Q47">
        <f t="shared" si="1"/>
        <v>18869.588055265485</v>
      </c>
      <c r="R47">
        <v>1208.73</v>
      </c>
      <c r="S47">
        <f t="shared" si="2"/>
        <v>992305.23156877386</v>
      </c>
      <c r="T47" t="str">
        <f t="shared" si="3"/>
        <v xml:space="preserve">'BTC', </v>
      </c>
      <c r="V47" s="3" t="s">
        <v>210</v>
      </c>
      <c r="W47" s="8"/>
      <c r="X47" s="8"/>
      <c r="Y47" s="8"/>
      <c r="Z47" s="8"/>
      <c r="AA47" s="8"/>
      <c r="AB47" s="8"/>
      <c r="AC47" s="8">
        <v>-201.17</v>
      </c>
      <c r="AD47" s="8"/>
      <c r="AE47" s="8">
        <v>-201.17</v>
      </c>
      <c r="AF47" s="8"/>
      <c r="AG47" s="8"/>
      <c r="AH47" s="8"/>
      <c r="AJ47" s="4" t="s">
        <v>15</v>
      </c>
      <c r="AK47" s="44">
        <v>7467.2306945999999</v>
      </c>
      <c r="AL47">
        <v>9123605.9658979364</v>
      </c>
      <c r="AN47" t="s">
        <v>86</v>
      </c>
      <c r="AO47" t="s">
        <v>154</v>
      </c>
      <c r="AP47">
        <v>57.222791209999997</v>
      </c>
      <c r="AR47" s="3" t="s">
        <v>101</v>
      </c>
      <c r="AS47" s="42">
        <v>-36386394.539370403</v>
      </c>
    </row>
    <row r="48" spans="1:49" x14ac:dyDescent="0.25">
      <c r="A48">
        <v>46</v>
      </c>
      <c r="B48" t="s">
        <v>91</v>
      </c>
      <c r="C48" s="1">
        <v>1957317.4125478</v>
      </c>
      <c r="E48" t="s">
        <v>88</v>
      </c>
      <c r="F48" t="s">
        <v>515</v>
      </c>
      <c r="G48" s="22">
        <v>20230112</v>
      </c>
      <c r="H48" s="56">
        <v>44939.000002199071</v>
      </c>
      <c r="I48">
        <v>1957941.92399934</v>
      </c>
      <c r="K48" s="21" t="s">
        <v>490</v>
      </c>
      <c r="L48" s="21" t="s">
        <v>481</v>
      </c>
      <c r="M48" s="21" t="s">
        <v>85</v>
      </c>
      <c r="N48" s="21" t="s">
        <v>86</v>
      </c>
      <c r="P48" t="str">
        <f t="shared" si="0"/>
        <v>BUSD</v>
      </c>
      <c r="Q48">
        <f t="shared" si="1"/>
        <v>1.00031906498534</v>
      </c>
      <c r="R48">
        <v>3.7800280517057798</v>
      </c>
      <c r="S48">
        <f t="shared" si="2"/>
        <v>7398714.7255228581</v>
      </c>
      <c r="T48" t="str">
        <f t="shared" si="3"/>
        <v xml:space="preserve">'BUSD', </v>
      </c>
      <c r="V48" s="3" t="s">
        <v>172</v>
      </c>
      <c r="W48" s="8"/>
      <c r="X48" s="8"/>
      <c r="Y48" s="8"/>
      <c r="Z48" s="8"/>
      <c r="AA48" s="8"/>
      <c r="AB48" s="8"/>
      <c r="AC48" s="8">
        <v>3.13E-3</v>
      </c>
      <c r="AD48" s="8"/>
      <c r="AE48" s="8">
        <v>3.13E-3</v>
      </c>
      <c r="AF48" s="8"/>
      <c r="AG48" s="8"/>
      <c r="AH48" s="8"/>
      <c r="AJ48" s="27" t="s">
        <v>85</v>
      </c>
      <c r="AK48" s="44">
        <v>7467.2306945999999</v>
      </c>
      <c r="AL48">
        <v>9123605.9658979364</v>
      </c>
      <c r="AN48" t="s">
        <v>86</v>
      </c>
      <c r="AO48" t="s">
        <v>38</v>
      </c>
      <c r="AP48">
        <v>1978352.2225671101</v>
      </c>
      <c r="AR48" s="4" t="s">
        <v>14</v>
      </c>
      <c r="AS48" s="42">
        <v>4550.9250020700001</v>
      </c>
    </row>
    <row r="49" spans="1:45" x14ac:dyDescent="0.25">
      <c r="A49">
        <v>47</v>
      </c>
      <c r="B49" t="s">
        <v>91</v>
      </c>
      <c r="C49" s="1">
        <v>0.15721859999999999</v>
      </c>
      <c r="E49" t="s">
        <v>29</v>
      </c>
      <c r="F49" t="s">
        <v>515</v>
      </c>
      <c r="G49" s="22">
        <v>20230112</v>
      </c>
      <c r="H49" s="56">
        <v>44939.000002199071</v>
      </c>
      <c r="I49">
        <v>3.2886606621322101</v>
      </c>
      <c r="K49" s="21" t="s">
        <v>516</v>
      </c>
      <c r="L49" s="21" t="s">
        <v>481</v>
      </c>
      <c r="M49" s="21" t="s">
        <v>85</v>
      </c>
      <c r="N49" s="21" t="s">
        <v>86</v>
      </c>
      <c r="P49" t="str">
        <f t="shared" si="0"/>
        <v>ETC</v>
      </c>
      <c r="Q49">
        <f t="shared" si="1"/>
        <v>20.917758217744023</v>
      </c>
      <c r="R49">
        <v>1</v>
      </c>
      <c r="S49">
        <f t="shared" si="2"/>
        <v>0.15721859999999999</v>
      </c>
      <c r="T49" t="str">
        <f t="shared" si="3"/>
        <v xml:space="preserve">'ETC', </v>
      </c>
      <c r="V49" s="3" t="s">
        <v>173</v>
      </c>
      <c r="W49" s="8"/>
      <c r="X49" s="8"/>
      <c r="Y49" s="8"/>
      <c r="Z49" s="8"/>
      <c r="AA49" s="8"/>
      <c r="AB49" s="8"/>
      <c r="AC49" s="8">
        <v>10138.885630000001</v>
      </c>
      <c r="AD49" s="8"/>
      <c r="AE49" s="8">
        <v>10138.885630000001</v>
      </c>
      <c r="AF49" s="8"/>
      <c r="AG49" s="8"/>
      <c r="AH49" s="8"/>
      <c r="AJ49" s="4" t="s">
        <v>107</v>
      </c>
      <c r="AK49" s="44">
        <v>676914.25030584994</v>
      </c>
      <c r="AL49">
        <v>699624.72340361122</v>
      </c>
      <c r="AN49" t="s">
        <v>86</v>
      </c>
      <c r="AO49" t="s">
        <v>38</v>
      </c>
      <c r="AP49">
        <v>718760.47157083999</v>
      </c>
      <c r="AR49" s="4" t="s">
        <v>23</v>
      </c>
      <c r="AS49" s="42">
        <v>1817950.4935000001</v>
      </c>
    </row>
    <row r="50" spans="1:45" x14ac:dyDescent="0.25">
      <c r="A50">
        <v>48</v>
      </c>
      <c r="B50" t="s">
        <v>91</v>
      </c>
      <c r="C50" s="1">
        <v>6859.0860000000002</v>
      </c>
      <c r="E50" t="s">
        <v>15</v>
      </c>
      <c r="F50" t="s">
        <v>515</v>
      </c>
      <c r="G50" s="22">
        <v>20230112</v>
      </c>
      <c r="H50" s="56">
        <v>44939.000002199071</v>
      </c>
      <c r="I50">
        <v>9725762.2727328409</v>
      </c>
      <c r="K50" s="21" t="s">
        <v>498</v>
      </c>
      <c r="L50" s="21" t="s">
        <v>481</v>
      </c>
      <c r="M50" s="21" t="s">
        <v>85</v>
      </c>
      <c r="N50" s="21" t="s">
        <v>86</v>
      </c>
      <c r="P50" t="str">
        <f t="shared" si="0"/>
        <v>ETH</v>
      </c>
      <c r="Q50">
        <f t="shared" si="1"/>
        <v>1417.9385231112192</v>
      </c>
      <c r="R50">
        <v>0</v>
      </c>
      <c r="S50">
        <f t="shared" si="2"/>
        <v>0</v>
      </c>
      <c r="T50" t="str">
        <f t="shared" si="3"/>
        <v xml:space="preserve">'ETH', </v>
      </c>
      <c r="V50" s="3" t="s">
        <v>46</v>
      </c>
      <c r="W50" s="8">
        <v>47860654.493481569</v>
      </c>
      <c r="X50" s="8"/>
      <c r="Y50" s="8"/>
      <c r="Z50" s="8"/>
      <c r="AA50" s="8">
        <v>1411908.65690076</v>
      </c>
      <c r="AB50" s="8"/>
      <c r="AC50" s="8"/>
      <c r="AD50" s="8"/>
      <c r="AE50" s="8">
        <v>49272563.150382333</v>
      </c>
      <c r="AF50" s="8"/>
      <c r="AG50" s="8"/>
      <c r="AH50" s="8"/>
      <c r="AJ50" s="27" t="s">
        <v>85</v>
      </c>
      <c r="AK50" s="44">
        <v>676914.25030584994</v>
      </c>
      <c r="AL50">
        <v>699624.72340361122</v>
      </c>
      <c r="AN50" t="s">
        <v>86</v>
      </c>
      <c r="AO50" t="s">
        <v>38</v>
      </c>
      <c r="AP50">
        <v>43977435.717233598</v>
      </c>
      <c r="AR50" s="4" t="s">
        <v>15</v>
      </c>
      <c r="AS50" s="42">
        <v>19758.444440939998</v>
      </c>
    </row>
    <row r="51" spans="1:45" x14ac:dyDescent="0.25">
      <c r="A51">
        <v>49</v>
      </c>
      <c r="B51" t="s">
        <v>91</v>
      </c>
      <c r="C51" s="1">
        <v>1328887.8945897899</v>
      </c>
      <c r="E51" t="s">
        <v>38</v>
      </c>
      <c r="F51" t="s">
        <v>515</v>
      </c>
      <c r="G51" s="22">
        <v>20230112</v>
      </c>
      <c r="H51" s="56">
        <v>44939.000002199071</v>
      </c>
      <c r="I51">
        <v>1329010.2176367899</v>
      </c>
      <c r="K51" s="21" t="s">
        <v>512</v>
      </c>
      <c r="L51" s="21" t="s">
        <v>481</v>
      </c>
      <c r="M51" s="21" t="s">
        <v>85</v>
      </c>
      <c r="N51" s="21" t="s">
        <v>86</v>
      </c>
      <c r="P51" t="str">
        <f t="shared" si="0"/>
        <v>USDT</v>
      </c>
      <c r="Q51">
        <f t="shared" si="1"/>
        <v>1.0000920491845082</v>
      </c>
      <c r="R51">
        <v>103.98</v>
      </c>
      <c r="S51">
        <f t="shared" si="2"/>
        <v>138177763.27944636</v>
      </c>
      <c r="T51" t="str">
        <f t="shared" si="3"/>
        <v xml:space="preserve">'USDT', </v>
      </c>
      <c r="V51" s="3" t="s">
        <v>213</v>
      </c>
      <c r="W51" s="8">
        <v>-10030533463.218105</v>
      </c>
      <c r="X51" s="8"/>
      <c r="Y51" s="8"/>
      <c r="Z51" s="8"/>
      <c r="AA51" s="8"/>
      <c r="AB51" s="8"/>
      <c r="AC51" s="8"/>
      <c r="AD51" s="8"/>
      <c r="AE51" s="8">
        <v>-10030533463.218105</v>
      </c>
      <c r="AF51" s="8"/>
      <c r="AG51" s="8"/>
      <c r="AH51" s="8"/>
      <c r="AJ51" s="4" t="s">
        <v>30</v>
      </c>
      <c r="AK51" s="44">
        <v>0.19800000000000001</v>
      </c>
      <c r="AL51">
        <v>0.85020732248870245</v>
      </c>
      <c r="AN51" t="s">
        <v>86</v>
      </c>
      <c r="AO51" t="s">
        <v>38</v>
      </c>
      <c r="AP51">
        <v>16863596.558114801</v>
      </c>
      <c r="AR51" s="4" t="s">
        <v>27</v>
      </c>
      <c r="AS51" s="42">
        <v>44259.146574890001</v>
      </c>
    </row>
    <row r="52" spans="1:45" x14ac:dyDescent="0.25">
      <c r="A52">
        <v>50</v>
      </c>
      <c r="B52" t="s">
        <v>18</v>
      </c>
      <c r="C52" s="1">
        <v>47.01499536</v>
      </c>
      <c r="D52" t="s">
        <v>72</v>
      </c>
      <c r="E52" t="s">
        <v>87</v>
      </c>
      <c r="F52" t="s">
        <v>517</v>
      </c>
      <c r="G52" s="22">
        <v>20230112</v>
      </c>
      <c r="H52" s="56">
        <v>44939.000003900466</v>
      </c>
      <c r="I52">
        <v>13531.495656847699</v>
      </c>
      <c r="K52" s="21" t="s">
        <v>488</v>
      </c>
      <c r="L52" s="21" t="s">
        <v>481</v>
      </c>
      <c r="M52" s="21" t="s">
        <v>85</v>
      </c>
      <c r="N52" s="21" t="s">
        <v>86</v>
      </c>
      <c r="P52" t="str">
        <f t="shared" si="0"/>
        <v>BNB</v>
      </c>
      <c r="Q52">
        <f t="shared" si="1"/>
        <v>287.81233632451216</v>
      </c>
      <c r="R52">
        <v>16719.740000000002</v>
      </c>
      <c r="S52">
        <f t="shared" si="2"/>
        <v>786078.49852040643</v>
      </c>
      <c r="T52" t="str">
        <f t="shared" si="3"/>
        <v xml:space="preserve">'BNB', </v>
      </c>
      <c r="V52" s="3" t="s">
        <v>174</v>
      </c>
      <c r="W52" s="8">
        <v>118.92745343</v>
      </c>
      <c r="X52" s="8"/>
      <c r="Y52" s="8"/>
      <c r="Z52" s="8"/>
      <c r="AA52" s="8"/>
      <c r="AB52" s="8"/>
      <c r="AC52" s="8"/>
      <c r="AD52" s="8"/>
      <c r="AE52" s="8">
        <v>118.92745343</v>
      </c>
      <c r="AF52" s="8"/>
      <c r="AG52" s="8"/>
      <c r="AH52" s="8"/>
      <c r="AJ52" s="27" t="s">
        <v>85</v>
      </c>
      <c r="AK52" s="44">
        <v>0.19800000000000001</v>
      </c>
      <c r="AL52">
        <v>0.85020732248870245</v>
      </c>
      <c r="AN52" t="s">
        <v>86</v>
      </c>
      <c r="AO52" t="s">
        <v>196</v>
      </c>
      <c r="AP52">
        <v>-100</v>
      </c>
      <c r="AR52" s="4" t="s">
        <v>24</v>
      </c>
      <c r="AS52" s="42">
        <v>7003.5866771999999</v>
      </c>
    </row>
    <row r="53" spans="1:45" x14ac:dyDescent="0.25">
      <c r="A53">
        <v>51</v>
      </c>
      <c r="B53" t="s">
        <v>18</v>
      </c>
      <c r="C53" s="1">
        <v>16000004.791549399</v>
      </c>
      <c r="D53" t="s">
        <v>72</v>
      </c>
      <c r="E53" t="s">
        <v>88</v>
      </c>
      <c r="F53" t="s">
        <v>517</v>
      </c>
      <c r="G53" s="22">
        <v>20230112</v>
      </c>
      <c r="H53" s="56">
        <v>44939.000003900466</v>
      </c>
      <c r="I53">
        <v>16005109.8328437</v>
      </c>
      <c r="K53" s="21" t="s">
        <v>490</v>
      </c>
      <c r="L53" s="21" t="s">
        <v>481</v>
      </c>
      <c r="M53" s="21" t="s">
        <v>85</v>
      </c>
      <c r="N53" s="21" t="s">
        <v>86</v>
      </c>
      <c r="P53" t="str">
        <f t="shared" si="0"/>
        <v>BUSD</v>
      </c>
      <c r="Q53">
        <f t="shared" si="1"/>
        <v>1.0003190649853428</v>
      </c>
      <c r="R53">
        <v>1208.73</v>
      </c>
      <c r="S53">
        <f t="shared" si="2"/>
        <v>19339685791.689507</v>
      </c>
      <c r="T53" t="str">
        <f t="shared" si="3"/>
        <v xml:space="preserve">'BUSD', </v>
      </c>
      <c r="V53" s="3" t="s">
        <v>48</v>
      </c>
      <c r="W53" s="8">
        <v>6237.0320764599992</v>
      </c>
      <c r="X53" s="8"/>
      <c r="Y53" s="8"/>
      <c r="Z53" s="8"/>
      <c r="AA53" s="8">
        <v>220.77855635999998</v>
      </c>
      <c r="AB53" s="8"/>
      <c r="AC53" s="8"/>
      <c r="AD53" s="8"/>
      <c r="AE53" s="8">
        <v>6457.8106328199992</v>
      </c>
      <c r="AF53" s="8"/>
      <c r="AG53" s="8"/>
      <c r="AH53" s="8"/>
      <c r="AJ53" s="4" t="s">
        <v>27</v>
      </c>
      <c r="AK53" s="44">
        <v>1593.7904690299999</v>
      </c>
      <c r="AL53">
        <v>9678.20707730504</v>
      </c>
      <c r="AN53" t="s">
        <v>217</v>
      </c>
      <c r="AO53" t="s">
        <v>14</v>
      </c>
      <c r="AP53">
        <v>7.9996000000000008E-3</v>
      </c>
      <c r="AR53" s="4" t="s">
        <v>95</v>
      </c>
      <c r="AS53" s="42">
        <v>-38280018.135565504</v>
      </c>
    </row>
    <row r="54" spans="1:45" x14ac:dyDescent="0.25">
      <c r="A54">
        <v>52</v>
      </c>
      <c r="B54" t="s">
        <v>18</v>
      </c>
      <c r="C54" s="1">
        <v>13400136.677891999</v>
      </c>
      <c r="D54" t="s">
        <v>72</v>
      </c>
      <c r="E54" t="s">
        <v>38</v>
      </c>
      <c r="F54" t="s">
        <v>517</v>
      </c>
      <c r="G54" s="22">
        <v>20230112</v>
      </c>
      <c r="H54" s="56">
        <v>44939.000003900466</v>
      </c>
      <c r="I54">
        <v>13401370.1495455</v>
      </c>
      <c r="K54" s="21" t="s">
        <v>512</v>
      </c>
      <c r="L54" s="21" t="s">
        <v>481</v>
      </c>
      <c r="M54" s="21" t="s">
        <v>85</v>
      </c>
      <c r="N54" s="21" t="s">
        <v>86</v>
      </c>
      <c r="P54" t="str">
        <f t="shared" si="0"/>
        <v>USDT</v>
      </c>
      <c r="Q54">
        <f t="shared" si="1"/>
        <v>1.0000920491845084</v>
      </c>
      <c r="R54">
        <v>1.2567074957005918E-2</v>
      </c>
      <c r="S54">
        <f t="shared" si="2"/>
        <v>168400.52206519301</v>
      </c>
      <c r="T54" t="str">
        <f t="shared" si="3"/>
        <v xml:space="preserve">'USDT', </v>
      </c>
      <c r="V54" s="3" t="s">
        <v>50</v>
      </c>
      <c r="W54" s="8">
        <v>16911467.100307181</v>
      </c>
      <c r="X54" s="8"/>
      <c r="Y54" s="8"/>
      <c r="Z54" s="8"/>
      <c r="AA54" s="8">
        <v>669127.7382844399</v>
      </c>
      <c r="AB54" s="8"/>
      <c r="AC54" s="8"/>
      <c r="AD54" s="8"/>
      <c r="AE54" s="8">
        <v>17580594.83859162</v>
      </c>
      <c r="AF54" s="8"/>
      <c r="AG54" s="8"/>
      <c r="AH54" s="8"/>
      <c r="AJ54" s="27" t="s">
        <v>85</v>
      </c>
      <c r="AK54" s="44">
        <v>1593.7904690299999</v>
      </c>
      <c r="AL54">
        <v>9678.20707730504</v>
      </c>
      <c r="AN54" t="s">
        <v>217</v>
      </c>
      <c r="AO54" t="s">
        <v>14</v>
      </c>
      <c r="AP54">
        <v>1E-3</v>
      </c>
      <c r="AR54" s="4" t="s">
        <v>92</v>
      </c>
      <c r="AS54" s="42">
        <v>101</v>
      </c>
    </row>
    <row r="55" spans="1:45" x14ac:dyDescent="0.25">
      <c r="A55">
        <v>53</v>
      </c>
      <c r="B55" t="s">
        <v>18</v>
      </c>
      <c r="C55" s="1">
        <v>878081.47598261002</v>
      </c>
      <c r="D55" t="s">
        <v>90</v>
      </c>
      <c r="E55" t="s">
        <v>38</v>
      </c>
      <c r="F55" t="s">
        <v>517</v>
      </c>
      <c r="G55" s="22">
        <v>20230112</v>
      </c>
      <c r="H55" s="56">
        <v>44939.000003900466</v>
      </c>
      <c r="I55">
        <v>878162.30266641104</v>
      </c>
      <c r="K55" s="21" t="s">
        <v>512</v>
      </c>
      <c r="L55" s="21" t="s">
        <v>481</v>
      </c>
      <c r="M55" s="21" t="s">
        <v>85</v>
      </c>
      <c r="N55" s="21" t="s">
        <v>86</v>
      </c>
      <c r="P55" t="str">
        <f t="shared" si="0"/>
        <v>USDT</v>
      </c>
      <c r="Q55">
        <f t="shared" si="1"/>
        <v>1.000092049184514</v>
      </c>
      <c r="R55">
        <v>1</v>
      </c>
      <c r="S55">
        <f t="shared" si="2"/>
        <v>878081.47598261002</v>
      </c>
      <c r="T55" t="str">
        <f t="shared" si="3"/>
        <v xml:space="preserve">'USDT', </v>
      </c>
      <c r="V55" s="3" t="s">
        <v>51</v>
      </c>
      <c r="W55" s="8">
        <v>4.3688520899999999</v>
      </c>
      <c r="X55" s="8"/>
      <c r="Y55" s="8"/>
      <c r="Z55" s="8"/>
      <c r="AA55" s="8">
        <v>-19308.570061800001</v>
      </c>
      <c r="AB55" s="8"/>
      <c r="AC55" s="8"/>
      <c r="AD55" s="8"/>
      <c r="AE55" s="8">
        <v>-19304.201209710001</v>
      </c>
      <c r="AF55" s="8"/>
      <c r="AG55" s="8"/>
      <c r="AH55" s="8"/>
      <c r="AJ55" s="4" t="s">
        <v>24</v>
      </c>
      <c r="AK55" s="44">
        <v>239.37012394999999</v>
      </c>
      <c r="AL55">
        <v>13760.711951759526</v>
      </c>
      <c r="AN55" t="s">
        <v>217</v>
      </c>
      <c r="AO55" t="s">
        <v>15</v>
      </c>
      <c r="AP55">
        <v>0.02</v>
      </c>
      <c r="AR55" s="3" t="s">
        <v>32</v>
      </c>
      <c r="AS55" s="42">
        <v>174430.503494</v>
      </c>
    </row>
    <row r="56" spans="1:45" x14ac:dyDescent="0.25">
      <c r="A56">
        <v>54</v>
      </c>
      <c r="B56" t="s">
        <v>299</v>
      </c>
      <c r="C56" s="1">
        <v>829745.80743815005</v>
      </c>
      <c r="D56" t="s">
        <v>72</v>
      </c>
      <c r="E56" t="s">
        <v>38</v>
      </c>
      <c r="F56" t="s">
        <v>518</v>
      </c>
      <c r="G56" s="22">
        <v>20230112</v>
      </c>
      <c r="H56" s="56">
        <v>44939.000003935187</v>
      </c>
      <c r="I56">
        <v>829822.18486307794</v>
      </c>
      <c r="K56" s="21" t="s">
        <v>512</v>
      </c>
      <c r="L56" s="21" t="s">
        <v>481</v>
      </c>
      <c r="M56" s="21" t="s">
        <v>85</v>
      </c>
      <c r="N56" s="21" t="s">
        <v>86</v>
      </c>
      <c r="P56" t="str">
        <f t="shared" si="0"/>
        <v>USDT</v>
      </c>
      <c r="Q56">
        <f t="shared" si="1"/>
        <v>1.0000920491845131</v>
      </c>
      <c r="R56">
        <v>0.38471588000000001</v>
      </c>
      <c r="S56">
        <f t="shared" si="2"/>
        <v>319216.38848487847</v>
      </c>
      <c r="T56" t="str">
        <f t="shared" si="3"/>
        <v xml:space="preserve">'USDT', </v>
      </c>
      <c r="V56" s="3" t="s">
        <v>212</v>
      </c>
      <c r="W56" s="8">
        <v>-24920.176410470001</v>
      </c>
      <c r="X56" s="8"/>
      <c r="Y56" s="8"/>
      <c r="Z56" s="8"/>
      <c r="AA56" s="8"/>
      <c r="AB56" s="8"/>
      <c r="AC56" s="8"/>
      <c r="AD56" s="8"/>
      <c r="AE56" s="8">
        <v>-24920.176410470001</v>
      </c>
      <c r="AF56" s="8"/>
      <c r="AG56" s="8"/>
      <c r="AH56" s="8"/>
      <c r="AJ56" s="27" t="s">
        <v>85</v>
      </c>
      <c r="AK56" s="44">
        <v>239.37012394999999</v>
      </c>
      <c r="AL56">
        <v>13760.711951759526</v>
      </c>
      <c r="AN56" t="s">
        <v>217</v>
      </c>
      <c r="AO56" t="s">
        <v>272</v>
      </c>
      <c r="AP56">
        <v>0.02</v>
      </c>
      <c r="AR56" s="4" t="s">
        <v>95</v>
      </c>
      <c r="AS56" s="42">
        <v>174430.503494</v>
      </c>
    </row>
    <row r="57" spans="1:45" x14ac:dyDescent="0.25">
      <c r="A57">
        <v>55</v>
      </c>
      <c r="B57" t="s">
        <v>299</v>
      </c>
      <c r="C57" s="1">
        <v>-507.05590913999998</v>
      </c>
      <c r="D57" t="s">
        <v>90</v>
      </c>
      <c r="E57" t="s">
        <v>38</v>
      </c>
      <c r="F57" t="s">
        <v>518</v>
      </c>
      <c r="G57" s="22">
        <v>20230112</v>
      </c>
      <c r="H57" s="56">
        <v>44939.000003935187</v>
      </c>
      <c r="I57">
        <v>-507.10258322293902</v>
      </c>
      <c r="K57" s="21" t="s">
        <v>512</v>
      </c>
      <c r="L57" s="21" t="s">
        <v>481</v>
      </c>
      <c r="M57" s="21" t="s">
        <v>85</v>
      </c>
      <c r="N57" s="21" t="s">
        <v>86</v>
      </c>
      <c r="P57" t="str">
        <f t="shared" si="0"/>
        <v>USDT</v>
      </c>
      <c r="Q57">
        <f t="shared" si="1"/>
        <v>1.0000920491845133</v>
      </c>
      <c r="R57">
        <v>16719.740000000002</v>
      </c>
      <c r="S57">
        <f t="shared" si="2"/>
        <v>-8477842.9662844241</v>
      </c>
      <c r="T57" t="str">
        <f t="shared" si="3"/>
        <v xml:space="preserve">'USDT', </v>
      </c>
      <c r="V57" s="3" t="s">
        <v>175</v>
      </c>
      <c r="W57" s="8"/>
      <c r="X57" s="8"/>
      <c r="Y57" s="8"/>
      <c r="Z57" s="8"/>
      <c r="AA57" s="8"/>
      <c r="AB57" s="8"/>
      <c r="AC57" s="8">
        <v>0.13812404</v>
      </c>
      <c r="AD57" s="8"/>
      <c r="AE57" s="8">
        <v>0.13812404</v>
      </c>
      <c r="AF57" s="8"/>
      <c r="AG57" s="8"/>
      <c r="AH57" s="8"/>
      <c r="AJ57" s="4" t="s">
        <v>192</v>
      </c>
      <c r="AK57" s="44">
        <v>-15874.837827430001</v>
      </c>
      <c r="AL57">
        <v>-7134.3255865844794</v>
      </c>
      <c r="AN57" t="s">
        <v>217</v>
      </c>
      <c r="AO57" t="s">
        <v>95</v>
      </c>
      <c r="AP57">
        <v>2.755467E-2</v>
      </c>
      <c r="AR57" s="3" t="s">
        <v>186</v>
      </c>
      <c r="AS57" s="42">
        <v>1137643.5941333489</v>
      </c>
    </row>
    <row r="58" spans="1:45" x14ac:dyDescent="0.25">
      <c r="A58">
        <v>56</v>
      </c>
      <c r="B58" t="s">
        <v>93</v>
      </c>
      <c r="C58" s="1">
        <v>7.9996000000000008E-3</v>
      </c>
      <c r="E58" t="s">
        <v>14</v>
      </c>
      <c r="F58" t="s">
        <v>519</v>
      </c>
      <c r="G58" s="22">
        <v>20230112</v>
      </c>
      <c r="H58" s="56">
        <v>44939.000000578701</v>
      </c>
      <c r="I58">
        <v>150.94915660690199</v>
      </c>
      <c r="K58" s="21" t="s">
        <v>520</v>
      </c>
      <c r="L58" s="21" t="s">
        <v>521</v>
      </c>
      <c r="M58" s="21" t="s">
        <v>85</v>
      </c>
      <c r="N58" s="21" t="s">
        <v>94</v>
      </c>
      <c r="P58" t="str">
        <f t="shared" si="0"/>
        <v>BTC</v>
      </c>
      <c r="Q58">
        <f t="shared" si="1"/>
        <v>18869.588055265511</v>
      </c>
      <c r="R58">
        <v>1</v>
      </c>
      <c r="S58">
        <f t="shared" si="2"/>
        <v>7.9996000000000008E-3</v>
      </c>
      <c r="T58" t="str">
        <f t="shared" si="3"/>
        <v xml:space="preserve">'BTC', </v>
      </c>
      <c r="V58" s="3" t="s">
        <v>180</v>
      </c>
      <c r="W58" s="8"/>
      <c r="X58" s="8"/>
      <c r="Y58" s="8"/>
      <c r="Z58" s="8"/>
      <c r="AA58" s="8"/>
      <c r="AB58" s="8"/>
      <c r="AC58" s="8">
        <v>3189967.2936231201</v>
      </c>
      <c r="AD58" s="8"/>
      <c r="AE58" s="8">
        <v>3189967.2936231201</v>
      </c>
      <c r="AF58" s="8"/>
      <c r="AG58" s="8"/>
      <c r="AH58" s="8"/>
      <c r="AJ58" s="27" t="s">
        <v>85</v>
      </c>
      <c r="AK58" s="44">
        <v>4125.1621725699997</v>
      </c>
      <c r="AL58">
        <v>1853.8929566716131</v>
      </c>
      <c r="AN58" t="s">
        <v>217</v>
      </c>
      <c r="AO58" t="s">
        <v>96</v>
      </c>
      <c r="AP58">
        <v>29.9885932</v>
      </c>
      <c r="AR58" s="4" t="s">
        <v>116</v>
      </c>
      <c r="AS58" s="42">
        <v>150</v>
      </c>
    </row>
    <row r="59" spans="1:45" x14ac:dyDescent="0.25">
      <c r="A59">
        <v>57</v>
      </c>
      <c r="B59" t="s">
        <v>93</v>
      </c>
      <c r="C59" s="1">
        <v>0.02</v>
      </c>
      <c r="E59" t="s">
        <v>15</v>
      </c>
      <c r="F59" t="s">
        <v>519</v>
      </c>
      <c r="G59" s="22">
        <v>20230112</v>
      </c>
      <c r="H59" s="56">
        <v>44939.000000578701</v>
      </c>
      <c r="I59">
        <v>28.3587704622243</v>
      </c>
      <c r="K59" s="21" t="s">
        <v>522</v>
      </c>
      <c r="L59" s="21" t="s">
        <v>521</v>
      </c>
      <c r="M59" s="21" t="s">
        <v>85</v>
      </c>
      <c r="N59" s="21" t="s">
        <v>94</v>
      </c>
      <c r="P59" t="str">
        <f t="shared" si="0"/>
        <v>ETH</v>
      </c>
      <c r="Q59">
        <f t="shared" si="1"/>
        <v>1417.9385231112149</v>
      </c>
      <c r="R59">
        <v>1.0001621022067761</v>
      </c>
      <c r="S59">
        <f t="shared" si="2"/>
        <v>2.0003242044135523E-2</v>
      </c>
      <c r="T59" t="str">
        <f t="shared" si="3"/>
        <v xml:space="preserve">'ETH', </v>
      </c>
      <c r="V59" s="3" t="s">
        <v>183</v>
      </c>
      <c r="W59" s="8"/>
      <c r="X59" s="8"/>
      <c r="Y59" s="8"/>
      <c r="Z59" s="8"/>
      <c r="AA59" s="8"/>
      <c r="AB59" s="8"/>
      <c r="AC59" s="8">
        <v>10960793.073012851</v>
      </c>
      <c r="AD59" s="8"/>
      <c r="AE59" s="8">
        <v>10960793.073012851</v>
      </c>
      <c r="AF59" s="8"/>
      <c r="AG59" s="8"/>
      <c r="AH59" s="8"/>
      <c r="AJ59" s="27" t="s">
        <v>195</v>
      </c>
      <c r="AK59" s="44">
        <v>-20000</v>
      </c>
      <c r="AL59">
        <v>-8988.2185432560927</v>
      </c>
      <c r="AN59" t="s">
        <v>217</v>
      </c>
      <c r="AO59" t="s">
        <v>96</v>
      </c>
      <c r="AP59">
        <v>30</v>
      </c>
      <c r="AR59" s="4" t="s">
        <v>187</v>
      </c>
      <c r="AS59" s="42">
        <v>2.0391293999999999E-3</v>
      </c>
    </row>
    <row r="60" spans="1:45" x14ac:dyDescent="0.25">
      <c r="A60">
        <v>58</v>
      </c>
      <c r="B60" t="s">
        <v>93</v>
      </c>
      <c r="C60" s="1">
        <v>0.02</v>
      </c>
      <c r="E60" t="s">
        <v>272</v>
      </c>
      <c r="F60" t="s">
        <v>519</v>
      </c>
      <c r="G60" s="22">
        <v>20230112</v>
      </c>
      <c r="H60" s="56">
        <v>44939.000000578701</v>
      </c>
      <c r="I60">
        <v>6.8681868233453097E-2</v>
      </c>
      <c r="K60" s="21" t="s">
        <v>523</v>
      </c>
      <c r="L60" s="21" t="s">
        <v>521</v>
      </c>
      <c r="M60" s="21" t="s">
        <v>85</v>
      </c>
      <c r="N60" s="21" t="s">
        <v>94</v>
      </c>
      <c r="P60" t="str">
        <f t="shared" si="0"/>
        <v>ETHW</v>
      </c>
      <c r="Q60">
        <f t="shared" si="1"/>
        <v>3.4340934116726549</v>
      </c>
      <c r="R60">
        <v>0.90154135000000002</v>
      </c>
      <c r="S60">
        <f t="shared" si="2"/>
        <v>1.8030826999999999E-2</v>
      </c>
      <c r="T60" t="str">
        <f t="shared" si="3"/>
        <v xml:space="preserve">'ETHW', </v>
      </c>
      <c r="V60" s="3" t="s">
        <v>214</v>
      </c>
      <c r="W60" s="8"/>
      <c r="X60" s="8"/>
      <c r="Y60" s="8"/>
      <c r="Z60" s="8"/>
      <c r="AA60" s="8"/>
      <c r="AB60" s="8"/>
      <c r="AC60" s="8">
        <v>-3168.84071395</v>
      </c>
      <c r="AD60" s="8"/>
      <c r="AE60" s="8">
        <v>-3168.84071395</v>
      </c>
      <c r="AF60" s="8"/>
      <c r="AG60" s="8"/>
      <c r="AH60" s="8"/>
      <c r="AJ60" s="4" t="s">
        <v>89</v>
      </c>
      <c r="AK60" s="44">
        <v>405872.62526320003</v>
      </c>
      <c r="AL60">
        <v>33101.177068429613</v>
      </c>
      <c r="AN60" t="s">
        <v>217</v>
      </c>
      <c r="AO60" t="s">
        <v>323</v>
      </c>
      <c r="AP60">
        <v>30</v>
      </c>
      <c r="AR60" s="4" t="s">
        <v>20</v>
      </c>
      <c r="AS60" s="42">
        <v>1652.0172</v>
      </c>
    </row>
    <row r="61" spans="1:45" x14ac:dyDescent="0.25">
      <c r="A61">
        <v>59</v>
      </c>
      <c r="B61" t="s">
        <v>93</v>
      </c>
      <c r="C61" s="1">
        <v>2.755467E-2</v>
      </c>
      <c r="E61" t="s">
        <v>95</v>
      </c>
      <c r="F61" t="s">
        <v>519</v>
      </c>
      <c r="G61" s="22">
        <v>20230112</v>
      </c>
      <c r="H61" s="56">
        <v>44939.000000578701</v>
      </c>
      <c r="I61">
        <v>2.755467E-2</v>
      </c>
      <c r="K61" s="21" t="s">
        <v>524</v>
      </c>
      <c r="L61" s="21" t="s">
        <v>521</v>
      </c>
      <c r="M61" s="21" t="s">
        <v>85</v>
      </c>
      <c r="N61" s="21" t="s">
        <v>94</v>
      </c>
      <c r="P61" t="str">
        <f t="shared" si="0"/>
        <v>USD</v>
      </c>
      <c r="Q61">
        <f t="shared" si="1"/>
        <v>1</v>
      </c>
      <c r="R61">
        <v>6.2919999999999998</v>
      </c>
      <c r="S61">
        <f t="shared" si="2"/>
        <v>0.17337398364000001</v>
      </c>
      <c r="T61" t="str">
        <f t="shared" si="3"/>
        <v xml:space="preserve">'USD', </v>
      </c>
      <c r="V61" s="3" t="s">
        <v>278</v>
      </c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J61" s="27" t="s">
        <v>85</v>
      </c>
      <c r="AK61" s="44">
        <v>405872.62526320003</v>
      </c>
      <c r="AL61">
        <v>33101.177068429613</v>
      </c>
      <c r="AN61" t="s">
        <v>97</v>
      </c>
      <c r="AO61" t="s">
        <v>20</v>
      </c>
      <c r="AP61">
        <v>0.21932823000000001</v>
      </c>
      <c r="AR61" s="4" t="s">
        <v>14</v>
      </c>
      <c r="AS61" s="42">
        <v>9.7591629999999999E-2</v>
      </c>
    </row>
    <row r="62" spans="1:45" x14ac:dyDescent="0.25">
      <c r="A62">
        <v>60</v>
      </c>
      <c r="B62" t="s">
        <v>93</v>
      </c>
      <c r="C62" s="1">
        <v>29.9885932</v>
      </c>
      <c r="E62" t="s">
        <v>96</v>
      </c>
      <c r="F62" t="s">
        <v>519</v>
      </c>
      <c r="G62" s="22">
        <v>20230112</v>
      </c>
      <c r="H62" s="56">
        <v>44939.000000578701</v>
      </c>
      <c r="I62">
        <v>0</v>
      </c>
      <c r="K62" s="21" t="s">
        <v>525</v>
      </c>
      <c r="L62" s="21" t="s">
        <v>521</v>
      </c>
      <c r="M62" s="21" t="s">
        <v>85</v>
      </c>
      <c r="N62" s="21" t="s">
        <v>94</v>
      </c>
      <c r="P62" t="str">
        <f t="shared" si="0"/>
        <v>UST</v>
      </c>
      <c r="Q62">
        <f t="shared" si="1"/>
        <v>0</v>
      </c>
      <c r="R62">
        <v>62.35</v>
      </c>
      <c r="S62">
        <f t="shared" si="2"/>
        <v>1869.7887860200001</v>
      </c>
      <c r="T62" t="str">
        <f t="shared" si="3"/>
        <v xml:space="preserve">'UST', </v>
      </c>
      <c r="V62" s="3" t="s">
        <v>293</v>
      </c>
      <c r="W62" s="8"/>
      <c r="X62" s="8"/>
      <c r="Y62" s="8"/>
      <c r="Z62" s="8"/>
      <c r="AA62" s="8"/>
      <c r="AB62" s="8"/>
      <c r="AC62" s="8"/>
      <c r="AD62" s="8">
        <v>-11782.51460554</v>
      </c>
      <c r="AE62" s="8">
        <v>-11782.51460554</v>
      </c>
      <c r="AF62" s="8"/>
      <c r="AG62" s="8"/>
      <c r="AH62" s="8"/>
      <c r="AJ62" s="4" t="s">
        <v>37</v>
      </c>
      <c r="AK62" s="44">
        <v>-6000000000</v>
      </c>
      <c r="AL62">
        <v>-54169.844881511162</v>
      </c>
      <c r="AN62" t="s">
        <v>97</v>
      </c>
      <c r="AO62" t="s">
        <v>14</v>
      </c>
      <c r="AP62">
        <v>5.7861299999999997E-2</v>
      </c>
      <c r="AR62" s="4" t="s">
        <v>31</v>
      </c>
      <c r="AS62" s="42">
        <v>0.06</v>
      </c>
    </row>
    <row r="63" spans="1:45" x14ac:dyDescent="0.25">
      <c r="A63">
        <v>61</v>
      </c>
      <c r="B63" t="s">
        <v>97</v>
      </c>
      <c r="C63" s="1">
        <v>0.21932823000000001</v>
      </c>
      <c r="E63" t="s">
        <v>20</v>
      </c>
      <c r="F63" t="s">
        <v>526</v>
      </c>
      <c r="G63" s="22">
        <v>20230112</v>
      </c>
      <c r="H63" s="56">
        <v>44938.004609722222</v>
      </c>
      <c r="I63">
        <v>26.255884650393501</v>
      </c>
      <c r="K63" s="21" t="s">
        <v>527</v>
      </c>
      <c r="L63" s="21" t="s">
        <v>528</v>
      </c>
      <c r="M63" s="21" t="s">
        <v>85</v>
      </c>
      <c r="N63" s="21" t="s">
        <v>97</v>
      </c>
      <c r="P63" t="str">
        <f t="shared" si="0"/>
        <v>BCH</v>
      </c>
      <c r="Q63">
        <f t="shared" si="1"/>
        <v>119.71046613741194</v>
      </c>
      <c r="R63">
        <v>1</v>
      </c>
      <c r="S63">
        <f t="shared" si="2"/>
        <v>0.21932823000000001</v>
      </c>
      <c r="T63" t="str">
        <f t="shared" si="3"/>
        <v xml:space="preserve">'BCH', </v>
      </c>
      <c r="V63" s="3" t="s">
        <v>56</v>
      </c>
      <c r="W63" s="8">
        <v>-9873225562.4168072</v>
      </c>
      <c r="X63" s="8">
        <v>-8882057.2731500994</v>
      </c>
      <c r="Y63" s="8">
        <v>1774.8282548300001</v>
      </c>
      <c r="Z63" s="8">
        <v>14110.274506870002</v>
      </c>
      <c r="AA63" s="8">
        <v>4850182.8338985601</v>
      </c>
      <c r="AB63" s="8">
        <v>1106366.3473491999</v>
      </c>
      <c r="AC63" s="8">
        <v>190174382320.34937</v>
      </c>
      <c r="AD63" s="8">
        <v>-11782.51460554</v>
      </c>
      <c r="AE63" s="8">
        <v>180298235352.4288</v>
      </c>
      <c r="AF63" s="8"/>
      <c r="AG63" s="8"/>
      <c r="AH63" s="8"/>
      <c r="AJ63" s="27" t="s">
        <v>195</v>
      </c>
      <c r="AK63" s="44">
        <v>-6000000000</v>
      </c>
      <c r="AL63">
        <v>-54169.844881511162</v>
      </c>
      <c r="AN63" t="s">
        <v>97</v>
      </c>
      <c r="AO63" t="s">
        <v>15</v>
      </c>
      <c r="AP63">
        <v>0.73541904000000002</v>
      </c>
      <c r="AR63" s="4" t="s">
        <v>188</v>
      </c>
      <c r="AS63" s="42">
        <v>9.7777784334</v>
      </c>
    </row>
    <row r="64" spans="1:45" x14ac:dyDescent="0.25">
      <c r="A64">
        <v>62</v>
      </c>
      <c r="B64" t="s">
        <v>97</v>
      </c>
      <c r="C64" s="1">
        <v>5.7861299999999997E-2</v>
      </c>
      <c r="E64" t="s">
        <v>14</v>
      </c>
      <c r="F64" t="s">
        <v>526</v>
      </c>
      <c r="G64" s="22">
        <v>20230112</v>
      </c>
      <c r="H64" s="56">
        <v>44938.004620636573</v>
      </c>
      <c r="I64">
        <v>1091.81889534213</v>
      </c>
      <c r="K64" s="21" t="s">
        <v>529</v>
      </c>
      <c r="L64" s="21" t="s">
        <v>528</v>
      </c>
      <c r="M64" s="21" t="s">
        <v>85</v>
      </c>
      <c r="N64" s="21" t="s">
        <v>97</v>
      </c>
      <c r="P64" t="str">
        <f t="shared" si="0"/>
        <v>BTC</v>
      </c>
      <c r="Q64">
        <f t="shared" si="1"/>
        <v>18869.588055265438</v>
      </c>
      <c r="R64">
        <v>1208.73</v>
      </c>
      <c r="S64">
        <f t="shared" si="2"/>
        <v>69.938689148999998</v>
      </c>
      <c r="T64" t="str">
        <f t="shared" si="3"/>
        <v xml:space="preserve">'BTC', </v>
      </c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J64" s="4" t="s">
        <v>154</v>
      </c>
      <c r="AK64" s="44">
        <v>-2.7772087900000031</v>
      </c>
      <c r="AL64">
        <v>-36.560644480969472</v>
      </c>
      <c r="AN64" t="s">
        <v>97</v>
      </c>
      <c r="AO64" t="s">
        <v>24</v>
      </c>
      <c r="AP64">
        <v>15.892145019999999</v>
      </c>
      <c r="AR64" s="4" t="s">
        <v>22</v>
      </c>
      <c r="AS64" s="42">
        <v>1.0009999999999999</v>
      </c>
    </row>
    <row r="65" spans="1:45" x14ac:dyDescent="0.25">
      <c r="A65">
        <v>63</v>
      </c>
      <c r="B65" t="s">
        <v>97</v>
      </c>
      <c r="C65" s="1">
        <v>0.73541904000000002</v>
      </c>
      <c r="E65" t="s">
        <v>15</v>
      </c>
      <c r="F65" t="s">
        <v>526</v>
      </c>
      <c r="G65" s="22">
        <v>20230112</v>
      </c>
      <c r="H65" s="56">
        <v>44938.004631481483</v>
      </c>
      <c r="I65">
        <v>1042.77898744547</v>
      </c>
      <c r="K65" s="21" t="s">
        <v>530</v>
      </c>
      <c r="L65" s="21" t="s">
        <v>528</v>
      </c>
      <c r="M65" s="21" t="s">
        <v>85</v>
      </c>
      <c r="N65" s="21" t="s">
        <v>97</v>
      </c>
      <c r="P65" t="str">
        <f t="shared" si="0"/>
        <v>ETH</v>
      </c>
      <c r="Q65">
        <f t="shared" si="1"/>
        <v>1417.9385231112183</v>
      </c>
      <c r="R65">
        <v>1</v>
      </c>
      <c r="S65">
        <f t="shared" si="2"/>
        <v>0.73541904000000002</v>
      </c>
      <c r="T65" t="str">
        <f t="shared" si="3"/>
        <v xml:space="preserve">'ETH', </v>
      </c>
      <c r="AJ65" s="27" t="s">
        <v>85</v>
      </c>
      <c r="AK65" s="44">
        <v>57.222791209999997</v>
      </c>
      <c r="AL65">
        <v>753.31107015455927</v>
      </c>
      <c r="AN65" t="s">
        <v>97</v>
      </c>
      <c r="AO65" t="s">
        <v>98</v>
      </c>
      <c r="AP65">
        <v>22277.5319929</v>
      </c>
      <c r="AR65" s="4" t="s">
        <v>23</v>
      </c>
      <c r="AS65" s="42">
        <v>3.4999999999999996E-3</v>
      </c>
    </row>
    <row r="66" spans="1:45" x14ac:dyDescent="0.25">
      <c r="A66">
        <v>64</v>
      </c>
      <c r="B66" t="s">
        <v>97</v>
      </c>
      <c r="C66" s="1">
        <v>22277.5319929</v>
      </c>
      <c r="E66" t="s">
        <v>973</v>
      </c>
      <c r="F66" t="s">
        <v>526</v>
      </c>
      <c r="G66" s="22">
        <v>20230112</v>
      </c>
      <c r="H66" s="56">
        <v>44938.004642326392</v>
      </c>
      <c r="I66">
        <v>980.45458503844304</v>
      </c>
      <c r="K66" s="21" t="s">
        <v>983</v>
      </c>
      <c r="L66" s="21" t="s">
        <v>528</v>
      </c>
      <c r="M66" s="21" t="s">
        <v>85</v>
      </c>
      <c r="N66" s="21" t="s">
        <v>97</v>
      </c>
      <c r="P66" t="str">
        <f t="shared" ref="P66:P129" si="4">IF($C66="","",$E66)</f>
        <v>FLR</v>
      </c>
      <c r="Q66">
        <f t="shared" si="1"/>
        <v>4.4010915811990327E-2</v>
      </c>
      <c r="R66">
        <v>16719.740000000002</v>
      </c>
      <c r="S66">
        <f t="shared" si="2"/>
        <v>372474542.76296985</v>
      </c>
      <c r="T66" t="str">
        <f t="shared" si="3"/>
        <v xml:space="preserve">'FLR', </v>
      </c>
      <c r="AJ66" s="27" t="s">
        <v>195</v>
      </c>
      <c r="AK66" s="44">
        <v>-60</v>
      </c>
      <c r="AL66">
        <v>-789.87171463552875</v>
      </c>
      <c r="AN66" t="s">
        <v>97</v>
      </c>
      <c r="AO66" t="s">
        <v>95</v>
      </c>
      <c r="AP66">
        <v>114736.84</v>
      </c>
      <c r="AR66" s="4" t="s">
        <v>29</v>
      </c>
      <c r="AS66" s="42">
        <v>2.94E-5</v>
      </c>
    </row>
    <row r="67" spans="1:45" x14ac:dyDescent="0.25">
      <c r="A67">
        <v>65</v>
      </c>
      <c r="B67" t="s">
        <v>97</v>
      </c>
      <c r="C67" s="1">
        <v>22277.5319929</v>
      </c>
      <c r="E67" t="s">
        <v>98</v>
      </c>
      <c r="F67" t="s">
        <v>526</v>
      </c>
      <c r="G67" s="22">
        <v>20230112</v>
      </c>
      <c r="H67" s="56">
        <v>44938.004653159725</v>
      </c>
      <c r="I67">
        <v>260.80815193398598</v>
      </c>
      <c r="K67" s="21" t="s">
        <v>531</v>
      </c>
      <c r="L67" s="21" t="s">
        <v>528</v>
      </c>
      <c r="M67" s="21" t="s">
        <v>85</v>
      </c>
      <c r="N67" s="21" t="s">
        <v>97</v>
      </c>
      <c r="P67" t="str">
        <f t="shared" si="4"/>
        <v>SGB</v>
      </c>
      <c r="Q67">
        <f t="shared" ref="Q67:Q130" si="5">IF($C67="","",$I67/$C67)</f>
        <v>1.1707228252084086E-2</v>
      </c>
      <c r="R67">
        <v>1208.73</v>
      </c>
      <c r="S67">
        <f t="shared" ref="S67:S130" si="6">IF($B67="","",$C67*$R67)</f>
        <v>26927521.245778017</v>
      </c>
      <c r="T67" t="str">
        <f t="shared" ref="T67:T130" si="7">"'"&amp;P67&amp;"', "</f>
        <v xml:space="preserve">'SGB', </v>
      </c>
      <c r="AJ67" s="4" t="s">
        <v>38</v>
      </c>
      <c r="AK67" s="44">
        <v>54439806.948957697</v>
      </c>
      <c r="AL67">
        <v>54372007.523896657</v>
      </c>
      <c r="AN67" t="s">
        <v>97</v>
      </c>
      <c r="AO67" t="s">
        <v>99</v>
      </c>
      <c r="AP67">
        <v>116647.68407285</v>
      </c>
      <c r="AR67" s="4" t="s">
        <v>15</v>
      </c>
      <c r="AS67" s="42">
        <v>2881.3193266304006</v>
      </c>
    </row>
    <row r="68" spans="1:45" x14ac:dyDescent="0.25">
      <c r="A68">
        <v>66</v>
      </c>
      <c r="B68" t="s">
        <v>97</v>
      </c>
      <c r="C68" s="1">
        <v>125335.8</v>
      </c>
      <c r="E68" t="s">
        <v>95</v>
      </c>
      <c r="F68" t="s">
        <v>526</v>
      </c>
      <c r="G68" s="22">
        <v>20230112</v>
      </c>
      <c r="H68" s="56">
        <v>44938.004664201391</v>
      </c>
      <c r="I68">
        <v>125335.8</v>
      </c>
      <c r="K68" s="21" t="s">
        <v>532</v>
      </c>
      <c r="L68" s="21" t="s">
        <v>528</v>
      </c>
      <c r="M68" s="21" t="s">
        <v>85</v>
      </c>
      <c r="N68" s="21" t="s">
        <v>97</v>
      </c>
      <c r="P68" t="str">
        <f t="shared" si="4"/>
        <v>USD</v>
      </c>
      <c r="Q68">
        <f t="shared" si="5"/>
        <v>1</v>
      </c>
      <c r="R68">
        <v>0.55510000000000004</v>
      </c>
      <c r="S68">
        <f t="shared" si="6"/>
        <v>69573.902580000009</v>
      </c>
      <c r="T68" t="str">
        <f t="shared" si="7"/>
        <v xml:space="preserve">'USD', </v>
      </c>
      <c r="AJ68" s="27" t="s">
        <v>85</v>
      </c>
      <c r="AK68" s="44">
        <v>54439806.948957697</v>
      </c>
      <c r="AL68">
        <v>54372007.523896657</v>
      </c>
      <c r="AN68" t="s">
        <v>101</v>
      </c>
      <c r="AO68" t="s">
        <v>14</v>
      </c>
      <c r="AP68">
        <v>4480.5611189399997</v>
      </c>
      <c r="AR68" s="4" t="s">
        <v>272</v>
      </c>
      <c r="AS68" s="42">
        <v>4.0610759158</v>
      </c>
    </row>
    <row r="69" spans="1:45" x14ac:dyDescent="0.25">
      <c r="A69">
        <v>67</v>
      </c>
      <c r="B69" t="s">
        <v>97</v>
      </c>
      <c r="C69" s="1">
        <v>86647.684072849996</v>
      </c>
      <c r="E69" t="s">
        <v>99</v>
      </c>
      <c r="F69" t="s">
        <v>526</v>
      </c>
      <c r="G69" s="22">
        <v>20230112</v>
      </c>
      <c r="H69" s="56">
        <v>44938.004674884258</v>
      </c>
      <c r="I69">
        <v>32509.9634460124</v>
      </c>
      <c r="K69" s="21" t="s">
        <v>533</v>
      </c>
      <c r="L69" s="21" t="s">
        <v>528</v>
      </c>
      <c r="M69" s="21" t="s">
        <v>85</v>
      </c>
      <c r="N69" s="21" t="s">
        <v>97</v>
      </c>
      <c r="P69" t="str">
        <f t="shared" si="4"/>
        <v>XRP</v>
      </c>
      <c r="Q69">
        <f t="shared" si="5"/>
        <v>0.37519714224190098</v>
      </c>
      <c r="R69">
        <v>0.55510000000000004</v>
      </c>
      <c r="S69">
        <f t="shared" si="6"/>
        <v>48098.129428839035</v>
      </c>
      <c r="T69" t="str">
        <f t="shared" si="7"/>
        <v xml:space="preserve">'XRP', </v>
      </c>
      <c r="AJ69" s="4" t="s">
        <v>196</v>
      </c>
      <c r="AK69" s="44">
        <v>-100</v>
      </c>
      <c r="AL69">
        <v>-1.9187923619706171</v>
      </c>
      <c r="AN69" t="s">
        <v>101</v>
      </c>
      <c r="AO69" t="s">
        <v>14</v>
      </c>
      <c r="AP69">
        <v>70.363883130000005</v>
      </c>
      <c r="AR69" s="4" t="s">
        <v>325</v>
      </c>
      <c r="AS69" s="42">
        <v>5024</v>
      </c>
    </row>
    <row r="70" spans="1:45" x14ac:dyDescent="0.25">
      <c r="A70">
        <v>68</v>
      </c>
      <c r="B70" t="s">
        <v>100</v>
      </c>
      <c r="C70" s="1">
        <v>1799.26444287</v>
      </c>
      <c r="E70" t="s">
        <v>14</v>
      </c>
      <c r="F70" t="s">
        <v>534</v>
      </c>
      <c r="G70" s="22">
        <v>20230112</v>
      </c>
      <c r="H70" s="56">
        <v>44939.000004085647</v>
      </c>
      <c r="I70">
        <v>33951378.839443803</v>
      </c>
      <c r="K70" s="21" t="s">
        <v>535</v>
      </c>
      <c r="L70" s="21" t="s">
        <v>536</v>
      </c>
      <c r="M70" s="21" t="s">
        <v>85</v>
      </c>
      <c r="N70" s="21" t="s">
        <v>101</v>
      </c>
      <c r="P70" t="str">
        <f t="shared" si="4"/>
        <v>BTC</v>
      </c>
      <c r="Q70">
        <f t="shared" si="5"/>
        <v>18869.588055265565</v>
      </c>
      <c r="R70">
        <v>3.9590679999999998</v>
      </c>
      <c r="S70">
        <f t="shared" si="6"/>
        <v>7123.4102793044449</v>
      </c>
      <c r="T70" t="str">
        <f t="shared" si="7"/>
        <v xml:space="preserve">'BTC', </v>
      </c>
      <c r="AJ70" s="27" t="s">
        <v>195</v>
      </c>
      <c r="AK70" s="44">
        <v>-100</v>
      </c>
      <c r="AL70">
        <v>-1.9187923619706171</v>
      </c>
      <c r="AN70" t="s">
        <v>101</v>
      </c>
      <c r="AO70" t="s">
        <v>23</v>
      </c>
      <c r="AP70">
        <v>1817950.4935000001</v>
      </c>
      <c r="AR70" s="4" t="s">
        <v>326</v>
      </c>
      <c r="AS70" s="42">
        <v>8.9826517890000002</v>
      </c>
    </row>
    <row r="71" spans="1:45" x14ac:dyDescent="0.25">
      <c r="A71">
        <v>69</v>
      </c>
      <c r="B71" t="s">
        <v>100</v>
      </c>
      <c r="C71" s="1">
        <v>46965458.007700004</v>
      </c>
      <c r="E71" t="s">
        <v>95</v>
      </c>
      <c r="F71" t="s">
        <v>534</v>
      </c>
      <c r="G71" s="22">
        <v>20230112</v>
      </c>
      <c r="H71" s="56">
        <v>44939.000004085647</v>
      </c>
      <c r="I71">
        <v>46965458.007700004</v>
      </c>
      <c r="K71" s="21" t="s">
        <v>537</v>
      </c>
      <c r="L71" s="21" t="s">
        <v>536</v>
      </c>
      <c r="M71" s="21" t="s">
        <v>85</v>
      </c>
      <c r="N71" s="21" t="s">
        <v>101</v>
      </c>
      <c r="P71" t="str">
        <f t="shared" si="4"/>
        <v>USD</v>
      </c>
      <c r="Q71">
        <f t="shared" si="5"/>
        <v>1</v>
      </c>
      <c r="R71">
        <v>1208.73</v>
      </c>
      <c r="S71">
        <f t="shared" si="6"/>
        <v>56768558057.647224</v>
      </c>
      <c r="T71" t="str">
        <f t="shared" si="7"/>
        <v xml:space="preserve">'USD', </v>
      </c>
      <c r="AJ71" s="3" t="s">
        <v>118</v>
      </c>
      <c r="AK71" s="44">
        <v>657917.874052139</v>
      </c>
      <c r="AL71">
        <v>9145970.5024458934</v>
      </c>
      <c r="AN71" t="s">
        <v>101</v>
      </c>
      <c r="AO71" t="s">
        <v>15</v>
      </c>
      <c r="AP71">
        <v>1027.8621034600001</v>
      </c>
      <c r="AR71" s="4" t="s">
        <v>109</v>
      </c>
      <c r="AS71" s="42">
        <v>2.53888889</v>
      </c>
    </row>
    <row r="72" spans="1:45" x14ac:dyDescent="0.25">
      <c r="A72">
        <v>70</v>
      </c>
      <c r="B72" t="s">
        <v>102</v>
      </c>
      <c r="C72" s="1">
        <v>5111044.8589000003</v>
      </c>
      <c r="E72" t="s">
        <v>23</v>
      </c>
      <c r="F72" t="s">
        <v>539</v>
      </c>
      <c r="G72" s="22">
        <v>20230112</v>
      </c>
      <c r="H72" s="56">
        <v>44939.00000378472</v>
      </c>
      <c r="I72">
        <v>5061173.7201485196</v>
      </c>
      <c r="K72" s="21" t="s">
        <v>540</v>
      </c>
      <c r="L72" s="21" t="s">
        <v>536</v>
      </c>
      <c r="M72" s="21" t="s">
        <v>85</v>
      </c>
      <c r="N72" s="21" t="s">
        <v>101</v>
      </c>
      <c r="P72" t="str">
        <f t="shared" si="4"/>
        <v>EOS</v>
      </c>
      <c r="Q72">
        <f t="shared" si="5"/>
        <v>0.99024247680694122</v>
      </c>
      <c r="R72">
        <v>1.0001621022067761</v>
      </c>
      <c r="S72">
        <f t="shared" si="6"/>
        <v>5111873.3705505598</v>
      </c>
      <c r="T72" t="str">
        <f t="shared" si="7"/>
        <v xml:space="preserve">'EOS', </v>
      </c>
      <c r="AJ72" s="4" t="s">
        <v>14</v>
      </c>
      <c r="AK72" s="44">
        <v>519.12191182000004</v>
      </c>
      <c r="AL72">
        <v>8489390.4757921025</v>
      </c>
      <c r="AN72" t="s">
        <v>101</v>
      </c>
      <c r="AO72" t="s">
        <v>15</v>
      </c>
      <c r="AP72">
        <v>18730.582337479998</v>
      </c>
      <c r="AR72" s="4" t="s">
        <v>135</v>
      </c>
      <c r="AS72" s="42">
        <v>79.958187959999989</v>
      </c>
    </row>
    <row r="73" spans="1:45" x14ac:dyDescent="0.25">
      <c r="A73">
        <v>71</v>
      </c>
      <c r="B73" t="s">
        <v>102</v>
      </c>
      <c r="C73" s="1">
        <v>98449.309477839997</v>
      </c>
      <c r="E73" t="s">
        <v>27</v>
      </c>
      <c r="F73" t="s">
        <v>539</v>
      </c>
      <c r="G73" s="22">
        <v>20230112</v>
      </c>
      <c r="H73" s="56">
        <v>44939.00000378472</v>
      </c>
      <c r="I73">
        <v>628237.68488666101</v>
      </c>
      <c r="K73" s="21" t="s">
        <v>541</v>
      </c>
      <c r="L73" s="21" t="s">
        <v>536</v>
      </c>
      <c r="M73" s="21" t="s">
        <v>85</v>
      </c>
      <c r="N73" s="21" t="s">
        <v>101</v>
      </c>
      <c r="P73" t="str">
        <f t="shared" si="4"/>
        <v>LINK</v>
      </c>
      <c r="Q73">
        <f t="shared" si="5"/>
        <v>6.38133155243787</v>
      </c>
      <c r="R73">
        <v>0</v>
      </c>
      <c r="S73">
        <f t="shared" si="6"/>
        <v>0</v>
      </c>
      <c r="T73" t="str">
        <f t="shared" si="7"/>
        <v xml:space="preserve">'LINK', </v>
      </c>
      <c r="AJ73" s="27" t="s">
        <v>85</v>
      </c>
      <c r="AK73" s="44">
        <v>519.12191182000004</v>
      </c>
      <c r="AL73">
        <v>8489390.4757921025</v>
      </c>
      <c r="AN73" t="s">
        <v>101</v>
      </c>
      <c r="AO73" t="s">
        <v>27</v>
      </c>
      <c r="AP73">
        <v>44259.146574890001</v>
      </c>
      <c r="AR73" s="4" t="s">
        <v>43</v>
      </c>
      <c r="AS73" s="42">
        <v>1.9338685143000001</v>
      </c>
    </row>
    <row r="74" spans="1:45" x14ac:dyDescent="0.25">
      <c r="A74">
        <v>72</v>
      </c>
      <c r="B74" t="s">
        <v>102</v>
      </c>
      <c r="C74" s="1">
        <v>7784.5861861900003</v>
      </c>
      <c r="E74" t="s">
        <v>24</v>
      </c>
      <c r="F74" t="s">
        <v>539</v>
      </c>
      <c r="G74" s="22">
        <v>20230112</v>
      </c>
      <c r="H74" s="56">
        <v>44939.00000378472</v>
      </c>
      <c r="I74">
        <v>669195.95308882301</v>
      </c>
      <c r="K74" s="21" t="s">
        <v>542</v>
      </c>
      <c r="L74" s="21" t="s">
        <v>536</v>
      </c>
      <c r="M74" s="21" t="s">
        <v>85</v>
      </c>
      <c r="N74" s="21" t="s">
        <v>101</v>
      </c>
      <c r="P74" t="str">
        <f t="shared" si="4"/>
        <v>LTC</v>
      </c>
      <c r="Q74">
        <f t="shared" si="5"/>
        <v>85.964229450756036</v>
      </c>
      <c r="R74">
        <v>0</v>
      </c>
      <c r="S74">
        <f t="shared" si="6"/>
        <v>0</v>
      </c>
      <c r="T74" t="str">
        <f t="shared" si="7"/>
        <v xml:space="preserve">'LTC', </v>
      </c>
      <c r="AJ74" s="4" t="s">
        <v>38</v>
      </c>
      <c r="AK74" s="44">
        <v>657398.75214031897</v>
      </c>
      <c r="AL74">
        <v>656580.02665379085</v>
      </c>
      <c r="AN74" t="s">
        <v>101</v>
      </c>
      <c r="AO74" t="s">
        <v>24</v>
      </c>
      <c r="AP74">
        <v>7003.5866771999999</v>
      </c>
      <c r="AR74" s="4" t="s">
        <v>27</v>
      </c>
      <c r="AS74" s="42">
        <v>53.117741070000001</v>
      </c>
    </row>
    <row r="75" spans="1:45" x14ac:dyDescent="0.25">
      <c r="A75">
        <v>73</v>
      </c>
      <c r="B75" t="s">
        <v>102</v>
      </c>
      <c r="C75" s="1">
        <v>2570926.3349000001</v>
      </c>
      <c r="E75" t="s">
        <v>95</v>
      </c>
      <c r="F75" t="s">
        <v>539</v>
      </c>
      <c r="G75" s="22">
        <v>20230112</v>
      </c>
      <c r="H75" s="56">
        <v>44939.00000378472</v>
      </c>
      <c r="I75">
        <v>2570926.3349000001</v>
      </c>
      <c r="K75" s="21" t="s">
        <v>537</v>
      </c>
      <c r="L75" s="21" t="s">
        <v>536</v>
      </c>
      <c r="M75" s="21" t="s">
        <v>85</v>
      </c>
      <c r="N75" s="21" t="s">
        <v>101</v>
      </c>
      <c r="P75" t="str">
        <f t="shared" si="4"/>
        <v>USD</v>
      </c>
      <c r="Q75">
        <f t="shared" si="5"/>
        <v>1</v>
      </c>
      <c r="R75">
        <v>59.23</v>
      </c>
      <c r="S75">
        <f t="shared" si="6"/>
        <v>152275966.816127</v>
      </c>
      <c r="T75" t="str">
        <f t="shared" si="7"/>
        <v xml:space="preserve">'USD', </v>
      </c>
      <c r="AJ75" s="27" t="s">
        <v>85</v>
      </c>
      <c r="AK75" s="44">
        <v>10186046.830971619</v>
      </c>
      <c r="AL75">
        <v>10173361.11150476</v>
      </c>
      <c r="AN75" t="s">
        <v>101</v>
      </c>
      <c r="AO75" t="s">
        <v>95</v>
      </c>
      <c r="AP75">
        <v>16767943.4275</v>
      </c>
      <c r="AR75" s="4" t="s">
        <v>24</v>
      </c>
      <c r="AS75" s="42">
        <v>180.67693722999999</v>
      </c>
    </row>
    <row r="76" spans="1:45" x14ac:dyDescent="0.25">
      <c r="A76">
        <v>74</v>
      </c>
      <c r="B76" t="s">
        <v>104</v>
      </c>
      <c r="C76" s="1">
        <v>10506.92560604</v>
      </c>
      <c r="E76" t="s">
        <v>15</v>
      </c>
      <c r="F76" t="s">
        <v>543</v>
      </c>
      <c r="G76" s="22">
        <v>20230112</v>
      </c>
      <c r="H76" s="56">
        <v>44939.000001539353</v>
      </c>
      <c r="I76">
        <v>14898174.576267799</v>
      </c>
      <c r="K76" s="21" t="s">
        <v>544</v>
      </c>
      <c r="L76" s="21" t="s">
        <v>536</v>
      </c>
      <c r="M76" s="21" t="s">
        <v>85</v>
      </c>
      <c r="N76" s="21" t="s">
        <v>101</v>
      </c>
      <c r="P76" t="str">
        <f t="shared" si="4"/>
        <v>ETH</v>
      </c>
      <c r="Q76">
        <f t="shared" si="5"/>
        <v>1417.9385231112183</v>
      </c>
      <c r="R76">
        <v>1208.73</v>
      </c>
      <c r="S76">
        <f t="shared" si="6"/>
        <v>12700036.18778873</v>
      </c>
      <c r="T76" t="str">
        <f t="shared" si="7"/>
        <v xml:space="preserve">'ETH', </v>
      </c>
      <c r="AJ76" s="27" t="s">
        <v>195</v>
      </c>
      <c r="AK76" s="44">
        <v>-9528648.0788313001</v>
      </c>
      <c r="AL76">
        <v>-9516781.0848509688</v>
      </c>
      <c r="AN76" t="s">
        <v>101</v>
      </c>
      <c r="AO76" t="s">
        <v>95</v>
      </c>
      <c r="AP76">
        <v>5845736.2089999998</v>
      </c>
      <c r="AR76" s="4" t="s">
        <v>193</v>
      </c>
      <c r="AS76" s="42">
        <v>5.6554146698999999</v>
      </c>
    </row>
    <row r="77" spans="1:45" x14ac:dyDescent="0.25">
      <c r="A77">
        <v>75</v>
      </c>
      <c r="B77" t="s">
        <v>104</v>
      </c>
      <c r="C77" s="1">
        <v>15310469.9882</v>
      </c>
      <c r="E77" t="s">
        <v>95</v>
      </c>
      <c r="F77" t="s">
        <v>543</v>
      </c>
      <c r="G77" s="22">
        <v>20230112</v>
      </c>
      <c r="H77" s="56">
        <v>44939.000001539353</v>
      </c>
      <c r="I77">
        <v>15310469.9882</v>
      </c>
      <c r="K77" s="21" t="s">
        <v>537</v>
      </c>
      <c r="L77" s="21" t="s">
        <v>536</v>
      </c>
      <c r="M77" s="21" t="s">
        <v>85</v>
      </c>
      <c r="N77" s="21" t="s">
        <v>101</v>
      </c>
      <c r="P77" t="str">
        <f t="shared" si="4"/>
        <v>USD</v>
      </c>
      <c r="Q77">
        <f t="shared" si="5"/>
        <v>1</v>
      </c>
      <c r="R77">
        <v>0</v>
      </c>
      <c r="S77">
        <f t="shared" si="6"/>
        <v>0</v>
      </c>
      <c r="T77" t="str">
        <f t="shared" si="7"/>
        <v xml:space="preserve">'USD', </v>
      </c>
      <c r="AJ77" s="3" t="s">
        <v>94</v>
      </c>
      <c r="AK77" s="44">
        <v>30.064147470000002</v>
      </c>
      <c r="AL77">
        <v>155.36225687767956</v>
      </c>
      <c r="AN77" t="s">
        <v>101</v>
      </c>
      <c r="AO77" t="s">
        <v>95</v>
      </c>
      <c r="AP77">
        <v>6701112.0306000002</v>
      </c>
      <c r="AR77" s="4" t="s">
        <v>150</v>
      </c>
      <c r="AS77" s="42">
        <v>4.7709999999999999</v>
      </c>
    </row>
    <row r="78" spans="1:45" x14ac:dyDescent="0.25">
      <c r="A78">
        <v>76</v>
      </c>
      <c r="B78" t="s">
        <v>105</v>
      </c>
      <c r="C78" s="1">
        <v>71.188435069999997</v>
      </c>
      <c r="E78" t="s">
        <v>14</v>
      </c>
      <c r="F78" t="s">
        <v>545</v>
      </c>
      <c r="G78" s="22">
        <v>20230112</v>
      </c>
      <c r="H78" s="56">
        <v>44939.000002858797</v>
      </c>
      <c r="I78">
        <v>1343296.4440699201</v>
      </c>
      <c r="K78" s="21" t="s">
        <v>535</v>
      </c>
      <c r="L78" s="21" t="s">
        <v>536</v>
      </c>
      <c r="M78" s="21" t="s">
        <v>85</v>
      </c>
      <c r="N78" s="21" t="s">
        <v>101</v>
      </c>
      <c r="P78" t="str">
        <f t="shared" si="4"/>
        <v>BTC</v>
      </c>
      <c r="Q78">
        <f t="shared" si="5"/>
        <v>18869.588055265565</v>
      </c>
      <c r="R78">
        <v>0</v>
      </c>
      <c r="S78">
        <f t="shared" si="6"/>
        <v>0</v>
      </c>
      <c r="T78" t="str">
        <f t="shared" si="7"/>
        <v xml:space="preserve">'BTC', </v>
      </c>
      <c r="AJ78" s="4" t="s">
        <v>14</v>
      </c>
      <c r="AK78" s="44">
        <v>7.9996000000000008E-3</v>
      </c>
      <c r="AL78">
        <v>130.82038439112191</v>
      </c>
      <c r="AN78" t="s">
        <v>101</v>
      </c>
      <c r="AO78" t="s">
        <v>92</v>
      </c>
      <c r="AP78">
        <v>101</v>
      </c>
      <c r="AR78" s="4" t="s">
        <v>311</v>
      </c>
      <c r="AS78" s="42">
        <v>5625.02729593</v>
      </c>
    </row>
    <row r="79" spans="1:45" x14ac:dyDescent="0.25">
      <c r="A79">
        <v>77</v>
      </c>
      <c r="B79" t="s">
        <v>105</v>
      </c>
      <c r="C79" s="1">
        <v>1029.23054336</v>
      </c>
      <c r="E79" t="s">
        <v>15</v>
      </c>
      <c r="F79" t="s">
        <v>545</v>
      </c>
      <c r="G79" s="22">
        <v>20230112</v>
      </c>
      <c r="H79" s="56">
        <v>44939.000002858797</v>
      </c>
      <c r="I79">
        <v>1459385.6365928301</v>
      </c>
      <c r="K79" s="21" t="s">
        <v>544</v>
      </c>
      <c r="L79" s="21" t="s">
        <v>536</v>
      </c>
      <c r="M79" s="21" t="s">
        <v>85</v>
      </c>
      <c r="N79" s="21" t="s">
        <v>101</v>
      </c>
      <c r="P79" t="str">
        <f t="shared" si="4"/>
        <v>ETH</v>
      </c>
      <c r="Q79">
        <f t="shared" si="5"/>
        <v>1417.9385231112135</v>
      </c>
      <c r="R79">
        <v>1.0001621022067761</v>
      </c>
      <c r="S79">
        <f t="shared" si="6"/>
        <v>1029.3973839023599</v>
      </c>
      <c r="T79" t="str">
        <f t="shared" si="7"/>
        <v xml:space="preserve">'ETH', </v>
      </c>
      <c r="AJ79" s="27" t="s">
        <v>85</v>
      </c>
      <c r="AK79" s="44">
        <v>7.9996000000000008E-3</v>
      </c>
      <c r="AL79">
        <v>130.82038439112191</v>
      </c>
      <c r="AN79" t="s">
        <v>101</v>
      </c>
      <c r="AO79" t="s">
        <v>324</v>
      </c>
      <c r="AP79">
        <v>-67594809.802665502</v>
      </c>
      <c r="AR79" s="4" t="s">
        <v>256</v>
      </c>
      <c r="AS79" s="42">
        <v>5968</v>
      </c>
    </row>
    <row r="80" spans="1:45" x14ac:dyDescent="0.25">
      <c r="A80">
        <v>78</v>
      </c>
      <c r="B80" t="s">
        <v>105</v>
      </c>
      <c r="C80" s="1">
        <v>0.5</v>
      </c>
      <c r="E80" t="s">
        <v>92</v>
      </c>
      <c r="F80" t="s">
        <v>545</v>
      </c>
      <c r="G80" s="22">
        <v>20230112</v>
      </c>
      <c r="H80" s="56">
        <v>44939.000002858797</v>
      </c>
      <c r="I80">
        <v>0.50003607481370005</v>
      </c>
      <c r="K80" s="21" t="s">
        <v>538</v>
      </c>
      <c r="L80" s="21" t="s">
        <v>536</v>
      </c>
      <c r="M80" s="21" t="s">
        <v>85</v>
      </c>
      <c r="N80" s="21" t="s">
        <v>101</v>
      </c>
      <c r="P80" t="str">
        <f t="shared" si="4"/>
        <v>USDC</v>
      </c>
      <c r="Q80">
        <f t="shared" si="5"/>
        <v>1.0000721496274001</v>
      </c>
      <c r="R80">
        <v>1199.5931351642498</v>
      </c>
      <c r="S80">
        <f t="shared" si="6"/>
        <v>599.79656758212491</v>
      </c>
      <c r="T80" t="str">
        <f t="shared" si="7"/>
        <v xml:space="preserve">'USDC', </v>
      </c>
      <c r="AJ80" s="4" t="s">
        <v>15</v>
      </c>
      <c r="AK80" s="44">
        <v>0.02</v>
      </c>
      <c r="AL80">
        <v>24.436384354632999</v>
      </c>
      <c r="AN80" t="s">
        <v>32</v>
      </c>
      <c r="AO80" t="s">
        <v>324</v>
      </c>
      <c r="AP80">
        <v>174430.503494</v>
      </c>
      <c r="AR80" s="4" t="s">
        <v>89</v>
      </c>
      <c r="AS80" s="42">
        <v>76.700156329999999</v>
      </c>
    </row>
    <row r="81" spans="1:45" x14ac:dyDescent="0.25">
      <c r="A81">
        <v>79</v>
      </c>
      <c r="B81" t="s">
        <v>285</v>
      </c>
      <c r="C81" s="1">
        <v>0.26739257999999999</v>
      </c>
      <c r="D81" t="s">
        <v>286</v>
      </c>
      <c r="E81" t="s">
        <v>188</v>
      </c>
      <c r="F81">
        <v>0</v>
      </c>
      <c r="G81" s="22">
        <v>20230112</v>
      </c>
      <c r="H81" s="56">
        <v>44939.000001585649</v>
      </c>
      <c r="I81">
        <v>0.18426453966767301</v>
      </c>
      <c r="K81" s="21" t="s">
        <v>546</v>
      </c>
      <c r="L81" s="21" t="s">
        <v>547</v>
      </c>
      <c r="M81" s="21" t="s">
        <v>85</v>
      </c>
      <c r="N81" s="21" t="s">
        <v>294</v>
      </c>
      <c r="P81" t="str">
        <f t="shared" si="4"/>
        <v>CRV</v>
      </c>
      <c r="Q81">
        <f t="shared" si="5"/>
        <v>0.68911612905516306</v>
      </c>
      <c r="R81">
        <v>1208.73</v>
      </c>
      <c r="S81">
        <f t="shared" si="6"/>
        <v>323.20543322340001</v>
      </c>
      <c r="T81" t="str">
        <f t="shared" si="7"/>
        <v xml:space="preserve">'CRV', </v>
      </c>
      <c r="AJ81" s="27" t="s">
        <v>85</v>
      </c>
      <c r="AK81" s="44">
        <v>0.02</v>
      </c>
      <c r="AL81">
        <v>24.436384354632999</v>
      </c>
      <c r="AN81" t="s">
        <v>186</v>
      </c>
      <c r="AO81" t="s">
        <v>116</v>
      </c>
      <c r="AP81">
        <v>150</v>
      </c>
      <c r="AR81" s="4" t="s">
        <v>154</v>
      </c>
      <c r="AS81" s="42">
        <v>2.8970426800000002</v>
      </c>
    </row>
    <row r="82" spans="1:45" x14ac:dyDescent="0.25">
      <c r="A82">
        <v>80</v>
      </c>
      <c r="B82" t="s">
        <v>285</v>
      </c>
      <c r="C82" s="1">
        <v>9.7777784299999997</v>
      </c>
      <c r="D82" t="s">
        <v>288</v>
      </c>
      <c r="E82" t="s">
        <v>188</v>
      </c>
      <c r="F82">
        <v>0</v>
      </c>
      <c r="G82" s="22">
        <v>20230112</v>
      </c>
      <c r="H82" s="56">
        <v>44939.000001585649</v>
      </c>
      <c r="I82">
        <v>6.73802482244069</v>
      </c>
      <c r="K82" s="21" t="s">
        <v>546</v>
      </c>
      <c r="L82" s="21" t="s">
        <v>547</v>
      </c>
      <c r="M82" s="21" t="s">
        <v>85</v>
      </c>
      <c r="N82" s="21" t="s">
        <v>294</v>
      </c>
      <c r="P82" t="str">
        <f t="shared" si="4"/>
        <v>CRV</v>
      </c>
      <c r="Q82">
        <f t="shared" si="5"/>
        <v>0.68911612905516517</v>
      </c>
      <c r="R82">
        <v>1.0001621022067759</v>
      </c>
      <c r="S82">
        <f t="shared" si="6"/>
        <v>9.7793634294608687</v>
      </c>
      <c r="T82" t="str">
        <f t="shared" si="7"/>
        <v xml:space="preserve">'CRV', </v>
      </c>
      <c r="AJ82" s="4" t="s">
        <v>272</v>
      </c>
      <c r="AK82" s="44">
        <v>0.02</v>
      </c>
      <c r="AL82">
        <v>7.7933461924647243E-2</v>
      </c>
      <c r="AN82" t="s">
        <v>186</v>
      </c>
      <c r="AO82" t="s">
        <v>187</v>
      </c>
      <c r="AP82">
        <v>2.0391293999999999E-3</v>
      </c>
      <c r="AR82" s="4" t="s">
        <v>159</v>
      </c>
      <c r="AS82" s="42">
        <v>0.82786806999999996</v>
      </c>
    </row>
    <row r="83" spans="1:45" x14ac:dyDescent="0.25">
      <c r="A83">
        <v>81</v>
      </c>
      <c r="B83" t="s">
        <v>285</v>
      </c>
      <c r="C83" s="1">
        <v>2.800215E-2</v>
      </c>
      <c r="D83" t="s">
        <v>286</v>
      </c>
      <c r="E83" t="s">
        <v>189</v>
      </c>
      <c r="F83">
        <v>0</v>
      </c>
      <c r="G83" s="22">
        <v>20230112</v>
      </c>
      <c r="H83" s="56">
        <v>44939.000001585649</v>
      </c>
      <c r="I83">
        <v>9.9342361696586501E-2</v>
      </c>
      <c r="K83" s="21" t="s">
        <v>548</v>
      </c>
      <c r="L83" s="21" t="s">
        <v>547</v>
      </c>
      <c r="M83" s="21" t="s">
        <v>85</v>
      </c>
      <c r="N83" s="21" t="s">
        <v>294</v>
      </c>
      <c r="P83" t="str">
        <f t="shared" si="4"/>
        <v>CVX</v>
      </c>
      <c r="Q83">
        <f t="shared" si="5"/>
        <v>3.547669078859534</v>
      </c>
      <c r="R83">
        <v>1208.73</v>
      </c>
      <c r="S83">
        <f t="shared" si="6"/>
        <v>33.847038769500003</v>
      </c>
      <c r="T83" t="str">
        <f t="shared" si="7"/>
        <v xml:space="preserve">'CVX', </v>
      </c>
      <c r="AJ83" s="27" t="s">
        <v>85</v>
      </c>
      <c r="AK83" s="44">
        <v>0.02</v>
      </c>
      <c r="AL83">
        <v>7.7933461924647243E-2</v>
      </c>
      <c r="AN83" t="s">
        <v>186</v>
      </c>
      <c r="AO83" t="s">
        <v>20</v>
      </c>
      <c r="AP83">
        <v>1652.0172</v>
      </c>
      <c r="AR83" s="4" t="s">
        <v>92</v>
      </c>
      <c r="AS83" s="42">
        <v>1080526.820576</v>
      </c>
    </row>
    <row r="84" spans="1:45" x14ac:dyDescent="0.25">
      <c r="A84">
        <v>82</v>
      </c>
      <c r="B84" t="s">
        <v>285</v>
      </c>
      <c r="C84" s="1">
        <v>3.67060545</v>
      </c>
      <c r="D84" t="s">
        <v>288</v>
      </c>
      <c r="E84" t="s">
        <v>15</v>
      </c>
      <c r="F84">
        <v>0</v>
      </c>
      <c r="G84" s="22">
        <v>20230112</v>
      </c>
      <c r="H84" s="56">
        <v>44939.000001585649</v>
      </c>
      <c r="I84">
        <v>5204.6928706969902</v>
      </c>
      <c r="K84" s="21" t="s">
        <v>549</v>
      </c>
      <c r="L84" s="21" t="s">
        <v>547</v>
      </c>
      <c r="M84" s="21" t="s">
        <v>85</v>
      </c>
      <c r="N84" s="21" t="s">
        <v>294</v>
      </c>
      <c r="P84" t="str">
        <f t="shared" si="4"/>
        <v>ETH</v>
      </c>
      <c r="Q84">
        <f t="shared" si="5"/>
        <v>1417.9385231112187</v>
      </c>
      <c r="R84">
        <v>1.0001621022067759</v>
      </c>
      <c r="S84">
        <f t="shared" si="6"/>
        <v>3.6712004632436486</v>
      </c>
      <c r="T84" t="str">
        <f t="shared" si="7"/>
        <v xml:space="preserve">'ETH', </v>
      </c>
      <c r="AJ84" s="4" t="s">
        <v>95</v>
      </c>
      <c r="AK84" s="44">
        <v>2.755467E-2</v>
      </c>
      <c r="AL84">
        <v>2.755467E-2</v>
      </c>
      <c r="AN84" t="s">
        <v>186</v>
      </c>
      <c r="AO84" t="s">
        <v>14</v>
      </c>
      <c r="AP84">
        <v>9.7342860000000003E-2</v>
      </c>
      <c r="AR84" s="4" t="s">
        <v>327</v>
      </c>
      <c r="AS84" s="42">
        <v>35119.677000000003</v>
      </c>
    </row>
    <row r="85" spans="1:45" x14ac:dyDescent="0.25">
      <c r="A85">
        <v>83</v>
      </c>
      <c r="B85" t="s">
        <v>285</v>
      </c>
      <c r="C85" s="1">
        <v>13972.219738</v>
      </c>
      <c r="D85" t="s">
        <v>288</v>
      </c>
      <c r="E85" t="s">
        <v>92</v>
      </c>
      <c r="F85">
        <v>0</v>
      </c>
      <c r="G85" s="22">
        <v>20230112</v>
      </c>
      <c r="H85" s="56">
        <v>44939.000001585649</v>
      </c>
      <c r="I85">
        <v>13973.227828448</v>
      </c>
      <c r="K85" s="21" t="s">
        <v>550</v>
      </c>
      <c r="L85" s="21" t="s">
        <v>547</v>
      </c>
      <c r="M85" s="21" t="s">
        <v>85</v>
      </c>
      <c r="N85" s="21" t="s">
        <v>294</v>
      </c>
      <c r="P85" t="str">
        <f t="shared" si="4"/>
        <v>USDC</v>
      </c>
      <c r="Q85">
        <f t="shared" si="5"/>
        <v>1.0000721496273965</v>
      </c>
      <c r="R85">
        <v>0.32653653999999999</v>
      </c>
      <c r="S85">
        <f t="shared" si="6"/>
        <v>4562.4402893662264</v>
      </c>
      <c r="T85" t="str">
        <f t="shared" si="7"/>
        <v xml:space="preserve">'USDC', </v>
      </c>
      <c r="AJ85" s="27" t="s">
        <v>85</v>
      </c>
      <c r="AK85" s="44">
        <v>2.755467E-2</v>
      </c>
      <c r="AL85">
        <v>2.755467E-2</v>
      </c>
      <c r="AN85" t="s">
        <v>186</v>
      </c>
      <c r="AO85" t="s">
        <v>14</v>
      </c>
      <c r="AP85">
        <v>2.4876999999999999E-4</v>
      </c>
      <c r="AR85" s="4" t="s">
        <v>257</v>
      </c>
      <c r="AS85" s="42">
        <v>7.9373880867000004</v>
      </c>
    </row>
    <row r="86" spans="1:45" x14ac:dyDescent="0.25">
      <c r="A86">
        <v>84</v>
      </c>
      <c r="B86" t="s">
        <v>300</v>
      </c>
      <c r="C86" s="1">
        <v>180000</v>
      </c>
      <c r="D86" t="s">
        <v>288</v>
      </c>
      <c r="E86" t="s">
        <v>802</v>
      </c>
      <c r="F86">
        <v>0</v>
      </c>
      <c r="G86" s="22">
        <v>20230112</v>
      </c>
      <c r="H86" s="56">
        <v>44939.000001585649</v>
      </c>
      <c r="I86">
        <v>0</v>
      </c>
      <c r="K86" s="21" t="s">
        <v>866</v>
      </c>
      <c r="L86" s="21" t="s">
        <v>547</v>
      </c>
      <c r="M86" s="21" t="s">
        <v>85</v>
      </c>
      <c r="N86" s="21" t="s">
        <v>294</v>
      </c>
      <c r="P86" t="str">
        <f t="shared" si="4"/>
        <v>$ PLEASE VISIT ACADY.SITE TO RECEIVE REWARD.</v>
      </c>
      <c r="Q86">
        <f t="shared" si="5"/>
        <v>0</v>
      </c>
      <c r="R86">
        <v>103.98</v>
      </c>
      <c r="S86">
        <f t="shared" si="6"/>
        <v>18716400</v>
      </c>
      <c r="T86" t="str">
        <f t="shared" si="7"/>
        <v xml:space="preserve">'$ PLEASE VISIT ACADY.SITE TO RECEIVE REWARD.', </v>
      </c>
      <c r="AJ86" s="4" t="s">
        <v>96</v>
      </c>
      <c r="AK86" s="44">
        <v>29.9885932</v>
      </c>
      <c r="AL86">
        <v>0</v>
      </c>
      <c r="AN86" t="s">
        <v>186</v>
      </c>
      <c r="AO86" t="s">
        <v>31</v>
      </c>
      <c r="AP86">
        <v>0.06</v>
      </c>
      <c r="AR86" s="4" t="s">
        <v>163</v>
      </c>
      <c r="AS86" s="42">
        <v>2.0349905000000001</v>
      </c>
    </row>
    <row r="87" spans="1:45" x14ac:dyDescent="0.25">
      <c r="A87">
        <v>85</v>
      </c>
      <c r="B87" t="s">
        <v>300</v>
      </c>
      <c r="C87" s="1">
        <v>7000</v>
      </c>
      <c r="D87" t="s">
        <v>288</v>
      </c>
      <c r="E87" t="s">
        <v>301</v>
      </c>
      <c r="F87">
        <v>0</v>
      </c>
      <c r="G87" s="22">
        <v>20230112</v>
      </c>
      <c r="H87" s="56">
        <v>44939.000001585649</v>
      </c>
      <c r="I87">
        <v>0</v>
      </c>
      <c r="K87" s="21" t="s">
        <v>551</v>
      </c>
      <c r="L87" s="21" t="s">
        <v>547</v>
      </c>
      <c r="M87" s="21" t="s">
        <v>85</v>
      </c>
      <c r="N87" s="21" t="s">
        <v>294</v>
      </c>
      <c r="P87" t="str">
        <f t="shared" si="4"/>
        <v>$ USDCBONUS.COM &lt;- VISIT TO CLAIM BONUS</v>
      </c>
      <c r="Q87">
        <f t="shared" si="5"/>
        <v>0</v>
      </c>
      <c r="R87">
        <v>39.841106000000003</v>
      </c>
      <c r="S87">
        <f t="shared" si="6"/>
        <v>278887.74200000003</v>
      </c>
      <c r="T87" t="str">
        <f t="shared" si="7"/>
        <v xml:space="preserve">'$ USDCBONUS.COM &lt;- VISIT TO CLAIM BONUS', </v>
      </c>
      <c r="AJ87" s="27" t="s">
        <v>85</v>
      </c>
      <c r="AK87" s="44">
        <v>29.9885932</v>
      </c>
      <c r="AL87">
        <v>0</v>
      </c>
      <c r="AN87" t="s">
        <v>186</v>
      </c>
      <c r="AO87" t="s">
        <v>188</v>
      </c>
      <c r="AP87">
        <v>9.7777784334</v>
      </c>
      <c r="AR87" s="4" t="s">
        <v>99</v>
      </c>
      <c r="AS87" s="42">
        <v>253.68991600000001</v>
      </c>
    </row>
    <row r="88" spans="1:45" x14ac:dyDescent="0.25">
      <c r="A88">
        <v>86</v>
      </c>
      <c r="B88" t="s">
        <v>300</v>
      </c>
      <c r="C88" s="1">
        <v>7000</v>
      </c>
      <c r="D88" t="s">
        <v>288</v>
      </c>
      <c r="E88" t="s">
        <v>315</v>
      </c>
      <c r="F88">
        <v>0</v>
      </c>
      <c r="G88" s="22">
        <v>20230112</v>
      </c>
      <c r="H88" s="56">
        <v>44939.000001585649</v>
      </c>
      <c r="I88">
        <v>0</v>
      </c>
      <c r="K88" s="21" t="s">
        <v>552</v>
      </c>
      <c r="L88" s="21" t="s">
        <v>547</v>
      </c>
      <c r="M88" s="21" t="s">
        <v>85</v>
      </c>
      <c r="N88" s="21" t="s">
        <v>294</v>
      </c>
      <c r="P88" t="str">
        <f t="shared" si="4"/>
        <v>$ USDCGIFT.COM &lt;- VISIT TO CLAIM BONUS</v>
      </c>
      <c r="Q88">
        <f t="shared" si="5"/>
        <v>0</v>
      </c>
      <c r="R88">
        <v>16719.740000000002</v>
      </c>
      <c r="S88">
        <f t="shared" si="6"/>
        <v>117038180.00000001</v>
      </c>
      <c r="T88" t="str">
        <f t="shared" si="7"/>
        <v xml:space="preserve">'$ USDCGIFT.COM &lt;- VISIT TO CLAIM BONUS', </v>
      </c>
      <c r="AJ88" s="3" t="s">
        <v>97</v>
      </c>
      <c r="AK88" s="44">
        <v>253663.06867432001</v>
      </c>
      <c r="AL88">
        <v>156565.89307567541</v>
      </c>
      <c r="AN88" t="s">
        <v>186</v>
      </c>
      <c r="AO88" t="s">
        <v>22</v>
      </c>
      <c r="AP88">
        <v>1.0009999999999999</v>
      </c>
      <c r="AR88" s="4" t="s">
        <v>171</v>
      </c>
      <c r="AS88" s="42">
        <v>7.66849E-3</v>
      </c>
    </row>
    <row r="89" spans="1:45" x14ac:dyDescent="0.25">
      <c r="A89">
        <v>87</v>
      </c>
      <c r="B89" t="s">
        <v>300</v>
      </c>
      <c r="C89" s="1">
        <v>7000</v>
      </c>
      <c r="D89" t="s">
        <v>288</v>
      </c>
      <c r="E89" t="s">
        <v>904</v>
      </c>
      <c r="F89">
        <v>0</v>
      </c>
      <c r="G89" s="22">
        <v>20230112</v>
      </c>
      <c r="H89" s="56">
        <v>44939.000001585649</v>
      </c>
      <c r="I89">
        <v>0</v>
      </c>
      <c r="K89" s="21" t="s">
        <v>905</v>
      </c>
      <c r="L89" s="21" t="s">
        <v>547</v>
      </c>
      <c r="M89" s="21" t="s">
        <v>85</v>
      </c>
      <c r="N89" s="21" t="s">
        <v>294</v>
      </c>
      <c r="P89" t="str">
        <f t="shared" si="4"/>
        <v>$ USDCXMAS.COM &lt;- VISIT TO CLAIM GIFT</v>
      </c>
      <c r="Q89">
        <f t="shared" si="5"/>
        <v>0</v>
      </c>
      <c r="R89">
        <v>0.90154135000000002</v>
      </c>
      <c r="S89">
        <f t="shared" si="6"/>
        <v>6310.7894500000002</v>
      </c>
      <c r="T89" t="str">
        <f t="shared" si="7"/>
        <v xml:space="preserve">'$ USDCXMAS.COM &lt;- VISIT TO CLAIM GIFT', </v>
      </c>
      <c r="AJ89" s="4" t="s">
        <v>20</v>
      </c>
      <c r="AK89" s="44">
        <v>0.21932823000000001</v>
      </c>
      <c r="AL89">
        <v>21.855292133647719</v>
      </c>
      <c r="AN89" t="s">
        <v>186</v>
      </c>
      <c r="AO89" t="s">
        <v>23</v>
      </c>
      <c r="AP89">
        <v>2.0999999999999999E-3</v>
      </c>
      <c r="AR89" s="3" t="s">
        <v>215</v>
      </c>
      <c r="AS89" s="42">
        <v>5456.7441369517992</v>
      </c>
    </row>
    <row r="90" spans="1:45" x14ac:dyDescent="0.25">
      <c r="A90">
        <v>88</v>
      </c>
      <c r="B90" t="s">
        <v>300</v>
      </c>
      <c r="C90" s="1">
        <v>8</v>
      </c>
      <c r="D90" t="s">
        <v>288</v>
      </c>
      <c r="E90" t="s">
        <v>428</v>
      </c>
      <c r="F90">
        <v>0</v>
      </c>
      <c r="G90" s="22">
        <v>20230112</v>
      </c>
      <c r="H90" s="56">
        <v>44939.000001585649</v>
      </c>
      <c r="I90">
        <v>0</v>
      </c>
      <c r="K90" s="21" t="s">
        <v>553</v>
      </c>
      <c r="L90" s="21" t="s">
        <v>547</v>
      </c>
      <c r="M90" s="21" t="s">
        <v>85</v>
      </c>
      <c r="N90" s="21" t="s">
        <v>294</v>
      </c>
      <c r="P90" t="str">
        <f t="shared" si="4"/>
        <v>927$ VISIT AUSDBONUS.COM TO CLAIM</v>
      </c>
      <c r="Q90">
        <f t="shared" si="5"/>
        <v>0</v>
      </c>
      <c r="R90">
        <v>19.614688999999998</v>
      </c>
      <c r="S90">
        <f t="shared" si="6"/>
        <v>156.91751199999999</v>
      </c>
      <c r="T90" t="str">
        <f t="shared" si="7"/>
        <v xml:space="preserve">'927$ VISIT AUSDBONUS.COM TO CLAIM', </v>
      </c>
      <c r="AJ90" s="27" t="s">
        <v>85</v>
      </c>
      <c r="AK90" s="44">
        <v>0.21932823000000001</v>
      </c>
      <c r="AL90">
        <v>21.855292133647719</v>
      </c>
      <c r="AN90" t="s">
        <v>186</v>
      </c>
      <c r="AO90" t="s">
        <v>23</v>
      </c>
      <c r="AP90">
        <v>1.4E-3</v>
      </c>
      <c r="AR90" s="4" t="s">
        <v>84</v>
      </c>
      <c r="AS90" s="42">
        <v>5.7406690000000003E-3</v>
      </c>
    </row>
    <row r="91" spans="1:45" x14ac:dyDescent="0.25">
      <c r="A91">
        <v>89</v>
      </c>
      <c r="B91" t="s">
        <v>300</v>
      </c>
      <c r="C91" s="1">
        <v>229.80482918999999</v>
      </c>
      <c r="D91" t="s">
        <v>288</v>
      </c>
      <c r="E91" t="s">
        <v>116</v>
      </c>
      <c r="F91">
        <v>0</v>
      </c>
      <c r="G91" s="22">
        <v>20230112</v>
      </c>
      <c r="H91" s="56">
        <v>44939.000001585649</v>
      </c>
      <c r="I91">
        <v>15594.816889215601</v>
      </c>
      <c r="K91" s="21" t="s">
        <v>554</v>
      </c>
      <c r="L91" s="21" t="s">
        <v>547</v>
      </c>
      <c r="M91" s="21" t="s">
        <v>85</v>
      </c>
      <c r="N91" s="21" t="s">
        <v>294</v>
      </c>
      <c r="P91" t="str">
        <f t="shared" si="4"/>
        <v>AAVE</v>
      </c>
      <c r="Q91">
        <f t="shared" si="5"/>
        <v>67.861136531304069</v>
      </c>
      <c r="R91">
        <v>1208.73</v>
      </c>
      <c r="S91">
        <f t="shared" si="6"/>
        <v>277771.9911868287</v>
      </c>
      <c r="T91" t="str">
        <f t="shared" si="7"/>
        <v xml:space="preserve">'AAVE', </v>
      </c>
      <c r="AJ91" s="4" t="s">
        <v>14</v>
      </c>
      <c r="AK91" s="44">
        <v>5.7861299999999997E-2</v>
      </c>
      <c r="AL91">
        <v>946.22699977124137</v>
      </c>
      <c r="AN91" t="s">
        <v>186</v>
      </c>
      <c r="AO91" t="s">
        <v>29</v>
      </c>
      <c r="AP91">
        <v>2.94E-5</v>
      </c>
      <c r="AR91" s="4" t="s">
        <v>20</v>
      </c>
      <c r="AS91" s="42">
        <v>0.72885033050000003</v>
      </c>
    </row>
    <row r="92" spans="1:45" x14ac:dyDescent="0.25">
      <c r="A92">
        <v>90</v>
      </c>
      <c r="B92" t="s">
        <v>300</v>
      </c>
      <c r="C92" s="1">
        <v>59.005456510000002</v>
      </c>
      <c r="D92" t="s">
        <v>288</v>
      </c>
      <c r="E92" t="s">
        <v>187</v>
      </c>
      <c r="F92">
        <v>0</v>
      </c>
      <c r="G92" s="22">
        <v>20230112</v>
      </c>
      <c r="H92" s="56">
        <v>44939.000001585649</v>
      </c>
      <c r="I92">
        <v>912.06800851335095</v>
      </c>
      <c r="K92" s="21" t="s">
        <v>846</v>
      </c>
      <c r="L92" s="21" t="s">
        <v>547</v>
      </c>
      <c r="M92" s="21" t="s">
        <v>85</v>
      </c>
      <c r="N92" s="21" t="s">
        <v>294</v>
      </c>
      <c r="P92" t="str">
        <f t="shared" si="4"/>
        <v>AVAX</v>
      </c>
      <c r="Q92">
        <f t="shared" si="5"/>
        <v>15.4573502597811</v>
      </c>
      <c r="R92">
        <v>62.35</v>
      </c>
      <c r="S92">
        <f t="shared" si="6"/>
        <v>3678.9902133985001</v>
      </c>
      <c r="T92" t="str">
        <f t="shared" si="7"/>
        <v xml:space="preserve">'AVAX', </v>
      </c>
      <c r="AJ92" s="27" t="s">
        <v>85</v>
      </c>
      <c r="AK92" s="44">
        <v>5.7861299999999997E-2</v>
      </c>
      <c r="AL92">
        <v>946.22699977124137</v>
      </c>
      <c r="AN92" t="s">
        <v>186</v>
      </c>
      <c r="AO92" t="s">
        <v>15</v>
      </c>
      <c r="AP92">
        <v>2821.3388136228</v>
      </c>
      <c r="AR92" s="4" t="s">
        <v>113</v>
      </c>
      <c r="AS92" s="42">
        <v>0.5860098051</v>
      </c>
    </row>
    <row r="93" spans="1:45" x14ac:dyDescent="0.25">
      <c r="A93">
        <v>91</v>
      </c>
      <c r="B93" t="s">
        <v>300</v>
      </c>
      <c r="C93" s="1">
        <v>25</v>
      </c>
      <c r="D93" t="s">
        <v>288</v>
      </c>
      <c r="E93" t="s">
        <v>457</v>
      </c>
      <c r="F93">
        <v>0</v>
      </c>
      <c r="G93" s="22">
        <v>20230112</v>
      </c>
      <c r="H93" s="56">
        <v>44939.000001585649</v>
      </c>
      <c r="I93">
        <v>0</v>
      </c>
      <c r="K93" s="21" t="s">
        <v>857</v>
      </c>
      <c r="L93" s="21" t="s">
        <v>547</v>
      </c>
      <c r="M93" s="21" t="s">
        <v>85</v>
      </c>
      <c r="N93" s="21" t="s">
        <v>294</v>
      </c>
      <c r="P93" t="str">
        <f t="shared" si="4"/>
        <v>BONUS. VISIT HTTPS://BITBONUS.TECH TO CLAIM REWARD.</v>
      </c>
      <c r="Q93">
        <f t="shared" si="5"/>
        <v>0</v>
      </c>
      <c r="R93">
        <v>5.0092902000000002E-2</v>
      </c>
      <c r="S93">
        <f t="shared" si="6"/>
        <v>1.2523225500000001</v>
      </c>
      <c r="T93" t="str">
        <f t="shared" si="7"/>
        <v xml:space="preserve">'BONUS. VISIT HTTPS://BITBONUS.TECH TO CLAIM REWARD.', </v>
      </c>
      <c r="AJ93" s="4" t="s">
        <v>15</v>
      </c>
      <c r="AK93" s="44">
        <v>0.73541904000000002</v>
      </c>
      <c r="AL93">
        <v>898.54911615776086</v>
      </c>
      <c r="AN93" t="s">
        <v>186</v>
      </c>
      <c r="AO93" t="s">
        <v>15</v>
      </c>
      <c r="AP93">
        <v>0.57950425419999996</v>
      </c>
      <c r="AR93" s="4" t="s">
        <v>14</v>
      </c>
      <c r="AS93" s="42">
        <v>473.54122324239995</v>
      </c>
    </row>
    <row r="94" spans="1:45" x14ac:dyDescent="0.25">
      <c r="A94">
        <v>92</v>
      </c>
      <c r="B94" t="s">
        <v>300</v>
      </c>
      <c r="C94" s="1">
        <v>16.8835707</v>
      </c>
      <c r="D94" t="s">
        <v>288</v>
      </c>
      <c r="E94" t="s">
        <v>15</v>
      </c>
      <c r="F94">
        <v>0</v>
      </c>
      <c r="G94" s="22">
        <v>20230112</v>
      </c>
      <c r="H94" s="56">
        <v>44939.000001585649</v>
      </c>
      <c r="I94">
        <v>23939.865303201801</v>
      </c>
      <c r="K94" s="21" t="s">
        <v>549</v>
      </c>
      <c r="L94" s="21" t="s">
        <v>547</v>
      </c>
      <c r="M94" s="21" t="s">
        <v>85</v>
      </c>
      <c r="N94" s="21" t="s">
        <v>294</v>
      </c>
      <c r="P94" t="str">
        <f t="shared" si="4"/>
        <v>ETH</v>
      </c>
      <c r="Q94">
        <f t="shared" si="5"/>
        <v>1417.938523111216</v>
      </c>
      <c r="R94">
        <v>0.38471588000000001</v>
      </c>
      <c r="S94">
        <f t="shared" si="6"/>
        <v>6.4953777593927162</v>
      </c>
      <c r="T94" t="str">
        <f t="shared" si="7"/>
        <v xml:space="preserve">'ETH', </v>
      </c>
      <c r="AJ94" s="27" t="s">
        <v>85</v>
      </c>
      <c r="AK94" s="44">
        <v>0.73541904000000002</v>
      </c>
      <c r="AL94">
        <v>898.54911615776086</v>
      </c>
      <c r="AN94" t="s">
        <v>186</v>
      </c>
      <c r="AO94" t="s">
        <v>15</v>
      </c>
      <c r="AP94">
        <v>4.4272812999999996E-3</v>
      </c>
      <c r="AR94" s="4" t="s">
        <v>22</v>
      </c>
      <c r="AS94" s="42">
        <v>0.97764076359999996</v>
      </c>
    </row>
    <row r="95" spans="1:45" x14ac:dyDescent="0.25">
      <c r="A95">
        <v>93</v>
      </c>
      <c r="B95" t="s">
        <v>300</v>
      </c>
      <c r="C95" s="1">
        <v>480000</v>
      </c>
      <c r="D95" t="s">
        <v>288</v>
      </c>
      <c r="E95" t="s">
        <v>429</v>
      </c>
      <c r="F95">
        <v>0</v>
      </c>
      <c r="G95" s="22">
        <v>20230112</v>
      </c>
      <c r="H95" s="56">
        <v>44939.000001585649</v>
      </c>
      <c r="I95">
        <v>0</v>
      </c>
      <c r="K95" s="21" t="s">
        <v>555</v>
      </c>
      <c r="L95" s="21" t="s">
        <v>547</v>
      </c>
      <c r="M95" s="21" t="s">
        <v>85</v>
      </c>
      <c r="N95" s="21" t="s">
        <v>294</v>
      </c>
      <c r="P95" t="str">
        <f t="shared" si="4"/>
        <v>INVITATION TOKEN. PLEASE VISIT HTTPS://AAKER.SITE AND CLAIM REWARDS.</v>
      </c>
      <c r="Q95">
        <f t="shared" si="5"/>
        <v>0</v>
      </c>
      <c r="R95">
        <v>0.32653653999999999</v>
      </c>
      <c r="S95">
        <f t="shared" si="6"/>
        <v>156737.5392</v>
      </c>
      <c r="T95" t="str">
        <f t="shared" si="7"/>
        <v xml:space="preserve">'INVITATION TOKEN. PLEASE VISIT HTTPS://AAKER.SITE AND CLAIM REWARDS.', </v>
      </c>
      <c r="AJ95" s="4" t="s">
        <v>98</v>
      </c>
      <c r="AK95" s="44">
        <v>22277.5319929</v>
      </c>
      <c r="AL95">
        <v>267.63111879024041</v>
      </c>
      <c r="AN95" t="s">
        <v>186</v>
      </c>
      <c r="AO95" t="s">
        <v>15</v>
      </c>
      <c r="AP95">
        <v>6.3310570499999996E-2</v>
      </c>
      <c r="AR95" s="4" t="s">
        <v>23</v>
      </c>
      <c r="AS95" s="42">
        <v>3.7085183000000001E-2</v>
      </c>
    </row>
    <row r="96" spans="1:45" x14ac:dyDescent="0.25">
      <c r="A96">
        <v>94</v>
      </c>
      <c r="B96" t="s">
        <v>300</v>
      </c>
      <c r="C96" s="1">
        <v>34311.93215886</v>
      </c>
      <c r="D96" t="s">
        <v>288</v>
      </c>
      <c r="E96" t="s">
        <v>430</v>
      </c>
      <c r="F96">
        <v>0</v>
      </c>
      <c r="G96" s="22">
        <v>20230112</v>
      </c>
      <c r="H96" s="56">
        <v>44939.000001585649</v>
      </c>
      <c r="I96">
        <v>0</v>
      </c>
      <c r="K96" s="21" t="s">
        <v>556</v>
      </c>
      <c r="L96" s="21" t="s">
        <v>547</v>
      </c>
      <c r="M96" s="21" t="s">
        <v>85</v>
      </c>
      <c r="N96" s="21" t="s">
        <v>294</v>
      </c>
      <c r="P96" t="str">
        <f t="shared" si="4"/>
        <v>OAAVEUSDC/AAVE-02DEC22-67.5C</v>
      </c>
      <c r="Q96">
        <f t="shared" si="5"/>
        <v>0</v>
      </c>
      <c r="R96">
        <v>103.98</v>
      </c>
      <c r="S96">
        <f t="shared" si="6"/>
        <v>3567754.7058782629</v>
      </c>
      <c r="T96" t="str">
        <f t="shared" si="7"/>
        <v xml:space="preserve">'OAAVEUSDC/AAVE-02DEC22-67.5C', </v>
      </c>
      <c r="AJ96" s="27" t="s">
        <v>85</v>
      </c>
      <c r="AK96" s="44">
        <v>22277.5319929</v>
      </c>
      <c r="AL96">
        <v>267.63111879024041</v>
      </c>
      <c r="AN96" t="s">
        <v>186</v>
      </c>
      <c r="AO96" t="s">
        <v>15</v>
      </c>
      <c r="AP96">
        <v>4.8358750000000001E-4</v>
      </c>
      <c r="AR96" s="4" t="s">
        <v>29</v>
      </c>
      <c r="AS96" s="42">
        <v>0.70701213539999996</v>
      </c>
    </row>
    <row r="97" spans="1:45" x14ac:dyDescent="0.25">
      <c r="A97">
        <v>95</v>
      </c>
      <c r="B97" t="s">
        <v>300</v>
      </c>
      <c r="C97" s="1">
        <v>32302.942249520001</v>
      </c>
      <c r="D97" t="s">
        <v>288</v>
      </c>
      <c r="E97" t="s">
        <v>930</v>
      </c>
      <c r="F97">
        <v>0</v>
      </c>
      <c r="G97" s="22">
        <v>20230112</v>
      </c>
      <c r="H97" s="56">
        <v>44939.000001585649</v>
      </c>
      <c r="I97">
        <v>0</v>
      </c>
      <c r="K97" s="21" t="s">
        <v>933</v>
      </c>
      <c r="L97" s="21" t="s">
        <v>547</v>
      </c>
      <c r="M97" s="21" t="s">
        <v>85</v>
      </c>
      <c r="N97" s="21" t="s">
        <v>294</v>
      </c>
      <c r="P97" t="str">
        <f t="shared" si="4"/>
        <v>OAAVEUSDC/AAVE-06JAN23-62.5C</v>
      </c>
      <c r="Q97">
        <f t="shared" si="5"/>
        <v>0</v>
      </c>
      <c r="R97">
        <v>39.841106000000003</v>
      </c>
      <c r="S97">
        <f t="shared" si="6"/>
        <v>1286984.9462750049</v>
      </c>
      <c r="T97" t="str">
        <f t="shared" si="7"/>
        <v xml:space="preserve">'OAAVEUSDC/AAVE-06JAN23-62.5C', </v>
      </c>
      <c r="AJ97" s="4" t="s">
        <v>95</v>
      </c>
      <c r="AK97" s="44">
        <v>114736.84</v>
      </c>
      <c r="AL97">
        <v>114736.84</v>
      </c>
      <c r="AN97" t="s">
        <v>186</v>
      </c>
      <c r="AO97" t="s">
        <v>15</v>
      </c>
      <c r="AP97">
        <v>1.8303131E-2</v>
      </c>
      <c r="AR97" s="4" t="s">
        <v>15</v>
      </c>
      <c r="AS97" s="42">
        <v>4971.4403833986999</v>
      </c>
    </row>
    <row r="98" spans="1:45" x14ac:dyDescent="0.25">
      <c r="A98">
        <v>96</v>
      </c>
      <c r="B98" t="s">
        <v>300</v>
      </c>
      <c r="C98" s="1">
        <v>32626.54331546</v>
      </c>
      <c r="D98" t="s">
        <v>288</v>
      </c>
      <c r="E98" t="s">
        <v>964</v>
      </c>
      <c r="F98">
        <v>0</v>
      </c>
      <c r="G98" s="22">
        <v>20230112</v>
      </c>
      <c r="H98" s="56">
        <v>44939.000001585649</v>
      </c>
      <c r="I98">
        <v>0</v>
      </c>
      <c r="K98" s="21" t="s">
        <v>965</v>
      </c>
      <c r="L98" s="21" t="s">
        <v>547</v>
      </c>
      <c r="M98" s="21" t="s">
        <v>85</v>
      </c>
      <c r="N98" s="21" t="s">
        <v>294</v>
      </c>
      <c r="P98" t="str">
        <f t="shared" si="4"/>
        <v>OAAVEUSDC/AAVE-13JAN23-62.5C</v>
      </c>
      <c r="Q98">
        <f t="shared" si="5"/>
        <v>0</v>
      </c>
      <c r="R98">
        <v>16719.740000000002</v>
      </c>
      <c r="S98">
        <f t="shared" si="6"/>
        <v>545507321.33322918</v>
      </c>
      <c r="T98" t="str">
        <f t="shared" si="7"/>
        <v xml:space="preserve">'OAAVEUSDC/AAVE-13JAN23-62.5C', </v>
      </c>
      <c r="AJ98" s="27" t="s">
        <v>85</v>
      </c>
      <c r="AK98" s="44">
        <v>114736.84</v>
      </c>
      <c r="AL98">
        <v>114736.84</v>
      </c>
      <c r="AN98" t="s">
        <v>186</v>
      </c>
      <c r="AO98" t="s">
        <v>15</v>
      </c>
      <c r="AP98">
        <v>1.16617652E-2</v>
      </c>
      <c r="AR98" s="4" t="s">
        <v>27</v>
      </c>
      <c r="AS98" s="42">
        <v>6.2442437099999998E-2</v>
      </c>
    </row>
    <row r="99" spans="1:45" x14ac:dyDescent="0.25">
      <c r="A99">
        <v>97</v>
      </c>
      <c r="B99" t="s">
        <v>300</v>
      </c>
      <c r="C99" s="1">
        <v>33793.379334129997</v>
      </c>
      <c r="D99" t="s">
        <v>288</v>
      </c>
      <c r="E99" t="s">
        <v>458</v>
      </c>
      <c r="F99">
        <v>0</v>
      </c>
      <c r="G99" s="22">
        <v>20230112</v>
      </c>
      <c r="H99" s="56">
        <v>44939.000001585649</v>
      </c>
      <c r="I99">
        <v>0</v>
      </c>
      <c r="K99" s="21" t="s">
        <v>854</v>
      </c>
      <c r="L99" s="21" t="s">
        <v>547</v>
      </c>
      <c r="M99" s="21" t="s">
        <v>85</v>
      </c>
      <c r="N99" s="21" t="s">
        <v>294</v>
      </c>
      <c r="P99" t="str">
        <f t="shared" si="4"/>
        <v>OAAVEUSDC/AAVE-16DEC22-72.5C</v>
      </c>
      <c r="Q99">
        <f t="shared" si="5"/>
        <v>0</v>
      </c>
      <c r="R99">
        <v>16719.740000000002</v>
      </c>
      <c r="S99">
        <f t="shared" si="6"/>
        <v>565016516.18802679</v>
      </c>
      <c r="T99" t="str">
        <f t="shared" si="7"/>
        <v xml:space="preserve">'OAAVEUSDC/AAVE-16DEC22-72.5C', </v>
      </c>
      <c r="AJ99" s="4" t="s">
        <v>99</v>
      </c>
      <c r="AK99" s="44">
        <v>116647.68407285</v>
      </c>
      <c r="AL99">
        <v>39694.790548822508</v>
      </c>
      <c r="AN99" t="s">
        <v>186</v>
      </c>
      <c r="AO99" t="s">
        <v>15</v>
      </c>
      <c r="AP99">
        <v>8.0959692700000002E-2</v>
      </c>
      <c r="AR99" s="4" t="s">
        <v>24</v>
      </c>
      <c r="AS99" s="42">
        <v>7.1564416216</v>
      </c>
    </row>
    <row r="100" spans="1:45" x14ac:dyDescent="0.25">
      <c r="A100">
        <v>98</v>
      </c>
      <c r="B100" t="s">
        <v>300</v>
      </c>
      <c r="C100" s="1">
        <v>33991.374100820001</v>
      </c>
      <c r="D100" t="s">
        <v>288</v>
      </c>
      <c r="E100" t="s">
        <v>418</v>
      </c>
      <c r="F100">
        <v>0</v>
      </c>
      <c r="G100" s="22">
        <v>20230112</v>
      </c>
      <c r="H100" s="56">
        <v>44939.000001585649</v>
      </c>
      <c r="I100">
        <v>0</v>
      </c>
      <c r="K100" s="21" t="s">
        <v>557</v>
      </c>
      <c r="L100" s="21" t="s">
        <v>547</v>
      </c>
      <c r="M100" s="21" t="s">
        <v>85</v>
      </c>
      <c r="N100" s="21" t="s">
        <v>294</v>
      </c>
      <c r="P100" t="str">
        <f t="shared" si="4"/>
        <v>OAAVEUSDC/AAVE-25NOV22-72.5C</v>
      </c>
      <c r="Q100">
        <f t="shared" si="5"/>
        <v>0</v>
      </c>
      <c r="R100">
        <v>5.6989999999999998</v>
      </c>
      <c r="S100">
        <f t="shared" si="6"/>
        <v>193716.84100057319</v>
      </c>
      <c r="T100" t="str">
        <f t="shared" si="7"/>
        <v xml:space="preserve">'OAAVEUSDC/AAVE-25NOV22-72.5C', </v>
      </c>
      <c r="AJ100" s="27" t="s">
        <v>85</v>
      </c>
      <c r="AK100" s="44">
        <v>116647.68407285</v>
      </c>
      <c r="AL100">
        <v>39694.790548822508</v>
      </c>
      <c r="AN100" t="s">
        <v>186</v>
      </c>
      <c r="AO100" t="s">
        <v>15</v>
      </c>
      <c r="AP100">
        <v>7.5791675000000001E-3</v>
      </c>
      <c r="AR100" s="4" t="s">
        <v>25</v>
      </c>
      <c r="AS100" s="42">
        <v>0.95766242349999997</v>
      </c>
    </row>
    <row r="101" spans="1:45" x14ac:dyDescent="0.25">
      <c r="A101">
        <v>99</v>
      </c>
      <c r="B101" t="s">
        <v>300</v>
      </c>
      <c r="C101" s="1">
        <v>19597.425537219999</v>
      </c>
      <c r="D101" t="s">
        <v>288</v>
      </c>
      <c r="E101" t="s">
        <v>931</v>
      </c>
      <c r="F101">
        <v>0</v>
      </c>
      <c r="G101" s="22">
        <v>20230112</v>
      </c>
      <c r="H101" s="56">
        <v>44939.000001585649</v>
      </c>
      <c r="I101">
        <v>0</v>
      </c>
      <c r="K101" s="21" t="s">
        <v>934</v>
      </c>
      <c r="L101" s="21" t="s">
        <v>547</v>
      </c>
      <c r="M101" s="21" t="s">
        <v>85</v>
      </c>
      <c r="N101" s="21" t="s">
        <v>294</v>
      </c>
      <c r="P101" t="str">
        <f t="shared" si="4"/>
        <v>OWAVAXUSDC.E/WAVAX-06JAN23-12.25C</v>
      </c>
      <c r="Q101">
        <f t="shared" si="5"/>
        <v>0</v>
      </c>
      <c r="R101">
        <v>0.90154135000000002</v>
      </c>
      <c r="S101">
        <f t="shared" si="6"/>
        <v>17667.889475349792</v>
      </c>
      <c r="T101" t="str">
        <f t="shared" si="7"/>
        <v xml:space="preserve">'OWAVAXUSDC.E/WAVAX-06JAN23-12.25C', </v>
      </c>
      <c r="AJ101" s="3" t="s">
        <v>101</v>
      </c>
      <c r="AK101" s="44">
        <v>42582495.852292202</v>
      </c>
      <c r="AL101">
        <v>69758507.524026811</v>
      </c>
      <c r="AN101" t="s">
        <v>186</v>
      </c>
      <c r="AO101" t="s">
        <v>15</v>
      </c>
      <c r="AP101">
        <v>50.996764155000001</v>
      </c>
      <c r="AR101" s="4" t="s">
        <v>99</v>
      </c>
      <c r="AS101" s="42">
        <v>0.54364494190000001</v>
      </c>
    </row>
    <row r="102" spans="1:45" x14ac:dyDescent="0.25">
      <c r="A102">
        <v>100</v>
      </c>
      <c r="B102" t="s">
        <v>300</v>
      </c>
      <c r="C102" s="1">
        <v>29214.150499390002</v>
      </c>
      <c r="D102" t="s">
        <v>288</v>
      </c>
      <c r="E102" t="s">
        <v>442</v>
      </c>
      <c r="F102">
        <v>0</v>
      </c>
      <c r="G102" s="22">
        <v>20230112</v>
      </c>
      <c r="H102" s="56">
        <v>44939.000001585649</v>
      </c>
      <c r="I102">
        <v>0</v>
      </c>
      <c r="K102" s="21" t="s">
        <v>847</v>
      </c>
      <c r="L102" s="21" t="s">
        <v>547</v>
      </c>
      <c r="M102" s="21" t="s">
        <v>85</v>
      </c>
      <c r="N102" s="21" t="s">
        <v>294</v>
      </c>
      <c r="P102" t="str">
        <f t="shared" si="4"/>
        <v>OWAVAXUSDC.E/WAVAX-09DEC22-15.5C</v>
      </c>
      <c r="Q102">
        <f t="shared" si="5"/>
        <v>0</v>
      </c>
      <c r="R102">
        <v>19.614688999999998</v>
      </c>
      <c r="S102">
        <f t="shared" si="6"/>
        <v>573026.47644472949</v>
      </c>
      <c r="T102" t="str">
        <f t="shared" si="7"/>
        <v xml:space="preserve">'OWAVAXUSDC.E/WAVAX-09DEC22-15.5C', </v>
      </c>
      <c r="AJ102" s="4" t="s">
        <v>14</v>
      </c>
      <c r="AK102" s="44">
        <v>853.28931056000056</v>
      </c>
      <c r="AL102">
        <v>13954152.158144735</v>
      </c>
      <c r="AN102" t="s">
        <v>186</v>
      </c>
      <c r="AO102" t="s">
        <v>15</v>
      </c>
      <c r="AP102">
        <v>4.5371055728999998</v>
      </c>
      <c r="AR102" s="3" t="s">
        <v>112</v>
      </c>
      <c r="AS102" s="42">
        <v>9216645331.4634724</v>
      </c>
    </row>
    <row r="103" spans="1:45" x14ac:dyDescent="0.25">
      <c r="A103">
        <v>101</v>
      </c>
      <c r="B103" t="s">
        <v>300</v>
      </c>
      <c r="C103" s="1">
        <v>20213.414599259999</v>
      </c>
      <c r="D103" t="s">
        <v>288</v>
      </c>
      <c r="E103" t="s">
        <v>459</v>
      </c>
      <c r="F103">
        <v>0</v>
      </c>
      <c r="G103" s="22">
        <v>20230112</v>
      </c>
      <c r="H103" s="56">
        <v>44939.000001585649</v>
      </c>
      <c r="I103">
        <v>0</v>
      </c>
      <c r="K103" s="21" t="s">
        <v>855</v>
      </c>
      <c r="L103" s="21" t="s">
        <v>547</v>
      </c>
      <c r="M103" s="21" t="s">
        <v>85</v>
      </c>
      <c r="N103" s="21" t="s">
        <v>294</v>
      </c>
      <c r="P103" t="str">
        <f t="shared" si="4"/>
        <v>OWAVAXUSDC.E/WAVAX-16DEC22-15.25C</v>
      </c>
      <c r="Q103">
        <f t="shared" si="5"/>
        <v>0</v>
      </c>
      <c r="R103">
        <v>1208.73</v>
      </c>
      <c r="S103">
        <f t="shared" si="6"/>
        <v>24432560.628563538</v>
      </c>
      <c r="T103" t="str">
        <f t="shared" si="7"/>
        <v xml:space="preserve">'OWAVAXUSDC.E/WAVAX-16DEC22-15.25C', </v>
      </c>
      <c r="AJ103" s="27" t="s">
        <v>85</v>
      </c>
      <c r="AK103" s="44">
        <v>4203.2893105600006</v>
      </c>
      <c r="AL103">
        <v>68737927.310684666</v>
      </c>
      <c r="AN103" t="s">
        <v>186</v>
      </c>
      <c r="AO103" t="s">
        <v>15</v>
      </c>
      <c r="AP103">
        <v>1.029E-3</v>
      </c>
      <c r="AR103" s="4" t="s">
        <v>328</v>
      </c>
      <c r="AS103" s="42">
        <v>377.09760540000002</v>
      </c>
    </row>
    <row r="104" spans="1:45" x14ac:dyDescent="0.25">
      <c r="A104">
        <v>102</v>
      </c>
      <c r="B104" t="s">
        <v>300</v>
      </c>
      <c r="C104" s="1">
        <v>31925.004081070001</v>
      </c>
      <c r="D104" t="s">
        <v>288</v>
      </c>
      <c r="E104" t="s">
        <v>443</v>
      </c>
      <c r="F104">
        <v>0</v>
      </c>
      <c r="G104" s="22">
        <v>20230112</v>
      </c>
      <c r="H104" s="56">
        <v>44939.000001585649</v>
      </c>
      <c r="I104">
        <v>0</v>
      </c>
      <c r="K104" s="21" t="s">
        <v>848</v>
      </c>
      <c r="L104" s="21" t="s">
        <v>547</v>
      </c>
      <c r="M104" s="21" t="s">
        <v>85</v>
      </c>
      <c r="N104" s="21" t="s">
        <v>294</v>
      </c>
      <c r="P104" t="str">
        <f t="shared" si="4"/>
        <v>OWAVAXUSDC.E/WAVAX-25NOV22-15.5C</v>
      </c>
      <c r="Q104">
        <f t="shared" si="5"/>
        <v>0</v>
      </c>
      <c r="R104">
        <v>1208.73</v>
      </c>
      <c r="S104">
        <f t="shared" si="6"/>
        <v>38588710.182911746</v>
      </c>
      <c r="T104" t="str">
        <f t="shared" si="7"/>
        <v xml:space="preserve">'OWAVAXUSDC.E/WAVAX-25NOV22-15.5C', </v>
      </c>
      <c r="AJ104" s="27" t="s">
        <v>195</v>
      </c>
      <c r="AK104" s="44">
        <v>-3350</v>
      </c>
      <c r="AL104">
        <v>-54783775.152539931</v>
      </c>
      <c r="AN104" t="s">
        <v>186</v>
      </c>
      <c r="AO104" t="s">
        <v>15</v>
      </c>
      <c r="AP104">
        <v>3.3981742E-3</v>
      </c>
      <c r="AR104" s="4" t="s">
        <v>116</v>
      </c>
      <c r="AS104" s="42">
        <v>0.10014646000000001</v>
      </c>
    </row>
    <row r="105" spans="1:45" x14ac:dyDescent="0.25">
      <c r="A105">
        <v>103</v>
      </c>
      <c r="B105" t="s">
        <v>300</v>
      </c>
      <c r="C105" s="1">
        <v>17599.94336709</v>
      </c>
      <c r="D105" t="s">
        <v>288</v>
      </c>
      <c r="E105" t="s">
        <v>892</v>
      </c>
      <c r="F105">
        <v>0</v>
      </c>
      <c r="G105" s="22">
        <v>20230112</v>
      </c>
      <c r="H105" s="56">
        <v>44939.000001585649</v>
      </c>
      <c r="I105">
        <v>0</v>
      </c>
      <c r="K105" s="21" t="s">
        <v>895</v>
      </c>
      <c r="L105" s="21" t="s">
        <v>547</v>
      </c>
      <c r="M105" s="21" t="s">
        <v>85</v>
      </c>
      <c r="N105" s="21" t="s">
        <v>294</v>
      </c>
      <c r="P105" t="str">
        <f t="shared" si="4"/>
        <v>OWAVAXUSDC.E/WAVAX-30DEC22-13.25C</v>
      </c>
      <c r="Q105">
        <f t="shared" si="5"/>
        <v>0</v>
      </c>
      <c r="R105">
        <v>6.2919999999999998</v>
      </c>
      <c r="S105">
        <f t="shared" si="6"/>
        <v>110738.84366573028</v>
      </c>
      <c r="T105" t="str">
        <f t="shared" si="7"/>
        <v xml:space="preserve">'OWAVAXUSDC.E/WAVAX-30DEC22-13.25C', </v>
      </c>
      <c r="AJ105" s="4" t="s">
        <v>23</v>
      </c>
      <c r="AK105" s="44">
        <v>-3053793.4531</v>
      </c>
      <c r="AL105">
        <v>-2707390.3915035431</v>
      </c>
      <c r="AN105" t="s">
        <v>186</v>
      </c>
      <c r="AO105" t="s">
        <v>15</v>
      </c>
      <c r="AP105">
        <v>5.2185100000000004E-4</v>
      </c>
      <c r="AR105" s="4" t="s">
        <v>84</v>
      </c>
      <c r="AS105" s="42">
        <v>3.210377E-4</v>
      </c>
    </row>
    <row r="106" spans="1:45" x14ac:dyDescent="0.25">
      <c r="A106">
        <v>104</v>
      </c>
      <c r="B106" t="s">
        <v>300</v>
      </c>
      <c r="C106" s="1">
        <v>3032</v>
      </c>
      <c r="D106" t="s">
        <v>288</v>
      </c>
      <c r="E106" t="s">
        <v>932</v>
      </c>
      <c r="F106">
        <v>0</v>
      </c>
      <c r="G106" s="22">
        <v>20230112</v>
      </c>
      <c r="H106" s="56">
        <v>44939.000001585649</v>
      </c>
      <c r="I106">
        <v>0</v>
      </c>
      <c r="K106" s="21" t="s">
        <v>935</v>
      </c>
      <c r="L106" s="21" t="s">
        <v>547</v>
      </c>
      <c r="M106" s="21" t="s">
        <v>85</v>
      </c>
      <c r="N106" s="21" t="s">
        <v>294</v>
      </c>
      <c r="P106" t="str">
        <f t="shared" si="4"/>
        <v>OWETHUSDC/WETH-06JAN23-1300C</v>
      </c>
      <c r="Q106">
        <f t="shared" si="5"/>
        <v>0</v>
      </c>
      <c r="R106">
        <v>62.35</v>
      </c>
      <c r="S106">
        <f t="shared" si="6"/>
        <v>189045.2</v>
      </c>
      <c r="T106" t="str">
        <f t="shared" si="7"/>
        <v xml:space="preserve">'OWETHUSDC/WETH-06JAN23-1300C', </v>
      </c>
      <c r="AJ106" s="27" t="s">
        <v>85</v>
      </c>
      <c r="AK106" s="44">
        <v>1297032.5469</v>
      </c>
      <c r="AL106">
        <v>1149905.35832727</v>
      </c>
      <c r="AN106" t="s">
        <v>186</v>
      </c>
      <c r="AO106" t="s">
        <v>15</v>
      </c>
      <c r="AP106">
        <v>1.4090999999999999E-3</v>
      </c>
      <c r="AR106" s="4" t="s">
        <v>122</v>
      </c>
      <c r="AS106" s="42">
        <v>3587.9402382600001</v>
      </c>
    </row>
    <row r="107" spans="1:45" x14ac:dyDescent="0.25">
      <c r="A107">
        <v>105</v>
      </c>
      <c r="B107" t="s">
        <v>300</v>
      </c>
      <c r="C107" s="1">
        <v>2698</v>
      </c>
      <c r="D107" t="s">
        <v>288</v>
      </c>
      <c r="E107" t="s">
        <v>432</v>
      </c>
      <c r="F107">
        <v>0</v>
      </c>
      <c r="G107" s="22">
        <v>20230112</v>
      </c>
      <c r="H107" s="56">
        <v>44939.000001585649</v>
      </c>
      <c r="I107">
        <v>0</v>
      </c>
      <c r="K107" s="21" t="s">
        <v>832</v>
      </c>
      <c r="L107" s="21" t="s">
        <v>547</v>
      </c>
      <c r="M107" s="21" t="s">
        <v>85</v>
      </c>
      <c r="N107" s="21" t="s">
        <v>294</v>
      </c>
      <c r="P107" t="str">
        <f t="shared" si="4"/>
        <v>OWETHUSDC/WETH-09DEC22-1450C</v>
      </c>
      <c r="Q107">
        <f t="shared" si="5"/>
        <v>0</v>
      </c>
      <c r="R107">
        <v>5.0092902000000002E-2</v>
      </c>
      <c r="S107">
        <f t="shared" si="6"/>
        <v>135.15064959599999</v>
      </c>
      <c r="T107" t="str">
        <f t="shared" si="7"/>
        <v xml:space="preserve">'OWETHUSDC/WETH-09DEC22-1450C', </v>
      </c>
      <c r="AJ107" s="27" t="s">
        <v>195</v>
      </c>
      <c r="AK107" s="44">
        <v>-4350826</v>
      </c>
      <c r="AL107">
        <v>-3857295.7498308131</v>
      </c>
      <c r="AN107" t="s">
        <v>186</v>
      </c>
      <c r="AO107" t="s">
        <v>15</v>
      </c>
      <c r="AP107">
        <v>3.4502529999999999E-3</v>
      </c>
      <c r="AR107" s="4" t="s">
        <v>331</v>
      </c>
      <c r="AS107" s="42">
        <v>0.53247394999999997</v>
      </c>
    </row>
    <row r="108" spans="1:45" x14ac:dyDescent="0.25">
      <c r="A108">
        <v>106</v>
      </c>
      <c r="B108" t="s">
        <v>300</v>
      </c>
      <c r="C108" s="1">
        <v>2891</v>
      </c>
      <c r="D108" t="s">
        <v>288</v>
      </c>
      <c r="E108" t="s">
        <v>460</v>
      </c>
      <c r="F108">
        <v>0</v>
      </c>
      <c r="G108" s="22">
        <v>20230112</v>
      </c>
      <c r="H108" s="56">
        <v>44939.000001585649</v>
      </c>
      <c r="I108">
        <v>0</v>
      </c>
      <c r="K108" s="21" t="s">
        <v>856</v>
      </c>
      <c r="L108" s="21" t="s">
        <v>547</v>
      </c>
      <c r="M108" s="21" t="s">
        <v>85</v>
      </c>
      <c r="N108" s="21" t="s">
        <v>294</v>
      </c>
      <c r="P108" t="str">
        <f t="shared" si="4"/>
        <v>OWETHUSDC/WETH-16DEC22-1450C</v>
      </c>
      <c r="Q108">
        <f t="shared" si="5"/>
        <v>0</v>
      </c>
      <c r="R108">
        <v>0.38471588000000001</v>
      </c>
      <c r="S108">
        <f t="shared" si="6"/>
        <v>1112.21360908</v>
      </c>
      <c r="T108" t="str">
        <f t="shared" si="7"/>
        <v xml:space="preserve">'OWETHUSDC/WETH-16DEC22-1450C', </v>
      </c>
      <c r="AJ108" s="4" t="s">
        <v>15</v>
      </c>
      <c r="AK108" s="44">
        <v>10393.930989439999</v>
      </c>
      <c r="AL108">
        <v>12699504.630674329</v>
      </c>
      <c r="AN108" t="s">
        <v>186</v>
      </c>
      <c r="AO108" t="s">
        <v>15</v>
      </c>
      <c r="AP108">
        <v>3.6706054516000002</v>
      </c>
      <c r="AR108" s="4" t="s">
        <v>35</v>
      </c>
      <c r="AS108" s="42">
        <v>5.2478028200000004</v>
      </c>
    </row>
    <row r="109" spans="1:45" x14ac:dyDescent="0.25">
      <c r="A109">
        <v>107</v>
      </c>
      <c r="B109" t="s">
        <v>300</v>
      </c>
      <c r="C109" s="1">
        <v>2904</v>
      </c>
      <c r="D109" t="s">
        <v>288</v>
      </c>
      <c r="E109" t="s">
        <v>419</v>
      </c>
      <c r="F109">
        <v>0</v>
      </c>
      <c r="G109" s="22">
        <v>20230112</v>
      </c>
      <c r="H109" s="56">
        <v>44939.000001585649</v>
      </c>
      <c r="I109">
        <v>0</v>
      </c>
      <c r="K109" s="21" t="s">
        <v>558</v>
      </c>
      <c r="L109" s="21" t="s">
        <v>547</v>
      </c>
      <c r="M109" s="21" t="s">
        <v>85</v>
      </c>
      <c r="N109" s="21" t="s">
        <v>294</v>
      </c>
      <c r="P109" t="str">
        <f t="shared" si="4"/>
        <v>OWETHUSDC/WETH-25NOV22-1400C</v>
      </c>
      <c r="Q109">
        <f t="shared" si="5"/>
        <v>0</v>
      </c>
      <c r="R109">
        <v>16719.740000000002</v>
      </c>
      <c r="S109">
        <f t="shared" si="6"/>
        <v>48554124.960000008</v>
      </c>
      <c r="T109" t="str">
        <f t="shared" si="7"/>
        <v xml:space="preserve">'OWETHUSDC/WETH-25NOV22-1400C', </v>
      </c>
      <c r="AJ109" s="27" t="s">
        <v>85</v>
      </c>
      <c r="AK109" s="44">
        <v>16893.930989439999</v>
      </c>
      <c r="AL109">
        <v>20641329.545930054</v>
      </c>
      <c r="AN109" t="s">
        <v>186</v>
      </c>
      <c r="AO109" t="s">
        <v>272</v>
      </c>
      <c r="AP109">
        <v>4.1382783000000001E-3</v>
      </c>
      <c r="AR109" s="4" t="s">
        <v>187</v>
      </c>
      <c r="AS109" s="42">
        <v>1.5389969999999999E-2</v>
      </c>
    </row>
    <row r="110" spans="1:45" x14ac:dyDescent="0.25">
      <c r="A110">
        <v>108</v>
      </c>
      <c r="B110" t="s">
        <v>300</v>
      </c>
      <c r="C110" s="1">
        <v>3047</v>
      </c>
      <c r="D110" t="s">
        <v>288</v>
      </c>
      <c r="E110" t="s">
        <v>893</v>
      </c>
      <c r="F110">
        <v>0</v>
      </c>
      <c r="G110" s="22">
        <v>20230112</v>
      </c>
      <c r="H110" s="56">
        <v>44939.000001585649</v>
      </c>
      <c r="I110">
        <v>0</v>
      </c>
      <c r="K110" s="21" t="s">
        <v>896</v>
      </c>
      <c r="L110" s="21" t="s">
        <v>547</v>
      </c>
      <c r="M110" s="21" t="s">
        <v>85</v>
      </c>
      <c r="N110" s="21" t="s">
        <v>294</v>
      </c>
      <c r="P110" t="str">
        <f t="shared" si="4"/>
        <v>OWETHUSDC/WETH-30DEC22-1350C</v>
      </c>
      <c r="Q110">
        <f t="shared" si="5"/>
        <v>0</v>
      </c>
      <c r="R110">
        <v>0.3049998540388914</v>
      </c>
      <c r="S110">
        <f t="shared" si="6"/>
        <v>929.33455525650209</v>
      </c>
      <c r="T110" t="str">
        <f t="shared" si="7"/>
        <v xml:space="preserve">'OWETHUSDC/WETH-30DEC22-1350C', </v>
      </c>
      <c r="AJ110" s="27" t="s">
        <v>195</v>
      </c>
      <c r="AK110" s="44">
        <v>-6500</v>
      </c>
      <c r="AL110">
        <v>-7941824.9152557245</v>
      </c>
      <c r="AN110" t="s">
        <v>186</v>
      </c>
      <c r="AO110" t="s">
        <v>272</v>
      </c>
      <c r="AP110">
        <v>2.2650990999999999E-2</v>
      </c>
      <c r="AR110" s="4" t="s">
        <v>124</v>
      </c>
      <c r="AS110" s="42">
        <v>152.41521331999999</v>
      </c>
    </row>
    <row r="111" spans="1:45" x14ac:dyDescent="0.25">
      <c r="A111">
        <v>109</v>
      </c>
      <c r="B111" t="s">
        <v>300</v>
      </c>
      <c r="C111" s="1">
        <v>9472.1338239899997</v>
      </c>
      <c r="D111" t="s">
        <v>288</v>
      </c>
      <c r="E111" t="s">
        <v>431</v>
      </c>
      <c r="F111">
        <v>0</v>
      </c>
      <c r="G111" s="22">
        <v>20230112</v>
      </c>
      <c r="H111" s="56">
        <v>44939.000001585649</v>
      </c>
      <c r="I111">
        <v>0</v>
      </c>
      <c r="K111" s="21" t="s">
        <v>559</v>
      </c>
      <c r="L111" s="21" t="s">
        <v>547</v>
      </c>
      <c r="M111" s="21" t="s">
        <v>85</v>
      </c>
      <c r="N111" s="21" t="s">
        <v>294</v>
      </c>
      <c r="P111" t="str">
        <f t="shared" si="4"/>
        <v>OWETHUSDC/WSTETH-02DEC22-1350C</v>
      </c>
      <c r="Q111">
        <f t="shared" si="5"/>
        <v>0</v>
      </c>
      <c r="R111">
        <v>3.7800280517057789</v>
      </c>
      <c r="S111">
        <f t="shared" si="6"/>
        <v>35804.931564193328</v>
      </c>
      <c r="T111" t="str">
        <f t="shared" si="7"/>
        <v xml:space="preserve">'OWETHUSDC/WSTETH-02DEC22-1350C', </v>
      </c>
      <c r="AJ111" s="4" t="s">
        <v>27</v>
      </c>
      <c r="AK111" s="44">
        <v>14768.90497507</v>
      </c>
      <c r="AL111">
        <v>89683.382747771728</v>
      </c>
      <c r="AN111" t="s">
        <v>186</v>
      </c>
      <c r="AO111" t="s">
        <v>272</v>
      </c>
      <c r="AP111">
        <v>1.6639433999999999E-3</v>
      </c>
      <c r="AR111" s="4" t="s">
        <v>20</v>
      </c>
      <c r="AS111" s="42">
        <v>2.035388060999999</v>
      </c>
    </row>
    <row r="112" spans="1:45" x14ac:dyDescent="0.25">
      <c r="A112">
        <v>110</v>
      </c>
      <c r="B112" t="s">
        <v>300</v>
      </c>
      <c r="C112" s="1">
        <v>5625.02729593</v>
      </c>
      <c r="D112" t="s">
        <v>288</v>
      </c>
      <c r="E112" t="s">
        <v>302</v>
      </c>
      <c r="F112">
        <v>0</v>
      </c>
      <c r="G112" s="22">
        <v>20230112</v>
      </c>
      <c r="H112" s="56">
        <v>44939.000001585649</v>
      </c>
      <c r="I112">
        <v>0</v>
      </c>
      <c r="K112" s="21" t="s">
        <v>560</v>
      </c>
      <c r="L112" s="21" t="s">
        <v>547</v>
      </c>
      <c r="M112" s="21" t="s">
        <v>85</v>
      </c>
      <c r="N112" s="21" t="s">
        <v>294</v>
      </c>
      <c r="P112" t="str">
        <f t="shared" si="4"/>
        <v>OWETHUSDC/WSTETH-04NOV22-1700C</v>
      </c>
      <c r="Q112">
        <f t="shared" si="5"/>
        <v>0</v>
      </c>
      <c r="R112">
        <v>4.7021920000000002E-2</v>
      </c>
      <c r="S112">
        <f t="shared" si="6"/>
        <v>264.49958350703679</v>
      </c>
      <c r="T112" t="str">
        <f t="shared" si="7"/>
        <v xml:space="preserve">'OWETHUSDC/WSTETH-04NOV22-1700C', </v>
      </c>
      <c r="AJ112" s="27" t="s">
        <v>85</v>
      </c>
      <c r="AK112" s="44">
        <v>14768.90497507</v>
      </c>
      <c r="AL112">
        <v>89683.382747771728</v>
      </c>
      <c r="AN112" t="s">
        <v>186</v>
      </c>
      <c r="AO112" t="s">
        <v>272</v>
      </c>
      <c r="AP112">
        <v>1.4090999999999999E-3</v>
      </c>
      <c r="AR112" s="4" t="s">
        <v>336</v>
      </c>
      <c r="AS112" s="42">
        <v>2.5033500000000001E-3</v>
      </c>
    </row>
    <row r="113" spans="1:45" x14ac:dyDescent="0.25">
      <c r="A113">
        <v>111</v>
      </c>
      <c r="B113" t="s">
        <v>300</v>
      </c>
      <c r="C113" s="1">
        <v>5968</v>
      </c>
      <c r="D113" t="s">
        <v>288</v>
      </c>
      <c r="E113" t="s">
        <v>303</v>
      </c>
      <c r="F113">
        <v>0</v>
      </c>
      <c r="G113" s="22">
        <v>20230112</v>
      </c>
      <c r="H113" s="56">
        <v>44939.000001585649</v>
      </c>
      <c r="I113">
        <v>0</v>
      </c>
      <c r="K113" s="21" t="s">
        <v>561</v>
      </c>
      <c r="L113" s="21" t="s">
        <v>547</v>
      </c>
      <c r="M113" s="21" t="s">
        <v>85</v>
      </c>
      <c r="N113" s="21" t="s">
        <v>294</v>
      </c>
      <c r="P113" t="str">
        <f t="shared" si="4"/>
        <v>OWETHUSDC/WSTETH-09SEP22-1900C</v>
      </c>
      <c r="Q113">
        <f t="shared" si="5"/>
        <v>0</v>
      </c>
      <c r="R113">
        <v>0.99940190110900451</v>
      </c>
      <c r="S113">
        <f t="shared" si="6"/>
        <v>5964.430545818539</v>
      </c>
      <c r="T113" t="str">
        <f t="shared" si="7"/>
        <v xml:space="preserve">'OWETHUSDC/WSTETH-09SEP22-1900C', </v>
      </c>
      <c r="AJ113" s="4" t="s">
        <v>24</v>
      </c>
      <c r="AK113" s="44">
        <v>1987.78841713</v>
      </c>
      <c r="AL113">
        <v>114272.33849318451</v>
      </c>
      <c r="AN113" t="s">
        <v>186</v>
      </c>
      <c r="AO113" t="s">
        <v>272</v>
      </c>
      <c r="AP113">
        <v>5.2499999999999997E-4</v>
      </c>
      <c r="AR113" s="4" t="s">
        <v>337</v>
      </c>
      <c r="AS113" s="42">
        <v>115.29838952</v>
      </c>
    </row>
    <row r="114" spans="1:45" x14ac:dyDescent="0.25">
      <c r="A114">
        <v>112</v>
      </c>
      <c r="B114" s="10" t="s">
        <v>300</v>
      </c>
      <c r="C114" s="150">
        <v>4006</v>
      </c>
      <c r="D114" s="10" t="s">
        <v>288</v>
      </c>
      <c r="E114" s="10" t="s">
        <v>894</v>
      </c>
      <c r="F114" s="10">
        <v>0</v>
      </c>
      <c r="G114" s="59">
        <v>20230112</v>
      </c>
      <c r="H114" s="151">
        <v>44939.000001585649</v>
      </c>
      <c r="I114" s="10">
        <v>0</v>
      </c>
      <c r="K114" s="21" t="s">
        <v>897</v>
      </c>
      <c r="L114" s="21" t="s">
        <v>547</v>
      </c>
      <c r="M114" s="21" t="s">
        <v>85</v>
      </c>
      <c r="N114" s="21" t="s">
        <v>294</v>
      </c>
      <c r="P114" t="str">
        <f t="shared" si="4"/>
        <v>OWETHUSDC/WSTETH-30DEC22-1350C</v>
      </c>
      <c r="Q114">
        <f t="shared" si="5"/>
        <v>0</v>
      </c>
      <c r="R114">
        <v>16719.740000000002</v>
      </c>
      <c r="S114">
        <f t="shared" si="6"/>
        <v>66979278.440000005</v>
      </c>
      <c r="T114" t="str">
        <f t="shared" si="7"/>
        <v xml:space="preserve">'OWETHUSDC/WSTETH-30DEC22-1350C', </v>
      </c>
      <c r="AJ114" s="27" t="s">
        <v>85</v>
      </c>
      <c r="AK114" s="44">
        <v>1987.78841713</v>
      </c>
      <c r="AL114">
        <v>114272.33849318451</v>
      </c>
      <c r="AN114" t="s">
        <v>186</v>
      </c>
      <c r="AO114" t="s">
        <v>272</v>
      </c>
      <c r="AP114">
        <v>1.8303131E-2</v>
      </c>
      <c r="AR114" s="4" t="s">
        <v>338</v>
      </c>
      <c r="AS114" s="42">
        <v>14.7502</v>
      </c>
    </row>
    <row r="115" spans="1:45" x14ac:dyDescent="0.25">
      <c r="A115">
        <v>113</v>
      </c>
      <c r="B115" t="s">
        <v>300</v>
      </c>
      <c r="C115" s="1">
        <v>60000</v>
      </c>
      <c r="D115" t="s">
        <v>288</v>
      </c>
      <c r="E115" t="s">
        <v>92</v>
      </c>
      <c r="F115">
        <v>0</v>
      </c>
      <c r="G115" s="22">
        <v>20230112</v>
      </c>
      <c r="H115" s="56">
        <v>44939.000001585649</v>
      </c>
      <c r="I115">
        <v>60004.328977644</v>
      </c>
      <c r="K115" s="21" t="s">
        <v>550</v>
      </c>
      <c r="L115" s="21" t="s">
        <v>547</v>
      </c>
      <c r="M115" s="21" t="s">
        <v>85</v>
      </c>
      <c r="N115" s="21" t="s">
        <v>294</v>
      </c>
      <c r="P115" t="str">
        <f t="shared" si="4"/>
        <v>USDC</v>
      </c>
      <c r="Q115">
        <f t="shared" si="5"/>
        <v>1.0000721496274001</v>
      </c>
      <c r="R115">
        <v>1208.73</v>
      </c>
      <c r="S115">
        <f t="shared" si="6"/>
        <v>72523800</v>
      </c>
      <c r="T115" t="str">
        <f t="shared" si="7"/>
        <v xml:space="preserve">'USDC', </v>
      </c>
      <c r="AJ115" s="4" t="s">
        <v>95</v>
      </c>
      <c r="AK115" s="44">
        <v>45608184.3917</v>
      </c>
      <c r="AL115">
        <v>45608184.3917</v>
      </c>
      <c r="AN115" t="s">
        <v>186</v>
      </c>
      <c r="AO115" t="s">
        <v>272</v>
      </c>
      <c r="AP115">
        <v>4.4272812999999996E-3</v>
      </c>
      <c r="AR115" s="4" t="s">
        <v>113</v>
      </c>
      <c r="AS115" s="42">
        <v>3684.9042316034001</v>
      </c>
    </row>
    <row r="116" spans="1:45" x14ac:dyDescent="0.25">
      <c r="A116">
        <v>114</v>
      </c>
      <c r="B116" t="s">
        <v>300</v>
      </c>
      <c r="C116" s="150">
        <v>186.88790811999999</v>
      </c>
      <c r="D116" s="10" t="s">
        <v>288</v>
      </c>
      <c r="E116" s="10" t="s">
        <v>444</v>
      </c>
      <c r="F116" s="10">
        <v>0</v>
      </c>
      <c r="G116" s="59">
        <v>20230112</v>
      </c>
      <c r="H116" s="151">
        <v>44939.000001585649</v>
      </c>
      <c r="I116" s="10">
        <v>2877.3571273807302</v>
      </c>
      <c r="K116" s="21" t="s">
        <v>849</v>
      </c>
      <c r="L116" s="21" t="s">
        <v>547</v>
      </c>
      <c r="M116" s="21" t="s">
        <v>85</v>
      </c>
      <c r="N116" s="21" t="s">
        <v>294</v>
      </c>
      <c r="P116" t="str">
        <f t="shared" si="4"/>
        <v>WAVAX</v>
      </c>
      <c r="Q116">
        <f t="shared" si="5"/>
        <v>15.396165307459006</v>
      </c>
      <c r="R116">
        <v>0.9994019011090044</v>
      </c>
      <c r="S116">
        <f t="shared" si="6"/>
        <v>186.77613066941294</v>
      </c>
      <c r="T116" t="str">
        <f t="shared" si="7"/>
        <v xml:space="preserve">'WAVAX', </v>
      </c>
      <c r="AJ116" s="27" t="s">
        <v>85</v>
      </c>
      <c r="AK116" s="44">
        <v>45608184.3917</v>
      </c>
      <c r="AL116">
        <v>45608184.3917</v>
      </c>
      <c r="AN116" t="s">
        <v>186</v>
      </c>
      <c r="AO116" t="s">
        <v>272</v>
      </c>
      <c r="AP116">
        <v>3.6355406787</v>
      </c>
      <c r="AR116" s="4" t="s">
        <v>14</v>
      </c>
      <c r="AS116" s="42">
        <v>1584.5868112820999</v>
      </c>
    </row>
    <row r="117" spans="1:45" x14ac:dyDescent="0.25">
      <c r="A117">
        <v>115</v>
      </c>
      <c r="B117" t="s">
        <v>300</v>
      </c>
      <c r="C117" s="1">
        <v>128.58989367000001</v>
      </c>
      <c r="D117" t="s">
        <v>288</v>
      </c>
      <c r="E117" t="s">
        <v>257</v>
      </c>
      <c r="F117">
        <v>0</v>
      </c>
      <c r="G117" s="22">
        <v>20230112</v>
      </c>
      <c r="H117" s="56">
        <v>44939.000001585649</v>
      </c>
      <c r="I117">
        <v>182220.348791973</v>
      </c>
      <c r="K117" s="21" t="s">
        <v>562</v>
      </c>
      <c r="L117" s="21" t="s">
        <v>547</v>
      </c>
      <c r="M117" s="21" t="s">
        <v>85</v>
      </c>
      <c r="N117" s="21" t="s">
        <v>294</v>
      </c>
      <c r="P117" t="str">
        <f t="shared" si="4"/>
        <v>WETH</v>
      </c>
      <c r="Q117">
        <f t="shared" si="5"/>
        <v>1417.0658641308523</v>
      </c>
      <c r="R117">
        <v>0.9994019011090044</v>
      </c>
      <c r="S117">
        <f t="shared" si="6"/>
        <v>128.51298419720274</v>
      </c>
      <c r="T117" t="str">
        <f t="shared" si="7"/>
        <v xml:space="preserve">'WETH', </v>
      </c>
      <c r="AJ117" s="4" t="s">
        <v>92</v>
      </c>
      <c r="AK117" s="44">
        <v>101</v>
      </c>
      <c r="AL117">
        <v>101.01377034016269</v>
      </c>
      <c r="AN117" t="s">
        <v>186</v>
      </c>
      <c r="AO117" t="s">
        <v>272</v>
      </c>
      <c r="AP117">
        <v>6.3310570499999996E-2</v>
      </c>
      <c r="AR117" s="4" t="s">
        <v>341</v>
      </c>
      <c r="AS117" s="42">
        <v>0.33565571999999999</v>
      </c>
    </row>
    <row r="118" spans="1:45" x14ac:dyDescent="0.25">
      <c r="A118">
        <v>116</v>
      </c>
      <c r="B118" t="s">
        <v>304</v>
      </c>
      <c r="C118" s="150">
        <v>78.748072449999995</v>
      </c>
      <c r="D118" s="10" t="s">
        <v>286</v>
      </c>
      <c r="E118" s="10" t="s">
        <v>188</v>
      </c>
      <c r="F118" s="10">
        <v>0</v>
      </c>
      <c r="G118" s="59">
        <v>20230112</v>
      </c>
      <c r="H118" s="151">
        <v>44939.000001585649</v>
      </c>
      <c r="I118" s="10">
        <v>54.266566857299701</v>
      </c>
      <c r="K118" s="21" t="s">
        <v>546</v>
      </c>
      <c r="L118" s="21" t="s">
        <v>547</v>
      </c>
      <c r="M118" s="21" t="s">
        <v>85</v>
      </c>
      <c r="N118" s="21" t="s">
        <v>294</v>
      </c>
      <c r="P118" t="str">
        <f t="shared" si="4"/>
        <v>CRV</v>
      </c>
      <c r="Q118">
        <f t="shared" si="5"/>
        <v>0.68911612905516528</v>
      </c>
      <c r="R118">
        <v>0.38471588000000001</v>
      </c>
      <c r="S118">
        <f t="shared" si="6"/>
        <v>30.295633990905504</v>
      </c>
      <c r="T118" t="str">
        <f t="shared" si="7"/>
        <v xml:space="preserve">'CRV', </v>
      </c>
      <c r="AJ118" s="27" t="s">
        <v>85</v>
      </c>
      <c r="AK118" s="44">
        <v>101</v>
      </c>
      <c r="AL118">
        <v>101.01377034016269</v>
      </c>
      <c r="AN118" t="s">
        <v>186</v>
      </c>
      <c r="AO118" t="s">
        <v>272</v>
      </c>
      <c r="AP118">
        <v>3.3981742E-3</v>
      </c>
      <c r="AR118" s="4" t="s">
        <v>342</v>
      </c>
      <c r="AS118" s="42">
        <v>1367501156.8785999</v>
      </c>
    </row>
    <row r="119" spans="1:45" x14ac:dyDescent="0.25">
      <c r="A119">
        <v>117</v>
      </c>
      <c r="B119" t="s">
        <v>304</v>
      </c>
      <c r="C119" s="1">
        <v>2.51455188</v>
      </c>
      <c r="D119" t="s">
        <v>286</v>
      </c>
      <c r="E119" t="s">
        <v>189</v>
      </c>
      <c r="F119">
        <v>0</v>
      </c>
      <c r="G119" s="22">
        <v>20230112</v>
      </c>
      <c r="H119" s="56">
        <v>44939.000001585649</v>
      </c>
      <c r="I119">
        <v>8.9207979518641096</v>
      </c>
      <c r="K119" s="21" t="s">
        <v>548</v>
      </c>
      <c r="L119" s="21" t="s">
        <v>547</v>
      </c>
      <c r="M119" s="21" t="s">
        <v>85</v>
      </c>
      <c r="N119" s="21" t="s">
        <v>294</v>
      </c>
      <c r="P119" t="str">
        <f t="shared" si="4"/>
        <v>CVX</v>
      </c>
      <c r="Q119">
        <f t="shared" si="5"/>
        <v>3.547669078859534</v>
      </c>
      <c r="R119">
        <v>0.32653653999999999</v>
      </c>
      <c r="S119">
        <f t="shared" si="6"/>
        <v>0.82109307054569514</v>
      </c>
      <c r="T119" t="str">
        <f t="shared" si="7"/>
        <v xml:space="preserve">'CVX', </v>
      </c>
      <c r="AJ119" s="3" t="s">
        <v>259</v>
      </c>
      <c r="AK119" s="44">
        <v>118588.3</v>
      </c>
      <c r="AL119">
        <v>118588.3</v>
      </c>
      <c r="AN119" t="s">
        <v>186</v>
      </c>
      <c r="AO119" t="s">
        <v>272</v>
      </c>
      <c r="AP119">
        <v>0.29467934690000003</v>
      </c>
      <c r="AR119" s="4" t="s">
        <v>343</v>
      </c>
      <c r="AS119" s="42">
        <v>1.7855998900000001</v>
      </c>
    </row>
    <row r="120" spans="1:45" x14ac:dyDescent="0.25">
      <c r="A120">
        <v>118</v>
      </c>
      <c r="B120" t="s">
        <v>304</v>
      </c>
      <c r="C120" s="150">
        <v>172554.34841886</v>
      </c>
      <c r="D120" s="10" t="s">
        <v>287</v>
      </c>
      <c r="E120" s="10" t="s">
        <v>416</v>
      </c>
      <c r="F120" s="10">
        <v>0</v>
      </c>
      <c r="G120" s="59">
        <v>20230112</v>
      </c>
      <c r="H120" s="151">
        <v>44939.000001585649</v>
      </c>
      <c r="I120" s="10">
        <v>172564.61571339701</v>
      </c>
      <c r="K120" s="21" t="s">
        <v>860</v>
      </c>
      <c r="L120" s="21" t="s">
        <v>547</v>
      </c>
      <c r="M120" s="21" t="s">
        <v>85</v>
      </c>
      <c r="N120" s="21" t="s">
        <v>294</v>
      </c>
      <c r="P120" t="str">
        <f t="shared" si="4"/>
        <v>DAI</v>
      </c>
      <c r="Q120">
        <f t="shared" si="5"/>
        <v>1.0000595018012071</v>
      </c>
      <c r="R120">
        <v>103.98</v>
      </c>
      <c r="S120">
        <f t="shared" si="6"/>
        <v>17942201.148593064</v>
      </c>
      <c r="T120" t="str">
        <f t="shared" si="7"/>
        <v xml:space="preserve">'DAI', </v>
      </c>
      <c r="AJ120" s="4" t="s">
        <v>95</v>
      </c>
      <c r="AK120" s="44">
        <v>118588.3</v>
      </c>
      <c r="AL120">
        <v>118588.3</v>
      </c>
      <c r="AN120" t="s">
        <v>186</v>
      </c>
      <c r="AO120" t="s">
        <v>272</v>
      </c>
      <c r="AP120">
        <v>3.4502529999999999E-3</v>
      </c>
      <c r="AR120" s="4" t="s">
        <v>31</v>
      </c>
      <c r="AS120" s="42">
        <v>43.072197150000001</v>
      </c>
    </row>
    <row r="121" spans="1:45" x14ac:dyDescent="0.25">
      <c r="A121">
        <v>119</v>
      </c>
      <c r="B121" t="s">
        <v>304</v>
      </c>
      <c r="C121" s="1">
        <v>0.49557208000000003</v>
      </c>
      <c r="D121" t="s">
        <v>288</v>
      </c>
      <c r="E121" t="s">
        <v>15</v>
      </c>
      <c r="F121">
        <v>0</v>
      </c>
      <c r="G121" s="22">
        <v>20230112</v>
      </c>
      <c r="H121" s="56">
        <v>44939.000001585649</v>
      </c>
      <c r="I121">
        <v>702.69074321035498</v>
      </c>
      <c r="K121" s="21" t="s">
        <v>549</v>
      </c>
      <c r="L121" s="21" t="s">
        <v>547</v>
      </c>
      <c r="M121" s="21" t="s">
        <v>85</v>
      </c>
      <c r="N121" s="21" t="s">
        <v>294</v>
      </c>
      <c r="P121" t="str">
        <f t="shared" si="4"/>
        <v>ETH</v>
      </c>
      <c r="Q121">
        <f t="shared" si="5"/>
        <v>1417.9385231112192</v>
      </c>
      <c r="R121">
        <v>39.841106000000003</v>
      </c>
      <c r="S121">
        <f t="shared" si="6"/>
        <v>19.744139769920483</v>
      </c>
      <c r="T121" t="str">
        <f t="shared" si="7"/>
        <v xml:space="preserve">'ETH', </v>
      </c>
      <c r="AJ121" s="27" t="s">
        <v>85</v>
      </c>
      <c r="AK121" s="44">
        <v>118588.3</v>
      </c>
      <c r="AL121">
        <v>118588.3</v>
      </c>
      <c r="AN121" t="s">
        <v>186</v>
      </c>
      <c r="AO121" t="s">
        <v>272</v>
      </c>
      <c r="AP121">
        <v>7.5791675000000001E-3</v>
      </c>
      <c r="AR121" s="4" t="s">
        <v>345</v>
      </c>
      <c r="AS121" s="42">
        <v>0.30791584</v>
      </c>
    </row>
    <row r="122" spans="1:45" x14ac:dyDescent="0.25">
      <c r="A122">
        <v>120</v>
      </c>
      <c r="B122" t="s">
        <v>304</v>
      </c>
      <c r="C122" s="1">
        <v>516393.62323616998</v>
      </c>
      <c r="D122" t="s">
        <v>287</v>
      </c>
      <c r="E122" t="s">
        <v>797</v>
      </c>
      <c r="F122">
        <v>0</v>
      </c>
      <c r="G122" s="22">
        <v>20230112</v>
      </c>
      <c r="H122" s="56">
        <v>44939.000001585649</v>
      </c>
      <c r="I122">
        <v>515301.05266681401</v>
      </c>
      <c r="K122" s="21" t="s">
        <v>861</v>
      </c>
      <c r="L122" s="21" t="s">
        <v>547</v>
      </c>
      <c r="M122" s="21" t="s">
        <v>85</v>
      </c>
      <c r="N122" s="21" t="s">
        <v>294</v>
      </c>
      <c r="P122" t="str">
        <f t="shared" si="4"/>
        <v>MIM</v>
      </c>
      <c r="Q122">
        <f t="shared" si="5"/>
        <v>0.99788422916125696</v>
      </c>
      <c r="R122">
        <v>0.90154135000000002</v>
      </c>
      <c r="S122">
        <f t="shared" si="6"/>
        <v>465550.20422372804</v>
      </c>
      <c r="T122" t="str">
        <f t="shared" si="7"/>
        <v xml:space="preserve">'MIM', </v>
      </c>
      <c r="AJ122" s="3" t="s">
        <v>294</v>
      </c>
      <c r="AK122" s="44">
        <v>1110468.9355053599</v>
      </c>
      <c r="AL122">
        <v>3746103.6432988765</v>
      </c>
      <c r="AN122" t="s">
        <v>186</v>
      </c>
      <c r="AO122" t="s">
        <v>325</v>
      </c>
      <c r="AP122">
        <v>5024</v>
      </c>
      <c r="AR122" s="4" t="s">
        <v>346</v>
      </c>
      <c r="AS122" s="42">
        <v>5.6119999999999998E-5</v>
      </c>
    </row>
    <row r="123" spans="1:45" x14ac:dyDescent="0.25">
      <c r="A123">
        <v>121</v>
      </c>
      <c r="B123" t="s">
        <v>304</v>
      </c>
      <c r="C123" s="1">
        <v>192885.46117379001</v>
      </c>
      <c r="D123" t="s">
        <v>287</v>
      </c>
      <c r="E123" t="s">
        <v>92</v>
      </c>
      <c r="F123">
        <v>0</v>
      </c>
      <c r="G123" s="22">
        <v>20230112</v>
      </c>
      <c r="H123" s="56">
        <v>44939.000001585649</v>
      </c>
      <c r="I123">
        <v>192899.37778794399</v>
      </c>
      <c r="K123" s="21" t="s">
        <v>550</v>
      </c>
      <c r="L123" s="21" t="s">
        <v>547</v>
      </c>
      <c r="M123" s="21" t="s">
        <v>85</v>
      </c>
      <c r="N123" s="21" t="s">
        <v>294</v>
      </c>
      <c r="P123" t="str">
        <f t="shared" si="4"/>
        <v>USDC</v>
      </c>
      <c r="Q123">
        <f t="shared" si="5"/>
        <v>1.000072149627397</v>
      </c>
      <c r="R123">
        <v>19.614688999999998</v>
      </c>
      <c r="S123">
        <f t="shared" si="6"/>
        <v>3783388.333545466</v>
      </c>
      <c r="T123" t="str">
        <f t="shared" si="7"/>
        <v xml:space="preserve">'USDC', </v>
      </c>
      <c r="AJ123" s="4" t="s">
        <v>301</v>
      </c>
      <c r="AK123" s="44">
        <v>7000</v>
      </c>
      <c r="AL123">
        <v>0</v>
      </c>
      <c r="AN123" t="s">
        <v>186</v>
      </c>
      <c r="AO123" t="s">
        <v>326</v>
      </c>
      <c r="AP123">
        <v>8.9826517890000002</v>
      </c>
      <c r="AR123" s="4" t="s">
        <v>347</v>
      </c>
      <c r="AS123" s="42">
        <v>5.9800000000000001E-4</v>
      </c>
    </row>
    <row r="124" spans="1:45" x14ac:dyDescent="0.25">
      <c r="A124">
        <v>122</v>
      </c>
      <c r="B124" t="s">
        <v>304</v>
      </c>
      <c r="C124" s="1">
        <v>132056.27534242999</v>
      </c>
      <c r="D124" t="s">
        <v>287</v>
      </c>
      <c r="E124" t="s">
        <v>38</v>
      </c>
      <c r="F124">
        <v>0</v>
      </c>
      <c r="G124" s="22">
        <v>20230112</v>
      </c>
      <c r="H124" s="56">
        <v>44939.000001585649</v>
      </c>
      <c r="I124">
        <v>132068.43101488499</v>
      </c>
      <c r="K124" s="21" t="s">
        <v>862</v>
      </c>
      <c r="L124" s="21" t="s">
        <v>547</v>
      </c>
      <c r="M124" s="21" t="s">
        <v>85</v>
      </c>
      <c r="N124" s="21" t="s">
        <v>294</v>
      </c>
      <c r="P124" t="str">
        <f t="shared" si="4"/>
        <v>USDT</v>
      </c>
      <c r="Q124">
        <f t="shared" si="5"/>
        <v>1.0000920491845122</v>
      </c>
      <c r="R124">
        <v>1208.73</v>
      </c>
      <c r="S124">
        <f t="shared" si="6"/>
        <v>159620381.69465539</v>
      </c>
      <c r="T124" t="str">
        <f t="shared" si="7"/>
        <v xml:space="preserve">'USDT', </v>
      </c>
      <c r="AJ124" s="27" t="s">
        <v>85</v>
      </c>
      <c r="AK124" s="44">
        <v>7000</v>
      </c>
      <c r="AL124">
        <v>0</v>
      </c>
      <c r="AN124" t="s">
        <v>186</v>
      </c>
      <c r="AO124" t="s">
        <v>109</v>
      </c>
      <c r="AP124">
        <v>2.53888889</v>
      </c>
      <c r="AR124" s="4" t="s">
        <v>22</v>
      </c>
      <c r="AS124" s="42">
        <v>37157.267476706998</v>
      </c>
    </row>
    <row r="125" spans="1:45" x14ac:dyDescent="0.25">
      <c r="A125">
        <v>123</v>
      </c>
      <c r="B125" t="s">
        <v>305</v>
      </c>
      <c r="C125" s="1">
        <v>2.34866376</v>
      </c>
      <c r="D125" t="s">
        <v>288</v>
      </c>
      <c r="E125" t="s">
        <v>15</v>
      </c>
      <c r="F125">
        <v>0</v>
      </c>
      <c r="G125" s="22">
        <v>20230112</v>
      </c>
      <c r="H125" s="56">
        <v>44939.000001585649</v>
      </c>
      <c r="I125">
        <v>3330.2608231392401</v>
      </c>
      <c r="K125" s="21" t="s">
        <v>549</v>
      </c>
      <c r="L125" s="21" t="s">
        <v>547</v>
      </c>
      <c r="M125" s="21" t="s">
        <v>85</v>
      </c>
      <c r="N125" s="21" t="s">
        <v>294</v>
      </c>
      <c r="P125" t="str">
        <f t="shared" si="4"/>
        <v>ETH</v>
      </c>
      <c r="Q125">
        <f t="shared" si="5"/>
        <v>1417.938523111218</v>
      </c>
      <c r="R125">
        <v>6.2919999999999998</v>
      </c>
      <c r="S125">
        <f t="shared" si="6"/>
        <v>14.777792377919999</v>
      </c>
      <c r="T125" t="str">
        <f t="shared" si="7"/>
        <v xml:space="preserve">'ETH', </v>
      </c>
      <c r="AJ125" s="4" t="s">
        <v>315</v>
      </c>
      <c r="AK125" s="44">
        <v>7000</v>
      </c>
      <c r="AL125">
        <v>0</v>
      </c>
      <c r="AN125" t="s">
        <v>186</v>
      </c>
      <c r="AO125" t="s">
        <v>135</v>
      </c>
      <c r="AP125">
        <v>1.7534640000000001E-2</v>
      </c>
      <c r="AR125" s="4" t="s">
        <v>349</v>
      </c>
      <c r="AS125" s="42">
        <v>241319.15317850999</v>
      </c>
    </row>
    <row r="126" spans="1:45" x14ac:dyDescent="0.25">
      <c r="A126">
        <v>124</v>
      </c>
      <c r="B126" t="s">
        <v>438</v>
      </c>
      <c r="C126" s="1">
        <v>9.8779060000000002E-2</v>
      </c>
      <c r="D126" t="s">
        <v>288</v>
      </c>
      <c r="E126" t="s">
        <v>15</v>
      </c>
      <c r="F126">
        <v>0</v>
      </c>
      <c r="G126" s="22">
        <v>20230112</v>
      </c>
      <c r="H126" s="56">
        <v>44939.000001585649</v>
      </c>
      <c r="I126">
        <v>140.062634450714</v>
      </c>
      <c r="K126" s="21" t="s">
        <v>549</v>
      </c>
      <c r="L126" s="21" t="s">
        <v>547</v>
      </c>
      <c r="M126" s="21" t="s">
        <v>85</v>
      </c>
      <c r="N126" s="21" t="s">
        <v>294</v>
      </c>
      <c r="P126" t="str">
        <f t="shared" si="4"/>
        <v>ETH</v>
      </c>
      <c r="Q126">
        <f t="shared" si="5"/>
        <v>1417.938523111214</v>
      </c>
      <c r="R126">
        <v>62.35</v>
      </c>
      <c r="S126">
        <f t="shared" si="6"/>
        <v>6.1588743910000003</v>
      </c>
      <c r="T126" t="str">
        <f t="shared" si="7"/>
        <v xml:space="preserve">'ETH', </v>
      </c>
      <c r="AJ126" s="27" t="s">
        <v>85</v>
      </c>
      <c r="AK126" s="44">
        <v>7000</v>
      </c>
      <c r="AL126">
        <v>0</v>
      </c>
      <c r="AN126" t="s">
        <v>186</v>
      </c>
      <c r="AO126" t="s">
        <v>135</v>
      </c>
      <c r="AP126">
        <v>79.940653319999996</v>
      </c>
      <c r="AR126" s="4" t="s">
        <v>23</v>
      </c>
      <c r="AS126" s="42">
        <v>170268.13208671001</v>
      </c>
    </row>
    <row r="127" spans="1:45" x14ac:dyDescent="0.25">
      <c r="A127">
        <v>125</v>
      </c>
      <c r="B127" t="s">
        <v>438</v>
      </c>
      <c r="C127" s="1">
        <v>196525.25441796001</v>
      </c>
      <c r="D127" t="s">
        <v>288</v>
      </c>
      <c r="E127" t="s">
        <v>445</v>
      </c>
      <c r="F127">
        <v>0</v>
      </c>
      <c r="G127" s="22">
        <v>20230112</v>
      </c>
      <c r="H127" s="56">
        <v>44939.000001585649</v>
      </c>
      <c r="I127">
        <v>0</v>
      </c>
      <c r="K127" s="21" t="s">
        <v>850</v>
      </c>
      <c r="L127" s="21" t="s">
        <v>547</v>
      </c>
      <c r="M127" s="21" t="s">
        <v>85</v>
      </c>
      <c r="N127" s="21" t="s">
        <v>294</v>
      </c>
      <c r="P127" t="str">
        <f t="shared" si="4"/>
        <v>OBALUSDC/BAL-30DEC22-7.6C</v>
      </c>
      <c r="Q127">
        <f t="shared" si="5"/>
        <v>0</v>
      </c>
      <c r="R127">
        <v>0.99940190110900451</v>
      </c>
      <c r="S127">
        <f t="shared" si="6"/>
        <v>196407.71288124003</v>
      </c>
      <c r="T127" t="str">
        <f t="shared" si="7"/>
        <v xml:space="preserve">'OBALUSDC/BAL-30DEC22-7.6C', </v>
      </c>
      <c r="AJ127" s="4" t="s">
        <v>116</v>
      </c>
      <c r="AK127" s="44">
        <v>150</v>
      </c>
      <c r="AL127">
        <v>8504.5901486239272</v>
      </c>
      <c r="AN127" t="s">
        <v>186</v>
      </c>
      <c r="AO127" t="s">
        <v>43</v>
      </c>
      <c r="AP127">
        <v>1.9338685143000001</v>
      </c>
      <c r="AR127" s="4" t="s">
        <v>29</v>
      </c>
      <c r="AS127" s="42">
        <v>9625.8983043931003</v>
      </c>
    </row>
    <row r="128" spans="1:45" x14ac:dyDescent="0.25">
      <c r="A128">
        <v>126</v>
      </c>
      <c r="B128" t="s">
        <v>438</v>
      </c>
      <c r="C128" s="1">
        <v>201000.92417708001</v>
      </c>
      <c r="D128" t="s">
        <v>288</v>
      </c>
      <c r="E128" t="s">
        <v>446</v>
      </c>
      <c r="F128">
        <v>0</v>
      </c>
      <c r="G128" s="22">
        <v>20230112</v>
      </c>
      <c r="H128" s="56">
        <v>44939.000001585649</v>
      </c>
      <c r="I128">
        <v>0</v>
      </c>
      <c r="K128" s="21" t="s">
        <v>851</v>
      </c>
      <c r="L128" s="21" t="s">
        <v>547</v>
      </c>
      <c r="M128" s="21" t="s">
        <v>85</v>
      </c>
      <c r="N128" s="21" t="s">
        <v>294</v>
      </c>
      <c r="P128" t="str">
        <f t="shared" si="4"/>
        <v>OPERPUSDC/PERP-30DEC22-0.54C</v>
      </c>
      <c r="Q128">
        <f t="shared" si="5"/>
        <v>0</v>
      </c>
      <c r="R128">
        <v>0.38471588000000001</v>
      </c>
      <c r="S128">
        <f t="shared" si="6"/>
        <v>77328.247425598616</v>
      </c>
      <c r="T128" t="str">
        <f t="shared" si="7"/>
        <v xml:space="preserve">'OPERPUSDC/PERP-30DEC22-0.54C', </v>
      </c>
      <c r="AJ128" s="27" t="s">
        <v>85</v>
      </c>
      <c r="AK128" s="44">
        <v>150</v>
      </c>
      <c r="AL128">
        <v>8504.5901486239272</v>
      </c>
      <c r="AN128" t="s">
        <v>186</v>
      </c>
      <c r="AO128" t="s">
        <v>27</v>
      </c>
      <c r="AP128">
        <v>53.117741070000001</v>
      </c>
      <c r="AR128" s="4" t="s">
        <v>15</v>
      </c>
      <c r="AS128" s="42">
        <v>876.84472940049977</v>
      </c>
    </row>
    <row r="129" spans="1:45" x14ac:dyDescent="0.25">
      <c r="A129">
        <v>127</v>
      </c>
      <c r="B129" t="s">
        <v>438</v>
      </c>
      <c r="C129" s="1">
        <v>100050250.667</v>
      </c>
      <c r="D129" t="s">
        <v>288</v>
      </c>
      <c r="E129" t="s">
        <v>447</v>
      </c>
      <c r="F129">
        <v>0</v>
      </c>
      <c r="G129" s="22">
        <v>20230112</v>
      </c>
      <c r="H129" s="56">
        <v>44939.000001585649</v>
      </c>
      <c r="I129">
        <v>0</v>
      </c>
      <c r="K129" s="21" t="s">
        <v>852</v>
      </c>
      <c r="L129" s="21" t="s">
        <v>547</v>
      </c>
      <c r="M129" s="21" t="s">
        <v>85</v>
      </c>
      <c r="N129" s="21" t="s">
        <v>294</v>
      </c>
      <c r="P129" t="str">
        <f t="shared" si="4"/>
        <v>OSPELLUSDC/SPELL-30DEC22-0.00079C</v>
      </c>
      <c r="Q129">
        <f t="shared" si="5"/>
        <v>0</v>
      </c>
      <c r="R129">
        <v>59.23</v>
      </c>
      <c r="S129">
        <f t="shared" si="6"/>
        <v>5925976347.0064096</v>
      </c>
      <c r="T129" t="str">
        <f t="shared" si="7"/>
        <v xml:space="preserve">'OSPELLUSDC/SPELL-30DEC22-0.00079C', </v>
      </c>
      <c r="AJ129" s="4" t="s">
        <v>306</v>
      </c>
      <c r="AK129" s="44">
        <v>1394.8793011</v>
      </c>
      <c r="AL129">
        <v>116.71120090001483</v>
      </c>
      <c r="AN129" t="s">
        <v>186</v>
      </c>
      <c r="AO129" t="s">
        <v>24</v>
      </c>
      <c r="AP129">
        <v>180.67693722999999</v>
      </c>
      <c r="AR129" s="4" t="s">
        <v>353</v>
      </c>
      <c r="AS129" s="42">
        <v>9823.8364263999993</v>
      </c>
    </row>
    <row r="130" spans="1:45" x14ac:dyDescent="0.25">
      <c r="A130">
        <v>128</v>
      </c>
      <c r="B130" t="s">
        <v>439</v>
      </c>
      <c r="C130" s="1">
        <v>82.967645259999998</v>
      </c>
      <c r="D130" t="s">
        <v>286</v>
      </c>
      <c r="E130" t="s">
        <v>188</v>
      </c>
      <c r="F130">
        <v>0</v>
      </c>
      <c r="G130" s="22">
        <v>20230112</v>
      </c>
      <c r="H130" s="56">
        <v>44939.000001585649</v>
      </c>
      <c r="I130">
        <v>57.174342538393297</v>
      </c>
      <c r="K130" s="21" t="s">
        <v>546</v>
      </c>
      <c r="L130" s="21" t="s">
        <v>547</v>
      </c>
      <c r="M130" s="21" t="s">
        <v>85</v>
      </c>
      <c r="N130" s="21" t="s">
        <v>294</v>
      </c>
      <c r="P130" t="str">
        <f t="shared" ref="P130:P193" si="8">IF($C130="","",$E130)</f>
        <v>CRV</v>
      </c>
      <c r="Q130">
        <f t="shared" si="5"/>
        <v>0.68911612905516484</v>
      </c>
      <c r="R130">
        <v>0.32653653999999999</v>
      </c>
      <c r="S130">
        <f t="shared" si="6"/>
        <v>27.091967815147797</v>
      </c>
      <c r="T130" t="str">
        <f t="shared" si="7"/>
        <v xml:space="preserve">'CRV', </v>
      </c>
      <c r="AJ130" s="27" t="s">
        <v>85</v>
      </c>
      <c r="AK130" s="44">
        <v>1394.8793011</v>
      </c>
      <c r="AL130">
        <v>116.71120090001483</v>
      </c>
      <c r="AN130" t="s">
        <v>186</v>
      </c>
      <c r="AO130" t="s">
        <v>193</v>
      </c>
      <c r="AP130">
        <v>5.6554146698999999</v>
      </c>
      <c r="AR130" s="4" t="s">
        <v>272</v>
      </c>
      <c r="AS130" s="42">
        <v>3460.93190667</v>
      </c>
    </row>
    <row r="131" spans="1:45" x14ac:dyDescent="0.25">
      <c r="A131">
        <v>129</v>
      </c>
      <c r="B131" t="s">
        <v>439</v>
      </c>
      <c r="C131" s="1">
        <v>3.47592108</v>
      </c>
      <c r="D131" t="s">
        <v>286</v>
      </c>
      <c r="E131" t="s">
        <v>189</v>
      </c>
      <c r="F131">
        <v>0</v>
      </c>
      <c r="G131" s="22">
        <v>20230112</v>
      </c>
      <c r="H131" s="56">
        <v>44939.000001585649</v>
      </c>
      <c r="I131">
        <v>12.331417736072</v>
      </c>
      <c r="K131" s="21" t="s">
        <v>548</v>
      </c>
      <c r="L131" s="21" t="s">
        <v>547</v>
      </c>
      <c r="M131" s="21" t="s">
        <v>85</v>
      </c>
      <c r="N131" s="21" t="s">
        <v>294</v>
      </c>
      <c r="P131" t="str">
        <f t="shared" si="8"/>
        <v>CVX</v>
      </c>
      <c r="Q131">
        <f t="shared" ref="Q131:Q194" si="9">IF($C131="","",$I131/$C131)</f>
        <v>3.5476690788595233</v>
      </c>
      <c r="R131">
        <v>103.98</v>
      </c>
      <c r="S131">
        <f t="shared" ref="S131:S194" si="10">IF($B131="","",$C131*$R131)</f>
        <v>361.42627389840004</v>
      </c>
      <c r="T131" t="str">
        <f t="shared" ref="T131:T194" si="11">"'"&amp;P131&amp;"', "</f>
        <v xml:space="preserve">'CVX', </v>
      </c>
      <c r="AJ131" s="4" t="s">
        <v>307</v>
      </c>
      <c r="AK131" s="44">
        <v>379.65103078999999</v>
      </c>
      <c r="AL131">
        <v>2021.1598199270716</v>
      </c>
      <c r="AN131" t="s">
        <v>186</v>
      </c>
      <c r="AO131" t="s">
        <v>150</v>
      </c>
      <c r="AP131">
        <v>4.7709999999999999</v>
      </c>
      <c r="AR131" s="4" t="s">
        <v>355</v>
      </c>
      <c r="AS131" s="42">
        <v>347619.75382405001</v>
      </c>
    </row>
    <row r="132" spans="1:45" x14ac:dyDescent="0.25">
      <c r="A132">
        <v>130</v>
      </c>
      <c r="B132" t="s">
        <v>439</v>
      </c>
      <c r="C132" s="1">
        <v>502.25244882999999</v>
      </c>
      <c r="D132" t="s">
        <v>287</v>
      </c>
      <c r="E132" t="s">
        <v>15</v>
      </c>
      <c r="F132">
        <v>0</v>
      </c>
      <c r="G132" s="22">
        <v>20230112</v>
      </c>
      <c r="H132" s="56">
        <v>44939.000001585649</v>
      </c>
      <c r="I132">
        <v>712163.09552300302</v>
      </c>
      <c r="K132" s="21" t="s">
        <v>549</v>
      </c>
      <c r="L132" s="21" t="s">
        <v>547</v>
      </c>
      <c r="M132" s="21" t="s">
        <v>85</v>
      </c>
      <c r="N132" s="21" t="s">
        <v>294</v>
      </c>
      <c r="P132" t="str">
        <f t="shared" si="8"/>
        <v>ETH</v>
      </c>
      <c r="Q132">
        <f t="shared" si="9"/>
        <v>1417.9385231112185</v>
      </c>
      <c r="R132">
        <v>39.841106000000003</v>
      </c>
      <c r="S132">
        <f t="shared" si="10"/>
        <v>20010.293052595607</v>
      </c>
      <c r="T132" t="str">
        <f t="shared" si="11"/>
        <v xml:space="preserve">'ETH', </v>
      </c>
      <c r="AJ132" s="27" t="s">
        <v>85</v>
      </c>
      <c r="AK132" s="44">
        <v>379.65103078999999</v>
      </c>
      <c r="AL132">
        <v>2021.1598199270716</v>
      </c>
      <c r="AN132" t="s">
        <v>186</v>
      </c>
      <c r="AO132" t="s">
        <v>311</v>
      </c>
      <c r="AP132">
        <v>5625.02729593</v>
      </c>
      <c r="AR132" s="4" t="s">
        <v>30</v>
      </c>
      <c r="AS132" s="42">
        <v>2339.8611111199998</v>
      </c>
    </row>
    <row r="133" spans="1:45" x14ac:dyDescent="0.25">
      <c r="A133">
        <v>131</v>
      </c>
      <c r="B133" t="s">
        <v>439</v>
      </c>
      <c r="C133" s="1">
        <v>8.0888086799999996</v>
      </c>
      <c r="D133" t="s">
        <v>288</v>
      </c>
      <c r="E133" t="s">
        <v>15</v>
      </c>
      <c r="F133">
        <v>0</v>
      </c>
      <c r="G133" s="22">
        <v>20230112</v>
      </c>
      <c r="H133" s="56">
        <v>44939.000001585649</v>
      </c>
      <c r="I133">
        <v>11469.433433448399</v>
      </c>
      <c r="K133" s="21" t="s">
        <v>549</v>
      </c>
      <c r="L133" s="21" t="s">
        <v>547</v>
      </c>
      <c r="M133" s="21" t="s">
        <v>85</v>
      </c>
      <c r="N133" s="21" t="s">
        <v>294</v>
      </c>
      <c r="P133" t="str">
        <f t="shared" si="8"/>
        <v>ETH</v>
      </c>
      <c r="Q133">
        <f t="shared" si="9"/>
        <v>1417.9385231112178</v>
      </c>
      <c r="R133">
        <v>16719.740000000002</v>
      </c>
      <c r="S133">
        <f t="shared" si="10"/>
        <v>135242.77803934322</v>
      </c>
      <c r="T133" t="str">
        <f t="shared" si="11"/>
        <v xml:space="preserve">'ETH', </v>
      </c>
      <c r="AJ133" s="4" t="s">
        <v>188</v>
      </c>
      <c r="AK133" s="44">
        <v>-11772.469434529999</v>
      </c>
      <c r="AL133">
        <v>-7433.8382730026697</v>
      </c>
      <c r="AN133" t="s">
        <v>186</v>
      </c>
      <c r="AO133" t="s">
        <v>256</v>
      </c>
      <c r="AP133">
        <v>5968</v>
      </c>
      <c r="AR133" s="4" t="s">
        <v>109</v>
      </c>
      <c r="AS133" s="42">
        <v>0.68557060000000003</v>
      </c>
    </row>
    <row r="134" spans="1:45" x14ac:dyDescent="0.25">
      <c r="A134">
        <v>132</v>
      </c>
      <c r="B134" t="s">
        <v>439</v>
      </c>
      <c r="C134" s="1">
        <v>494.97593741999998</v>
      </c>
      <c r="D134" t="s">
        <v>287</v>
      </c>
      <c r="E134" t="s">
        <v>15</v>
      </c>
      <c r="F134">
        <v>0</v>
      </c>
      <c r="G134" s="22">
        <v>20230112</v>
      </c>
      <c r="H134" s="56">
        <v>44939.000001585649</v>
      </c>
      <c r="I134">
        <v>701845.44968090602</v>
      </c>
      <c r="K134" s="21" t="s">
        <v>549</v>
      </c>
      <c r="L134" s="21" t="s">
        <v>547</v>
      </c>
      <c r="M134" s="21" t="s">
        <v>85</v>
      </c>
      <c r="N134" s="21" t="s">
        <v>294</v>
      </c>
      <c r="P134" t="str">
        <f t="shared" si="8"/>
        <v>ETH</v>
      </c>
      <c r="Q134">
        <f t="shared" si="9"/>
        <v>1417.9385231112192</v>
      </c>
      <c r="R134">
        <v>16719.740000000002</v>
      </c>
      <c r="S134">
        <f t="shared" si="10"/>
        <v>8275868.9799186708</v>
      </c>
      <c r="T134" t="str">
        <f t="shared" si="11"/>
        <v xml:space="preserve">'ETH', </v>
      </c>
      <c r="AJ134" s="27" t="s">
        <v>85</v>
      </c>
      <c r="AK134" s="44">
        <v>10.045171009999999</v>
      </c>
      <c r="AL134">
        <v>6.3431191839808037</v>
      </c>
      <c r="AN134" t="s">
        <v>186</v>
      </c>
      <c r="AO134" t="s">
        <v>89</v>
      </c>
      <c r="AP134">
        <v>24.565999999999999</v>
      </c>
      <c r="AR134" s="4" t="s">
        <v>358</v>
      </c>
      <c r="AS134" s="42">
        <v>54.776400000000002</v>
      </c>
    </row>
    <row r="135" spans="1:45" x14ac:dyDescent="0.25">
      <c r="A135">
        <v>133</v>
      </c>
      <c r="B135" t="s">
        <v>439</v>
      </c>
      <c r="C135" s="1">
        <v>4.9449780900000002</v>
      </c>
      <c r="D135" t="s">
        <v>286</v>
      </c>
      <c r="E135" t="s">
        <v>798</v>
      </c>
      <c r="F135">
        <v>0</v>
      </c>
      <c r="G135" s="22">
        <v>20230112</v>
      </c>
      <c r="H135" s="56">
        <v>44939.000001585649</v>
      </c>
      <c r="I135">
        <v>31.966226316242999</v>
      </c>
      <c r="K135" s="21" t="s">
        <v>858</v>
      </c>
      <c r="L135" s="21" t="s">
        <v>547</v>
      </c>
      <c r="M135" s="21" t="s">
        <v>85</v>
      </c>
      <c r="N135" s="21" t="s">
        <v>294</v>
      </c>
      <c r="P135" t="str">
        <f t="shared" si="8"/>
        <v>FXS</v>
      </c>
      <c r="Q135">
        <f t="shared" si="9"/>
        <v>6.4643817898580407</v>
      </c>
      <c r="R135">
        <v>5.6989999999999998</v>
      </c>
      <c r="S135">
        <f t="shared" si="10"/>
        <v>28.181430134910002</v>
      </c>
      <c r="T135" t="str">
        <f t="shared" si="11"/>
        <v xml:space="preserve">'FXS', </v>
      </c>
      <c r="AJ135" s="27" t="s">
        <v>195</v>
      </c>
      <c r="AK135" s="44">
        <v>-11782.51460554</v>
      </c>
      <c r="AL135">
        <v>-7440.1813921866506</v>
      </c>
      <c r="AN135" t="s">
        <v>186</v>
      </c>
      <c r="AO135" t="s">
        <v>89</v>
      </c>
      <c r="AP135">
        <v>52.134156330000003</v>
      </c>
      <c r="AR135" s="4" t="s">
        <v>135</v>
      </c>
      <c r="AS135" s="42">
        <v>100.03406049</v>
      </c>
    </row>
    <row r="136" spans="1:45" x14ac:dyDescent="0.25">
      <c r="A136">
        <v>134</v>
      </c>
      <c r="B136" t="s">
        <v>439</v>
      </c>
      <c r="C136" s="1">
        <v>603.23998956000003</v>
      </c>
      <c r="D136" t="s">
        <v>288</v>
      </c>
      <c r="E136" t="s">
        <v>798</v>
      </c>
      <c r="F136">
        <v>0</v>
      </c>
      <c r="G136" s="22">
        <v>20230112</v>
      </c>
      <c r="H136" s="56">
        <v>44939.000001585649</v>
      </c>
      <c r="I136">
        <v>3899.5736034258198</v>
      </c>
      <c r="K136" s="21" t="s">
        <v>858</v>
      </c>
      <c r="L136" s="21" t="s">
        <v>547</v>
      </c>
      <c r="M136" s="21" t="s">
        <v>85</v>
      </c>
      <c r="N136" s="21" t="s">
        <v>294</v>
      </c>
      <c r="P136" t="str">
        <f t="shared" si="8"/>
        <v>FXS</v>
      </c>
      <c r="Q136">
        <f t="shared" si="9"/>
        <v>6.4643817898580425</v>
      </c>
      <c r="R136">
        <v>19.614688999999998</v>
      </c>
      <c r="S136">
        <f t="shared" si="10"/>
        <v>11832.364787582646</v>
      </c>
      <c r="T136" t="str">
        <f t="shared" si="11"/>
        <v xml:space="preserve">'FXS', </v>
      </c>
      <c r="AJ136" s="4" t="s">
        <v>189</v>
      </c>
      <c r="AK136" s="44">
        <v>3.0861679999999999E-2</v>
      </c>
      <c r="AL136">
        <v>0.13570357319882612</v>
      </c>
      <c r="AN136" t="s">
        <v>186</v>
      </c>
      <c r="AO136" t="s">
        <v>154</v>
      </c>
      <c r="AP136">
        <v>2.8970426800000002</v>
      </c>
      <c r="AR136" s="4" t="s">
        <v>360</v>
      </c>
      <c r="AS136" s="42">
        <v>5337.6979873099999</v>
      </c>
    </row>
    <row r="137" spans="1:45" x14ac:dyDescent="0.25">
      <c r="A137">
        <v>135</v>
      </c>
      <c r="B137" t="s">
        <v>800</v>
      </c>
      <c r="C137" s="1">
        <v>12009760.042401001</v>
      </c>
      <c r="D137" t="s">
        <v>287</v>
      </c>
      <c r="E137" t="s">
        <v>92</v>
      </c>
      <c r="F137">
        <v>0</v>
      </c>
      <c r="G137" s="22">
        <v>20230112</v>
      </c>
      <c r="H137" s="56">
        <v>44939.000001585649</v>
      </c>
      <c r="I137">
        <v>12010626.5421132</v>
      </c>
      <c r="K137" s="21" t="s">
        <v>550</v>
      </c>
      <c r="L137" s="21" t="s">
        <v>547</v>
      </c>
      <c r="M137" s="21" t="s">
        <v>85</v>
      </c>
      <c r="N137" s="21" t="s">
        <v>294</v>
      </c>
      <c r="P137" t="str">
        <f t="shared" si="8"/>
        <v>USDC</v>
      </c>
      <c r="Q137">
        <f t="shared" si="9"/>
        <v>1.0000721496273981</v>
      </c>
      <c r="R137">
        <v>1208.73</v>
      </c>
      <c r="S137">
        <f t="shared" si="10"/>
        <v>14516557256.051361</v>
      </c>
      <c r="T137" t="str">
        <f t="shared" si="11"/>
        <v xml:space="preserve">'USDC', </v>
      </c>
      <c r="AJ137" s="27" t="s">
        <v>85</v>
      </c>
      <c r="AK137" s="44">
        <v>3.0861679999999999E-2</v>
      </c>
      <c r="AL137">
        <v>0.13570357319882612</v>
      </c>
      <c r="AN137" t="s">
        <v>186</v>
      </c>
      <c r="AO137" t="s">
        <v>159</v>
      </c>
      <c r="AP137">
        <v>0.82786806999999996</v>
      </c>
      <c r="AR137" s="4" t="s">
        <v>361</v>
      </c>
      <c r="AS137" s="42">
        <v>3281.8687999200001</v>
      </c>
    </row>
    <row r="138" spans="1:45" x14ac:dyDescent="0.25">
      <c r="A138">
        <v>136</v>
      </c>
      <c r="B138" t="s">
        <v>33</v>
      </c>
      <c r="C138" s="1">
        <v>15672.084394</v>
      </c>
      <c r="E138" t="s">
        <v>92</v>
      </c>
      <c r="F138">
        <v>0</v>
      </c>
      <c r="G138" s="22">
        <v>20230112</v>
      </c>
      <c r="H138" s="56">
        <v>44939.000000196756</v>
      </c>
      <c r="I138">
        <v>15673.2151290496</v>
      </c>
      <c r="K138" s="21" t="s">
        <v>563</v>
      </c>
      <c r="L138" s="21" t="s">
        <v>564</v>
      </c>
      <c r="M138" s="21" t="s">
        <v>85</v>
      </c>
      <c r="N138" s="21" t="s">
        <v>32</v>
      </c>
      <c r="P138" t="str">
        <f t="shared" si="8"/>
        <v>USDC</v>
      </c>
      <c r="Q138">
        <f t="shared" si="9"/>
        <v>1.0000721496273994</v>
      </c>
      <c r="R138">
        <v>1208.73</v>
      </c>
      <c r="S138">
        <f t="shared" si="10"/>
        <v>18943318.569559619</v>
      </c>
      <c r="T138" t="str">
        <f t="shared" si="11"/>
        <v xml:space="preserve">'USDC', </v>
      </c>
      <c r="AJ138" s="4" t="s">
        <v>15</v>
      </c>
      <c r="AK138" s="44">
        <v>1215.6422834100001</v>
      </c>
      <c r="AL138">
        <v>1485295.103757523</v>
      </c>
      <c r="AN138" t="s">
        <v>186</v>
      </c>
      <c r="AO138" t="s">
        <v>92</v>
      </c>
      <c r="AP138">
        <v>13972.219738</v>
      </c>
      <c r="AR138" s="4" t="s">
        <v>362</v>
      </c>
      <c r="AS138" s="42">
        <v>14.785856219999999</v>
      </c>
    </row>
    <row r="139" spans="1:45" x14ac:dyDescent="0.25">
      <c r="A139">
        <v>137</v>
      </c>
      <c r="B139" t="s">
        <v>111</v>
      </c>
      <c r="C139" s="1">
        <v>1E-8</v>
      </c>
      <c r="D139" t="s">
        <v>72</v>
      </c>
      <c r="E139" t="s">
        <v>84</v>
      </c>
      <c r="F139" t="s">
        <v>565</v>
      </c>
      <c r="G139" s="22">
        <v>20230112</v>
      </c>
      <c r="H139" s="56">
        <v>44939.000003900466</v>
      </c>
      <c r="I139">
        <v>3.2975847474337499E-9</v>
      </c>
      <c r="K139" s="21" t="s">
        <v>566</v>
      </c>
      <c r="L139" s="21" t="s">
        <v>567</v>
      </c>
      <c r="M139" s="21" t="s">
        <v>85</v>
      </c>
      <c r="N139" s="21" t="s">
        <v>112</v>
      </c>
      <c r="P139" t="str">
        <f t="shared" si="8"/>
        <v>ADA</v>
      </c>
      <c r="Q139">
        <f t="shared" si="9"/>
        <v>0.329758474743375</v>
      </c>
      <c r="R139">
        <v>6.2919999999999998</v>
      </c>
      <c r="S139">
        <f t="shared" si="10"/>
        <v>6.2919999999999997E-8</v>
      </c>
      <c r="T139" t="str">
        <f t="shared" si="11"/>
        <v xml:space="preserve">'ADA', </v>
      </c>
      <c r="AJ139" s="27" t="s">
        <v>85</v>
      </c>
      <c r="AK139" s="44">
        <v>1215.6422834100001</v>
      </c>
      <c r="AL139">
        <v>1485295.103757523</v>
      </c>
      <c r="AN139" t="s">
        <v>186</v>
      </c>
      <c r="AO139" t="s">
        <v>92</v>
      </c>
      <c r="AP139">
        <v>21</v>
      </c>
      <c r="AR139" s="4" t="s">
        <v>363</v>
      </c>
      <c r="AS139" s="42">
        <v>0.81765067999999996</v>
      </c>
    </row>
    <row r="140" spans="1:45" x14ac:dyDescent="0.25">
      <c r="A140">
        <v>138</v>
      </c>
      <c r="B140" t="s">
        <v>111</v>
      </c>
      <c r="C140" s="1">
        <v>4.9999999999999998E-8</v>
      </c>
      <c r="D140" t="s">
        <v>72</v>
      </c>
      <c r="E140" t="s">
        <v>20</v>
      </c>
      <c r="F140" t="s">
        <v>565</v>
      </c>
      <c r="G140" s="22">
        <v>20230112</v>
      </c>
      <c r="H140" s="56">
        <v>44939.000003900466</v>
      </c>
      <c r="I140">
        <v>5.9855233068706001E-6</v>
      </c>
      <c r="K140" s="21" t="s">
        <v>568</v>
      </c>
      <c r="L140" s="21" t="s">
        <v>567</v>
      </c>
      <c r="M140" s="21" t="s">
        <v>85</v>
      </c>
      <c r="N140" s="21" t="s">
        <v>112</v>
      </c>
      <c r="P140" t="str">
        <f t="shared" si="8"/>
        <v>BCH</v>
      </c>
      <c r="Q140">
        <f t="shared" si="9"/>
        <v>119.71046613741201</v>
      </c>
      <c r="R140">
        <v>62.35</v>
      </c>
      <c r="S140">
        <f t="shared" si="10"/>
        <v>3.1174999999999998E-6</v>
      </c>
      <c r="T140" t="str">
        <f t="shared" si="11"/>
        <v xml:space="preserve">'BCH', </v>
      </c>
      <c r="AJ140" s="4" t="s">
        <v>302</v>
      </c>
      <c r="AK140" s="44">
        <v>5625.02729593</v>
      </c>
      <c r="AL140">
        <v>0</v>
      </c>
      <c r="AN140" t="s">
        <v>186</v>
      </c>
      <c r="AO140" t="s">
        <v>92</v>
      </c>
      <c r="AP140">
        <v>1006533.600838</v>
      </c>
      <c r="AR140" s="4" t="s">
        <v>364</v>
      </c>
      <c r="AS140" s="42">
        <v>9.1121815000000002</v>
      </c>
    </row>
    <row r="141" spans="1:45" x14ac:dyDescent="0.25">
      <c r="A141">
        <v>139</v>
      </c>
      <c r="B141" t="s">
        <v>111</v>
      </c>
      <c r="C141" s="1">
        <v>0.47315189000000002</v>
      </c>
      <c r="D141" t="s">
        <v>72</v>
      </c>
      <c r="E141" t="s">
        <v>113</v>
      </c>
      <c r="F141" t="s">
        <v>565</v>
      </c>
      <c r="G141" s="22">
        <v>20230112</v>
      </c>
      <c r="H141" s="56">
        <v>44939.000003900466</v>
      </c>
      <c r="I141">
        <v>19.942399223761299</v>
      </c>
      <c r="K141" s="21" t="s">
        <v>569</v>
      </c>
      <c r="L141" s="21" t="s">
        <v>567</v>
      </c>
      <c r="M141" s="21" t="s">
        <v>85</v>
      </c>
      <c r="N141" s="21" t="s">
        <v>112</v>
      </c>
      <c r="P141" t="str">
        <f t="shared" si="8"/>
        <v>BSV</v>
      </c>
      <c r="Q141">
        <f t="shared" si="9"/>
        <v>42.147985974992721</v>
      </c>
      <c r="R141">
        <v>9.1027119999999996E-6</v>
      </c>
      <c r="S141">
        <f t="shared" si="10"/>
        <v>4.30696538692568E-6</v>
      </c>
      <c r="T141" t="str">
        <f t="shared" si="11"/>
        <v xml:space="preserve">'BSV', </v>
      </c>
      <c r="AJ141" s="27" t="s">
        <v>85</v>
      </c>
      <c r="AK141" s="44">
        <v>5625.02729593</v>
      </c>
      <c r="AL141">
        <v>0</v>
      </c>
      <c r="AN141" t="s">
        <v>186</v>
      </c>
      <c r="AO141" t="s">
        <v>92</v>
      </c>
      <c r="AP141">
        <v>60000</v>
      </c>
      <c r="AR141" s="4" t="s">
        <v>43</v>
      </c>
      <c r="AS141" s="42">
        <v>5</v>
      </c>
    </row>
    <row r="142" spans="1:45" x14ac:dyDescent="0.25">
      <c r="A142">
        <v>140</v>
      </c>
      <c r="B142" t="s">
        <v>111</v>
      </c>
      <c r="C142" s="1">
        <v>4.0000000000000001E-8</v>
      </c>
      <c r="D142" t="s">
        <v>72</v>
      </c>
      <c r="E142" t="s">
        <v>14</v>
      </c>
      <c r="F142" t="s">
        <v>565</v>
      </c>
      <c r="G142" s="22">
        <v>20230112</v>
      </c>
      <c r="H142" s="56">
        <v>44939.000003900466</v>
      </c>
      <c r="I142">
        <v>7.5478352221062302E-4</v>
      </c>
      <c r="K142" s="21" t="s">
        <v>570</v>
      </c>
      <c r="L142" s="21" t="s">
        <v>567</v>
      </c>
      <c r="M142" s="21" t="s">
        <v>85</v>
      </c>
      <c r="N142" s="21" t="s">
        <v>112</v>
      </c>
      <c r="P142" t="str">
        <f t="shared" si="8"/>
        <v>BTC</v>
      </c>
      <c r="Q142">
        <f t="shared" si="9"/>
        <v>18869.588055265576</v>
      </c>
      <c r="R142">
        <v>5.0092902000000002E-2</v>
      </c>
      <c r="S142">
        <f t="shared" si="10"/>
        <v>2.0037160800000001E-9</v>
      </c>
      <c r="T142" t="str">
        <f t="shared" si="11"/>
        <v xml:space="preserve">'BTC', </v>
      </c>
      <c r="AJ142" s="4" t="s">
        <v>303</v>
      </c>
      <c r="AK142" s="44">
        <v>5968</v>
      </c>
      <c r="AL142">
        <v>0</v>
      </c>
      <c r="AN142" t="s">
        <v>186</v>
      </c>
      <c r="AO142" t="s">
        <v>327</v>
      </c>
      <c r="AP142">
        <v>35119.677000000003</v>
      </c>
      <c r="AR142" s="4" t="s">
        <v>366</v>
      </c>
      <c r="AS142" s="42">
        <v>0.24234807999999999</v>
      </c>
    </row>
    <row r="143" spans="1:45" x14ac:dyDescent="0.25">
      <c r="A143">
        <v>141</v>
      </c>
      <c r="B143" t="s">
        <v>111</v>
      </c>
      <c r="C143" s="1">
        <v>2.9999999999999997E-8</v>
      </c>
      <c r="D143" t="s">
        <v>72</v>
      </c>
      <c r="E143" t="s">
        <v>23</v>
      </c>
      <c r="F143" t="s">
        <v>565</v>
      </c>
      <c r="G143" s="22">
        <v>20230112</v>
      </c>
      <c r="H143" s="56">
        <v>44939.000003900466</v>
      </c>
      <c r="I143">
        <v>2.9707274304208201E-8</v>
      </c>
      <c r="K143" s="21" t="s">
        <v>571</v>
      </c>
      <c r="L143" s="21" t="s">
        <v>567</v>
      </c>
      <c r="M143" s="21" t="s">
        <v>85</v>
      </c>
      <c r="N143" s="21" t="s">
        <v>112</v>
      </c>
      <c r="P143" t="str">
        <f t="shared" si="8"/>
        <v>EOS</v>
      </c>
      <c r="Q143">
        <f t="shared" si="9"/>
        <v>0.99024247680694011</v>
      </c>
      <c r="R143">
        <v>0.38471588000000001</v>
      </c>
      <c r="S143">
        <f t="shared" si="10"/>
        <v>1.1541476399999999E-8</v>
      </c>
      <c r="T143" t="str">
        <f t="shared" si="11"/>
        <v xml:space="preserve">'EOS', </v>
      </c>
      <c r="AJ143" s="27" t="s">
        <v>85</v>
      </c>
      <c r="AK143" s="44">
        <v>5968</v>
      </c>
      <c r="AL143">
        <v>0</v>
      </c>
      <c r="AN143" t="s">
        <v>186</v>
      </c>
      <c r="AO143" t="s">
        <v>257</v>
      </c>
      <c r="AP143">
        <v>7.9373880867000004</v>
      </c>
      <c r="AR143" s="4" t="s">
        <v>367</v>
      </c>
      <c r="AS143" s="42">
        <v>1E-8</v>
      </c>
    </row>
    <row r="144" spans="1:45" x14ac:dyDescent="0.25">
      <c r="A144">
        <v>142</v>
      </c>
      <c r="B144" t="s">
        <v>111</v>
      </c>
      <c r="C144" s="1">
        <v>1E-8</v>
      </c>
      <c r="D144" t="s">
        <v>72</v>
      </c>
      <c r="E144" t="s">
        <v>29</v>
      </c>
      <c r="F144" t="s">
        <v>565</v>
      </c>
      <c r="G144" s="22">
        <v>20230112</v>
      </c>
      <c r="H144" s="56">
        <v>44939.000003900466</v>
      </c>
      <c r="I144">
        <v>2.0917758217744E-7</v>
      </c>
      <c r="K144" s="21" t="s">
        <v>572</v>
      </c>
      <c r="L144" s="21" t="s">
        <v>567</v>
      </c>
      <c r="M144" s="21" t="s">
        <v>85</v>
      </c>
      <c r="N144" s="21" t="s">
        <v>112</v>
      </c>
      <c r="P144" t="str">
        <f t="shared" si="8"/>
        <v>ETC</v>
      </c>
      <c r="Q144">
        <f t="shared" si="9"/>
        <v>20.917758217743998</v>
      </c>
      <c r="R144">
        <v>2467.3595374173997</v>
      </c>
      <c r="S144">
        <f t="shared" si="10"/>
        <v>2.4673595374173996E-5</v>
      </c>
      <c r="T144" t="str">
        <f t="shared" si="11"/>
        <v xml:space="preserve">'ETC', </v>
      </c>
      <c r="AJ144" s="4" t="s">
        <v>308</v>
      </c>
      <c r="AK144" s="44">
        <v>931.15332089000003</v>
      </c>
      <c r="AL144">
        <v>1106399.083942621</v>
      </c>
      <c r="AN144" t="s">
        <v>186</v>
      </c>
      <c r="AO144" t="s">
        <v>163</v>
      </c>
      <c r="AP144">
        <v>1.0349904999999999</v>
      </c>
      <c r="AR144" s="4" t="s">
        <v>27</v>
      </c>
      <c r="AS144" s="42">
        <v>21654.830551119598</v>
      </c>
    </row>
    <row r="145" spans="1:45" x14ac:dyDescent="0.25">
      <c r="A145">
        <v>143</v>
      </c>
      <c r="B145" t="s">
        <v>111</v>
      </c>
      <c r="C145" s="1">
        <v>2.9999999999999997E-8</v>
      </c>
      <c r="D145" t="s">
        <v>72</v>
      </c>
      <c r="E145" t="s">
        <v>15</v>
      </c>
      <c r="F145" t="s">
        <v>565</v>
      </c>
      <c r="G145" s="22">
        <v>20230112</v>
      </c>
      <c r="H145" s="56">
        <v>44939.000003900466</v>
      </c>
      <c r="I145">
        <v>4.2538155693336497E-5</v>
      </c>
      <c r="K145" s="21" t="s">
        <v>573</v>
      </c>
      <c r="L145" s="21" t="s">
        <v>567</v>
      </c>
      <c r="M145" s="21" t="s">
        <v>85</v>
      </c>
      <c r="N145" s="21" t="s">
        <v>112</v>
      </c>
      <c r="P145" t="str">
        <f t="shared" si="8"/>
        <v>ETH</v>
      </c>
      <c r="Q145">
        <f t="shared" si="9"/>
        <v>1417.9385231112167</v>
      </c>
      <c r="R145">
        <v>0.9994019011090044</v>
      </c>
      <c r="S145">
        <f t="shared" si="10"/>
        <v>2.9982057033270129E-8</v>
      </c>
      <c r="T145" t="str">
        <f t="shared" si="11"/>
        <v xml:space="preserve">'ETH', </v>
      </c>
      <c r="AJ145" s="27" t="s">
        <v>85</v>
      </c>
      <c r="AK145" s="44">
        <v>931.15332089000003</v>
      </c>
      <c r="AL145">
        <v>1106399.083942621</v>
      </c>
      <c r="AN145" t="s">
        <v>186</v>
      </c>
      <c r="AO145" t="s">
        <v>163</v>
      </c>
      <c r="AP145">
        <v>1</v>
      </c>
      <c r="AR145" s="4" t="s">
        <v>369</v>
      </c>
      <c r="AS145" s="42">
        <v>4.3289484800000002</v>
      </c>
    </row>
    <row r="146" spans="1:45" x14ac:dyDescent="0.25">
      <c r="A146">
        <v>144</v>
      </c>
      <c r="B146" t="s">
        <v>111</v>
      </c>
      <c r="C146" s="1">
        <v>1E-8</v>
      </c>
      <c r="D146" t="s">
        <v>72</v>
      </c>
      <c r="E146" t="s">
        <v>24</v>
      </c>
      <c r="F146" t="s">
        <v>565</v>
      </c>
      <c r="G146" s="22">
        <v>20230112</v>
      </c>
      <c r="H146" s="56">
        <v>44939.000003900466</v>
      </c>
      <c r="I146">
        <v>8.5964229450756099E-7</v>
      </c>
      <c r="K146" s="21" t="s">
        <v>574</v>
      </c>
      <c r="L146" s="21" t="s">
        <v>567</v>
      </c>
      <c r="M146" s="21" t="s">
        <v>85</v>
      </c>
      <c r="N146" s="21" t="s">
        <v>112</v>
      </c>
      <c r="P146" t="str">
        <f t="shared" si="8"/>
        <v>LTC</v>
      </c>
      <c r="Q146">
        <f t="shared" si="9"/>
        <v>85.964229450756093</v>
      </c>
      <c r="R146">
        <v>0.99940190110900451</v>
      </c>
      <c r="S146">
        <f t="shared" si="10"/>
        <v>9.9940190110900447E-9</v>
      </c>
      <c r="T146" t="str">
        <f t="shared" si="11"/>
        <v xml:space="preserve">'LTC', </v>
      </c>
      <c r="AJ146" s="4" t="s">
        <v>92</v>
      </c>
      <c r="AK146" s="44">
        <v>1092529.0834579999</v>
      </c>
      <c r="AL146">
        <v>1092678.0388749989</v>
      </c>
      <c r="AN146" t="s">
        <v>186</v>
      </c>
      <c r="AO146" t="s">
        <v>99</v>
      </c>
      <c r="AP146">
        <v>10</v>
      </c>
      <c r="AR146" s="4" t="s">
        <v>24</v>
      </c>
      <c r="AS146" s="42">
        <v>5537.0213730553005</v>
      </c>
    </row>
    <row r="147" spans="1:45" x14ac:dyDescent="0.25">
      <c r="A147">
        <v>145</v>
      </c>
      <c r="B147" t="s">
        <v>111</v>
      </c>
      <c r="C147" s="1">
        <v>1E-8</v>
      </c>
      <c r="D147" t="s">
        <v>72</v>
      </c>
      <c r="E147" t="s">
        <v>25</v>
      </c>
      <c r="F147" t="s">
        <v>565</v>
      </c>
      <c r="G147" s="22">
        <v>20230112</v>
      </c>
      <c r="H147" s="56">
        <v>44939.000003900466</v>
      </c>
      <c r="I147">
        <v>5.7111199630631599E-10</v>
      </c>
      <c r="K147" s="21" t="s">
        <v>575</v>
      </c>
      <c r="L147" s="21" t="s">
        <v>567</v>
      </c>
      <c r="M147" s="21" t="s">
        <v>85</v>
      </c>
      <c r="N147" s="21" t="s">
        <v>112</v>
      </c>
      <c r="P147" t="str">
        <f t="shared" si="8"/>
        <v>TRX</v>
      </c>
      <c r="Q147">
        <f t="shared" si="9"/>
        <v>5.7111199630631597E-2</v>
      </c>
      <c r="R147">
        <v>16719.740000000002</v>
      </c>
      <c r="S147">
        <f t="shared" si="10"/>
        <v>1.6719740000000001E-4</v>
      </c>
      <c r="T147" t="str">
        <f t="shared" si="11"/>
        <v xml:space="preserve">'TRX', </v>
      </c>
      <c r="AJ147" s="27" t="s">
        <v>85</v>
      </c>
      <c r="AK147" s="44">
        <v>1092529.0834579999</v>
      </c>
      <c r="AL147">
        <v>1092678.0388749989</v>
      </c>
      <c r="AN147" t="s">
        <v>186</v>
      </c>
      <c r="AO147" t="s">
        <v>99</v>
      </c>
      <c r="AP147">
        <v>183.58995200000001</v>
      </c>
      <c r="AR147" s="4" t="s">
        <v>371</v>
      </c>
      <c r="AS147" s="42">
        <v>0.66495972999999997</v>
      </c>
    </row>
    <row r="148" spans="1:45" x14ac:dyDescent="0.25">
      <c r="A148">
        <v>146</v>
      </c>
      <c r="B148" t="s">
        <v>111</v>
      </c>
      <c r="C148" s="1">
        <v>9.9999999999999995E-8</v>
      </c>
      <c r="D148" t="s">
        <v>72</v>
      </c>
      <c r="E148" t="s">
        <v>99</v>
      </c>
      <c r="F148" t="s">
        <v>565</v>
      </c>
      <c r="G148" s="22">
        <v>20230112</v>
      </c>
      <c r="H148" s="56">
        <v>44939.000003900466</v>
      </c>
      <c r="I148">
        <v>3.7519714224190102E-8</v>
      </c>
      <c r="K148" s="21" t="s">
        <v>576</v>
      </c>
      <c r="L148" s="21" t="s">
        <v>567</v>
      </c>
      <c r="M148" s="21" t="s">
        <v>85</v>
      </c>
      <c r="N148" s="21" t="s">
        <v>112</v>
      </c>
      <c r="P148" t="str">
        <f t="shared" si="8"/>
        <v>XRP</v>
      </c>
      <c r="Q148">
        <f t="shared" si="9"/>
        <v>0.37519714224190104</v>
      </c>
      <c r="R148">
        <v>0.99940190110900462</v>
      </c>
      <c r="S148">
        <f t="shared" si="10"/>
        <v>9.9940190110900457E-8</v>
      </c>
      <c r="T148" t="str">
        <f t="shared" si="11"/>
        <v xml:space="preserve">'XRP', </v>
      </c>
      <c r="AJ148" s="4" t="s">
        <v>257</v>
      </c>
      <c r="AK148" s="44">
        <v>47.937388089999999</v>
      </c>
      <c r="AL148">
        <v>58522.658123711968</v>
      </c>
      <c r="AN148" t="s">
        <v>186</v>
      </c>
      <c r="AO148" t="s">
        <v>99</v>
      </c>
      <c r="AP148">
        <v>20</v>
      </c>
      <c r="AR148" s="4" t="s">
        <v>192</v>
      </c>
      <c r="AS148" s="42">
        <v>0.34</v>
      </c>
    </row>
    <row r="149" spans="1:45" x14ac:dyDescent="0.25">
      <c r="A149">
        <v>147</v>
      </c>
      <c r="B149" t="s">
        <v>40</v>
      </c>
      <c r="C149" s="1">
        <v>5.7406599999999999E-3</v>
      </c>
      <c r="D149" t="s">
        <v>72</v>
      </c>
      <c r="E149" t="s">
        <v>84</v>
      </c>
      <c r="F149" t="s">
        <v>577</v>
      </c>
      <c r="G149" s="22">
        <v>20230112</v>
      </c>
      <c r="H149" s="56">
        <v>44939.000004780093</v>
      </c>
      <c r="I149">
        <v>1.8930312856203001E-3</v>
      </c>
      <c r="K149" s="21" t="s">
        <v>566</v>
      </c>
      <c r="L149" s="21" t="s">
        <v>567</v>
      </c>
      <c r="M149" s="21" t="s">
        <v>85</v>
      </c>
      <c r="N149" s="21" t="s">
        <v>112</v>
      </c>
      <c r="P149" t="str">
        <f t="shared" si="8"/>
        <v>ADA</v>
      </c>
      <c r="Q149">
        <f t="shared" si="9"/>
        <v>0.3297584747433745</v>
      </c>
      <c r="R149">
        <v>5.896471216543126E-4</v>
      </c>
      <c r="S149">
        <f t="shared" si="10"/>
        <v>3.3849636453960463E-6</v>
      </c>
      <c r="T149" t="str">
        <f t="shared" si="11"/>
        <v xml:space="preserve">'ADA', </v>
      </c>
      <c r="AJ149" s="27" t="s">
        <v>85</v>
      </c>
      <c r="AK149" s="44">
        <v>47.937388089999999</v>
      </c>
      <c r="AL149">
        <v>58522.658123711968</v>
      </c>
      <c r="AN149" t="s">
        <v>186</v>
      </c>
      <c r="AO149" t="s">
        <v>99</v>
      </c>
      <c r="AP149">
        <v>19.999987999999998</v>
      </c>
      <c r="AR149" s="4" t="s">
        <v>373</v>
      </c>
      <c r="AS149" s="42">
        <v>0.89105878000000005</v>
      </c>
    </row>
    <row r="150" spans="1:45" x14ac:dyDescent="0.25">
      <c r="A150">
        <v>148</v>
      </c>
      <c r="B150" t="s">
        <v>40</v>
      </c>
      <c r="C150" s="1">
        <v>0.72885027999999996</v>
      </c>
      <c r="D150" t="s">
        <v>72</v>
      </c>
      <c r="E150" t="s">
        <v>20</v>
      </c>
      <c r="F150" t="s">
        <v>577</v>
      </c>
      <c r="G150" s="22">
        <v>20230112</v>
      </c>
      <c r="H150" s="56">
        <v>44939.000004780093</v>
      </c>
      <c r="I150">
        <v>87.251006763183298</v>
      </c>
      <c r="K150" s="21" t="s">
        <v>568</v>
      </c>
      <c r="L150" s="21" t="s">
        <v>567</v>
      </c>
      <c r="M150" s="21" t="s">
        <v>85</v>
      </c>
      <c r="N150" s="21" t="s">
        <v>112</v>
      </c>
      <c r="P150" t="str">
        <f t="shared" si="8"/>
        <v>BCH</v>
      </c>
      <c r="Q150">
        <f t="shared" si="9"/>
        <v>119.71046613741207</v>
      </c>
      <c r="R150">
        <v>0.32653653999999999</v>
      </c>
      <c r="S150">
        <f t="shared" si="10"/>
        <v>0.23799624860923119</v>
      </c>
      <c r="T150" t="str">
        <f t="shared" si="11"/>
        <v xml:space="preserve">'BCH', </v>
      </c>
      <c r="AJ150" s="3" t="s">
        <v>32</v>
      </c>
      <c r="AK150" s="44">
        <v>174960.64689599999</v>
      </c>
      <c r="AL150">
        <v>174984.50103087971</v>
      </c>
      <c r="AN150" t="s">
        <v>186</v>
      </c>
      <c r="AO150" t="s">
        <v>99</v>
      </c>
      <c r="AP150">
        <v>20.099976000000002</v>
      </c>
      <c r="AR150" s="4" t="s">
        <v>374</v>
      </c>
      <c r="AS150" s="42">
        <v>40.704174029999997</v>
      </c>
    </row>
    <row r="151" spans="1:45" x14ac:dyDescent="0.25">
      <c r="A151">
        <v>149</v>
      </c>
      <c r="B151" t="s">
        <v>40</v>
      </c>
      <c r="C151" s="1">
        <v>0.11285791000000001</v>
      </c>
      <c r="D151" t="s">
        <v>72</v>
      </c>
      <c r="E151" t="s">
        <v>113</v>
      </c>
      <c r="F151" t="s">
        <v>577</v>
      </c>
      <c r="G151" s="22">
        <v>20230112</v>
      </c>
      <c r="H151" s="56">
        <v>44939.000004780093</v>
      </c>
      <c r="I151">
        <v>4.7567336078469902</v>
      </c>
      <c r="K151" s="21" t="s">
        <v>569</v>
      </c>
      <c r="L151" s="21" t="s">
        <v>567</v>
      </c>
      <c r="M151" s="21" t="s">
        <v>85</v>
      </c>
      <c r="N151" s="21" t="s">
        <v>112</v>
      </c>
      <c r="P151" t="str">
        <f t="shared" si="8"/>
        <v>BSV</v>
      </c>
      <c r="Q151">
        <f t="shared" si="9"/>
        <v>42.147985974992714</v>
      </c>
      <c r="R151">
        <v>0.26910000000000001</v>
      </c>
      <c r="S151">
        <f t="shared" si="10"/>
        <v>3.0370063581000001E-2</v>
      </c>
      <c r="T151" t="str">
        <f t="shared" si="11"/>
        <v xml:space="preserve">'BSV', </v>
      </c>
      <c r="AJ151" s="4" t="s">
        <v>92</v>
      </c>
      <c r="AK151" s="44">
        <v>174960.64689599999</v>
      </c>
      <c r="AL151">
        <v>174984.50103087971</v>
      </c>
      <c r="AN151" t="s">
        <v>186</v>
      </c>
      <c r="AO151" t="s">
        <v>171</v>
      </c>
      <c r="AP151">
        <v>7.66849E-3</v>
      </c>
      <c r="AR151" s="4" t="s">
        <v>375</v>
      </c>
      <c r="AS151" s="42">
        <v>3013993111.0959401</v>
      </c>
    </row>
    <row r="152" spans="1:45" x14ac:dyDescent="0.25">
      <c r="A152">
        <v>150</v>
      </c>
      <c r="B152" t="s">
        <v>40</v>
      </c>
      <c r="C152" s="1">
        <v>5.1900000000000003E-6</v>
      </c>
      <c r="D152" t="s">
        <v>72</v>
      </c>
      <c r="E152" t="s">
        <v>14</v>
      </c>
      <c r="F152" t="s">
        <v>577</v>
      </c>
      <c r="G152" s="22">
        <v>20230112</v>
      </c>
      <c r="H152" s="56">
        <v>44939.000004780093</v>
      </c>
      <c r="I152">
        <v>9.7933162006828306E-2</v>
      </c>
      <c r="K152" s="21" t="s">
        <v>570</v>
      </c>
      <c r="L152" s="21" t="s">
        <v>567</v>
      </c>
      <c r="M152" s="21" t="s">
        <v>85</v>
      </c>
      <c r="N152" s="21" t="s">
        <v>112</v>
      </c>
      <c r="P152" t="str">
        <f t="shared" si="8"/>
        <v>BTC</v>
      </c>
      <c r="Q152">
        <f t="shared" si="9"/>
        <v>18869.588055265569</v>
      </c>
      <c r="R152">
        <v>2.6713635478310818E-2</v>
      </c>
      <c r="S152">
        <f t="shared" si="10"/>
        <v>1.3864376813243314E-7</v>
      </c>
      <c r="T152" t="str">
        <f t="shared" si="11"/>
        <v xml:space="preserve">'BTC', </v>
      </c>
      <c r="AJ152" s="27" t="s">
        <v>85</v>
      </c>
      <c r="AK152" s="44">
        <v>174960.64689599999</v>
      </c>
      <c r="AL152">
        <v>174984.50103087971</v>
      </c>
      <c r="AN152" t="s">
        <v>215</v>
      </c>
      <c r="AO152" t="s">
        <v>84</v>
      </c>
      <c r="AP152" s="29">
        <v>9.6999999999999992E-9</v>
      </c>
      <c r="AR152" s="4" t="s">
        <v>376</v>
      </c>
      <c r="AS152" s="42">
        <v>4.3068300000000002E-3</v>
      </c>
    </row>
    <row r="153" spans="1:45" x14ac:dyDescent="0.25">
      <c r="A153">
        <v>151</v>
      </c>
      <c r="B153" t="s">
        <v>40</v>
      </c>
      <c r="C153" s="1">
        <v>0.97764076</v>
      </c>
      <c r="D153" t="s">
        <v>72</v>
      </c>
      <c r="E153" t="s">
        <v>22</v>
      </c>
      <c r="F153" t="s">
        <v>577</v>
      </c>
      <c r="G153" s="22">
        <v>20230112</v>
      </c>
      <c r="H153" s="56">
        <v>44939.000004780093</v>
      </c>
      <c r="I153">
        <v>5.1125507867595497</v>
      </c>
      <c r="K153" s="21" t="s">
        <v>578</v>
      </c>
      <c r="L153" s="21" t="s">
        <v>567</v>
      </c>
      <c r="M153" s="21" t="s">
        <v>85</v>
      </c>
      <c r="N153" s="21" t="s">
        <v>112</v>
      </c>
      <c r="P153" t="str">
        <f t="shared" si="8"/>
        <v>DOT</v>
      </c>
      <c r="Q153">
        <f t="shared" si="9"/>
        <v>5.2294779390740107</v>
      </c>
      <c r="R153">
        <v>9.9934670000000008</v>
      </c>
      <c r="S153">
        <f t="shared" si="10"/>
        <v>9.7700206729149208</v>
      </c>
      <c r="T153" t="str">
        <f t="shared" si="11"/>
        <v xml:space="preserve">'DOT', </v>
      </c>
      <c r="AJ153" s="3" t="s">
        <v>265</v>
      </c>
      <c r="AK153" s="44">
        <v>39244603.490000002</v>
      </c>
      <c r="AL153">
        <v>39244603.490000002</v>
      </c>
      <c r="AN153" t="s">
        <v>215</v>
      </c>
      <c r="AO153" t="s">
        <v>84</v>
      </c>
      <c r="AP153">
        <v>5.7406593000000001E-3</v>
      </c>
      <c r="AR153" s="4" t="s">
        <v>150</v>
      </c>
      <c r="AS153" s="42">
        <v>162254.56419957001</v>
      </c>
    </row>
    <row r="154" spans="1:45" x14ac:dyDescent="0.25">
      <c r="A154">
        <v>152</v>
      </c>
      <c r="B154" t="s">
        <v>40</v>
      </c>
      <c r="C154" s="1">
        <v>3.7085149999999997E-2</v>
      </c>
      <c r="D154" t="s">
        <v>72</v>
      </c>
      <c r="E154" t="s">
        <v>23</v>
      </c>
      <c r="F154" t="s">
        <v>577</v>
      </c>
      <c r="G154" s="22">
        <v>20230112</v>
      </c>
      <c r="H154" s="56">
        <v>44939.000004780093</v>
      </c>
      <c r="I154">
        <v>3.6723290788756899E-2</v>
      </c>
      <c r="K154" s="21" t="s">
        <v>571</v>
      </c>
      <c r="L154" s="21" t="s">
        <v>567</v>
      </c>
      <c r="M154" s="21" t="s">
        <v>85</v>
      </c>
      <c r="N154" s="21" t="s">
        <v>112</v>
      </c>
      <c r="P154" t="str">
        <f t="shared" si="8"/>
        <v>EOS</v>
      </c>
      <c r="Q154">
        <f t="shared" si="9"/>
        <v>0.99024247680694033</v>
      </c>
      <c r="R154">
        <v>13.03</v>
      </c>
      <c r="S154">
        <f t="shared" si="10"/>
        <v>0.48321950449999995</v>
      </c>
      <c r="T154" t="str">
        <f t="shared" si="11"/>
        <v xml:space="preserve">'EOS', </v>
      </c>
      <c r="AJ154" s="4" t="s">
        <v>95</v>
      </c>
      <c r="AK154" s="44">
        <v>39244603.490000002</v>
      </c>
      <c r="AL154">
        <v>39244603.490000002</v>
      </c>
      <c r="AN154" t="s">
        <v>215</v>
      </c>
      <c r="AO154" t="s">
        <v>20</v>
      </c>
      <c r="AP154">
        <v>0.72885028029999999</v>
      </c>
      <c r="AR154" s="4" t="s">
        <v>378</v>
      </c>
      <c r="AS154" s="42">
        <v>0.34782034000000001</v>
      </c>
    </row>
    <row r="155" spans="1:45" x14ac:dyDescent="0.25">
      <c r="A155">
        <v>153</v>
      </c>
      <c r="B155" t="s">
        <v>40</v>
      </c>
      <c r="C155" s="1">
        <v>0.70701212999999996</v>
      </c>
      <c r="D155" t="s">
        <v>72</v>
      </c>
      <c r="E155" t="s">
        <v>29</v>
      </c>
      <c r="F155" t="s">
        <v>577</v>
      </c>
      <c r="G155" s="22">
        <v>20230112</v>
      </c>
      <c r="H155" s="56">
        <v>44939.000004780093</v>
      </c>
      <c r="I155">
        <v>14.7891087923522</v>
      </c>
      <c r="K155" s="21" t="s">
        <v>572</v>
      </c>
      <c r="L155" s="21" t="s">
        <v>567</v>
      </c>
      <c r="M155" s="21" t="s">
        <v>85</v>
      </c>
      <c r="N155" s="21" t="s">
        <v>112</v>
      </c>
      <c r="P155" t="str">
        <f t="shared" si="8"/>
        <v>ETC</v>
      </c>
      <c r="Q155">
        <f t="shared" si="9"/>
        <v>20.917758217744016</v>
      </c>
      <c r="R155">
        <v>0.22422048</v>
      </c>
      <c r="S155">
        <f t="shared" si="10"/>
        <v>0.15852659915442238</v>
      </c>
      <c r="T155" t="str">
        <f t="shared" si="11"/>
        <v xml:space="preserve">'ETC', </v>
      </c>
      <c r="AJ155" s="27" t="s">
        <v>309</v>
      </c>
      <c r="AK155" s="44">
        <v>39244603.490000002</v>
      </c>
      <c r="AL155">
        <v>39244603.490000002</v>
      </c>
      <c r="AN155" t="s">
        <v>215</v>
      </c>
      <c r="AO155" t="s">
        <v>20</v>
      </c>
      <c r="AP155" s="29">
        <v>5.02E-8</v>
      </c>
      <c r="AR155" s="4" t="s">
        <v>89</v>
      </c>
      <c r="AS155" s="42">
        <v>956716.34132199001</v>
      </c>
    </row>
    <row r="156" spans="1:45" x14ac:dyDescent="0.25">
      <c r="A156">
        <v>154</v>
      </c>
      <c r="B156" t="s">
        <v>40</v>
      </c>
      <c r="C156" s="1">
        <v>9.5337999999999998E-4</v>
      </c>
      <c r="D156" t="s">
        <v>72</v>
      </c>
      <c r="E156" t="s">
        <v>15</v>
      </c>
      <c r="F156" t="s">
        <v>577</v>
      </c>
      <c r="G156" s="22">
        <v>20230112</v>
      </c>
      <c r="H156" s="56">
        <v>44939.000004780093</v>
      </c>
      <c r="I156">
        <v>1.3518342291637699</v>
      </c>
      <c r="K156" s="21" t="s">
        <v>573</v>
      </c>
      <c r="L156" s="21" t="s">
        <v>567</v>
      </c>
      <c r="M156" s="21" t="s">
        <v>85</v>
      </c>
      <c r="N156" s="21" t="s">
        <v>112</v>
      </c>
      <c r="P156" t="str">
        <f t="shared" si="8"/>
        <v>ETH</v>
      </c>
      <c r="Q156">
        <f t="shared" si="9"/>
        <v>1417.9385231112149</v>
      </c>
      <c r="R156">
        <v>103.98</v>
      </c>
      <c r="S156">
        <f t="shared" si="10"/>
        <v>9.9132452400000001E-2</v>
      </c>
      <c r="T156" t="str">
        <f t="shared" si="11"/>
        <v xml:space="preserve">'ETH', </v>
      </c>
      <c r="AJ156" s="3" t="s">
        <v>186</v>
      </c>
      <c r="AK156" s="44">
        <v>5137700.5682828585</v>
      </c>
      <c r="AL156">
        <v>13414995.344821684</v>
      </c>
      <c r="AN156" t="s">
        <v>215</v>
      </c>
      <c r="AO156" t="s">
        <v>113</v>
      </c>
      <c r="AP156">
        <v>0.11285791119999999</v>
      </c>
      <c r="AR156" s="4" t="s">
        <v>380</v>
      </c>
      <c r="AS156" s="42">
        <v>3.0962099999999998E-3</v>
      </c>
    </row>
    <row r="157" spans="1:45" x14ac:dyDescent="0.25">
      <c r="A157">
        <v>155</v>
      </c>
      <c r="B157" t="s">
        <v>40</v>
      </c>
      <c r="C157" s="1">
        <v>6.244243E-2</v>
      </c>
      <c r="D157" t="s">
        <v>72</v>
      </c>
      <c r="E157" t="s">
        <v>27</v>
      </c>
      <c r="F157" t="s">
        <v>577</v>
      </c>
      <c r="G157" s="22">
        <v>20230112</v>
      </c>
      <c r="H157" s="56">
        <v>44939.000004780093</v>
      </c>
      <c r="I157">
        <v>0.39846584876989299</v>
      </c>
      <c r="K157" s="21" t="s">
        <v>579</v>
      </c>
      <c r="L157" s="21" t="s">
        <v>567</v>
      </c>
      <c r="M157" s="21" t="s">
        <v>85</v>
      </c>
      <c r="N157" s="21" t="s">
        <v>112</v>
      </c>
      <c r="P157" t="str">
        <f t="shared" si="8"/>
        <v>LINK</v>
      </c>
      <c r="Q157">
        <f t="shared" si="9"/>
        <v>6.3813315524378691</v>
      </c>
      <c r="R157">
        <v>8.9764533631645035E-2</v>
      </c>
      <c r="S157">
        <f t="shared" si="10"/>
        <v>5.6051156077766406E-3</v>
      </c>
      <c r="T157" t="str">
        <f t="shared" si="11"/>
        <v xml:space="preserve">'LINK', </v>
      </c>
      <c r="AJ157" s="4" t="s">
        <v>187</v>
      </c>
      <c r="AK157" s="44">
        <v>4.0782600000000002E-3</v>
      </c>
      <c r="AL157">
        <v>5.3229532250203708E-2</v>
      </c>
      <c r="AN157" t="s">
        <v>215</v>
      </c>
      <c r="AO157" t="s">
        <v>113</v>
      </c>
      <c r="AP157">
        <v>0.47315189390000001</v>
      </c>
      <c r="AR157" s="4" t="s">
        <v>381</v>
      </c>
      <c r="AS157" s="42">
        <v>2.6598900000000002E-2</v>
      </c>
    </row>
    <row r="158" spans="1:45" x14ac:dyDescent="0.25">
      <c r="A158">
        <v>156</v>
      </c>
      <c r="B158" t="s">
        <v>40</v>
      </c>
      <c r="C158" s="1">
        <v>7.1564416099999999</v>
      </c>
      <c r="D158" t="s">
        <v>72</v>
      </c>
      <c r="E158" t="s">
        <v>24</v>
      </c>
      <c r="F158" t="s">
        <v>577</v>
      </c>
      <c r="G158" s="22">
        <v>20230112</v>
      </c>
      <c r="H158" s="56">
        <v>44939.000004780093</v>
      </c>
      <c r="I158">
        <v>615.19798861297795</v>
      </c>
      <c r="K158" s="21" t="s">
        <v>574</v>
      </c>
      <c r="L158" s="21" t="s">
        <v>567</v>
      </c>
      <c r="M158" s="21" t="s">
        <v>85</v>
      </c>
      <c r="N158" s="21" t="s">
        <v>112</v>
      </c>
      <c r="P158" t="str">
        <f t="shared" si="8"/>
        <v>LTC</v>
      </c>
      <c r="Q158">
        <f t="shared" si="9"/>
        <v>85.964229450756036</v>
      </c>
      <c r="R158">
        <v>5.7424658299678653E-2</v>
      </c>
      <c r="S158">
        <f t="shared" si="10"/>
        <v>0.41095621409585215</v>
      </c>
      <c r="T158" t="str">
        <f t="shared" si="11"/>
        <v xml:space="preserve">'LTC', </v>
      </c>
      <c r="AJ158" s="27" t="s">
        <v>85</v>
      </c>
      <c r="AK158" s="44">
        <v>4.0782600000000002E-3</v>
      </c>
      <c r="AL158">
        <v>5.3229532250203708E-2</v>
      </c>
      <c r="AN158" t="s">
        <v>215</v>
      </c>
      <c r="AO158" t="s">
        <v>14</v>
      </c>
      <c r="AP158">
        <v>473.54122320379997</v>
      </c>
      <c r="AR158" s="4" t="s">
        <v>98</v>
      </c>
      <c r="AS158" s="42">
        <v>1214222.2371159999</v>
      </c>
    </row>
    <row r="159" spans="1:45" x14ac:dyDescent="0.25">
      <c r="A159">
        <v>157</v>
      </c>
      <c r="B159" t="s">
        <v>40</v>
      </c>
      <c r="C159" s="1">
        <v>0.95766242000000001</v>
      </c>
      <c r="D159" t="s">
        <v>72</v>
      </c>
      <c r="E159" t="s">
        <v>25</v>
      </c>
      <c r="F159" t="s">
        <v>577</v>
      </c>
      <c r="G159" s="22">
        <v>20230112</v>
      </c>
      <c r="H159" s="56">
        <v>44939.000004780093</v>
      </c>
      <c r="I159">
        <v>5.46932496473738E-2</v>
      </c>
      <c r="K159" s="21" t="s">
        <v>575</v>
      </c>
      <c r="L159" s="21" t="s">
        <v>567</v>
      </c>
      <c r="M159" s="21" t="s">
        <v>85</v>
      </c>
      <c r="N159" s="21" t="s">
        <v>112</v>
      </c>
      <c r="P159" t="str">
        <f t="shared" si="8"/>
        <v>TRX</v>
      </c>
      <c r="Q159">
        <f t="shared" si="9"/>
        <v>5.7111199630631639E-2</v>
      </c>
      <c r="R159">
        <v>0.19321272626368072</v>
      </c>
      <c r="S159">
        <f t="shared" si="10"/>
        <v>0.18503256700847404</v>
      </c>
      <c r="T159" t="str">
        <f t="shared" si="11"/>
        <v xml:space="preserve">'TRX', </v>
      </c>
      <c r="AJ159" s="4" t="s">
        <v>14</v>
      </c>
      <c r="AK159" s="44">
        <v>7.9466503799999986</v>
      </c>
      <c r="AL159">
        <v>129954.4798906764</v>
      </c>
      <c r="AN159" t="s">
        <v>215</v>
      </c>
      <c r="AO159" t="s">
        <v>14</v>
      </c>
      <c r="AP159" s="29">
        <v>3.8600000000000002E-8</v>
      </c>
      <c r="AR159" s="4" t="s">
        <v>37</v>
      </c>
      <c r="AS159" s="42">
        <v>4741464068.5576315</v>
      </c>
    </row>
    <row r="160" spans="1:45" x14ac:dyDescent="0.25">
      <c r="A160">
        <v>158</v>
      </c>
      <c r="B160" t="s">
        <v>40</v>
      </c>
      <c r="C160" s="1">
        <v>0.54364484000000002</v>
      </c>
      <c r="D160" t="s">
        <v>72</v>
      </c>
      <c r="E160" t="s">
        <v>99</v>
      </c>
      <c r="F160" t="s">
        <v>577</v>
      </c>
      <c r="G160" s="22">
        <v>20230112</v>
      </c>
      <c r="H160" s="56">
        <v>44939.000004780093</v>
      </c>
      <c r="I160">
        <v>0.20397399036255501</v>
      </c>
      <c r="K160" s="21" t="s">
        <v>576</v>
      </c>
      <c r="L160" s="21" t="s">
        <v>567</v>
      </c>
      <c r="M160" s="21" t="s">
        <v>85</v>
      </c>
      <c r="N160" s="21" t="s">
        <v>112</v>
      </c>
      <c r="P160" t="str">
        <f t="shared" si="8"/>
        <v>XRP</v>
      </c>
      <c r="Q160">
        <f t="shared" si="9"/>
        <v>0.37519714224190004</v>
      </c>
      <c r="R160">
        <v>39.841106000000003</v>
      </c>
      <c r="S160">
        <f t="shared" si="10"/>
        <v>21.659411696793043</v>
      </c>
      <c r="T160" t="str">
        <f t="shared" si="11"/>
        <v xml:space="preserve">'XRP', </v>
      </c>
      <c r="AJ160" s="27" t="s">
        <v>85</v>
      </c>
      <c r="AK160" s="44">
        <v>7.9466503799999986</v>
      </c>
      <c r="AL160">
        <v>129954.4798906764</v>
      </c>
      <c r="AN160" t="s">
        <v>215</v>
      </c>
      <c r="AO160" t="s">
        <v>22</v>
      </c>
      <c r="AP160">
        <v>0.97764076359999996</v>
      </c>
      <c r="AR160" s="4" t="s">
        <v>154</v>
      </c>
      <c r="AS160" s="42">
        <v>0.14106867000000001</v>
      </c>
    </row>
    <row r="161" spans="1:45" x14ac:dyDescent="0.25">
      <c r="A161">
        <v>159</v>
      </c>
      <c r="B161" t="s">
        <v>440</v>
      </c>
      <c r="C161" s="1">
        <v>9.9829999999999998E-5</v>
      </c>
      <c r="E161" t="s">
        <v>14</v>
      </c>
      <c r="F161">
        <v>0</v>
      </c>
      <c r="G161" s="22">
        <v>20230112</v>
      </c>
      <c r="H161" s="56">
        <v>44939.00000104167</v>
      </c>
      <c r="I161">
        <v>1.88375097555716</v>
      </c>
      <c r="K161" s="21" t="s">
        <v>580</v>
      </c>
      <c r="L161" s="21" t="s">
        <v>581</v>
      </c>
      <c r="M161" s="21" t="s">
        <v>85</v>
      </c>
      <c r="N161" s="21" t="s">
        <v>295</v>
      </c>
      <c r="P161" t="str">
        <f t="shared" si="8"/>
        <v>BTC</v>
      </c>
      <c r="Q161">
        <f t="shared" si="9"/>
        <v>18869.588055265551</v>
      </c>
      <c r="R161">
        <v>16719.740000000002</v>
      </c>
      <c r="S161">
        <f t="shared" si="10"/>
        <v>1.6691316442000002</v>
      </c>
      <c r="T161" t="str">
        <f t="shared" si="11"/>
        <v xml:space="preserve">'BTC', </v>
      </c>
      <c r="AJ161" s="4" t="s">
        <v>31</v>
      </c>
      <c r="AK161" s="44">
        <v>0.06</v>
      </c>
      <c r="AL161">
        <v>2.324678286352595</v>
      </c>
      <c r="AN161" t="s">
        <v>215</v>
      </c>
      <c r="AO161" t="s">
        <v>23</v>
      </c>
      <c r="AP161" s="29">
        <v>3.1699999999999999E-8</v>
      </c>
      <c r="AR161" s="4" t="s">
        <v>385</v>
      </c>
      <c r="AS161" s="42">
        <v>38753.774400000002</v>
      </c>
    </row>
    <row r="162" spans="1:45" x14ac:dyDescent="0.25">
      <c r="A162">
        <v>160</v>
      </c>
      <c r="B162" t="s">
        <v>440</v>
      </c>
      <c r="C162" s="1">
        <v>10195.00440553</v>
      </c>
      <c r="E162" t="s">
        <v>38</v>
      </c>
      <c r="F162">
        <v>0</v>
      </c>
      <c r="G162" s="22">
        <v>20230112</v>
      </c>
      <c r="H162" s="56">
        <v>44939.00000104167</v>
      </c>
      <c r="I162">
        <v>10195.9428473716</v>
      </c>
      <c r="K162" s="21" t="s">
        <v>582</v>
      </c>
      <c r="L162" s="21" t="s">
        <v>581</v>
      </c>
      <c r="M162" s="21" t="s">
        <v>85</v>
      </c>
      <c r="N162" s="21" t="s">
        <v>295</v>
      </c>
      <c r="P162" t="str">
        <f t="shared" si="8"/>
        <v>USDT</v>
      </c>
      <c r="Q162">
        <f t="shared" si="9"/>
        <v>1.0000920491845096</v>
      </c>
      <c r="R162">
        <v>9.7952366466312248E-3</v>
      </c>
      <c r="S162">
        <f t="shared" si="10"/>
        <v>99.862480765614251</v>
      </c>
      <c r="T162" t="str">
        <f t="shared" si="11"/>
        <v xml:space="preserve">'USDT', </v>
      </c>
      <c r="AJ162" s="27" t="s">
        <v>85</v>
      </c>
      <c r="AK162" s="44">
        <v>0.06</v>
      </c>
      <c r="AL162">
        <v>2.324678286352595</v>
      </c>
      <c r="AN162" t="s">
        <v>215</v>
      </c>
      <c r="AO162" t="s">
        <v>23</v>
      </c>
      <c r="AP162">
        <v>3.7085151300000001E-2</v>
      </c>
      <c r="AR162" s="4" t="s">
        <v>386</v>
      </c>
      <c r="AS162" s="42">
        <v>29.76350429</v>
      </c>
    </row>
    <row r="163" spans="1:45" x14ac:dyDescent="0.25">
      <c r="A163">
        <v>161</v>
      </c>
      <c r="B163" t="s">
        <v>289</v>
      </c>
      <c r="C163" s="1">
        <v>1.899957E-2</v>
      </c>
      <c r="E163" t="s">
        <v>14</v>
      </c>
      <c r="F163" t="s">
        <v>583</v>
      </c>
      <c r="G163" s="22">
        <v>20230112</v>
      </c>
      <c r="H163" s="56">
        <v>44939.000002858797</v>
      </c>
      <c r="I163">
        <v>358.51405912718201</v>
      </c>
      <c r="K163" s="21" t="s">
        <v>580</v>
      </c>
      <c r="L163" s="21" t="s">
        <v>581</v>
      </c>
      <c r="M163" s="21" t="s">
        <v>85</v>
      </c>
      <c r="N163" s="21" t="s">
        <v>295</v>
      </c>
      <c r="P163" t="str">
        <f t="shared" si="8"/>
        <v>BTC</v>
      </c>
      <c r="Q163">
        <f t="shared" si="9"/>
        <v>18869.588055265565</v>
      </c>
      <c r="R163">
        <v>6.6802390639210002E-7</v>
      </c>
      <c r="S163">
        <f t="shared" si="10"/>
        <v>1.2692166971170152E-8</v>
      </c>
      <c r="T163" t="str">
        <f t="shared" si="11"/>
        <v xml:space="preserve">'BTC', </v>
      </c>
      <c r="AJ163" s="4" t="s">
        <v>22</v>
      </c>
      <c r="AK163" s="44">
        <v>2.0019999999999998</v>
      </c>
      <c r="AL163">
        <v>11.51800243241007</v>
      </c>
      <c r="AN163" t="s">
        <v>215</v>
      </c>
      <c r="AO163" t="s">
        <v>29</v>
      </c>
      <c r="AP163" s="29">
        <v>6.1E-9</v>
      </c>
      <c r="AR163" s="4" t="s">
        <v>25</v>
      </c>
      <c r="AS163" s="42">
        <v>19672493.710447378</v>
      </c>
    </row>
    <row r="164" spans="1:45" x14ac:dyDescent="0.25">
      <c r="A164">
        <v>162</v>
      </c>
      <c r="B164" t="s">
        <v>289</v>
      </c>
      <c r="C164" s="1">
        <v>9.9825000000000001E-4</v>
      </c>
      <c r="E164" t="s">
        <v>290</v>
      </c>
      <c r="F164" t="s">
        <v>583</v>
      </c>
      <c r="G164" s="22">
        <v>20230112</v>
      </c>
      <c r="H164" s="56">
        <v>44939.000002858797</v>
      </c>
      <c r="I164">
        <v>3.40920543791141E-4</v>
      </c>
      <c r="K164" s="21" t="s">
        <v>584</v>
      </c>
      <c r="L164" s="21" t="s">
        <v>581</v>
      </c>
      <c r="M164" s="21" t="s">
        <v>85</v>
      </c>
      <c r="N164" s="21" t="s">
        <v>295</v>
      </c>
      <c r="P164" t="str">
        <f t="shared" si="8"/>
        <v>ETHF</v>
      </c>
      <c r="Q164">
        <f t="shared" si="9"/>
        <v>0.34151820064226496</v>
      </c>
      <c r="R164">
        <v>3.5043787696136227E-3</v>
      </c>
      <c r="S164">
        <f t="shared" si="10"/>
        <v>3.498246106766799E-6</v>
      </c>
      <c r="T164" t="str">
        <f t="shared" si="11"/>
        <v xml:space="preserve">'ETHF', </v>
      </c>
      <c r="AJ164" s="27" t="s">
        <v>85</v>
      </c>
      <c r="AK164" s="44">
        <v>2.0019999999999998</v>
      </c>
      <c r="AL164">
        <v>11.51800243241007</v>
      </c>
      <c r="AN164" t="s">
        <v>215</v>
      </c>
      <c r="AO164" t="s">
        <v>29</v>
      </c>
      <c r="AP164">
        <v>0.70701212930000001</v>
      </c>
      <c r="AR164" s="4" t="s">
        <v>388</v>
      </c>
      <c r="AS164" s="42">
        <v>6.3152970000000003E-2</v>
      </c>
    </row>
    <row r="165" spans="1:45" x14ac:dyDescent="0.25">
      <c r="A165">
        <v>163</v>
      </c>
      <c r="B165" t="s">
        <v>289</v>
      </c>
      <c r="C165" s="1">
        <v>9.9825000000000001E-4</v>
      </c>
      <c r="E165" t="s">
        <v>272</v>
      </c>
      <c r="F165" t="s">
        <v>583</v>
      </c>
      <c r="G165" s="22">
        <v>20230112</v>
      </c>
      <c r="H165" s="56">
        <v>44939.000002858797</v>
      </c>
      <c r="I165">
        <v>3.42808374820222E-3</v>
      </c>
      <c r="K165" s="21" t="s">
        <v>585</v>
      </c>
      <c r="L165" s="21" t="s">
        <v>581</v>
      </c>
      <c r="M165" s="21" t="s">
        <v>85</v>
      </c>
      <c r="N165" s="21" t="s">
        <v>295</v>
      </c>
      <c r="P165" t="str">
        <f t="shared" si="8"/>
        <v>ETHW</v>
      </c>
      <c r="Q165">
        <f t="shared" si="9"/>
        <v>3.4340934116726469</v>
      </c>
      <c r="R165">
        <v>39.366320000000002</v>
      </c>
      <c r="S165">
        <f t="shared" si="10"/>
        <v>3.9297428940000004E-2</v>
      </c>
      <c r="T165" t="str">
        <f t="shared" si="11"/>
        <v xml:space="preserve">'ETHW', </v>
      </c>
      <c r="AJ165" s="4" t="s">
        <v>23</v>
      </c>
      <c r="AK165" s="44">
        <v>3.5000000000000001E-3</v>
      </c>
      <c r="AL165">
        <v>3.1029820830361511E-3</v>
      </c>
      <c r="AN165" t="s">
        <v>215</v>
      </c>
      <c r="AO165" t="s">
        <v>15</v>
      </c>
      <c r="AP165" s="29">
        <v>2.8600000000000001E-8</v>
      </c>
      <c r="AR165" s="4" t="s">
        <v>389</v>
      </c>
      <c r="AS165" s="42">
        <v>20</v>
      </c>
    </row>
    <row r="166" spans="1:45" x14ac:dyDescent="0.25">
      <c r="A166">
        <v>164</v>
      </c>
      <c r="B166" t="s">
        <v>289</v>
      </c>
      <c r="C166" s="1">
        <v>9.5929999999999998E-5</v>
      </c>
      <c r="E166" t="s">
        <v>291</v>
      </c>
      <c r="F166" t="s">
        <v>583</v>
      </c>
      <c r="G166" s="22">
        <v>20230112</v>
      </c>
      <c r="H166" s="56">
        <v>44939.000002858797</v>
      </c>
      <c r="I166">
        <v>4.0479294959959199E-6</v>
      </c>
      <c r="K166" s="21" t="s">
        <v>586</v>
      </c>
      <c r="L166" s="21" t="s">
        <v>581</v>
      </c>
      <c r="M166" s="21" t="s">
        <v>85</v>
      </c>
      <c r="N166" s="21" t="s">
        <v>295</v>
      </c>
      <c r="P166" t="str">
        <f t="shared" si="8"/>
        <v>ROSE</v>
      </c>
      <c r="Q166">
        <f t="shared" si="9"/>
        <v>4.2196700677534872E-2</v>
      </c>
      <c r="R166">
        <v>7.0300000000000001E-2</v>
      </c>
      <c r="S166">
        <f t="shared" si="10"/>
        <v>6.743879E-6</v>
      </c>
      <c r="T166" t="str">
        <f t="shared" si="11"/>
        <v xml:space="preserve">'ROSE', </v>
      </c>
      <c r="AJ166" s="27" t="s">
        <v>85</v>
      </c>
      <c r="AK166" s="44">
        <v>3.5000000000000001E-3</v>
      </c>
      <c r="AL166">
        <v>3.1029820830361511E-3</v>
      </c>
      <c r="AN166" t="s">
        <v>215</v>
      </c>
      <c r="AO166" t="s">
        <v>15</v>
      </c>
      <c r="AP166">
        <v>4971.4403833700999</v>
      </c>
      <c r="AR166" s="4" t="s">
        <v>159</v>
      </c>
      <c r="AS166" s="42">
        <v>4.7890616599999998</v>
      </c>
    </row>
    <row r="167" spans="1:45" x14ac:dyDescent="0.25">
      <c r="A167">
        <v>165</v>
      </c>
      <c r="B167" t="s">
        <v>289</v>
      </c>
      <c r="C167" s="1">
        <v>71.681742360000001</v>
      </c>
      <c r="E167" t="s">
        <v>38</v>
      </c>
      <c r="F167" t="s">
        <v>583</v>
      </c>
      <c r="G167" s="22">
        <v>20230112</v>
      </c>
      <c r="H167" s="56">
        <v>44939.000002858797</v>
      </c>
      <c r="I167">
        <v>71.688340605928701</v>
      </c>
      <c r="K167" s="21" t="s">
        <v>582</v>
      </c>
      <c r="L167" s="21" t="s">
        <v>581</v>
      </c>
      <c r="M167" s="21" t="s">
        <v>85</v>
      </c>
      <c r="N167" s="21" t="s">
        <v>295</v>
      </c>
      <c r="P167" t="str">
        <f t="shared" si="8"/>
        <v>USDT</v>
      </c>
      <c r="Q167">
        <f t="shared" si="9"/>
        <v>1.0000920491845129</v>
      </c>
      <c r="R167">
        <v>33.817394</v>
      </c>
      <c r="S167">
        <f t="shared" si="10"/>
        <v>2424.0897239946098</v>
      </c>
      <c r="T167" t="str">
        <f t="shared" si="11"/>
        <v xml:space="preserve">'USDT', </v>
      </c>
      <c r="AJ167" s="4" t="s">
        <v>29</v>
      </c>
      <c r="AK167" s="44">
        <v>5.8799999999999999E-5</v>
      </c>
      <c r="AL167">
        <v>1.173509820722425E-3</v>
      </c>
      <c r="AN167" t="s">
        <v>215</v>
      </c>
      <c r="AO167" t="s">
        <v>27</v>
      </c>
      <c r="AP167">
        <v>6.2442432399999998E-2</v>
      </c>
      <c r="AR167" s="4" t="s">
        <v>95</v>
      </c>
      <c r="AS167" s="42">
        <v>-79762265.626461402</v>
      </c>
    </row>
    <row r="168" spans="1:45" x14ac:dyDescent="0.25">
      <c r="A168">
        <v>166</v>
      </c>
      <c r="B168" t="s">
        <v>292</v>
      </c>
      <c r="C168" s="1">
        <v>1.995E-4</v>
      </c>
      <c r="E168" t="s">
        <v>14</v>
      </c>
      <c r="F168" t="s">
        <v>587</v>
      </c>
      <c r="G168" s="22">
        <v>20230112</v>
      </c>
      <c r="H168" s="56">
        <v>44939.000001817127</v>
      </c>
      <c r="I168">
        <v>3.7644828170254798</v>
      </c>
      <c r="K168" s="21" t="s">
        <v>580</v>
      </c>
      <c r="L168" s="21" t="s">
        <v>581</v>
      </c>
      <c r="M168" s="21" t="s">
        <v>85</v>
      </c>
      <c r="N168" s="21" t="s">
        <v>295</v>
      </c>
      <c r="P168" t="str">
        <f t="shared" si="8"/>
        <v>BTC</v>
      </c>
      <c r="Q168">
        <f t="shared" si="9"/>
        <v>18869.588055265562</v>
      </c>
      <c r="R168">
        <v>8.5948563495374386E-3</v>
      </c>
      <c r="S168">
        <f t="shared" si="10"/>
        <v>1.714673841732719E-6</v>
      </c>
      <c r="T168" t="str">
        <f t="shared" si="11"/>
        <v xml:space="preserve">'BTC', </v>
      </c>
      <c r="AJ168" s="27" t="s">
        <v>85</v>
      </c>
      <c r="AK168" s="44">
        <v>5.8799999999999999E-5</v>
      </c>
      <c r="AL168">
        <v>1.173509820722425E-3</v>
      </c>
      <c r="AN168" t="s">
        <v>215</v>
      </c>
      <c r="AO168" t="s">
        <v>27</v>
      </c>
      <c r="AP168" s="29">
        <v>4.6999999999999999E-9</v>
      </c>
      <c r="AR168" s="4" t="s">
        <v>92</v>
      </c>
      <c r="AS168" s="42">
        <v>4512595.36556256</v>
      </c>
    </row>
    <row r="169" spans="1:45" x14ac:dyDescent="0.25">
      <c r="A169">
        <v>167</v>
      </c>
      <c r="B169" t="s">
        <v>292</v>
      </c>
      <c r="C169" s="1">
        <v>9.9825000000000001E-4</v>
      </c>
      <c r="E169" t="s">
        <v>15</v>
      </c>
      <c r="F169" t="s">
        <v>587</v>
      </c>
      <c r="G169" s="22">
        <v>20230112</v>
      </c>
      <c r="H169" s="56">
        <v>44939.000001817127</v>
      </c>
      <c r="I169">
        <v>1.4154571306957699</v>
      </c>
      <c r="K169" s="21" t="s">
        <v>588</v>
      </c>
      <c r="L169" s="21" t="s">
        <v>581</v>
      </c>
      <c r="M169" s="21" t="s">
        <v>85</v>
      </c>
      <c r="N169" s="21" t="s">
        <v>295</v>
      </c>
      <c r="P169" t="str">
        <f t="shared" si="8"/>
        <v>ETH</v>
      </c>
      <c r="Q169">
        <f t="shared" si="9"/>
        <v>1417.9385231112146</v>
      </c>
      <c r="R169">
        <v>5.6989999999999998</v>
      </c>
      <c r="S169">
        <f t="shared" si="10"/>
        <v>5.6890267500000003E-3</v>
      </c>
      <c r="T169" t="str">
        <f t="shared" si="11"/>
        <v xml:space="preserve">'ETH', </v>
      </c>
      <c r="AJ169" s="4" t="s">
        <v>15</v>
      </c>
      <c r="AK169" s="44">
        <v>6621.5465003899999</v>
      </c>
      <c r="AL169">
        <v>8090332.7652802533</v>
      </c>
      <c r="AN169" t="s">
        <v>215</v>
      </c>
      <c r="AO169" t="s">
        <v>24</v>
      </c>
      <c r="AP169">
        <v>7.1564416123000001</v>
      </c>
      <c r="AR169" s="4" t="s">
        <v>392</v>
      </c>
      <c r="AS169" s="42">
        <v>0.34680431</v>
      </c>
    </row>
    <row r="170" spans="1:45" x14ac:dyDescent="0.25">
      <c r="A170">
        <v>168</v>
      </c>
      <c r="B170" t="s">
        <v>292</v>
      </c>
      <c r="C170" s="1">
        <v>59.393906000000001</v>
      </c>
      <c r="E170" t="s">
        <v>38</v>
      </c>
      <c r="F170" t="s">
        <v>587</v>
      </c>
      <c r="G170" s="22">
        <v>20230112</v>
      </c>
      <c r="H170" s="56">
        <v>44939.000001817127</v>
      </c>
      <c r="I170">
        <v>59.399373160612399</v>
      </c>
      <c r="K170" s="21" t="s">
        <v>582</v>
      </c>
      <c r="L170" s="21" t="s">
        <v>581</v>
      </c>
      <c r="M170" s="21" t="s">
        <v>85</v>
      </c>
      <c r="N170" s="21" t="s">
        <v>295</v>
      </c>
      <c r="P170" t="str">
        <f t="shared" si="8"/>
        <v>USDT</v>
      </c>
      <c r="Q170">
        <f t="shared" si="9"/>
        <v>1.000092049184514</v>
      </c>
      <c r="R170">
        <v>0.30611965000000002</v>
      </c>
      <c r="S170">
        <f t="shared" si="10"/>
        <v>18.181641716852901</v>
      </c>
      <c r="T170" t="str">
        <f t="shared" si="11"/>
        <v xml:space="preserve">'USDT', </v>
      </c>
      <c r="AJ170" s="27" t="s">
        <v>85</v>
      </c>
      <c r="AK170" s="44">
        <v>6621.5465003899999</v>
      </c>
      <c r="AL170">
        <v>8090332.7652802533</v>
      </c>
      <c r="AN170" t="s">
        <v>215</v>
      </c>
      <c r="AO170" t="s">
        <v>24</v>
      </c>
      <c r="AP170" s="29">
        <v>9.3000000000000006E-9</v>
      </c>
      <c r="AR170" s="4" t="s">
        <v>38</v>
      </c>
      <c r="AS170" s="42">
        <v>28650623.960021894</v>
      </c>
    </row>
    <row r="171" spans="1:45" x14ac:dyDescent="0.25">
      <c r="A171">
        <v>169</v>
      </c>
      <c r="B171" t="s">
        <v>441</v>
      </c>
      <c r="C171" s="1">
        <v>10045.794859</v>
      </c>
      <c r="E171" t="s">
        <v>38</v>
      </c>
      <c r="F171">
        <v>0</v>
      </c>
      <c r="G171" s="22">
        <v>20230112</v>
      </c>
      <c r="H171" s="56">
        <v>44939.000001504632</v>
      </c>
      <c r="I171">
        <v>10046.719566224499</v>
      </c>
      <c r="K171" s="21" t="s">
        <v>582</v>
      </c>
      <c r="L171" s="21" t="s">
        <v>581</v>
      </c>
      <c r="M171" s="21" t="s">
        <v>85</v>
      </c>
      <c r="N171" s="21" t="s">
        <v>295</v>
      </c>
      <c r="P171" t="str">
        <f t="shared" si="8"/>
        <v>USDT</v>
      </c>
      <c r="Q171">
        <f t="shared" si="9"/>
        <v>1.0000920491845073</v>
      </c>
      <c r="R171">
        <v>0.90154135000000002</v>
      </c>
      <c r="S171">
        <f t="shared" si="10"/>
        <v>9056.6994590059203</v>
      </c>
      <c r="T171" t="str">
        <f t="shared" si="11"/>
        <v xml:space="preserve">'USDT', </v>
      </c>
      <c r="AJ171" s="4" t="s">
        <v>272</v>
      </c>
      <c r="AK171" s="44">
        <v>0.42501022999999999</v>
      </c>
      <c r="AL171">
        <v>1.656125928864528</v>
      </c>
      <c r="AN171" t="s">
        <v>215</v>
      </c>
      <c r="AO171" t="s">
        <v>25</v>
      </c>
      <c r="AP171" s="29">
        <v>7.8999999999999996E-9</v>
      </c>
      <c r="AR171" s="4" t="s">
        <v>196</v>
      </c>
      <c r="AS171" s="42">
        <v>59589.017780000002</v>
      </c>
    </row>
    <row r="172" spans="1:45" x14ac:dyDescent="0.25">
      <c r="A172">
        <v>170</v>
      </c>
      <c r="B172" t="s">
        <v>114</v>
      </c>
      <c r="C172" s="1">
        <v>1E-8</v>
      </c>
      <c r="E172" t="s">
        <v>38</v>
      </c>
      <c r="F172" t="s">
        <v>589</v>
      </c>
      <c r="G172" s="22">
        <v>20230112</v>
      </c>
      <c r="H172" s="56">
        <v>44938.000005324073</v>
      </c>
      <c r="I172">
        <v>1.00009204918451E-8</v>
      </c>
      <c r="K172" s="21" t="s">
        <v>590</v>
      </c>
      <c r="L172" s="21" t="s">
        <v>567</v>
      </c>
      <c r="M172" s="21" t="s">
        <v>85</v>
      </c>
      <c r="N172" s="21" t="s">
        <v>112</v>
      </c>
      <c r="P172" t="str">
        <f t="shared" si="8"/>
        <v>USDT</v>
      </c>
      <c r="Q172">
        <f t="shared" si="9"/>
        <v>1.00009204918451</v>
      </c>
      <c r="R172">
        <v>19.614688999999998</v>
      </c>
      <c r="S172">
        <f t="shared" si="10"/>
        <v>1.9614688999999999E-7</v>
      </c>
      <c r="T172" t="str">
        <f t="shared" si="11"/>
        <v xml:space="preserve">'USDT', </v>
      </c>
      <c r="AJ172" s="27" t="s">
        <v>85</v>
      </c>
      <c r="AK172" s="44">
        <v>0.42501022999999999</v>
      </c>
      <c r="AL172">
        <v>1.656125928864528</v>
      </c>
      <c r="AN172" t="s">
        <v>215</v>
      </c>
      <c r="AO172" t="s">
        <v>25</v>
      </c>
      <c r="AP172">
        <v>0.95766241559999998</v>
      </c>
      <c r="AR172" s="4" t="s">
        <v>395</v>
      </c>
      <c r="AS172" s="42">
        <v>0.20872535</v>
      </c>
    </row>
    <row r="173" spans="1:45" x14ac:dyDescent="0.25">
      <c r="A173">
        <v>171</v>
      </c>
      <c r="B173" t="s">
        <v>114</v>
      </c>
      <c r="C173" s="1">
        <v>7.4209999999999996E-5</v>
      </c>
      <c r="E173" t="s">
        <v>99</v>
      </c>
      <c r="F173" t="s">
        <v>589</v>
      </c>
      <c r="G173" s="22">
        <v>20230112</v>
      </c>
      <c r="H173" s="56">
        <v>44938.000005324073</v>
      </c>
      <c r="I173">
        <v>2.78433799257714E-5</v>
      </c>
      <c r="K173" s="21" t="s">
        <v>576</v>
      </c>
      <c r="L173" s="21" t="s">
        <v>567</v>
      </c>
      <c r="M173" s="21" t="s">
        <v>85</v>
      </c>
      <c r="N173" s="21" t="s">
        <v>112</v>
      </c>
      <c r="P173" t="str">
        <f t="shared" si="8"/>
        <v>XRP</v>
      </c>
      <c r="Q173">
        <f t="shared" si="9"/>
        <v>0.37519714224190004</v>
      </c>
      <c r="R173">
        <v>1208.73</v>
      </c>
      <c r="S173">
        <f t="shared" si="10"/>
        <v>8.9699853299999993E-2</v>
      </c>
      <c r="T173" t="str">
        <f t="shared" si="11"/>
        <v xml:space="preserve">'XRP', </v>
      </c>
      <c r="AJ173" s="4" t="s">
        <v>258</v>
      </c>
      <c r="AK173" s="44">
        <v>5024</v>
      </c>
      <c r="AL173">
        <v>5185.7436937373186</v>
      </c>
      <c r="AN173" t="s">
        <v>215</v>
      </c>
      <c r="AO173" t="s">
        <v>99</v>
      </c>
      <c r="AP173" s="29">
        <v>9.7899999999999997E-8</v>
      </c>
      <c r="AR173" s="4" t="s">
        <v>396</v>
      </c>
      <c r="AS173" s="42">
        <v>97856389.900000006</v>
      </c>
    </row>
    <row r="174" spans="1:45" x14ac:dyDescent="0.25">
      <c r="A174">
        <v>172</v>
      </c>
      <c r="B174" t="s">
        <v>115</v>
      </c>
      <c r="C174" s="1">
        <v>1E-8</v>
      </c>
      <c r="E174" t="s">
        <v>84</v>
      </c>
      <c r="F174" t="s">
        <v>589</v>
      </c>
      <c r="G174" s="22">
        <v>20230112</v>
      </c>
      <c r="H174" s="56">
        <v>44939.000002083332</v>
      </c>
      <c r="I174">
        <v>3.2975847474337499E-9</v>
      </c>
      <c r="K174" s="21" t="s">
        <v>566</v>
      </c>
      <c r="L174" s="21" t="s">
        <v>567</v>
      </c>
      <c r="M174" s="21" t="s">
        <v>85</v>
      </c>
      <c r="N174" s="21" t="s">
        <v>112</v>
      </c>
      <c r="P174" t="str">
        <f t="shared" si="8"/>
        <v>ADA</v>
      </c>
      <c r="Q174">
        <f t="shared" si="9"/>
        <v>0.329758474743375</v>
      </c>
      <c r="R174">
        <v>0.30499985403889135</v>
      </c>
      <c r="S174">
        <f t="shared" si="10"/>
        <v>3.0499985403889136E-9</v>
      </c>
      <c r="T174" t="str">
        <f t="shared" si="11"/>
        <v xml:space="preserve">'ADA', </v>
      </c>
      <c r="AJ174" s="27" t="s">
        <v>85</v>
      </c>
      <c r="AK174" s="44">
        <v>5024</v>
      </c>
      <c r="AL174">
        <v>5185.7436937373186</v>
      </c>
      <c r="AN174" t="s">
        <v>215</v>
      </c>
      <c r="AO174" t="s">
        <v>99</v>
      </c>
      <c r="AP174">
        <v>0.54364484400000002</v>
      </c>
      <c r="AR174" s="4" t="s">
        <v>163</v>
      </c>
      <c r="AS174" s="42">
        <v>0.55556267999999998</v>
      </c>
    </row>
    <row r="175" spans="1:45" x14ac:dyDescent="0.25">
      <c r="A175">
        <v>173</v>
      </c>
      <c r="B175" t="s">
        <v>115</v>
      </c>
      <c r="C175" s="1">
        <v>1E-8</v>
      </c>
      <c r="E175" t="s">
        <v>20</v>
      </c>
      <c r="F175" t="s">
        <v>589</v>
      </c>
      <c r="G175" s="22">
        <v>20230112</v>
      </c>
      <c r="H175" s="56">
        <v>44939.000002083332</v>
      </c>
      <c r="I175">
        <v>1.1971046613741201E-6</v>
      </c>
      <c r="K175" s="21" t="s">
        <v>568</v>
      </c>
      <c r="L175" s="21" t="s">
        <v>567</v>
      </c>
      <c r="M175" s="21" t="s">
        <v>85</v>
      </c>
      <c r="N175" s="21" t="s">
        <v>112</v>
      </c>
      <c r="P175" t="str">
        <f t="shared" si="8"/>
        <v>BCH</v>
      </c>
      <c r="Q175">
        <f t="shared" si="9"/>
        <v>119.710466137412</v>
      </c>
      <c r="R175">
        <v>3.7800280517057798</v>
      </c>
      <c r="S175">
        <f t="shared" si="10"/>
        <v>3.78002805170578E-8</v>
      </c>
      <c r="T175" t="str">
        <f t="shared" si="11"/>
        <v xml:space="preserve">'BCH', </v>
      </c>
      <c r="AJ175" s="4" t="s">
        <v>191</v>
      </c>
      <c r="AK175" s="44">
        <v>8.9826517900000002</v>
      </c>
      <c r="AL175">
        <v>1.623892634099743</v>
      </c>
      <c r="AN175" t="s">
        <v>112</v>
      </c>
      <c r="AO175" t="s">
        <v>116</v>
      </c>
      <c r="AP175">
        <v>0.10014646000000001</v>
      </c>
      <c r="AR175" s="4" t="s">
        <v>99</v>
      </c>
      <c r="AS175" s="42">
        <v>6252.3718175428003</v>
      </c>
    </row>
    <row r="176" spans="1:45" x14ac:dyDescent="0.25">
      <c r="A176">
        <v>174</v>
      </c>
      <c r="B176" t="s">
        <v>115</v>
      </c>
      <c r="C176" s="1">
        <v>1E-8</v>
      </c>
      <c r="E176" t="s">
        <v>113</v>
      </c>
      <c r="F176" t="s">
        <v>589</v>
      </c>
      <c r="G176" s="22">
        <v>20230112</v>
      </c>
      <c r="H176" s="56">
        <v>44939.000002083332</v>
      </c>
      <c r="I176">
        <v>4.2147985974992698E-7</v>
      </c>
      <c r="K176" s="21" t="s">
        <v>569</v>
      </c>
      <c r="L176" s="21" t="s">
        <v>567</v>
      </c>
      <c r="M176" s="21" t="s">
        <v>85</v>
      </c>
      <c r="N176" s="21" t="s">
        <v>112</v>
      </c>
      <c r="P176" t="str">
        <f t="shared" si="8"/>
        <v>BSV</v>
      </c>
      <c r="Q176">
        <f t="shared" si="9"/>
        <v>42.1479859749927</v>
      </c>
      <c r="R176">
        <v>1.033539447639525</v>
      </c>
      <c r="S176">
        <f t="shared" si="10"/>
        <v>1.0335394476395249E-8</v>
      </c>
      <c r="T176" t="str">
        <f t="shared" si="11"/>
        <v xml:space="preserve">'BSV', </v>
      </c>
      <c r="AJ176" s="27" t="s">
        <v>85</v>
      </c>
      <c r="AK176" s="44">
        <v>8.9826517900000002</v>
      </c>
      <c r="AL176">
        <v>1.623892634099743</v>
      </c>
      <c r="AN176" t="s">
        <v>112</v>
      </c>
      <c r="AO176" t="s">
        <v>84</v>
      </c>
      <c r="AP176">
        <v>3.2091770000000001E-4</v>
      </c>
      <c r="AR176" s="4" t="s">
        <v>399</v>
      </c>
      <c r="AS176" s="42">
        <v>3.9304560899999998</v>
      </c>
    </row>
    <row r="177" spans="1:45" x14ac:dyDescent="0.25">
      <c r="A177">
        <v>175</v>
      </c>
      <c r="B177" t="s">
        <v>115</v>
      </c>
      <c r="C177" s="1">
        <v>1E-8</v>
      </c>
      <c r="E177" t="s">
        <v>23</v>
      </c>
      <c r="F177" t="s">
        <v>589</v>
      </c>
      <c r="G177" s="22">
        <v>20230112</v>
      </c>
      <c r="H177" s="56">
        <v>44939.000002083332</v>
      </c>
      <c r="I177">
        <v>9.9024247680694202E-9</v>
      </c>
      <c r="K177" s="21" t="s">
        <v>571</v>
      </c>
      <c r="L177" s="21" t="s">
        <v>567</v>
      </c>
      <c r="M177" s="21" t="s">
        <v>85</v>
      </c>
      <c r="N177" s="21" t="s">
        <v>112</v>
      </c>
      <c r="P177" t="str">
        <f t="shared" si="8"/>
        <v>EOS</v>
      </c>
      <c r="Q177">
        <f t="shared" si="9"/>
        <v>0.990242476806942</v>
      </c>
      <c r="R177">
        <v>4.3366579999999999</v>
      </c>
      <c r="S177">
        <f t="shared" si="10"/>
        <v>4.3366579999999999E-8</v>
      </c>
      <c r="T177" t="str">
        <f t="shared" si="11"/>
        <v xml:space="preserve">'EOS', </v>
      </c>
      <c r="AJ177" s="4" t="s">
        <v>109</v>
      </c>
      <c r="AK177" s="44">
        <v>2.53888889</v>
      </c>
      <c r="AL177">
        <v>3.7810762912031168</v>
      </c>
      <c r="AN177" t="s">
        <v>112</v>
      </c>
      <c r="AO177" t="s">
        <v>20</v>
      </c>
      <c r="AP177">
        <v>5.3552099999999996E-4</v>
      </c>
      <c r="AR177" s="4" t="s">
        <v>171</v>
      </c>
      <c r="AS177" s="42">
        <v>0.10222220999999999</v>
      </c>
    </row>
    <row r="178" spans="1:45" x14ac:dyDescent="0.25">
      <c r="A178">
        <v>176</v>
      </c>
      <c r="B178" t="s">
        <v>115</v>
      </c>
      <c r="C178" s="1">
        <v>1E-8</v>
      </c>
      <c r="E178" t="s">
        <v>29</v>
      </c>
      <c r="F178" t="s">
        <v>589</v>
      </c>
      <c r="G178" s="22">
        <v>20230112</v>
      </c>
      <c r="H178" s="56">
        <v>44939.000002083332</v>
      </c>
      <c r="I178">
        <v>2.0917758217744E-7</v>
      </c>
      <c r="K178" s="21" t="s">
        <v>572</v>
      </c>
      <c r="L178" s="21" t="s">
        <v>567</v>
      </c>
      <c r="M178" s="21" t="s">
        <v>85</v>
      </c>
      <c r="N178" s="21" t="s">
        <v>112</v>
      </c>
      <c r="P178" t="str">
        <f t="shared" si="8"/>
        <v>ETC</v>
      </c>
      <c r="Q178">
        <f t="shared" si="9"/>
        <v>20.917758217743998</v>
      </c>
      <c r="R178">
        <v>1.5288371999999999</v>
      </c>
      <c r="S178">
        <f t="shared" si="10"/>
        <v>1.5288372E-8</v>
      </c>
      <c r="T178" t="str">
        <f t="shared" si="11"/>
        <v xml:space="preserve">'ETC', </v>
      </c>
      <c r="AJ178" s="27" t="s">
        <v>85</v>
      </c>
      <c r="AK178" s="44">
        <v>2.53888889</v>
      </c>
      <c r="AL178">
        <v>3.7810762912031168</v>
      </c>
      <c r="AN178" t="s">
        <v>112</v>
      </c>
      <c r="AO178" t="s">
        <v>113</v>
      </c>
      <c r="AP178" s="29">
        <v>3.3400000000000001E-8</v>
      </c>
      <c r="AR178" s="4" t="s">
        <v>117</v>
      </c>
      <c r="AS178" s="42">
        <v>1.572583E-2</v>
      </c>
    </row>
    <row r="179" spans="1:45" x14ac:dyDescent="0.25">
      <c r="A179">
        <v>177</v>
      </c>
      <c r="B179" t="s">
        <v>115</v>
      </c>
      <c r="C179" s="1">
        <v>1E-8</v>
      </c>
      <c r="E179" t="s">
        <v>15</v>
      </c>
      <c r="F179" t="s">
        <v>589</v>
      </c>
      <c r="G179" s="22">
        <v>20230112</v>
      </c>
      <c r="H179" s="56">
        <v>44939.000002083332</v>
      </c>
      <c r="I179">
        <v>1.41793852311121E-5</v>
      </c>
      <c r="K179" s="21" t="s">
        <v>573</v>
      </c>
      <c r="L179" s="21" t="s">
        <v>567</v>
      </c>
      <c r="M179" s="21" t="s">
        <v>85</v>
      </c>
      <c r="N179" s="21" t="s">
        <v>112</v>
      </c>
      <c r="P179" t="str">
        <f t="shared" si="8"/>
        <v>ETH</v>
      </c>
      <c r="Q179">
        <f t="shared" si="9"/>
        <v>1417.9385231112101</v>
      </c>
      <c r="R179">
        <v>2.060776928509652</v>
      </c>
      <c r="S179">
        <f t="shared" si="10"/>
        <v>2.0607769285096521E-8</v>
      </c>
      <c r="T179" t="str">
        <f t="shared" si="11"/>
        <v xml:space="preserve">'ETH', </v>
      </c>
      <c r="AJ179" s="4" t="s">
        <v>135</v>
      </c>
      <c r="AK179" s="44">
        <v>79.958187959999989</v>
      </c>
      <c r="AL179">
        <v>3.624474833894463</v>
      </c>
      <c r="AN179" t="s">
        <v>112</v>
      </c>
      <c r="AO179" t="s">
        <v>14</v>
      </c>
      <c r="AP179">
        <v>291.78577073859998</v>
      </c>
      <c r="AR179" s="4" t="s">
        <v>402</v>
      </c>
      <c r="AS179" s="42">
        <v>2.173E-4</v>
      </c>
    </row>
    <row r="180" spans="1:45" x14ac:dyDescent="0.25">
      <c r="A180">
        <v>178</v>
      </c>
      <c r="B180" t="s">
        <v>115</v>
      </c>
      <c r="C180" s="1">
        <v>1E-8</v>
      </c>
      <c r="E180" t="s">
        <v>27</v>
      </c>
      <c r="F180" t="s">
        <v>589</v>
      </c>
      <c r="G180" s="22">
        <v>20230112</v>
      </c>
      <c r="H180" s="56">
        <v>44939.000002083332</v>
      </c>
      <c r="I180">
        <v>6.3813315524378703E-8</v>
      </c>
      <c r="K180" s="21" t="s">
        <v>579</v>
      </c>
      <c r="L180" s="21" t="s">
        <v>567</v>
      </c>
      <c r="M180" s="21" t="s">
        <v>85</v>
      </c>
      <c r="N180" s="21" t="s">
        <v>112</v>
      </c>
      <c r="P180" t="str">
        <f t="shared" si="8"/>
        <v>LINK</v>
      </c>
      <c r="Q180">
        <f t="shared" si="9"/>
        <v>6.38133155243787</v>
      </c>
      <c r="R180">
        <v>4.9363444999999999E-2</v>
      </c>
      <c r="S180">
        <f t="shared" si="10"/>
        <v>4.9363444999999995E-10</v>
      </c>
      <c r="T180" t="str">
        <f t="shared" si="11"/>
        <v xml:space="preserve">'LINK', </v>
      </c>
      <c r="AJ180" s="27" t="s">
        <v>85</v>
      </c>
      <c r="AK180" s="44">
        <v>79.958187959999989</v>
      </c>
      <c r="AL180">
        <v>3.624474833894463</v>
      </c>
      <c r="AN180" t="s">
        <v>112</v>
      </c>
      <c r="AO180" t="s">
        <v>14</v>
      </c>
      <c r="AP180">
        <v>257.68569321349997</v>
      </c>
      <c r="AR180" s="4" t="s">
        <v>403</v>
      </c>
      <c r="AS180" s="42">
        <v>19451203.1070689</v>
      </c>
    </row>
    <row r="181" spans="1:45" x14ac:dyDescent="0.25">
      <c r="A181">
        <v>179</v>
      </c>
      <c r="B181" t="s">
        <v>115</v>
      </c>
      <c r="C181" s="1">
        <v>1E-8</v>
      </c>
      <c r="E181" t="s">
        <v>24</v>
      </c>
      <c r="F181" t="s">
        <v>589</v>
      </c>
      <c r="G181" s="22">
        <v>20230112</v>
      </c>
      <c r="H181" s="56">
        <v>44939.000002083332</v>
      </c>
      <c r="I181">
        <v>8.5964229450756099E-7</v>
      </c>
      <c r="K181" s="21" t="s">
        <v>574</v>
      </c>
      <c r="L181" s="21" t="s">
        <v>567</v>
      </c>
      <c r="M181" s="21" t="s">
        <v>85</v>
      </c>
      <c r="N181" s="21" t="s">
        <v>112</v>
      </c>
      <c r="P181" t="str">
        <f t="shared" si="8"/>
        <v>LTC</v>
      </c>
      <c r="Q181">
        <f t="shared" si="9"/>
        <v>85.964229450756093</v>
      </c>
      <c r="R181">
        <v>9.7238807541416214E-4</v>
      </c>
      <c r="S181">
        <f t="shared" si="10"/>
        <v>9.7238807541416214E-12</v>
      </c>
      <c r="T181" t="str">
        <f t="shared" si="11"/>
        <v xml:space="preserve">'LTC', </v>
      </c>
      <c r="AJ181" s="4" t="s">
        <v>43</v>
      </c>
      <c r="AK181" s="44">
        <v>1.9338685099999999</v>
      </c>
      <c r="AL181">
        <v>44.850595509763217</v>
      </c>
      <c r="AN181" t="s">
        <v>112</v>
      </c>
      <c r="AO181" t="s">
        <v>22</v>
      </c>
      <c r="AP181">
        <v>3.8972870000000001E-3</v>
      </c>
      <c r="AR181" s="3" t="s">
        <v>167</v>
      </c>
      <c r="AS181" s="42">
        <v>980242.57500840188</v>
      </c>
    </row>
    <row r="182" spans="1:45" x14ac:dyDescent="0.25">
      <c r="A182">
        <v>180</v>
      </c>
      <c r="B182" t="s">
        <v>115</v>
      </c>
      <c r="C182" s="1">
        <v>3.2621029500000001</v>
      </c>
      <c r="E182" t="s">
        <v>38</v>
      </c>
      <c r="F182" t="s">
        <v>589</v>
      </c>
      <c r="G182" s="22">
        <v>20230112</v>
      </c>
      <c r="H182" s="56">
        <v>44939.000002083332</v>
      </c>
      <c r="I182">
        <v>3.2624032239163401</v>
      </c>
      <c r="K182" s="21" t="s">
        <v>590</v>
      </c>
      <c r="L182" s="21" t="s">
        <v>567</v>
      </c>
      <c r="M182" s="21" t="s">
        <v>85</v>
      </c>
      <c r="N182" s="21" t="s">
        <v>112</v>
      </c>
      <c r="P182" t="str">
        <f t="shared" si="8"/>
        <v>USDT</v>
      </c>
      <c r="Q182">
        <f t="shared" si="9"/>
        <v>1.0000920491845116</v>
      </c>
      <c r="R182">
        <v>4.6684026999999997</v>
      </c>
      <c r="S182">
        <f t="shared" si="10"/>
        <v>15.228810219457964</v>
      </c>
      <c r="T182" t="str">
        <f t="shared" si="11"/>
        <v xml:space="preserve">'USDT', </v>
      </c>
      <c r="AJ182" s="27" t="s">
        <v>85</v>
      </c>
      <c r="AK182" s="44">
        <v>1.9338685099999999</v>
      </c>
      <c r="AL182">
        <v>44.850595509763217</v>
      </c>
      <c r="AN182" t="s">
        <v>112</v>
      </c>
      <c r="AO182" t="s">
        <v>29</v>
      </c>
      <c r="AP182">
        <v>0.1010306031</v>
      </c>
      <c r="AR182" s="4" t="s">
        <v>20</v>
      </c>
      <c r="AS182" s="42">
        <v>1.7695412699999999</v>
      </c>
    </row>
    <row r="183" spans="1:45" x14ac:dyDescent="0.25">
      <c r="A183">
        <v>181</v>
      </c>
      <c r="B183" t="s">
        <v>115</v>
      </c>
      <c r="C183" s="1">
        <v>6.4869999999999994E-5</v>
      </c>
      <c r="E183" t="s">
        <v>99</v>
      </c>
      <c r="F183" t="s">
        <v>589</v>
      </c>
      <c r="G183" s="22">
        <v>20230112</v>
      </c>
      <c r="H183" s="56">
        <v>44939.000002083332</v>
      </c>
      <c r="I183">
        <v>2.4339038617232101E-5</v>
      </c>
      <c r="K183" s="21" t="s">
        <v>576</v>
      </c>
      <c r="L183" s="21" t="s">
        <v>567</v>
      </c>
      <c r="M183" s="21" t="s">
        <v>85</v>
      </c>
      <c r="N183" s="21" t="s">
        <v>112</v>
      </c>
      <c r="P183" t="str">
        <f t="shared" si="8"/>
        <v>XRP</v>
      </c>
      <c r="Q183">
        <f t="shared" si="9"/>
        <v>0.37519714224190076</v>
      </c>
      <c r="R183">
        <v>8.1537980000000003E-3</v>
      </c>
      <c r="S183">
        <f t="shared" si="10"/>
        <v>5.2893687626000001E-7</v>
      </c>
      <c r="T183" t="str">
        <f t="shared" si="11"/>
        <v xml:space="preserve">'XRP', </v>
      </c>
      <c r="AJ183" s="4" t="s">
        <v>27</v>
      </c>
      <c r="AK183" s="44">
        <v>53.117741070000001</v>
      </c>
      <c r="AL183">
        <v>322.55463158027828</v>
      </c>
      <c r="AN183" t="s">
        <v>112</v>
      </c>
      <c r="AO183" t="s">
        <v>15</v>
      </c>
      <c r="AP183">
        <v>1547.6982186905</v>
      </c>
      <c r="AR183" s="4" t="s">
        <v>14</v>
      </c>
      <c r="AS183" s="42">
        <v>1.8847761800000001E-2</v>
      </c>
    </row>
    <row r="184" spans="1:45" x14ac:dyDescent="0.25">
      <c r="A184">
        <v>182</v>
      </c>
      <c r="B184" t="s">
        <v>41</v>
      </c>
      <c r="C184" s="1">
        <v>0.10014646000000001</v>
      </c>
      <c r="D184" t="s">
        <v>72</v>
      </c>
      <c r="E184" t="s">
        <v>116</v>
      </c>
      <c r="F184" t="s">
        <v>591</v>
      </c>
      <c r="G184" s="22">
        <v>20230112</v>
      </c>
      <c r="H184" s="56">
        <v>44939.00000104167</v>
      </c>
      <c r="I184">
        <v>6.7960525951868096</v>
      </c>
      <c r="K184" s="21" t="s">
        <v>592</v>
      </c>
      <c r="L184" s="21" t="s">
        <v>567</v>
      </c>
      <c r="M184" s="21" t="s">
        <v>85</v>
      </c>
      <c r="N184" s="21" t="s">
        <v>112</v>
      </c>
      <c r="P184" t="str">
        <f t="shared" si="8"/>
        <v>AAVE</v>
      </c>
      <c r="Q184">
        <f t="shared" si="9"/>
        <v>67.861136531304339</v>
      </c>
      <c r="R184">
        <v>1.3434198305326158E-2</v>
      </c>
      <c r="S184">
        <f t="shared" si="10"/>
        <v>1.345387403216414E-3</v>
      </c>
      <c r="T184" t="str">
        <f t="shared" si="11"/>
        <v xml:space="preserve">'AAVE', </v>
      </c>
      <c r="AJ184" s="27" t="s">
        <v>85</v>
      </c>
      <c r="AK184" s="44">
        <v>53.117741070000001</v>
      </c>
      <c r="AL184">
        <v>322.55463158027828</v>
      </c>
      <c r="AN184" t="s">
        <v>112</v>
      </c>
      <c r="AO184" t="s">
        <v>27</v>
      </c>
      <c r="AP184">
        <v>9.5620959999999995E-4</v>
      </c>
      <c r="AR184" s="4" t="s">
        <v>23</v>
      </c>
      <c r="AS184" s="42">
        <v>9.9499194400000004</v>
      </c>
    </row>
    <row r="185" spans="1:45" x14ac:dyDescent="0.25">
      <c r="A185">
        <v>183</v>
      </c>
      <c r="B185" t="s">
        <v>41</v>
      </c>
      <c r="C185" s="1">
        <v>3.2091999999999998E-4</v>
      </c>
      <c r="D185" t="s">
        <v>72</v>
      </c>
      <c r="E185" t="s">
        <v>84</v>
      </c>
      <c r="F185" t="s">
        <v>591</v>
      </c>
      <c r="G185" s="22">
        <v>20230112</v>
      </c>
      <c r="H185" s="56">
        <v>44939.00000104167</v>
      </c>
      <c r="I185">
        <v>1.05826089714644E-4</v>
      </c>
      <c r="K185" s="21" t="s">
        <v>566</v>
      </c>
      <c r="L185" s="21" t="s">
        <v>567</v>
      </c>
      <c r="M185" s="21" t="s">
        <v>85</v>
      </c>
      <c r="N185" s="21" t="s">
        <v>112</v>
      </c>
      <c r="P185" t="str">
        <f t="shared" si="8"/>
        <v>ADA</v>
      </c>
      <c r="Q185">
        <f t="shared" si="9"/>
        <v>0.32975847474337533</v>
      </c>
      <c r="R185">
        <v>2.0494003E-2</v>
      </c>
      <c r="S185">
        <f t="shared" si="10"/>
        <v>6.5769354427599996E-6</v>
      </c>
      <c r="T185" t="str">
        <f t="shared" si="11"/>
        <v xml:space="preserve">'ADA', </v>
      </c>
      <c r="AJ185" s="4" t="s">
        <v>24</v>
      </c>
      <c r="AK185" s="44">
        <v>1111.40706884</v>
      </c>
      <c r="AL185">
        <v>63891.651485509487</v>
      </c>
      <c r="AN185" t="s">
        <v>112</v>
      </c>
      <c r="AO185" t="s">
        <v>24</v>
      </c>
      <c r="AP185">
        <v>2.4771052999999999E-3</v>
      </c>
      <c r="AR185" s="4" t="s">
        <v>15</v>
      </c>
      <c r="AS185" s="42">
        <v>3.4037359600000001</v>
      </c>
    </row>
    <row r="186" spans="1:45" x14ac:dyDescent="0.25">
      <c r="A186">
        <v>184</v>
      </c>
      <c r="B186" t="s">
        <v>41</v>
      </c>
      <c r="C186" s="1">
        <v>5.3552000000000005E-4</v>
      </c>
      <c r="D186" t="s">
        <v>72</v>
      </c>
      <c r="E186" t="s">
        <v>20</v>
      </c>
      <c r="F186" t="s">
        <v>591</v>
      </c>
      <c r="G186" s="22">
        <v>20230112</v>
      </c>
      <c r="H186" s="56">
        <v>44939.00000104167</v>
      </c>
      <c r="I186">
        <v>6.4107348825906907E-2</v>
      </c>
      <c r="K186" s="21" t="s">
        <v>568</v>
      </c>
      <c r="L186" s="21" t="s">
        <v>567</v>
      </c>
      <c r="M186" s="21" t="s">
        <v>85</v>
      </c>
      <c r="N186" s="21" t="s">
        <v>112</v>
      </c>
      <c r="P186" t="str">
        <f t="shared" si="8"/>
        <v>BCH</v>
      </c>
      <c r="Q186">
        <f t="shared" si="9"/>
        <v>119.71046613741206</v>
      </c>
      <c r="R186">
        <v>24.360496999999999</v>
      </c>
      <c r="S186">
        <f t="shared" si="10"/>
        <v>1.3045533353440001E-2</v>
      </c>
      <c r="T186" t="str">
        <f t="shared" si="11"/>
        <v xml:space="preserve">'BCH', </v>
      </c>
      <c r="AJ186" s="27" t="s">
        <v>85</v>
      </c>
      <c r="AK186" s="44">
        <v>1111.40706884</v>
      </c>
      <c r="AL186">
        <v>63891.651485509487</v>
      </c>
      <c r="AN186" t="s">
        <v>112</v>
      </c>
      <c r="AO186" t="s">
        <v>37</v>
      </c>
      <c r="AP186">
        <v>71073.205401560001</v>
      </c>
      <c r="AR186" s="4" t="s">
        <v>24</v>
      </c>
      <c r="AS186" s="42">
        <v>9.1421368100000002</v>
      </c>
    </row>
    <row r="187" spans="1:45" x14ac:dyDescent="0.25">
      <c r="A187">
        <v>185</v>
      </c>
      <c r="B187" t="s">
        <v>41</v>
      </c>
      <c r="C187" s="1">
        <v>2.9999999999999997E-8</v>
      </c>
      <c r="D187" t="s">
        <v>72</v>
      </c>
      <c r="E187" t="s">
        <v>113</v>
      </c>
      <c r="F187" t="s">
        <v>591</v>
      </c>
      <c r="G187" s="22">
        <v>20230112</v>
      </c>
      <c r="H187" s="56">
        <v>44939.00000104167</v>
      </c>
      <c r="I187">
        <v>1.2644395792497801E-6</v>
      </c>
      <c r="K187" s="21" t="s">
        <v>569</v>
      </c>
      <c r="L187" s="21" t="s">
        <v>567</v>
      </c>
      <c r="M187" s="21" t="s">
        <v>85</v>
      </c>
      <c r="N187" s="21" t="s">
        <v>112</v>
      </c>
      <c r="P187" t="str">
        <f t="shared" si="8"/>
        <v>BSV</v>
      </c>
      <c r="Q187">
        <f t="shared" si="9"/>
        <v>42.147985974992672</v>
      </c>
      <c r="R187">
        <v>1.1527933884314108E-3</v>
      </c>
      <c r="S187">
        <f t="shared" si="10"/>
        <v>3.4583801652942321E-11</v>
      </c>
      <c r="T187" t="str">
        <f t="shared" si="11"/>
        <v xml:space="preserve">'BSV', </v>
      </c>
      <c r="AJ187" s="4" t="s">
        <v>193</v>
      </c>
      <c r="AK187" s="44">
        <v>5.6554146699999999</v>
      </c>
      <c r="AL187">
        <v>5.0223484310191928</v>
      </c>
      <c r="AN187" t="s">
        <v>112</v>
      </c>
      <c r="AO187" t="s">
        <v>25</v>
      </c>
      <c r="AP187">
        <v>4.8644820000000002E-4</v>
      </c>
      <c r="AR187" s="4" t="s">
        <v>89</v>
      </c>
      <c r="AS187" s="42">
        <v>867220.80407488998</v>
      </c>
    </row>
    <row r="188" spans="1:45" x14ac:dyDescent="0.25">
      <c r="A188">
        <v>186</v>
      </c>
      <c r="B188" t="s">
        <v>41</v>
      </c>
      <c r="C188" s="1">
        <v>18.041232239999999</v>
      </c>
      <c r="D188" t="s">
        <v>72</v>
      </c>
      <c r="E188" t="s">
        <v>14</v>
      </c>
      <c r="F188" t="s">
        <v>591</v>
      </c>
      <c r="G188" s="22">
        <v>20230112</v>
      </c>
      <c r="H188" s="56">
        <v>44939.00000104167</v>
      </c>
      <c r="I188">
        <v>340430.62037817598</v>
      </c>
      <c r="K188" s="21" t="s">
        <v>570</v>
      </c>
      <c r="L188" s="21" t="s">
        <v>567</v>
      </c>
      <c r="M188" s="21" t="s">
        <v>85</v>
      </c>
      <c r="N188" s="21" t="s">
        <v>112</v>
      </c>
      <c r="P188" t="str">
        <f t="shared" si="8"/>
        <v>BTC</v>
      </c>
      <c r="Q188">
        <f t="shared" si="9"/>
        <v>18869.588055265565</v>
      </c>
      <c r="R188">
        <v>0</v>
      </c>
      <c r="S188">
        <f t="shared" si="10"/>
        <v>0</v>
      </c>
      <c r="T188" t="str">
        <f t="shared" si="11"/>
        <v xml:space="preserve">'BTC', </v>
      </c>
      <c r="AJ188" s="27" t="s">
        <v>85</v>
      </c>
      <c r="AK188" s="44">
        <v>5.6554146699999999</v>
      </c>
      <c r="AL188">
        <v>5.0223484310191928</v>
      </c>
      <c r="AN188" t="s">
        <v>112</v>
      </c>
      <c r="AO188" t="s">
        <v>99</v>
      </c>
      <c r="AP188">
        <v>1.9184280000000001E-4</v>
      </c>
      <c r="AR188" s="4" t="s">
        <v>98</v>
      </c>
      <c r="AS188" s="42">
        <v>0.10834547999999999</v>
      </c>
    </row>
    <row r="189" spans="1:45" x14ac:dyDescent="0.25">
      <c r="A189">
        <v>187</v>
      </c>
      <c r="B189" t="s">
        <v>41</v>
      </c>
      <c r="C189" s="1">
        <v>-0.70682544000000003</v>
      </c>
      <c r="D189" t="s">
        <v>90</v>
      </c>
      <c r="E189" t="s">
        <v>14</v>
      </c>
      <c r="F189" t="s">
        <v>591</v>
      </c>
      <c r="G189" s="22">
        <v>20230112</v>
      </c>
      <c r="H189" s="56">
        <v>44939.00000104167</v>
      </c>
      <c r="I189">
        <v>-13337.5048797818</v>
      </c>
      <c r="K189" s="21" t="s">
        <v>570</v>
      </c>
      <c r="L189" s="21" t="s">
        <v>567</v>
      </c>
      <c r="M189" s="21" t="s">
        <v>85</v>
      </c>
      <c r="N189" s="21" t="s">
        <v>112</v>
      </c>
      <c r="P189" t="str">
        <f t="shared" si="8"/>
        <v>BTC</v>
      </c>
      <c r="Q189">
        <f t="shared" si="9"/>
        <v>18869.588055265525</v>
      </c>
      <c r="R189">
        <v>6.2919999999999998</v>
      </c>
      <c r="S189">
        <f t="shared" si="10"/>
        <v>-4.4473456684799997</v>
      </c>
      <c r="T189" t="str">
        <f t="shared" si="11"/>
        <v xml:space="preserve">'BTC', </v>
      </c>
      <c r="AJ189" s="4" t="s">
        <v>150</v>
      </c>
      <c r="AK189" s="44">
        <v>4.7709999999999999</v>
      </c>
      <c r="AL189">
        <v>5.3869935897813734</v>
      </c>
      <c r="AN189" t="s">
        <v>112</v>
      </c>
      <c r="AO189" t="s">
        <v>117</v>
      </c>
      <c r="AP189">
        <v>2.4299999999999999E-3</v>
      </c>
      <c r="AR189" s="4" t="s">
        <v>95</v>
      </c>
      <c r="AS189" s="42">
        <v>112996.6406</v>
      </c>
    </row>
    <row r="190" spans="1:45" x14ac:dyDescent="0.25">
      <c r="A190">
        <v>188</v>
      </c>
      <c r="B190" t="s">
        <v>41</v>
      </c>
      <c r="C190" s="1">
        <v>3.8972899999999999E-3</v>
      </c>
      <c r="D190" t="s">
        <v>72</v>
      </c>
      <c r="E190" t="s">
        <v>22</v>
      </c>
      <c r="F190" t="s">
        <v>591</v>
      </c>
      <c r="G190" s="22">
        <v>20230112</v>
      </c>
      <c r="H190" s="56">
        <v>44939.00000104167</v>
      </c>
      <c r="I190">
        <v>2.03807920771737E-2</v>
      </c>
      <c r="K190" s="21" t="s">
        <v>578</v>
      </c>
      <c r="L190" s="21" t="s">
        <v>567</v>
      </c>
      <c r="M190" s="21" t="s">
        <v>85</v>
      </c>
      <c r="N190" s="21" t="s">
        <v>112</v>
      </c>
      <c r="P190" t="str">
        <f t="shared" si="8"/>
        <v>DOT</v>
      </c>
      <c r="Q190">
        <f t="shared" si="9"/>
        <v>5.2294779390739974</v>
      </c>
      <c r="R190">
        <v>2.6570859136728994E-7</v>
      </c>
      <c r="S190">
        <f t="shared" si="10"/>
        <v>1.0355434360498254E-9</v>
      </c>
      <c r="T190" t="str">
        <f t="shared" si="11"/>
        <v xml:space="preserve">'DOT', </v>
      </c>
      <c r="AJ190" s="27" t="s">
        <v>85</v>
      </c>
      <c r="AK190" s="44">
        <v>4.7709999999999999</v>
      </c>
      <c r="AL190">
        <v>5.3869935897813734</v>
      </c>
      <c r="AN190" t="s">
        <v>112</v>
      </c>
      <c r="AO190" t="s">
        <v>328</v>
      </c>
      <c r="AP190">
        <v>377.09760540000002</v>
      </c>
      <c r="AR190" s="4" t="s">
        <v>38</v>
      </c>
      <c r="AS190" s="42">
        <v>1.182861E-2</v>
      </c>
    </row>
    <row r="191" spans="1:45" x14ac:dyDescent="0.25">
      <c r="A191">
        <v>189</v>
      </c>
      <c r="B191" t="s">
        <v>41</v>
      </c>
      <c r="C191" s="1">
        <v>0.1010306</v>
      </c>
      <c r="D191" t="s">
        <v>72</v>
      </c>
      <c r="E191" t="s">
        <v>29</v>
      </c>
      <c r="F191" t="s">
        <v>591</v>
      </c>
      <c r="G191" s="22">
        <v>20230112</v>
      </c>
      <c r="H191" s="56">
        <v>44939.00000104167</v>
      </c>
      <c r="I191">
        <v>2.1133336633936102</v>
      </c>
      <c r="K191" s="21" t="s">
        <v>572</v>
      </c>
      <c r="L191" s="21" t="s">
        <v>567</v>
      </c>
      <c r="M191" s="21" t="s">
        <v>85</v>
      </c>
      <c r="N191" s="21" t="s">
        <v>112</v>
      </c>
      <c r="P191" t="str">
        <f t="shared" si="8"/>
        <v>ETC</v>
      </c>
      <c r="Q191">
        <f t="shared" si="9"/>
        <v>20.917758217744034</v>
      </c>
      <c r="R191">
        <v>62.35</v>
      </c>
      <c r="S191">
        <f t="shared" si="10"/>
        <v>6.2992579099999997</v>
      </c>
      <c r="T191" t="str">
        <f t="shared" si="11"/>
        <v xml:space="preserve">'ETC', </v>
      </c>
      <c r="AJ191" s="4" t="s">
        <v>89</v>
      </c>
      <c r="AK191" s="44">
        <v>76.700156329999999</v>
      </c>
      <c r="AL191">
        <v>6.2553256805855293</v>
      </c>
      <c r="AN191" t="s">
        <v>112</v>
      </c>
      <c r="AO191" t="s">
        <v>329</v>
      </c>
      <c r="AP191" s="29">
        <v>1.1000000000000001E-7</v>
      </c>
      <c r="AR191" s="4" t="s">
        <v>163</v>
      </c>
      <c r="AS191" s="42">
        <v>8.93329E-3</v>
      </c>
    </row>
    <row r="192" spans="1:45" x14ac:dyDescent="0.25">
      <c r="A192">
        <v>190</v>
      </c>
      <c r="B192" t="s">
        <v>41</v>
      </c>
      <c r="C192" s="1">
        <v>146.63241235999999</v>
      </c>
      <c r="D192" t="s">
        <v>72</v>
      </c>
      <c r="E192" t="s">
        <v>15</v>
      </c>
      <c r="F192" t="s">
        <v>591</v>
      </c>
      <c r="G192" s="22">
        <v>20230112</v>
      </c>
      <c r="H192" s="56">
        <v>44939.00000104167</v>
      </c>
      <c r="I192">
        <v>207915.74622197301</v>
      </c>
      <c r="K192" s="21" t="s">
        <v>573</v>
      </c>
      <c r="L192" s="21" t="s">
        <v>567</v>
      </c>
      <c r="M192" s="21" t="s">
        <v>85</v>
      </c>
      <c r="N192" s="21" t="s">
        <v>112</v>
      </c>
      <c r="P192" t="str">
        <f t="shared" si="8"/>
        <v>ETH</v>
      </c>
      <c r="Q192">
        <f t="shared" si="9"/>
        <v>1417.9385231112146</v>
      </c>
      <c r="R192">
        <v>2.258648296506351E-4</v>
      </c>
      <c r="S192">
        <f t="shared" si="10"/>
        <v>3.3119104838953077E-2</v>
      </c>
      <c r="T192" t="str">
        <f t="shared" si="11"/>
        <v xml:space="preserve">'ETH', </v>
      </c>
      <c r="AJ192" s="27" t="s">
        <v>85</v>
      </c>
      <c r="AK192" s="44">
        <v>76.700156329999999</v>
      </c>
      <c r="AL192">
        <v>6.2553256805855293</v>
      </c>
      <c r="AN192" t="s">
        <v>112</v>
      </c>
      <c r="AO192" t="s">
        <v>329</v>
      </c>
      <c r="AP192" s="29">
        <v>1E-8</v>
      </c>
      <c r="AR192" s="4" t="s">
        <v>99</v>
      </c>
      <c r="AS192" s="42">
        <v>0.71704489000000005</v>
      </c>
    </row>
    <row r="193" spans="1:45" x14ac:dyDescent="0.25">
      <c r="A193">
        <v>191</v>
      </c>
      <c r="B193" t="s">
        <v>41</v>
      </c>
      <c r="C193" s="1">
        <v>-2.6088340000000002E-2</v>
      </c>
      <c r="D193" t="s">
        <v>90</v>
      </c>
      <c r="E193" t="s">
        <v>15</v>
      </c>
      <c r="F193" t="s">
        <v>591</v>
      </c>
      <c r="G193" s="22">
        <v>20230112</v>
      </c>
      <c r="H193" s="56">
        <v>44939.00000104167</v>
      </c>
      <c r="I193">
        <v>-36.991662290023299</v>
      </c>
      <c r="K193" s="21" t="s">
        <v>573</v>
      </c>
      <c r="L193" s="21" t="s">
        <v>567</v>
      </c>
      <c r="M193" s="21" t="s">
        <v>85</v>
      </c>
      <c r="N193" s="21" t="s">
        <v>112</v>
      </c>
      <c r="P193" t="str">
        <f t="shared" si="8"/>
        <v>ETH</v>
      </c>
      <c r="Q193">
        <f t="shared" si="9"/>
        <v>1417.9385231112174</v>
      </c>
      <c r="R193">
        <v>0.41775250000000003</v>
      </c>
      <c r="S193">
        <f t="shared" si="10"/>
        <v>-1.0898469255850002E-2</v>
      </c>
      <c r="T193" t="str">
        <f t="shared" si="11"/>
        <v xml:space="preserve">'ETH', </v>
      </c>
      <c r="AJ193" s="4" t="s">
        <v>154</v>
      </c>
      <c r="AK193" s="44">
        <v>2.8970426800000002</v>
      </c>
      <c r="AL193">
        <v>38.138201150398459</v>
      </c>
      <c r="AN193" t="s">
        <v>112</v>
      </c>
      <c r="AO193" t="s">
        <v>330</v>
      </c>
      <c r="AP193">
        <v>3587.9402382600001</v>
      </c>
      <c r="AR193" s="3" t="s">
        <v>172</v>
      </c>
      <c r="AS193" s="42">
        <v>494465.35712</v>
      </c>
    </row>
    <row r="194" spans="1:45" x14ac:dyDescent="0.25">
      <c r="A194">
        <v>192</v>
      </c>
      <c r="B194" t="s">
        <v>41</v>
      </c>
      <c r="C194" s="1">
        <v>9.5620999999999998E-4</v>
      </c>
      <c r="D194" t="s">
        <v>72</v>
      </c>
      <c r="E194" t="s">
        <v>27</v>
      </c>
      <c r="F194" t="s">
        <v>591</v>
      </c>
      <c r="G194" s="22">
        <v>20230112</v>
      </c>
      <c r="H194" s="56">
        <v>44939.00000104167</v>
      </c>
      <c r="I194">
        <v>6.1018930437566196E-3</v>
      </c>
      <c r="K194" s="21" t="s">
        <v>579</v>
      </c>
      <c r="L194" s="21" t="s">
        <v>567</v>
      </c>
      <c r="M194" s="21" t="s">
        <v>85</v>
      </c>
      <c r="N194" s="21" t="s">
        <v>112</v>
      </c>
      <c r="P194" t="str">
        <f t="shared" ref="P194:P257" si="12">IF($C194="","",$E194)</f>
        <v>LINK</v>
      </c>
      <c r="Q194">
        <f t="shared" si="9"/>
        <v>6.3813315524378744</v>
      </c>
      <c r="R194">
        <v>6.6048439999999999</v>
      </c>
      <c r="S194">
        <f t="shared" si="10"/>
        <v>6.3156178812400002E-3</v>
      </c>
      <c r="T194" t="str">
        <f t="shared" si="11"/>
        <v xml:space="preserve">'LINK', </v>
      </c>
      <c r="AJ194" s="27" t="s">
        <v>85</v>
      </c>
      <c r="AK194" s="44">
        <v>2.8970426800000002</v>
      </c>
      <c r="AL194">
        <v>38.138201150398459</v>
      </c>
      <c r="AN194" t="s">
        <v>112</v>
      </c>
      <c r="AO194" t="s">
        <v>331</v>
      </c>
      <c r="AP194">
        <v>0.53247394999999997</v>
      </c>
      <c r="AR194" s="4" t="s">
        <v>20</v>
      </c>
      <c r="AS194" s="42">
        <v>0.1</v>
      </c>
    </row>
    <row r="195" spans="1:45" x14ac:dyDescent="0.25">
      <c r="A195">
        <v>193</v>
      </c>
      <c r="B195" t="s">
        <v>41</v>
      </c>
      <c r="C195" s="1">
        <v>2.4771099999999998E-3</v>
      </c>
      <c r="D195" t="s">
        <v>72</v>
      </c>
      <c r="E195" t="s">
        <v>24</v>
      </c>
      <c r="F195" t="s">
        <v>591</v>
      </c>
      <c r="G195" s="22">
        <v>20230112</v>
      </c>
      <c r="H195" s="56">
        <v>44939.00000104167</v>
      </c>
      <c r="I195">
        <v>0.21294285241476199</v>
      </c>
      <c r="K195" s="21" t="s">
        <v>574</v>
      </c>
      <c r="L195" s="21" t="s">
        <v>567</v>
      </c>
      <c r="M195" s="21" t="s">
        <v>85</v>
      </c>
      <c r="N195" s="21" t="s">
        <v>112</v>
      </c>
      <c r="P195" t="str">
        <f t="shared" si="12"/>
        <v>LTC</v>
      </c>
      <c r="Q195">
        <f t="shared" ref="Q195:Q258" si="13">IF($C195="","",$I195/$C195)</f>
        <v>85.964229450755923</v>
      </c>
      <c r="R195">
        <v>1.76108583409011E-4</v>
      </c>
      <c r="S195">
        <f t="shared" ref="S195:S258" si="14">IF($B195="","",$C195*$R195)</f>
        <v>4.3624033304829521E-7</v>
      </c>
      <c r="T195" t="str">
        <f t="shared" ref="T195:T258" si="15">"'"&amp;P195&amp;"', "</f>
        <v xml:space="preserve">'LTC', </v>
      </c>
      <c r="AJ195" s="4" t="s">
        <v>159</v>
      </c>
      <c r="AK195" s="44">
        <v>0.82786806999999996</v>
      </c>
      <c r="AL195">
        <v>4.809573020528676</v>
      </c>
      <c r="AN195" t="s">
        <v>112</v>
      </c>
      <c r="AO195" t="s">
        <v>332</v>
      </c>
      <c r="AP195">
        <v>5.2478028200000004</v>
      </c>
      <c r="AR195" s="4" t="s">
        <v>14</v>
      </c>
      <c r="AS195" s="42">
        <v>7.4249999999999998</v>
      </c>
    </row>
    <row r="196" spans="1:45" x14ac:dyDescent="0.25">
      <c r="A196">
        <v>194</v>
      </c>
      <c r="B196" t="s">
        <v>41</v>
      </c>
      <c r="C196" s="1">
        <v>71073.205401560001</v>
      </c>
      <c r="D196" t="s">
        <v>72</v>
      </c>
      <c r="E196" t="s">
        <v>37</v>
      </c>
      <c r="F196" t="s">
        <v>591</v>
      </c>
      <c r="G196" s="22">
        <v>20230112</v>
      </c>
      <c r="H196" s="56">
        <v>44939.00000104167</v>
      </c>
      <c r="I196">
        <v>0.67316157360309703</v>
      </c>
      <c r="K196" s="21" t="s">
        <v>593</v>
      </c>
      <c r="L196" s="21" t="s">
        <v>567</v>
      </c>
      <c r="M196" s="21" t="s">
        <v>85</v>
      </c>
      <c r="N196" s="21" t="s">
        <v>112</v>
      </c>
      <c r="P196" t="str">
        <f t="shared" si="12"/>
        <v>SHIB</v>
      </c>
      <c r="Q196">
        <f t="shared" si="13"/>
        <v>9.4713833405960569E-6</v>
      </c>
      <c r="R196">
        <v>4.7741776000000002E-7</v>
      </c>
      <c r="S196">
        <f t="shared" si="14"/>
        <v>3.3931610518832679E-2</v>
      </c>
      <c r="T196" t="str">
        <f t="shared" si="15"/>
        <v xml:space="preserve">'SHIB', </v>
      </c>
      <c r="AJ196" s="27" t="s">
        <v>85</v>
      </c>
      <c r="AK196" s="44">
        <v>0.82786806999999996</v>
      </c>
      <c r="AL196">
        <v>4.809573020528676</v>
      </c>
      <c r="AN196" t="s">
        <v>112</v>
      </c>
      <c r="AO196" t="s">
        <v>333</v>
      </c>
      <c r="AP196">
        <v>1.5389969999999999E-2</v>
      </c>
      <c r="AR196" s="4" t="s">
        <v>15</v>
      </c>
      <c r="AS196" s="42">
        <v>5.0000000000000001E-4</v>
      </c>
    </row>
    <row r="197" spans="1:45" x14ac:dyDescent="0.25">
      <c r="A197">
        <v>195</v>
      </c>
      <c r="B197" t="s">
        <v>41</v>
      </c>
      <c r="C197" s="1">
        <v>4.8644999999999998E-4</v>
      </c>
      <c r="D197" t="s">
        <v>72</v>
      </c>
      <c r="E197" t="s">
        <v>25</v>
      </c>
      <c r="F197" t="s">
        <v>591</v>
      </c>
      <c r="G197" s="22">
        <v>20230112</v>
      </c>
      <c r="H197" s="56">
        <v>44939.00000104167</v>
      </c>
      <c r="I197">
        <v>2.7781743060320699E-5</v>
      </c>
      <c r="K197" s="21" t="s">
        <v>575</v>
      </c>
      <c r="L197" s="21" t="s">
        <v>567</v>
      </c>
      <c r="M197" s="21" t="s">
        <v>85</v>
      </c>
      <c r="N197" s="21" t="s">
        <v>112</v>
      </c>
      <c r="P197" t="str">
        <f t="shared" si="12"/>
        <v>TRX</v>
      </c>
      <c r="Q197">
        <f t="shared" si="13"/>
        <v>5.7111199630631514E-2</v>
      </c>
      <c r="R197">
        <v>0.17799487568856576</v>
      </c>
      <c r="S197">
        <f t="shared" si="14"/>
        <v>8.6585607278702814E-5</v>
      </c>
      <c r="T197" t="str">
        <f t="shared" si="15"/>
        <v xml:space="preserve">'TRX', </v>
      </c>
      <c r="AJ197" s="4" t="s">
        <v>92</v>
      </c>
      <c r="AK197" s="44">
        <v>5089258.3810449997</v>
      </c>
      <c r="AL197">
        <v>5089952.2505408712</v>
      </c>
      <c r="AN197" t="s">
        <v>112</v>
      </c>
      <c r="AO197" t="s">
        <v>334</v>
      </c>
      <c r="AP197">
        <v>152.41521331999999</v>
      </c>
      <c r="AR197" s="4" t="s">
        <v>24</v>
      </c>
      <c r="AS197" s="42">
        <v>914.82898999999998</v>
      </c>
    </row>
    <row r="198" spans="1:45" x14ac:dyDescent="0.25">
      <c r="A198">
        <v>196</v>
      </c>
      <c r="B198" t="s">
        <v>41</v>
      </c>
      <c r="C198" s="1">
        <v>1.9184000000000001E-4</v>
      </c>
      <c r="D198" t="s">
        <v>72</v>
      </c>
      <c r="E198" t="s">
        <v>99</v>
      </c>
      <c r="F198" t="s">
        <v>591</v>
      </c>
      <c r="G198" s="22">
        <v>20230112</v>
      </c>
      <c r="H198" s="56">
        <v>44939.00000104167</v>
      </c>
      <c r="I198">
        <v>7.1977819767686302E-5</v>
      </c>
      <c r="K198" s="21" t="s">
        <v>576</v>
      </c>
      <c r="L198" s="21" t="s">
        <v>567</v>
      </c>
      <c r="M198" s="21" t="s">
        <v>85</v>
      </c>
      <c r="N198" s="21" t="s">
        <v>112</v>
      </c>
      <c r="P198" t="str">
        <f t="shared" si="12"/>
        <v>XRP</v>
      </c>
      <c r="Q198">
        <f t="shared" si="13"/>
        <v>0.37519714224190104</v>
      </c>
      <c r="R198">
        <v>1.1276999999999999</v>
      </c>
      <c r="S198">
        <f t="shared" si="14"/>
        <v>2.1633796799999999E-4</v>
      </c>
      <c r="T198" t="str">
        <f t="shared" si="15"/>
        <v xml:space="preserve">'XRP', </v>
      </c>
      <c r="AJ198" s="27" t="s">
        <v>85</v>
      </c>
      <c r="AK198" s="44">
        <v>5089258.3810449997</v>
      </c>
      <c r="AL198">
        <v>5089952.2505408712</v>
      </c>
      <c r="AN198" t="s">
        <v>112</v>
      </c>
      <c r="AO198" t="s">
        <v>335</v>
      </c>
      <c r="AP198">
        <v>0.39312850999999999</v>
      </c>
      <c r="AR198" s="4" t="s">
        <v>95</v>
      </c>
      <c r="AS198" s="42">
        <v>2.63E-3</v>
      </c>
    </row>
    <row r="199" spans="1:45" x14ac:dyDescent="0.25">
      <c r="A199">
        <v>197</v>
      </c>
      <c r="B199" t="s">
        <v>41</v>
      </c>
      <c r="C199" s="1">
        <v>2.4299999999999999E-3</v>
      </c>
      <c r="D199" t="s">
        <v>72</v>
      </c>
      <c r="E199" t="s">
        <v>117</v>
      </c>
      <c r="F199" t="s">
        <v>591</v>
      </c>
      <c r="G199" s="22">
        <v>20230112</v>
      </c>
      <c r="H199" s="56">
        <v>44939.00000104167</v>
      </c>
      <c r="I199">
        <v>2.9853911400186601</v>
      </c>
      <c r="K199" s="21" t="s">
        <v>594</v>
      </c>
      <c r="L199" s="21" t="s">
        <v>567</v>
      </c>
      <c r="M199" s="21" t="s">
        <v>85</v>
      </c>
      <c r="N199" s="21" t="s">
        <v>112</v>
      </c>
      <c r="P199" t="str">
        <f t="shared" si="12"/>
        <v>YFII</v>
      </c>
      <c r="Q199">
        <f t="shared" si="13"/>
        <v>1228.5560246990372</v>
      </c>
      <c r="R199">
        <v>0.23309070963322473</v>
      </c>
      <c r="S199">
        <f t="shared" si="14"/>
        <v>5.6641042440873607E-4</v>
      </c>
      <c r="T199" t="str">
        <f t="shared" si="15"/>
        <v xml:space="preserve">'YFII', </v>
      </c>
      <c r="AJ199" s="4" t="s">
        <v>38</v>
      </c>
      <c r="AK199" s="44">
        <v>35119.677000000003</v>
      </c>
      <c r="AL199">
        <v>35075.93889653535</v>
      </c>
      <c r="AN199" t="s">
        <v>112</v>
      </c>
      <c r="AO199" t="s">
        <v>335</v>
      </c>
      <c r="AP199">
        <v>-29.37</v>
      </c>
      <c r="AR199" s="4" t="s">
        <v>99</v>
      </c>
      <c r="AS199" s="42">
        <v>493543</v>
      </c>
    </row>
    <row r="200" spans="1:45" x14ac:dyDescent="0.25">
      <c r="A200">
        <v>198</v>
      </c>
      <c r="B200" t="s">
        <v>42</v>
      </c>
      <c r="C200" s="1">
        <v>38063.850801009998</v>
      </c>
      <c r="D200" t="s">
        <v>72</v>
      </c>
      <c r="E200" t="s">
        <v>38</v>
      </c>
      <c r="F200">
        <v>0</v>
      </c>
      <c r="G200" s="22">
        <v>20230112</v>
      </c>
      <c r="H200" s="56">
        <v>44939.000001504632</v>
      </c>
      <c r="I200">
        <v>38067.3545474356</v>
      </c>
      <c r="K200" s="21" t="s">
        <v>590</v>
      </c>
      <c r="L200" s="21" t="s">
        <v>567</v>
      </c>
      <c r="M200" s="21" t="s">
        <v>85</v>
      </c>
      <c r="N200" s="21" t="s">
        <v>112</v>
      </c>
      <c r="P200" t="str">
        <f t="shared" si="12"/>
        <v>USDT</v>
      </c>
      <c r="Q200">
        <f t="shared" si="13"/>
        <v>1.0000920491845116</v>
      </c>
      <c r="R200">
        <v>8.09E-2</v>
      </c>
      <c r="S200">
        <f t="shared" si="14"/>
        <v>3079.3655298017088</v>
      </c>
      <c r="T200" t="str">
        <f t="shared" si="15"/>
        <v xml:space="preserve">'USDT', </v>
      </c>
      <c r="AJ200" s="27" t="s">
        <v>85</v>
      </c>
      <c r="AK200" s="44">
        <v>35119.677000000003</v>
      </c>
      <c r="AL200">
        <v>35075.93889653535</v>
      </c>
      <c r="AN200" t="s">
        <v>112</v>
      </c>
      <c r="AO200" t="s">
        <v>335</v>
      </c>
      <c r="AP200" s="29">
        <v>1E-8</v>
      </c>
      <c r="AR200" s="3" t="s">
        <v>173</v>
      </c>
      <c r="AS200" s="42">
        <v>10138.885630000001</v>
      </c>
    </row>
    <row r="201" spans="1:45" x14ac:dyDescent="0.25">
      <c r="A201">
        <v>199</v>
      </c>
      <c r="B201" t="s">
        <v>42</v>
      </c>
      <c r="C201" s="1">
        <v>170.33860000000001</v>
      </c>
      <c r="D201" t="s">
        <v>90</v>
      </c>
      <c r="E201" t="s">
        <v>38</v>
      </c>
      <c r="F201">
        <v>0</v>
      </c>
      <c r="G201" s="22">
        <v>20230112</v>
      </c>
      <c r="H201" s="56">
        <v>44939.000001504632</v>
      </c>
      <c r="I201">
        <v>170.354279529221</v>
      </c>
      <c r="K201" s="21" t="s">
        <v>590</v>
      </c>
      <c r="L201" s="21" t="s">
        <v>567</v>
      </c>
      <c r="M201" s="21" t="s">
        <v>85</v>
      </c>
      <c r="N201" s="21" t="s">
        <v>112</v>
      </c>
      <c r="P201" t="str">
        <f t="shared" si="12"/>
        <v>USDT</v>
      </c>
      <c r="Q201">
        <f t="shared" si="13"/>
        <v>1.0000920491845124</v>
      </c>
      <c r="R201">
        <v>2.0373893000000001</v>
      </c>
      <c r="S201">
        <f t="shared" si="14"/>
        <v>347.04604101698004</v>
      </c>
      <c r="T201" t="str">
        <f t="shared" si="15"/>
        <v xml:space="preserve">'USDT', </v>
      </c>
      <c r="AJ201" s="4" t="s">
        <v>163</v>
      </c>
      <c r="AK201" s="44">
        <v>4.0349905000000001</v>
      </c>
      <c r="AL201">
        <v>0.35635009905164272</v>
      </c>
      <c r="AN201" t="s">
        <v>112</v>
      </c>
      <c r="AO201" t="s">
        <v>335</v>
      </c>
      <c r="AP201">
        <v>31.011724019999999</v>
      </c>
      <c r="AR201" s="4" t="s">
        <v>95</v>
      </c>
      <c r="AS201" s="42">
        <v>10138.885630000001</v>
      </c>
    </row>
    <row r="202" spans="1:45" x14ac:dyDescent="0.25">
      <c r="A202">
        <v>200</v>
      </c>
      <c r="B202" t="s">
        <v>120</v>
      </c>
      <c r="C202" s="1">
        <v>377.09760540000002</v>
      </c>
      <c r="E202" t="s">
        <v>121</v>
      </c>
      <c r="F202" t="s">
        <v>595</v>
      </c>
      <c r="G202" s="22">
        <v>20230112</v>
      </c>
      <c r="H202" s="56">
        <v>44939.000003240741</v>
      </c>
      <c r="I202">
        <v>9.8431534717962399E-2</v>
      </c>
      <c r="K202" s="21" t="s">
        <v>596</v>
      </c>
      <c r="L202" s="21" t="s">
        <v>567</v>
      </c>
      <c r="M202" s="21" t="s">
        <v>85</v>
      </c>
      <c r="N202" s="21" t="s">
        <v>112</v>
      </c>
      <c r="P202" t="str">
        <f t="shared" si="12"/>
        <v>AAC</v>
      </c>
      <c r="Q202">
        <f t="shared" si="13"/>
        <v>2.6102402483715799E-4</v>
      </c>
      <c r="R202">
        <v>2.3022142275532113E-2</v>
      </c>
      <c r="S202">
        <f t="shared" si="14"/>
        <v>8.6815947232812682</v>
      </c>
      <c r="T202" t="str">
        <f t="shared" si="15"/>
        <v xml:space="preserve">'AAC', </v>
      </c>
      <c r="AJ202" s="27" t="s">
        <v>85</v>
      </c>
      <c r="AK202" s="44">
        <v>4.0349905000000001</v>
      </c>
      <c r="AL202">
        <v>0.35635009905164272</v>
      </c>
      <c r="AN202" t="s">
        <v>112</v>
      </c>
      <c r="AO202" t="s">
        <v>336</v>
      </c>
      <c r="AP202">
        <v>2.5033500000000001E-3</v>
      </c>
      <c r="AR202" s="3" t="s">
        <v>45</v>
      </c>
      <c r="AS202" s="42">
        <v>-9971397314.0193577</v>
      </c>
    </row>
    <row r="203" spans="1:45" x14ac:dyDescent="0.25">
      <c r="A203">
        <v>201</v>
      </c>
      <c r="B203" t="s">
        <v>120</v>
      </c>
      <c r="C203" s="1">
        <v>1.1000000000000001E-7</v>
      </c>
      <c r="E203" t="s">
        <v>84</v>
      </c>
      <c r="F203" t="s">
        <v>595</v>
      </c>
      <c r="G203" s="22">
        <v>20230112</v>
      </c>
      <c r="H203" s="56">
        <v>44939.000003240741</v>
      </c>
      <c r="I203">
        <v>3.62734322217713E-8</v>
      </c>
      <c r="K203" s="21" t="s">
        <v>566</v>
      </c>
      <c r="L203" s="21" t="s">
        <v>567</v>
      </c>
      <c r="M203" s="21" t="s">
        <v>85</v>
      </c>
      <c r="N203" s="21" t="s">
        <v>112</v>
      </c>
      <c r="P203" t="str">
        <f t="shared" si="12"/>
        <v>ADA</v>
      </c>
      <c r="Q203">
        <f t="shared" si="13"/>
        <v>0.32975847474337544</v>
      </c>
      <c r="R203">
        <v>1.2567074957005915E-2</v>
      </c>
      <c r="S203">
        <f t="shared" si="14"/>
        <v>1.3823782452706507E-9</v>
      </c>
      <c r="T203" t="str">
        <f t="shared" si="15"/>
        <v xml:space="preserve">'ADA', </v>
      </c>
      <c r="AJ203" s="4" t="s">
        <v>99</v>
      </c>
      <c r="AK203" s="44">
        <v>313.68989199999999</v>
      </c>
      <c r="AL203">
        <v>106.74755061957509</v>
      </c>
      <c r="AN203" t="s">
        <v>112</v>
      </c>
      <c r="AO203" t="s">
        <v>337</v>
      </c>
      <c r="AP203">
        <v>115.29838952</v>
      </c>
      <c r="AR203" s="4" t="s">
        <v>20</v>
      </c>
      <c r="AS203" s="42">
        <v>0.49829999999999902</v>
      </c>
    </row>
    <row r="204" spans="1:45" x14ac:dyDescent="0.25">
      <c r="A204">
        <v>202</v>
      </c>
      <c r="B204" t="s">
        <v>120</v>
      </c>
      <c r="C204" s="1">
        <v>2.6E-7</v>
      </c>
      <c r="E204" t="s">
        <v>122</v>
      </c>
      <c r="F204" t="s">
        <v>595</v>
      </c>
      <c r="G204" s="22">
        <v>20230112</v>
      </c>
      <c r="H204" s="56">
        <v>44939.000003240741</v>
      </c>
      <c r="I204">
        <v>5.5256887809946897E-8</v>
      </c>
      <c r="K204" s="21" t="s">
        <v>597</v>
      </c>
      <c r="L204" s="21" t="s">
        <v>567</v>
      </c>
      <c r="M204" s="21" t="s">
        <v>85</v>
      </c>
      <c r="N204" s="21" t="s">
        <v>112</v>
      </c>
      <c r="P204" t="str">
        <f t="shared" si="12"/>
        <v>ALGO</v>
      </c>
      <c r="Q204">
        <f t="shared" si="13"/>
        <v>0.21252649157671882</v>
      </c>
      <c r="R204">
        <v>9.1027119999999996E-6</v>
      </c>
      <c r="S204">
        <f t="shared" si="14"/>
        <v>2.3667051199999999E-12</v>
      </c>
      <c r="T204" t="str">
        <f t="shared" si="15"/>
        <v xml:space="preserve">'ALGO', </v>
      </c>
      <c r="AJ204" s="27" t="s">
        <v>85</v>
      </c>
      <c r="AK204" s="44">
        <v>313.68989199999999</v>
      </c>
      <c r="AL204">
        <v>106.74755061957509</v>
      </c>
      <c r="AN204" t="s">
        <v>112</v>
      </c>
      <c r="AO204" t="s">
        <v>338</v>
      </c>
      <c r="AP204">
        <v>14.7502</v>
      </c>
      <c r="AR204" s="4" t="s">
        <v>14</v>
      </c>
      <c r="AS204" s="42">
        <v>343.95710467827621</v>
      </c>
    </row>
    <row r="205" spans="1:45" x14ac:dyDescent="0.25">
      <c r="A205">
        <v>203</v>
      </c>
      <c r="B205" t="s">
        <v>120</v>
      </c>
      <c r="C205" s="1">
        <v>0.53247394999999997</v>
      </c>
      <c r="E205" t="s">
        <v>123</v>
      </c>
      <c r="F205" t="s">
        <v>595</v>
      </c>
      <c r="G205" s="22">
        <v>20230112</v>
      </c>
      <c r="H205" s="56">
        <v>44939.000003240741</v>
      </c>
      <c r="I205">
        <v>1.6120070397661099E-2</v>
      </c>
      <c r="K205" s="21" t="s">
        <v>598</v>
      </c>
      <c r="L205" s="21" t="s">
        <v>567</v>
      </c>
      <c r="M205" s="21" t="s">
        <v>85</v>
      </c>
      <c r="N205" s="21" t="s">
        <v>112</v>
      </c>
      <c r="P205" t="str">
        <f t="shared" si="12"/>
        <v>ARPA</v>
      </c>
      <c r="Q205">
        <f t="shared" si="13"/>
        <v>3.0273913677206367E-2</v>
      </c>
      <c r="R205">
        <v>13.78</v>
      </c>
      <c r="S205">
        <f t="shared" si="14"/>
        <v>7.337491030999999</v>
      </c>
      <c r="T205" t="str">
        <f t="shared" si="15"/>
        <v xml:space="preserve">'ARPA', </v>
      </c>
      <c r="AJ205" s="4" t="s">
        <v>171</v>
      </c>
      <c r="AK205" s="44">
        <v>7.66849E-3</v>
      </c>
      <c r="AL205">
        <v>43.807707989979207</v>
      </c>
      <c r="AN205" t="s">
        <v>112</v>
      </c>
      <c r="AO205" t="s">
        <v>339</v>
      </c>
      <c r="AP205">
        <v>2605.5844934199999</v>
      </c>
      <c r="AR205" s="4" t="s">
        <v>22</v>
      </c>
      <c r="AS205" s="42">
        <v>33</v>
      </c>
    </row>
    <row r="206" spans="1:45" x14ac:dyDescent="0.25">
      <c r="A206">
        <v>204</v>
      </c>
      <c r="B206" t="s">
        <v>120</v>
      </c>
      <c r="C206" s="1">
        <v>4.3657420000000002E-2</v>
      </c>
      <c r="E206" t="s">
        <v>35</v>
      </c>
      <c r="F206" t="s">
        <v>595</v>
      </c>
      <c r="G206" s="22">
        <v>20230112</v>
      </c>
      <c r="H206" s="56">
        <v>44939.000003240741</v>
      </c>
      <c r="I206">
        <v>0.53588137669726599</v>
      </c>
      <c r="K206" s="21" t="s">
        <v>599</v>
      </c>
      <c r="L206" s="21" t="s">
        <v>567</v>
      </c>
      <c r="M206" s="21" t="s">
        <v>85</v>
      </c>
      <c r="N206" s="21" t="s">
        <v>112</v>
      </c>
      <c r="P206" t="str">
        <f t="shared" si="12"/>
        <v>ATOM</v>
      </c>
      <c r="Q206">
        <f t="shared" si="13"/>
        <v>12.274691832391056</v>
      </c>
      <c r="R206">
        <v>0.21565690774719862</v>
      </c>
      <c r="S206">
        <f t="shared" si="14"/>
        <v>9.4150241974207041E-3</v>
      </c>
      <c r="T206" t="str">
        <f t="shared" si="15"/>
        <v xml:space="preserve">'ATOM', </v>
      </c>
      <c r="AJ206" s="27" t="s">
        <v>85</v>
      </c>
      <c r="AK206" s="44">
        <v>7.66849E-3</v>
      </c>
      <c r="AL206">
        <v>43.807707989979207</v>
      </c>
      <c r="AN206" t="s">
        <v>112</v>
      </c>
      <c r="AO206" t="s">
        <v>339</v>
      </c>
      <c r="AP206" s="29">
        <v>1E-8</v>
      </c>
      <c r="AR206" s="4" t="s">
        <v>23</v>
      </c>
      <c r="AS206" s="42">
        <v>147384.59369374899</v>
      </c>
    </row>
    <row r="207" spans="1:45" x14ac:dyDescent="0.25">
      <c r="A207">
        <v>205</v>
      </c>
      <c r="B207" t="s">
        <v>120</v>
      </c>
      <c r="C207" s="1">
        <v>1.5389969999999999E-2</v>
      </c>
      <c r="E207" t="s">
        <v>187</v>
      </c>
      <c r="F207" t="s">
        <v>595</v>
      </c>
      <c r="G207" s="22">
        <v>20230112</v>
      </c>
      <c r="H207" s="56">
        <v>44939.000003240741</v>
      </c>
      <c r="I207">
        <v>0.23788815677752301</v>
      </c>
      <c r="K207" s="21" t="s">
        <v>600</v>
      </c>
      <c r="L207" s="21" t="s">
        <v>567</v>
      </c>
      <c r="M207" s="21" t="s">
        <v>85</v>
      </c>
      <c r="N207" s="21" t="s">
        <v>112</v>
      </c>
      <c r="P207" t="str">
        <f t="shared" si="12"/>
        <v>AVAX</v>
      </c>
      <c r="Q207">
        <f t="shared" si="13"/>
        <v>15.45735025978108</v>
      </c>
      <c r="R207">
        <v>0.30287269999999999</v>
      </c>
      <c r="S207">
        <f t="shared" si="14"/>
        <v>4.661201766819E-3</v>
      </c>
      <c r="T207" t="str">
        <f t="shared" si="15"/>
        <v xml:space="preserve">'AVAX', </v>
      </c>
      <c r="AJ207" s="3" t="s">
        <v>108</v>
      </c>
      <c r="AK207" s="44">
        <v>45363982.454128131</v>
      </c>
      <c r="AL207">
        <v>31430984.23244011</v>
      </c>
      <c r="AN207" t="s">
        <v>112</v>
      </c>
      <c r="AO207" t="s">
        <v>339</v>
      </c>
      <c r="AP207">
        <v>1625.6897381399999</v>
      </c>
      <c r="AR207" s="4" t="s">
        <v>29</v>
      </c>
      <c r="AS207" s="42">
        <v>-0.40708584438984002</v>
      </c>
    </row>
    <row r="208" spans="1:45" x14ac:dyDescent="0.25">
      <c r="A208">
        <v>206</v>
      </c>
      <c r="B208" t="s">
        <v>120</v>
      </c>
      <c r="C208" s="1">
        <v>2.0454320000000002E-2</v>
      </c>
      <c r="E208" t="s">
        <v>124</v>
      </c>
      <c r="F208" t="s">
        <v>595</v>
      </c>
      <c r="G208" s="22">
        <v>20230112</v>
      </c>
      <c r="H208" s="56">
        <v>44939.000003240741</v>
      </c>
      <c r="I208">
        <v>4.1885132344188104E-3</v>
      </c>
      <c r="K208" s="21" t="s">
        <v>601</v>
      </c>
      <c r="L208" s="21" t="s">
        <v>567</v>
      </c>
      <c r="M208" s="21" t="s">
        <v>85</v>
      </c>
      <c r="N208" s="21" t="s">
        <v>112</v>
      </c>
      <c r="P208" t="str">
        <f t="shared" si="12"/>
        <v>BAT</v>
      </c>
      <c r="Q208">
        <f t="shared" si="13"/>
        <v>0.2047740151918426</v>
      </c>
      <c r="R208">
        <v>5.0092902000000002E-2</v>
      </c>
      <c r="S208">
        <f t="shared" si="14"/>
        <v>1.0246162472366401E-3</v>
      </c>
      <c r="T208" t="str">
        <f t="shared" si="15"/>
        <v xml:space="preserve">'BAT', </v>
      </c>
      <c r="AJ208" s="4" t="s">
        <v>20</v>
      </c>
      <c r="AK208" s="44">
        <v>-3086.8876707200002</v>
      </c>
      <c r="AL208">
        <v>-307597.57568526833</v>
      </c>
      <c r="AN208" t="s">
        <v>112</v>
      </c>
      <c r="AO208" t="s">
        <v>339</v>
      </c>
      <c r="AP208">
        <v>-546.37</v>
      </c>
      <c r="AR208" s="4" t="s">
        <v>15</v>
      </c>
      <c r="AS208" s="42">
        <v>5256.4753521819885</v>
      </c>
    </row>
    <row r="209" spans="1:45" x14ac:dyDescent="0.25">
      <c r="A209">
        <v>207</v>
      </c>
      <c r="B209" t="s">
        <v>120</v>
      </c>
      <c r="C209" s="1">
        <v>22.00176016</v>
      </c>
      <c r="E209" t="s">
        <v>20</v>
      </c>
      <c r="F209" t="s">
        <v>595</v>
      </c>
      <c r="G209" s="22">
        <v>20230112</v>
      </c>
      <c r="H209" s="56">
        <v>44939.000003240741</v>
      </c>
      <c r="I209">
        <v>2633.8409645971401</v>
      </c>
      <c r="K209" s="21" t="s">
        <v>568</v>
      </c>
      <c r="L209" s="21" t="s">
        <v>567</v>
      </c>
      <c r="M209" s="21" t="s">
        <v>85</v>
      </c>
      <c r="N209" s="21" t="s">
        <v>112</v>
      </c>
      <c r="P209" t="str">
        <f t="shared" si="12"/>
        <v>BCH</v>
      </c>
      <c r="Q209">
        <f t="shared" si="13"/>
        <v>119.71046613741198</v>
      </c>
      <c r="R209">
        <v>3.200562746442823E-3</v>
      </c>
      <c r="S209">
        <f t="shared" si="14"/>
        <v>7.0418013924265888E-2</v>
      </c>
      <c r="T209" t="str">
        <f t="shared" si="15"/>
        <v xml:space="preserve">'BCH', </v>
      </c>
      <c r="AJ209" s="27" t="s">
        <v>195</v>
      </c>
      <c r="AK209" s="44">
        <v>-3086.8876707200002</v>
      </c>
      <c r="AL209">
        <v>-307597.57568526833</v>
      </c>
      <c r="AN209" t="s">
        <v>112</v>
      </c>
      <c r="AO209" t="s">
        <v>340</v>
      </c>
      <c r="AP209">
        <v>0.74809400000000004</v>
      </c>
      <c r="AR209" s="4" t="s">
        <v>30</v>
      </c>
      <c r="AS209" s="42">
        <v>-3.6901195303759099E-2</v>
      </c>
    </row>
    <row r="210" spans="1:45" x14ac:dyDescent="0.25">
      <c r="A210">
        <v>208</v>
      </c>
      <c r="B210" t="s">
        <v>120</v>
      </c>
      <c r="C210" s="1">
        <v>2.5033500000000001E-3</v>
      </c>
      <c r="E210" t="s">
        <v>125</v>
      </c>
      <c r="F210" t="s">
        <v>595</v>
      </c>
      <c r="G210" s="22">
        <v>20230112</v>
      </c>
      <c r="H210" s="56">
        <v>44939.000003240741</v>
      </c>
      <c r="I210">
        <v>1.13535741150493E-4</v>
      </c>
      <c r="K210" s="21" t="s">
        <v>602</v>
      </c>
      <c r="L210" s="21" t="s">
        <v>567</v>
      </c>
      <c r="M210" s="21" t="s">
        <v>85</v>
      </c>
      <c r="N210" s="21" t="s">
        <v>112</v>
      </c>
      <c r="P210" t="str">
        <f t="shared" si="12"/>
        <v>BHD</v>
      </c>
      <c r="Q210">
        <f t="shared" si="13"/>
        <v>4.5353522739725968E-2</v>
      </c>
      <c r="R210">
        <v>0.99974478737345207</v>
      </c>
      <c r="S210">
        <f t="shared" si="14"/>
        <v>2.5027111134713312E-3</v>
      </c>
      <c r="T210" t="str">
        <f t="shared" si="15"/>
        <v xml:space="preserve">'BHD', </v>
      </c>
      <c r="AJ210" s="4" t="s">
        <v>14</v>
      </c>
      <c r="AK210" s="44">
        <v>5.6822449999999997E-2</v>
      </c>
      <c r="AL210">
        <v>929.23830579595301</v>
      </c>
      <c r="AN210" t="s">
        <v>112</v>
      </c>
      <c r="AO210" t="s">
        <v>340</v>
      </c>
      <c r="AP210">
        <v>201.83665540999999</v>
      </c>
      <c r="AR210" s="4" t="s">
        <v>24</v>
      </c>
      <c r="AS210" s="42">
        <v>-29.569263762295201</v>
      </c>
    </row>
    <row r="211" spans="1:45" x14ac:dyDescent="0.25">
      <c r="A211">
        <v>209</v>
      </c>
      <c r="B211" t="s">
        <v>120</v>
      </c>
      <c r="C211" s="1">
        <v>115.29838952</v>
      </c>
      <c r="E211" t="s">
        <v>126</v>
      </c>
      <c r="F211" t="s">
        <v>595</v>
      </c>
      <c r="G211" s="22">
        <v>20230112</v>
      </c>
      <c r="H211" s="56">
        <v>44939.000003240741</v>
      </c>
      <c r="I211">
        <v>6.7795787076243297</v>
      </c>
      <c r="K211" s="21" t="s">
        <v>603</v>
      </c>
      <c r="L211" s="21" t="s">
        <v>567</v>
      </c>
      <c r="M211" s="21" t="s">
        <v>85</v>
      </c>
      <c r="N211" s="21" t="s">
        <v>112</v>
      </c>
      <c r="P211" t="str">
        <f t="shared" si="12"/>
        <v>BLZ</v>
      </c>
      <c r="Q211">
        <f t="shared" si="13"/>
        <v>5.8800289716521355E-2</v>
      </c>
      <c r="R211">
        <v>5.7869999999999999</v>
      </c>
      <c r="S211">
        <f t="shared" si="14"/>
        <v>667.23178015224005</v>
      </c>
      <c r="T211" t="str">
        <f t="shared" si="15"/>
        <v xml:space="preserve">'BLZ', </v>
      </c>
      <c r="AJ211" s="27" t="s">
        <v>85</v>
      </c>
      <c r="AK211" s="44">
        <v>5.6822449999999997E-2</v>
      </c>
      <c r="AL211">
        <v>929.23830579595301</v>
      </c>
      <c r="AN211" t="s">
        <v>112</v>
      </c>
      <c r="AO211" t="s">
        <v>340</v>
      </c>
      <c r="AP211">
        <v>344.26372151999999</v>
      </c>
      <c r="AR211" s="4" t="s">
        <v>89</v>
      </c>
      <c r="AS211" s="42">
        <v>383818.60575309797</v>
      </c>
    </row>
    <row r="212" spans="1:45" x14ac:dyDescent="0.25">
      <c r="A212">
        <v>210</v>
      </c>
      <c r="B212" t="s">
        <v>120</v>
      </c>
      <c r="C212" s="1">
        <v>14.7502</v>
      </c>
      <c r="E212" t="s">
        <v>127</v>
      </c>
      <c r="F212" t="s">
        <v>595</v>
      </c>
      <c r="G212" s="22">
        <v>20230112</v>
      </c>
      <c r="H212" s="56">
        <v>44939.000003240741</v>
      </c>
      <c r="I212">
        <v>2.82684210675981</v>
      </c>
      <c r="K212" s="21" t="s">
        <v>604</v>
      </c>
      <c r="L212" s="21" t="s">
        <v>567</v>
      </c>
      <c r="M212" s="21" t="s">
        <v>85</v>
      </c>
      <c r="N212" s="21" t="s">
        <v>112</v>
      </c>
      <c r="P212" t="str">
        <f t="shared" si="12"/>
        <v>BOBA</v>
      </c>
      <c r="Q212">
        <f t="shared" si="13"/>
        <v>0.19164771370963174</v>
      </c>
      <c r="R212">
        <v>1.0001621022067761</v>
      </c>
      <c r="S212">
        <f t="shared" si="14"/>
        <v>14.752591039970389</v>
      </c>
      <c r="T212" t="str">
        <f t="shared" si="15"/>
        <v xml:space="preserve">'BOBA', </v>
      </c>
      <c r="AJ212" s="4" t="s">
        <v>15</v>
      </c>
      <c r="AK212" s="44">
        <v>-11923.311404599999</v>
      </c>
      <c r="AL212">
        <v>-14568131.013139229</v>
      </c>
      <c r="AN212" t="s">
        <v>112</v>
      </c>
      <c r="AO212" t="s">
        <v>340</v>
      </c>
      <c r="AP212">
        <v>488.2668764</v>
      </c>
      <c r="AR212" s="4" t="s">
        <v>37</v>
      </c>
      <c r="AS212" s="42">
        <v>-10030682958.4883</v>
      </c>
    </row>
    <row r="213" spans="1:45" x14ac:dyDescent="0.25">
      <c r="A213">
        <v>211</v>
      </c>
      <c r="B213" t="s">
        <v>120</v>
      </c>
      <c r="C213" s="1">
        <v>1.807E-4</v>
      </c>
      <c r="E213" t="s">
        <v>113</v>
      </c>
      <c r="F213" t="s">
        <v>595</v>
      </c>
      <c r="G213" s="22">
        <v>20230112</v>
      </c>
      <c r="H213" s="56">
        <v>44939.000003240741</v>
      </c>
      <c r="I213">
        <v>7.6161410656811904E-3</v>
      </c>
      <c r="K213" s="21" t="s">
        <v>569</v>
      </c>
      <c r="L213" s="21" t="s">
        <v>567</v>
      </c>
      <c r="M213" s="21" t="s">
        <v>85</v>
      </c>
      <c r="N213" s="21" t="s">
        <v>112</v>
      </c>
      <c r="P213" t="str">
        <f t="shared" si="12"/>
        <v>BSV</v>
      </c>
      <c r="Q213">
        <f t="shared" si="13"/>
        <v>42.14798597499275</v>
      </c>
      <c r="R213">
        <v>0.99489122315701173</v>
      </c>
      <c r="S213">
        <f t="shared" si="14"/>
        <v>1.7977684402447201E-4</v>
      </c>
      <c r="T213" t="str">
        <f t="shared" si="15"/>
        <v xml:space="preserve">'BSV', </v>
      </c>
      <c r="AJ213" s="27" t="s">
        <v>195</v>
      </c>
      <c r="AK213" s="44">
        <v>-11923.311404599999</v>
      </c>
      <c r="AL213">
        <v>-14568131.013139229</v>
      </c>
      <c r="AN213" t="s">
        <v>112</v>
      </c>
      <c r="AO213" t="s">
        <v>341</v>
      </c>
      <c r="AP213">
        <v>0.33565571999999999</v>
      </c>
      <c r="AR213" s="4" t="s">
        <v>95</v>
      </c>
      <c r="AS213" s="42">
        <v>-24678.549614920001</v>
      </c>
    </row>
    <row r="214" spans="1:45" x14ac:dyDescent="0.25">
      <c r="A214">
        <v>212</v>
      </c>
      <c r="B214" t="s">
        <v>120</v>
      </c>
      <c r="C214" s="1">
        <v>108.63868278</v>
      </c>
      <c r="E214" t="s">
        <v>14</v>
      </c>
      <c r="F214" t="s">
        <v>595</v>
      </c>
      <c r="G214" s="22">
        <v>20230112</v>
      </c>
      <c r="H214" s="56">
        <v>44939.000003240741</v>
      </c>
      <c r="I214">
        <v>2049967.1909252701</v>
      </c>
      <c r="K214" s="21" t="s">
        <v>570</v>
      </c>
      <c r="L214" s="21" t="s">
        <v>567</v>
      </c>
      <c r="M214" s="21" t="s">
        <v>85</v>
      </c>
      <c r="N214" s="21" t="s">
        <v>112</v>
      </c>
      <c r="P214" t="str">
        <f t="shared" si="12"/>
        <v>BTC</v>
      </c>
      <c r="Q214">
        <f t="shared" si="13"/>
        <v>18869.58805526554</v>
      </c>
      <c r="R214">
        <v>0.9994019011090044</v>
      </c>
      <c r="S214">
        <f t="shared" si="14"/>
        <v>108.57370610431006</v>
      </c>
      <c r="T214" t="str">
        <f t="shared" si="15"/>
        <v xml:space="preserve">'BTC', </v>
      </c>
      <c r="AJ214" s="4" t="s">
        <v>107</v>
      </c>
      <c r="AK214" s="44">
        <v>33826924.97249233</v>
      </c>
      <c r="AL214">
        <v>34961818.305319443</v>
      </c>
      <c r="AN214" t="s">
        <v>112</v>
      </c>
      <c r="AO214" t="s">
        <v>342</v>
      </c>
      <c r="AP214">
        <v>1367501156.8785999</v>
      </c>
      <c r="AR214" s="4" t="s">
        <v>92</v>
      </c>
      <c r="AS214" s="42">
        <v>-66835.391536763593</v>
      </c>
    </row>
    <row r="215" spans="1:45" x14ac:dyDescent="0.25">
      <c r="A215">
        <v>213</v>
      </c>
      <c r="B215" t="s">
        <v>120</v>
      </c>
      <c r="C215" s="1">
        <v>0.33565571999999999</v>
      </c>
      <c r="E215" t="s">
        <v>128</v>
      </c>
      <c r="F215" t="s">
        <v>595</v>
      </c>
      <c r="G215" s="22">
        <v>20230112</v>
      </c>
      <c r="H215" s="56">
        <v>44939.000003240741</v>
      </c>
      <c r="I215">
        <v>5.0099972829981999E-3</v>
      </c>
      <c r="K215" s="21" t="s">
        <v>605</v>
      </c>
      <c r="L215" s="21" t="s">
        <v>567</v>
      </c>
      <c r="M215" s="21" t="s">
        <v>85</v>
      </c>
      <c r="N215" s="21" t="s">
        <v>112</v>
      </c>
      <c r="P215" t="str">
        <f t="shared" si="12"/>
        <v>BTM</v>
      </c>
      <c r="Q215">
        <f t="shared" si="13"/>
        <v>1.4926000018704285E-2</v>
      </c>
      <c r="R215">
        <v>1.9404659000000001E-2</v>
      </c>
      <c r="S215">
        <f t="shared" si="14"/>
        <v>6.5132847879994802E-3</v>
      </c>
      <c r="T215" t="str">
        <f t="shared" si="15"/>
        <v xml:space="preserve">'BTM', </v>
      </c>
      <c r="AJ215" s="27" t="s">
        <v>85</v>
      </c>
      <c r="AK215" s="44">
        <v>33826924.97249233</v>
      </c>
      <c r="AL215">
        <v>34961818.305319443</v>
      </c>
      <c r="AN215" t="s">
        <v>112</v>
      </c>
      <c r="AO215" t="s">
        <v>343</v>
      </c>
      <c r="AP215">
        <v>1.7855998900000001</v>
      </c>
      <c r="AR215" s="4" t="s">
        <v>38</v>
      </c>
      <c r="AS215" s="42">
        <v>52005130.943595007</v>
      </c>
    </row>
    <row r="216" spans="1:45" x14ac:dyDescent="0.25">
      <c r="A216">
        <v>214</v>
      </c>
      <c r="B216" t="s">
        <v>120</v>
      </c>
      <c r="C216" s="1">
        <v>1367501156.8785999</v>
      </c>
      <c r="E216" t="s">
        <v>129</v>
      </c>
      <c r="F216" t="s">
        <v>595</v>
      </c>
      <c r="G216" s="22">
        <v>20230112</v>
      </c>
      <c r="H216" s="56">
        <v>44939.000003240741</v>
      </c>
      <c r="I216">
        <v>935.32266578065196</v>
      </c>
      <c r="K216" s="21" t="s">
        <v>606</v>
      </c>
      <c r="L216" s="21" t="s">
        <v>567</v>
      </c>
      <c r="M216" s="21" t="s">
        <v>85</v>
      </c>
      <c r="N216" s="21" t="s">
        <v>112</v>
      </c>
      <c r="P216" t="str">
        <f t="shared" si="12"/>
        <v>BTT</v>
      </c>
      <c r="Q216">
        <f t="shared" si="13"/>
        <v>6.839648076902398E-7</v>
      </c>
      <c r="R216">
        <v>9.6580979887330798E-4</v>
      </c>
      <c r="S216">
        <f t="shared" si="14"/>
        <v>1320746.0172839365</v>
      </c>
      <c r="T216" t="str">
        <f t="shared" si="15"/>
        <v xml:space="preserve">'BTT', </v>
      </c>
      <c r="AJ216" s="4" t="s">
        <v>109</v>
      </c>
      <c r="AK216" s="44">
        <v>1010.5439135300001</v>
      </c>
      <c r="AL216">
        <v>1504.966856847326</v>
      </c>
      <c r="AN216" t="s">
        <v>112</v>
      </c>
      <c r="AO216" t="s">
        <v>344</v>
      </c>
      <c r="AP216">
        <v>43.072197150000001</v>
      </c>
      <c r="AR216" s="4" t="s">
        <v>99</v>
      </c>
      <c r="AS216" s="42">
        <v>5295091.7184229065</v>
      </c>
    </row>
    <row r="217" spans="1:45" x14ac:dyDescent="0.25">
      <c r="A217">
        <v>215</v>
      </c>
      <c r="B217" t="s">
        <v>120</v>
      </c>
      <c r="C217" s="1">
        <v>1.7855998900000001</v>
      </c>
      <c r="E217" t="s">
        <v>130</v>
      </c>
      <c r="F217" t="s">
        <v>595</v>
      </c>
      <c r="G217" s="22">
        <v>20230112</v>
      </c>
      <c r="H217" s="56">
        <v>44939.000003240741</v>
      </c>
      <c r="I217">
        <v>4.3801594662575801E-3</v>
      </c>
      <c r="K217" s="21" t="s">
        <v>607</v>
      </c>
      <c r="L217" s="21" t="s">
        <v>567</v>
      </c>
      <c r="M217" s="21" t="s">
        <v>85</v>
      </c>
      <c r="N217" s="21" t="s">
        <v>112</v>
      </c>
      <c r="P217" t="str">
        <f t="shared" si="12"/>
        <v>CMT</v>
      </c>
      <c r="Q217">
        <f t="shared" si="13"/>
        <v>2.4530464471845255E-3</v>
      </c>
      <c r="R217">
        <v>2.8637358E-5</v>
      </c>
      <c r="S217">
        <f t="shared" si="14"/>
        <v>5.1134863294690619E-5</v>
      </c>
      <c r="T217" t="str">
        <f t="shared" si="15"/>
        <v xml:space="preserve">'CMT', </v>
      </c>
      <c r="AJ217" s="27" t="s">
        <v>85</v>
      </c>
      <c r="AK217" s="44">
        <v>1010.5439135300001</v>
      </c>
      <c r="AL217">
        <v>1504.966856847326</v>
      </c>
      <c r="AN217" t="s">
        <v>112</v>
      </c>
      <c r="AO217" t="s">
        <v>345</v>
      </c>
      <c r="AP217">
        <v>0.30791584</v>
      </c>
      <c r="AR217" s="4" t="s">
        <v>403</v>
      </c>
      <c r="AS217" s="42">
        <v>1540128.6311230001</v>
      </c>
    </row>
    <row r="218" spans="1:45" x14ac:dyDescent="0.25">
      <c r="A218">
        <v>216</v>
      </c>
      <c r="B218" t="s">
        <v>120</v>
      </c>
      <c r="C218" s="1">
        <v>0.30791584</v>
      </c>
      <c r="E218" t="s">
        <v>131</v>
      </c>
      <c r="F218" t="s">
        <v>595</v>
      </c>
      <c r="G218" s="22">
        <v>20230112</v>
      </c>
      <c r="H218" s="56">
        <v>44939.000003240741</v>
      </c>
      <c r="I218">
        <v>2.04778472878973E-2</v>
      </c>
      <c r="K218" s="21" t="s">
        <v>608</v>
      </c>
      <c r="L218" s="21" t="s">
        <v>567</v>
      </c>
      <c r="M218" s="21" t="s">
        <v>85</v>
      </c>
      <c r="N218" s="21" t="s">
        <v>112</v>
      </c>
      <c r="P218" t="str">
        <f t="shared" si="12"/>
        <v>CRO</v>
      </c>
      <c r="Q218">
        <f t="shared" si="13"/>
        <v>6.6504689358940744E-2</v>
      </c>
      <c r="R218">
        <v>9.0786800000000001E-2</v>
      </c>
      <c r="S218">
        <f t="shared" si="14"/>
        <v>2.7954693782911998E-2</v>
      </c>
      <c r="T218" t="str">
        <f t="shared" si="15"/>
        <v xml:space="preserve">'CRO', </v>
      </c>
      <c r="AJ218" s="4" t="s">
        <v>27</v>
      </c>
      <c r="AK218" s="44">
        <v>-30046.69684552</v>
      </c>
      <c r="AL218">
        <v>-182456.9538534974</v>
      </c>
      <c r="AN218" t="s">
        <v>112</v>
      </c>
      <c r="AO218" t="s">
        <v>346</v>
      </c>
      <c r="AP218">
        <v>5.6119999999999998E-5</v>
      </c>
      <c r="AR218" s="3" t="s">
        <v>184</v>
      </c>
      <c r="AS218" s="42">
        <v>11647112.88739408</v>
      </c>
    </row>
    <row r="219" spans="1:45" x14ac:dyDescent="0.25">
      <c r="A219">
        <v>217</v>
      </c>
      <c r="B219" t="s">
        <v>120</v>
      </c>
      <c r="C219" s="1">
        <v>5.6119999999999998E-5</v>
      </c>
      <c r="E219" t="s">
        <v>132</v>
      </c>
      <c r="F219" t="s">
        <v>595</v>
      </c>
      <c r="G219" s="22">
        <v>20230112</v>
      </c>
      <c r="H219" s="56">
        <v>44939.000003240741</v>
      </c>
      <c r="I219">
        <v>2.7698860571246102E-3</v>
      </c>
      <c r="K219" s="21" t="s">
        <v>609</v>
      </c>
      <c r="L219" s="21" t="s">
        <v>567</v>
      </c>
      <c r="M219" s="21" t="s">
        <v>85</v>
      </c>
      <c r="N219" s="21" t="s">
        <v>112</v>
      </c>
      <c r="P219" t="str">
        <f t="shared" si="12"/>
        <v>DASH</v>
      </c>
      <c r="Q219">
        <f t="shared" si="13"/>
        <v>49.356487119112799</v>
      </c>
      <c r="R219">
        <v>0.38471588000000001</v>
      </c>
      <c r="S219">
        <f t="shared" si="14"/>
        <v>2.1590255185599998E-5</v>
      </c>
      <c r="T219" t="str">
        <f t="shared" si="15"/>
        <v xml:space="preserve">'DASH', </v>
      </c>
      <c r="AJ219" s="27" t="s">
        <v>195</v>
      </c>
      <c r="AK219" s="44">
        <v>-30046.69684552</v>
      </c>
      <c r="AL219">
        <v>-182456.9538534974</v>
      </c>
      <c r="AN219" t="s">
        <v>112</v>
      </c>
      <c r="AO219" t="s">
        <v>347</v>
      </c>
      <c r="AP219">
        <v>5.9800000000000001E-4</v>
      </c>
      <c r="AR219" s="4" t="s">
        <v>84</v>
      </c>
      <c r="AS219" s="42">
        <v>59</v>
      </c>
    </row>
    <row r="220" spans="1:45" x14ac:dyDescent="0.25">
      <c r="A220">
        <v>218</v>
      </c>
      <c r="B220" t="s">
        <v>120</v>
      </c>
      <c r="C220" s="1">
        <v>5.9800000000000001E-4</v>
      </c>
      <c r="E220" t="s">
        <v>133</v>
      </c>
      <c r="F220" t="s">
        <v>595</v>
      </c>
      <c r="G220" s="22">
        <v>20230112</v>
      </c>
      <c r="H220" s="56">
        <v>44939.000003240741</v>
      </c>
      <c r="I220">
        <v>6.9374385267831303E-6</v>
      </c>
      <c r="K220" s="21" t="s">
        <v>610</v>
      </c>
      <c r="L220" s="21" t="s">
        <v>567</v>
      </c>
      <c r="M220" s="21" t="s">
        <v>85</v>
      </c>
      <c r="N220" s="21" t="s">
        <v>112</v>
      </c>
      <c r="P220" t="str">
        <f t="shared" si="12"/>
        <v>DON</v>
      </c>
      <c r="Q220">
        <f t="shared" si="13"/>
        <v>1.1601067770540352E-2</v>
      </c>
      <c r="R220">
        <v>0.98099999999999998</v>
      </c>
      <c r="S220">
        <f t="shared" si="14"/>
        <v>5.86638E-4</v>
      </c>
      <c r="T220" t="str">
        <f t="shared" si="15"/>
        <v xml:space="preserve">'DON', </v>
      </c>
      <c r="AJ220" s="4" t="s">
        <v>24</v>
      </c>
      <c r="AK220" s="44">
        <v>8.9908658799999994</v>
      </c>
      <c r="AL220">
        <v>516.85947072252793</v>
      </c>
      <c r="AN220" t="s">
        <v>112</v>
      </c>
      <c r="AO220" t="s">
        <v>348</v>
      </c>
      <c r="AP220">
        <v>19056.338227560002</v>
      </c>
      <c r="AR220" s="4" t="s">
        <v>14</v>
      </c>
      <c r="AS220" s="42">
        <v>-221.57694376000001</v>
      </c>
    </row>
    <row r="221" spans="1:45" x14ac:dyDescent="0.25">
      <c r="A221">
        <v>219</v>
      </c>
      <c r="B221" t="s">
        <v>120</v>
      </c>
      <c r="C221" s="1">
        <v>40059.791036850002</v>
      </c>
      <c r="E221" t="s">
        <v>22</v>
      </c>
      <c r="F221" t="s">
        <v>595</v>
      </c>
      <c r="G221" s="22">
        <v>20230112</v>
      </c>
      <c r="H221" s="56">
        <v>44939.000003240741</v>
      </c>
      <c r="I221">
        <v>209491.793471121</v>
      </c>
      <c r="K221" s="21" t="s">
        <v>578</v>
      </c>
      <c r="L221" s="21" t="s">
        <v>567</v>
      </c>
      <c r="M221" s="21" t="s">
        <v>85</v>
      </c>
      <c r="N221" s="21" t="s">
        <v>112</v>
      </c>
      <c r="P221" t="str">
        <f t="shared" si="12"/>
        <v>DOT</v>
      </c>
      <c r="Q221">
        <f t="shared" si="13"/>
        <v>5.2294779390739885</v>
      </c>
      <c r="R221">
        <v>6065.0834999999997</v>
      </c>
      <c r="S221">
        <f t="shared" si="14"/>
        <v>242965977.63104683</v>
      </c>
      <c r="T221" t="str">
        <f t="shared" si="15"/>
        <v xml:space="preserve">'DOT', </v>
      </c>
      <c r="AJ221" s="27" t="s">
        <v>85</v>
      </c>
      <c r="AK221" s="44">
        <v>8.9908658799999994</v>
      </c>
      <c r="AL221">
        <v>516.85947072252793</v>
      </c>
      <c r="AN221" t="s">
        <v>112</v>
      </c>
      <c r="AO221" t="s">
        <v>348</v>
      </c>
      <c r="AP221">
        <v>18100.925351860002</v>
      </c>
      <c r="AR221" s="4" t="s">
        <v>15</v>
      </c>
      <c r="AS221" s="42">
        <v>-2975.5798351799999</v>
      </c>
    </row>
    <row r="222" spans="1:45" x14ac:dyDescent="0.25">
      <c r="A222">
        <v>220</v>
      </c>
      <c r="B222" t="s">
        <v>120</v>
      </c>
      <c r="C222" s="1">
        <v>1E-8</v>
      </c>
      <c r="E222" t="s">
        <v>28</v>
      </c>
      <c r="F222" t="s">
        <v>595</v>
      </c>
      <c r="G222" s="22">
        <v>20230112</v>
      </c>
      <c r="H222" s="56">
        <v>44939.000003240741</v>
      </c>
      <c r="I222">
        <v>3.04096198903759E-9</v>
      </c>
      <c r="K222" s="21" t="s">
        <v>611</v>
      </c>
      <c r="L222" s="21" t="s">
        <v>567</v>
      </c>
      <c r="M222" s="21" t="s">
        <v>85</v>
      </c>
      <c r="N222" s="21" t="s">
        <v>112</v>
      </c>
      <c r="P222" t="str">
        <f t="shared" si="12"/>
        <v>ENJ</v>
      </c>
      <c r="Q222">
        <f t="shared" si="13"/>
        <v>0.304096198903759</v>
      </c>
      <c r="R222">
        <v>2467.3595374173997</v>
      </c>
      <c r="S222">
        <f t="shared" si="14"/>
        <v>2.4673595374173996E-5</v>
      </c>
      <c r="T222" t="str">
        <f t="shared" si="15"/>
        <v xml:space="preserve">'ENJ', </v>
      </c>
      <c r="AJ222" s="4" t="s">
        <v>150</v>
      </c>
      <c r="AK222" s="44">
        <v>-160712.46089824001</v>
      </c>
      <c r="AL222">
        <v>-181462.3761594652</v>
      </c>
      <c r="AN222" t="s">
        <v>112</v>
      </c>
      <c r="AO222" t="s">
        <v>349</v>
      </c>
      <c r="AP222">
        <v>241319.15317850999</v>
      </c>
      <c r="AR222" s="4" t="s">
        <v>272</v>
      </c>
      <c r="AS222" s="42">
        <v>1267.7570125100001</v>
      </c>
    </row>
    <row r="223" spans="1:45" x14ac:dyDescent="0.25">
      <c r="A223">
        <v>221</v>
      </c>
      <c r="B223" t="s">
        <v>120</v>
      </c>
      <c r="C223" s="1">
        <v>2110.8363221999998</v>
      </c>
      <c r="E223" t="s">
        <v>23</v>
      </c>
      <c r="F223" t="s">
        <v>595</v>
      </c>
      <c r="G223" s="22">
        <v>20230112</v>
      </c>
      <c r="H223" s="56">
        <v>44939.000003240741</v>
      </c>
      <c r="I223">
        <v>2090.23978782938</v>
      </c>
      <c r="K223" s="21" t="s">
        <v>571</v>
      </c>
      <c r="L223" s="21" t="s">
        <v>567</v>
      </c>
      <c r="M223" s="21" t="s">
        <v>85</v>
      </c>
      <c r="N223" s="21" t="s">
        <v>112</v>
      </c>
      <c r="P223" t="str">
        <f t="shared" si="12"/>
        <v>EOS</v>
      </c>
      <c r="Q223">
        <f t="shared" si="13"/>
        <v>0.99024247680694011</v>
      </c>
      <c r="R223">
        <v>39.82</v>
      </c>
      <c r="S223">
        <f t="shared" si="14"/>
        <v>84053.502350003997</v>
      </c>
      <c r="T223" t="str">
        <f t="shared" si="15"/>
        <v xml:space="preserve">'EOS', </v>
      </c>
      <c r="AJ223" s="27" t="s">
        <v>195</v>
      </c>
      <c r="AK223" s="44">
        <v>-160712.46089824001</v>
      </c>
      <c r="AL223">
        <v>-181462.3761594652</v>
      </c>
      <c r="AN223" t="s">
        <v>112</v>
      </c>
      <c r="AO223" t="s">
        <v>350</v>
      </c>
      <c r="AP223" s="29">
        <v>1E-8</v>
      </c>
      <c r="AR223" s="4" t="s">
        <v>38</v>
      </c>
      <c r="AS223" s="42">
        <v>10004697.2340612</v>
      </c>
    </row>
    <row r="224" spans="1:45" x14ac:dyDescent="0.25">
      <c r="A224">
        <v>222</v>
      </c>
      <c r="B224" t="s">
        <v>120</v>
      </c>
      <c r="C224" s="1">
        <v>8859.7328020599998</v>
      </c>
      <c r="E224" t="s">
        <v>29</v>
      </c>
      <c r="F224" t="s">
        <v>595</v>
      </c>
      <c r="G224" s="22">
        <v>20230112</v>
      </c>
      <c r="H224" s="56">
        <v>44939.000003240741</v>
      </c>
      <c r="I224">
        <v>185325.74862730701</v>
      </c>
      <c r="K224" s="21" t="s">
        <v>572</v>
      </c>
      <c r="L224" s="21" t="s">
        <v>567</v>
      </c>
      <c r="M224" s="21" t="s">
        <v>85</v>
      </c>
      <c r="N224" s="21" t="s">
        <v>112</v>
      </c>
      <c r="P224" t="str">
        <f t="shared" si="12"/>
        <v>ETC</v>
      </c>
      <c r="Q224">
        <f t="shared" si="13"/>
        <v>20.917758217744041</v>
      </c>
      <c r="R224">
        <v>2.1343125000000001E-2</v>
      </c>
      <c r="S224">
        <f t="shared" si="14"/>
        <v>189.09438466096685</v>
      </c>
      <c r="T224" t="str">
        <f t="shared" si="15"/>
        <v xml:space="preserve">'ETC', </v>
      </c>
      <c r="AJ224" s="4" t="s">
        <v>110</v>
      </c>
      <c r="AK224" s="44">
        <v>14232.599999999999</v>
      </c>
      <c r="AL224">
        <v>2633.2512670319743</v>
      </c>
      <c r="AN224" t="s">
        <v>112</v>
      </c>
      <c r="AO224" t="s">
        <v>350</v>
      </c>
      <c r="AP224">
        <v>-457203</v>
      </c>
      <c r="AR224" s="4" t="s">
        <v>185</v>
      </c>
      <c r="AS224" s="42">
        <v>1644286.05309931</v>
      </c>
    </row>
    <row r="225" spans="1:45" x14ac:dyDescent="0.25">
      <c r="A225">
        <v>223</v>
      </c>
      <c r="B225" t="s">
        <v>120</v>
      </c>
      <c r="C225" s="1">
        <v>4854.4770517999996</v>
      </c>
      <c r="E225" t="s">
        <v>15</v>
      </c>
      <c r="F225" t="s">
        <v>595</v>
      </c>
      <c r="G225" s="22">
        <v>20230112</v>
      </c>
      <c r="H225" s="56">
        <v>44939.000003240741</v>
      </c>
      <c r="I225">
        <v>6883350.0213065902</v>
      </c>
      <c r="K225" s="21" t="s">
        <v>573</v>
      </c>
      <c r="L225" s="21" t="s">
        <v>567</v>
      </c>
      <c r="M225" s="21" t="s">
        <v>85</v>
      </c>
      <c r="N225" s="21" t="s">
        <v>112</v>
      </c>
      <c r="P225" t="str">
        <f t="shared" si="12"/>
        <v>ETH</v>
      </c>
      <c r="Q225">
        <f t="shared" si="13"/>
        <v>1417.9385231112178</v>
      </c>
      <c r="R225">
        <v>103.98</v>
      </c>
      <c r="S225">
        <f t="shared" si="14"/>
        <v>504768.523846164</v>
      </c>
      <c r="T225" t="str">
        <f t="shared" si="15"/>
        <v xml:space="preserve">'ETH', </v>
      </c>
      <c r="AJ225" s="27" t="s">
        <v>85</v>
      </c>
      <c r="AK225" s="44">
        <v>14232.599999999999</v>
      </c>
      <c r="AL225">
        <v>2633.2512670319743</v>
      </c>
      <c r="AN225" t="s">
        <v>112</v>
      </c>
      <c r="AO225" t="s">
        <v>350</v>
      </c>
      <c r="AP225">
        <v>26712.616036769999</v>
      </c>
      <c r="AR225" s="3" t="s">
        <v>278</v>
      </c>
    </row>
    <row r="226" spans="1:45" x14ac:dyDescent="0.25">
      <c r="A226">
        <v>224</v>
      </c>
      <c r="B226" t="s">
        <v>120</v>
      </c>
      <c r="C226" s="1">
        <v>9823.8364263999993</v>
      </c>
      <c r="E226" t="s">
        <v>290</v>
      </c>
      <c r="F226" t="s">
        <v>595</v>
      </c>
      <c r="G226" s="22">
        <v>20230112</v>
      </c>
      <c r="H226" s="56">
        <v>44939.000003240741</v>
      </c>
      <c r="I226">
        <v>3355.0189397480699</v>
      </c>
      <c r="K226" s="21" t="s">
        <v>612</v>
      </c>
      <c r="L226" s="21" t="s">
        <v>567</v>
      </c>
      <c r="M226" s="21" t="s">
        <v>85</v>
      </c>
      <c r="N226" s="21" t="s">
        <v>112</v>
      </c>
      <c r="P226" t="str">
        <f t="shared" si="12"/>
        <v>ETHF</v>
      </c>
      <c r="Q226">
        <f t="shared" si="13"/>
        <v>0.34151820064226535</v>
      </c>
      <c r="R226">
        <v>39.841106000000003</v>
      </c>
      <c r="S226">
        <f t="shared" si="14"/>
        <v>391392.5083908636</v>
      </c>
      <c r="T226" t="str">
        <f t="shared" si="15"/>
        <v xml:space="preserve">'ETHF', </v>
      </c>
      <c r="AJ226" s="4" t="s">
        <v>95</v>
      </c>
      <c r="AK226" s="44">
        <v>10670883.885147721</v>
      </c>
      <c r="AL226">
        <v>10670883.885147721</v>
      </c>
      <c r="AN226" t="s">
        <v>112</v>
      </c>
      <c r="AO226" t="s">
        <v>350</v>
      </c>
      <c r="AP226">
        <v>7533</v>
      </c>
      <c r="AR226" s="4" t="s">
        <v>278</v>
      </c>
    </row>
    <row r="227" spans="1:45" x14ac:dyDescent="0.25">
      <c r="A227">
        <v>225</v>
      </c>
      <c r="B227" t="s">
        <v>120</v>
      </c>
      <c r="C227" s="1">
        <v>3460.93190667</v>
      </c>
      <c r="E227" t="s">
        <v>272</v>
      </c>
      <c r="F227" t="s">
        <v>595</v>
      </c>
      <c r="G227" s="22">
        <v>20230112</v>
      </c>
      <c r="H227" s="56">
        <v>44939.000003240741</v>
      </c>
      <c r="I227">
        <v>11885.1634589431</v>
      </c>
      <c r="K227" s="21" t="s">
        <v>613</v>
      </c>
      <c r="L227" s="21" t="s">
        <v>567</v>
      </c>
      <c r="M227" s="21" t="s">
        <v>85</v>
      </c>
      <c r="N227" s="21" t="s">
        <v>112</v>
      </c>
      <c r="P227" t="str">
        <f t="shared" si="12"/>
        <v>ETHW</v>
      </c>
      <c r="Q227">
        <f t="shared" si="13"/>
        <v>3.4340934116726469</v>
      </c>
      <c r="R227">
        <v>16719.740000000002</v>
      </c>
      <c r="S227">
        <f t="shared" si="14"/>
        <v>57865881.637226671</v>
      </c>
      <c r="T227" t="str">
        <f t="shared" si="15"/>
        <v xml:space="preserve">'ETHW', </v>
      </c>
      <c r="AJ227" s="27" t="s">
        <v>85</v>
      </c>
      <c r="AK227" s="44">
        <v>10670883.885147721</v>
      </c>
      <c r="AL227">
        <v>10670883.885147721</v>
      </c>
      <c r="AN227" t="s">
        <v>112</v>
      </c>
      <c r="AO227" t="s">
        <v>350</v>
      </c>
      <c r="AP227">
        <v>593225.51604993001</v>
      </c>
      <c r="AR227" s="3" t="s">
        <v>56</v>
      </c>
      <c r="AS227" s="42">
        <v>-6696283787.5118961</v>
      </c>
    </row>
    <row r="228" spans="1:45" x14ac:dyDescent="0.25">
      <c r="A228">
        <v>226</v>
      </c>
      <c r="B228" t="s">
        <v>120</v>
      </c>
      <c r="C228" s="1">
        <v>106105.15993081999</v>
      </c>
      <c r="E228" t="s">
        <v>258</v>
      </c>
      <c r="F228" t="s">
        <v>595</v>
      </c>
      <c r="G228" s="22">
        <v>20230112</v>
      </c>
      <c r="H228" s="56">
        <v>44939.000003240741</v>
      </c>
      <c r="I228">
        <v>115077.732305167</v>
      </c>
      <c r="K228" s="21" t="s">
        <v>614</v>
      </c>
      <c r="L228" s="21" t="s">
        <v>567</v>
      </c>
      <c r="M228" s="21" t="s">
        <v>85</v>
      </c>
      <c r="N228" s="21" t="s">
        <v>112</v>
      </c>
      <c r="P228" t="str">
        <f t="shared" si="12"/>
        <v>EUROC</v>
      </c>
      <c r="Q228">
        <f t="shared" si="13"/>
        <v>1.0845630163528057</v>
      </c>
      <c r="R228">
        <v>5.6989999999999998</v>
      </c>
      <c r="S228">
        <f t="shared" si="14"/>
        <v>604693.30644574319</v>
      </c>
      <c r="T228" t="str">
        <f t="shared" si="15"/>
        <v xml:space="preserve">'EUROC', </v>
      </c>
      <c r="AJ228" s="4" t="s">
        <v>38</v>
      </c>
      <c r="AK228" s="44">
        <v>1056694.79363042</v>
      </c>
      <c r="AL228">
        <v>1055378.7841974639</v>
      </c>
      <c r="AN228" t="s">
        <v>112</v>
      </c>
      <c r="AO228" t="s">
        <v>351</v>
      </c>
      <c r="AP228" s="29">
        <v>1E-8</v>
      </c>
    </row>
    <row r="229" spans="1:45" x14ac:dyDescent="0.25">
      <c r="A229">
        <v>227</v>
      </c>
      <c r="B229" t="s">
        <v>120</v>
      </c>
      <c r="C229" s="1">
        <v>1.0244641699999999</v>
      </c>
      <c r="E229" t="s">
        <v>30</v>
      </c>
      <c r="F229" t="s">
        <v>595</v>
      </c>
      <c r="G229" s="22">
        <v>20230112</v>
      </c>
      <c r="H229" s="56">
        <v>44939.000003240741</v>
      </c>
      <c r="I229">
        <v>3.9475318864603102</v>
      </c>
      <c r="K229" s="21" t="s">
        <v>615</v>
      </c>
      <c r="L229" s="21" t="s">
        <v>567</v>
      </c>
      <c r="M229" s="21" t="s">
        <v>85</v>
      </c>
      <c r="N229" s="21" t="s">
        <v>112</v>
      </c>
      <c r="P229" t="str">
        <f t="shared" si="12"/>
        <v>FIL</v>
      </c>
      <c r="Q229">
        <f t="shared" si="13"/>
        <v>3.8532649574853464</v>
      </c>
      <c r="R229">
        <v>0.90154135000000002</v>
      </c>
      <c r="S229">
        <f t="shared" si="14"/>
        <v>0.92359681084842937</v>
      </c>
      <c r="T229" t="str">
        <f t="shared" si="15"/>
        <v xml:space="preserve">'FIL', </v>
      </c>
      <c r="AJ229" s="27" t="s">
        <v>85</v>
      </c>
      <c r="AK229" s="44">
        <v>1056694.79363042</v>
      </c>
      <c r="AL229">
        <v>1055378.7841974639</v>
      </c>
      <c r="AN229" t="s">
        <v>112</v>
      </c>
      <c r="AO229" t="s">
        <v>351</v>
      </c>
      <c r="AP229">
        <v>9624.8193363800001</v>
      </c>
    </row>
    <row r="230" spans="1:45" x14ac:dyDescent="0.25">
      <c r="A230">
        <v>228</v>
      </c>
      <c r="B230" t="s">
        <v>120</v>
      </c>
      <c r="C230" s="1">
        <v>1214222.2371169401</v>
      </c>
      <c r="E230" t="s">
        <v>973</v>
      </c>
      <c r="F230" t="s">
        <v>595</v>
      </c>
      <c r="G230" s="22">
        <v>20230112</v>
      </c>
      <c r="H230" s="56">
        <v>44939.000003240741</v>
      </c>
      <c r="I230">
        <v>53439.032654800198</v>
      </c>
      <c r="K230" s="21" t="s">
        <v>974</v>
      </c>
      <c r="L230" s="21" t="s">
        <v>567</v>
      </c>
      <c r="M230" s="21" t="s">
        <v>85</v>
      </c>
      <c r="N230" s="21" t="s">
        <v>112</v>
      </c>
      <c r="P230" t="str">
        <f t="shared" si="12"/>
        <v>FLR</v>
      </c>
      <c r="Q230">
        <f t="shared" si="13"/>
        <v>4.401091581199032E-2</v>
      </c>
      <c r="R230">
        <v>19.614688999999998</v>
      </c>
      <c r="S230">
        <f t="shared" si="14"/>
        <v>23816591.557933036</v>
      </c>
      <c r="T230" t="str">
        <f t="shared" si="15"/>
        <v xml:space="preserve">'FLR', </v>
      </c>
      <c r="AJ230" s="4" t="s">
        <v>171</v>
      </c>
      <c r="AK230" s="44">
        <v>-4.0319251200000004</v>
      </c>
      <c r="AL230">
        <v>-23033.13928745058</v>
      </c>
      <c r="AN230" t="s">
        <v>112</v>
      </c>
      <c r="AO230" t="s">
        <v>351</v>
      </c>
      <c r="AP230">
        <v>0.97793739999999996</v>
      </c>
    </row>
    <row r="231" spans="1:45" x14ac:dyDescent="0.25">
      <c r="A231">
        <v>229</v>
      </c>
      <c r="B231" t="s">
        <v>120</v>
      </c>
      <c r="C231" s="1">
        <v>0.68557060000000003</v>
      </c>
      <c r="E231" t="s">
        <v>109</v>
      </c>
      <c r="F231" t="s">
        <v>595</v>
      </c>
      <c r="G231" s="22">
        <v>20230112</v>
      </c>
      <c r="H231" s="56">
        <v>44939.000003240741</v>
      </c>
      <c r="I231">
        <v>0.94664344380638399</v>
      </c>
      <c r="K231" s="21" t="s">
        <v>616</v>
      </c>
      <c r="L231" s="21" t="s">
        <v>567</v>
      </c>
      <c r="M231" s="21" t="s">
        <v>85</v>
      </c>
      <c r="N231" s="21" t="s">
        <v>112</v>
      </c>
      <c r="P231" t="str">
        <f t="shared" si="12"/>
        <v>FTT</v>
      </c>
      <c r="Q231">
        <f t="shared" si="13"/>
        <v>1.3808110263281184</v>
      </c>
      <c r="R231">
        <v>1208.73</v>
      </c>
      <c r="S231">
        <f t="shared" si="14"/>
        <v>828.66975133800008</v>
      </c>
      <c r="T231" t="str">
        <f t="shared" si="15"/>
        <v xml:space="preserve">'FTT', </v>
      </c>
      <c r="AJ231" s="27" t="s">
        <v>195</v>
      </c>
      <c r="AK231" s="44">
        <v>-4.0319251200000004</v>
      </c>
      <c r="AL231">
        <v>-23033.13928745058</v>
      </c>
      <c r="AN231" t="s">
        <v>112</v>
      </c>
      <c r="AO231" t="s">
        <v>352</v>
      </c>
      <c r="AP231" s="29">
        <v>1E-8</v>
      </c>
    </row>
    <row r="232" spans="1:45" x14ac:dyDescent="0.25">
      <c r="A232">
        <v>230</v>
      </c>
      <c r="B232" t="s">
        <v>120</v>
      </c>
      <c r="C232" s="1">
        <v>54.776400000000002</v>
      </c>
      <c r="E232" t="s">
        <v>134</v>
      </c>
      <c r="F232" t="s">
        <v>595</v>
      </c>
      <c r="G232" s="22">
        <v>20230112</v>
      </c>
      <c r="H232" s="56">
        <v>44939.000003240741</v>
      </c>
      <c r="I232">
        <v>123.290471367386</v>
      </c>
      <c r="K232" s="21" t="s">
        <v>617</v>
      </c>
      <c r="L232" s="21" t="s">
        <v>567</v>
      </c>
      <c r="M232" s="21" t="s">
        <v>85</v>
      </c>
      <c r="N232" s="21" t="s">
        <v>112</v>
      </c>
      <c r="P232" t="str">
        <f t="shared" si="12"/>
        <v>GAS</v>
      </c>
      <c r="Q232">
        <f t="shared" si="13"/>
        <v>2.2507954405069701</v>
      </c>
      <c r="R232">
        <v>62.35</v>
      </c>
      <c r="S232">
        <f t="shared" si="14"/>
        <v>3415.3085400000004</v>
      </c>
      <c r="T232" t="str">
        <f t="shared" si="15"/>
        <v xml:space="preserve">'GAS', </v>
      </c>
      <c r="AJ232" s="3" t="s">
        <v>170</v>
      </c>
      <c r="AK232" s="44">
        <v>186756865105.98315</v>
      </c>
      <c r="AL232">
        <v>-339272178.53992516</v>
      </c>
      <c r="AN232" t="s">
        <v>112</v>
      </c>
      <c r="AO232" t="s">
        <v>352</v>
      </c>
      <c r="AP232">
        <v>6</v>
      </c>
    </row>
    <row r="233" spans="1:45" x14ac:dyDescent="0.25">
      <c r="A233">
        <v>231</v>
      </c>
      <c r="B233" t="s">
        <v>120</v>
      </c>
      <c r="C233" s="1">
        <v>3.4060489999999999E-2</v>
      </c>
      <c r="E233" t="s">
        <v>135</v>
      </c>
      <c r="F233" t="s">
        <v>595</v>
      </c>
      <c r="G233" s="22">
        <v>20230112</v>
      </c>
      <c r="H233" s="56">
        <v>44939.000003240741</v>
      </c>
      <c r="I233">
        <v>1.62290185554767E-3</v>
      </c>
      <c r="K233" s="21" t="s">
        <v>618</v>
      </c>
      <c r="L233" s="21" t="s">
        <v>567</v>
      </c>
      <c r="M233" s="21" t="s">
        <v>85</v>
      </c>
      <c r="N233" s="21" t="s">
        <v>112</v>
      </c>
      <c r="P233" t="str">
        <f t="shared" si="12"/>
        <v>HBAR</v>
      </c>
      <c r="Q233">
        <f t="shared" si="13"/>
        <v>4.7647636764699214E-2</v>
      </c>
      <c r="R233">
        <v>5.0092902000000002E-2</v>
      </c>
      <c r="S233">
        <f t="shared" si="14"/>
        <v>1.70618878764198E-3</v>
      </c>
      <c r="T233" t="str">
        <f t="shared" si="15"/>
        <v xml:space="preserve">'HBAR', </v>
      </c>
      <c r="AJ233" s="4" t="s">
        <v>20</v>
      </c>
      <c r="AK233" s="44">
        <v>5377</v>
      </c>
      <c r="AL233">
        <v>535799.27126856288</v>
      </c>
      <c r="AN233" t="s">
        <v>112</v>
      </c>
      <c r="AO233" t="s">
        <v>352</v>
      </c>
      <c r="AP233">
        <v>99.530674790000006</v>
      </c>
    </row>
    <row r="234" spans="1:45" x14ac:dyDescent="0.25">
      <c r="A234">
        <v>232</v>
      </c>
      <c r="B234" t="s">
        <v>120</v>
      </c>
      <c r="C234" s="1">
        <v>5337.6979873099999</v>
      </c>
      <c r="E234" t="s">
        <v>136</v>
      </c>
      <c r="F234" t="s">
        <v>595</v>
      </c>
      <c r="G234" s="22">
        <v>20230112</v>
      </c>
      <c r="H234" s="56">
        <v>44939.000003240741</v>
      </c>
      <c r="I234">
        <v>1.0398940855485499</v>
      </c>
      <c r="K234" s="21" t="s">
        <v>619</v>
      </c>
      <c r="L234" s="21" t="s">
        <v>567</v>
      </c>
      <c r="M234" s="21" t="s">
        <v>85</v>
      </c>
      <c r="N234" s="21" t="s">
        <v>112</v>
      </c>
      <c r="P234" t="str">
        <f t="shared" si="12"/>
        <v>HPT</v>
      </c>
      <c r="Q234">
        <f t="shared" si="13"/>
        <v>1.9482070510936075E-4</v>
      </c>
      <c r="R234">
        <v>0.99940190110900462</v>
      </c>
      <c r="S234">
        <f t="shared" si="14"/>
        <v>5334.5055160633219</v>
      </c>
      <c r="T234" t="str">
        <f t="shared" si="15"/>
        <v xml:space="preserve">'HPT', </v>
      </c>
      <c r="AJ234" s="27" t="s">
        <v>169</v>
      </c>
      <c r="AK234" s="44">
        <v>5377</v>
      </c>
      <c r="AL234">
        <v>535799.27126856288</v>
      </c>
      <c r="AN234" t="s">
        <v>112</v>
      </c>
      <c r="AO234" t="s">
        <v>352</v>
      </c>
      <c r="AP234">
        <v>-1466.27</v>
      </c>
    </row>
    <row r="235" spans="1:45" x14ac:dyDescent="0.25">
      <c r="A235">
        <v>233</v>
      </c>
      <c r="B235" t="s">
        <v>120</v>
      </c>
      <c r="C235" s="1">
        <v>1594.9850023900001</v>
      </c>
      <c r="E235" t="s">
        <v>137</v>
      </c>
      <c r="F235" t="s">
        <v>595</v>
      </c>
      <c r="G235" s="22">
        <v>20230112</v>
      </c>
      <c r="H235" s="56">
        <v>44939.000003240741</v>
      </c>
      <c r="I235">
        <v>8106.9204874240804</v>
      </c>
      <c r="K235" s="21" t="s">
        <v>620</v>
      </c>
      <c r="L235" s="21" t="s">
        <v>567</v>
      </c>
      <c r="M235" s="21" t="s">
        <v>85</v>
      </c>
      <c r="N235" s="21" t="s">
        <v>112</v>
      </c>
      <c r="P235" t="str">
        <f t="shared" si="12"/>
        <v>HT</v>
      </c>
      <c r="Q235">
        <f t="shared" si="13"/>
        <v>5.0827565621471624</v>
      </c>
      <c r="R235">
        <v>0.38471588000000001</v>
      </c>
      <c r="S235">
        <f t="shared" si="14"/>
        <v>613.61605878127102</v>
      </c>
      <c r="T235" t="str">
        <f t="shared" si="15"/>
        <v xml:space="preserve">'HT', </v>
      </c>
      <c r="AJ235" s="4" t="s">
        <v>14</v>
      </c>
      <c r="AK235" s="44">
        <v>-4340.0168467900003</v>
      </c>
      <c r="AL235">
        <v>-70973882.714262307</v>
      </c>
      <c r="AN235" t="s">
        <v>112</v>
      </c>
      <c r="AO235" t="s">
        <v>352</v>
      </c>
      <c r="AP235">
        <v>689.88583590999997</v>
      </c>
    </row>
    <row r="236" spans="1:45" x14ac:dyDescent="0.25">
      <c r="A236">
        <v>234</v>
      </c>
      <c r="B236" t="s">
        <v>120</v>
      </c>
      <c r="C236" s="1">
        <v>14.785856219999999</v>
      </c>
      <c r="E236" t="s">
        <v>139</v>
      </c>
      <c r="F236" t="s">
        <v>595</v>
      </c>
      <c r="G236" s="22">
        <v>20230112</v>
      </c>
      <c r="H236" s="56">
        <v>44939.000003240741</v>
      </c>
      <c r="I236">
        <v>0.121917236886426</v>
      </c>
      <c r="K236" s="21" t="s">
        <v>621</v>
      </c>
      <c r="L236" s="21" t="s">
        <v>567</v>
      </c>
      <c r="M236" s="21" t="s">
        <v>85</v>
      </c>
      <c r="N236" s="21" t="s">
        <v>112</v>
      </c>
      <c r="P236" t="str">
        <f t="shared" si="12"/>
        <v>IOST</v>
      </c>
      <c r="Q236">
        <f t="shared" si="13"/>
        <v>8.2455310718844536E-3</v>
      </c>
      <c r="R236">
        <v>9.9934670000000008</v>
      </c>
      <c r="S236">
        <f t="shared" si="14"/>
        <v>147.76196620131475</v>
      </c>
      <c r="T236" t="str">
        <f t="shared" si="15"/>
        <v xml:space="preserve">'IOST', </v>
      </c>
      <c r="AJ236" s="27" t="s">
        <v>169</v>
      </c>
      <c r="AK236" s="44">
        <v>-4340.0168467900003</v>
      </c>
      <c r="AL236">
        <v>-70973882.714262307</v>
      </c>
      <c r="AN236" t="s">
        <v>112</v>
      </c>
      <c r="AO236" t="s">
        <v>353</v>
      </c>
      <c r="AP236">
        <v>9823.8364263999993</v>
      </c>
    </row>
    <row r="237" spans="1:45" x14ac:dyDescent="0.25">
      <c r="A237">
        <v>235</v>
      </c>
      <c r="B237" t="s">
        <v>120</v>
      </c>
      <c r="C237" s="1">
        <v>0.81765067999999996</v>
      </c>
      <c r="E237" t="s">
        <v>140</v>
      </c>
      <c r="F237" t="s">
        <v>595</v>
      </c>
      <c r="G237" s="22">
        <v>20230112</v>
      </c>
      <c r="H237" s="56">
        <v>44939.000003240741</v>
      </c>
      <c r="I237">
        <v>1.1689388986948599E-2</v>
      </c>
      <c r="K237" s="21" t="s">
        <v>622</v>
      </c>
      <c r="L237" s="21" t="s">
        <v>567</v>
      </c>
      <c r="M237" s="21" t="s">
        <v>85</v>
      </c>
      <c r="N237" s="21" t="s">
        <v>112</v>
      </c>
      <c r="P237" t="str">
        <f t="shared" si="12"/>
        <v>IRIS</v>
      </c>
      <c r="Q237">
        <f t="shared" si="13"/>
        <v>1.4296311704832924E-2</v>
      </c>
      <c r="R237">
        <v>103.98</v>
      </c>
      <c r="S237">
        <f t="shared" si="14"/>
        <v>85.019317706400003</v>
      </c>
      <c r="T237" t="str">
        <f t="shared" si="15"/>
        <v xml:space="preserve">'IRIS', </v>
      </c>
      <c r="AJ237" s="4" t="s">
        <v>31</v>
      </c>
      <c r="AK237" s="44">
        <v>5000</v>
      </c>
      <c r="AL237">
        <v>193723.1905293829</v>
      </c>
      <c r="AN237" t="s">
        <v>112</v>
      </c>
      <c r="AO237" t="s">
        <v>354</v>
      </c>
      <c r="AP237">
        <v>3460.93190667</v>
      </c>
    </row>
    <row r="238" spans="1:45" x14ac:dyDescent="0.25">
      <c r="A238">
        <v>236</v>
      </c>
      <c r="B238" t="s">
        <v>120</v>
      </c>
      <c r="C238" s="1">
        <v>9.1121815000000002</v>
      </c>
      <c r="E238" t="s">
        <v>141</v>
      </c>
      <c r="F238" t="s">
        <v>595</v>
      </c>
      <c r="G238" s="22">
        <v>20230112</v>
      </c>
      <c r="H238" s="56">
        <v>44939.000003240741</v>
      </c>
      <c r="I238">
        <v>0.20061593833102701</v>
      </c>
      <c r="K238" s="21" t="s">
        <v>623</v>
      </c>
      <c r="L238" s="21" t="s">
        <v>567</v>
      </c>
      <c r="M238" s="21" t="s">
        <v>85</v>
      </c>
      <c r="N238" s="21" t="s">
        <v>112</v>
      </c>
      <c r="P238" t="str">
        <f t="shared" si="12"/>
        <v>JST</v>
      </c>
      <c r="Q238">
        <f t="shared" si="13"/>
        <v>2.2016235994753507E-2</v>
      </c>
      <c r="R238">
        <v>16719.740000000002</v>
      </c>
      <c r="S238">
        <f t="shared" si="14"/>
        <v>152353.30551281001</v>
      </c>
      <c r="T238" t="str">
        <f t="shared" si="15"/>
        <v xml:space="preserve">'JST', </v>
      </c>
      <c r="AJ238" s="27" t="s">
        <v>169</v>
      </c>
      <c r="AK238" s="44">
        <v>5000</v>
      </c>
      <c r="AL238">
        <v>193723.1905293829</v>
      </c>
      <c r="AN238" t="s">
        <v>112</v>
      </c>
      <c r="AO238" t="s">
        <v>355</v>
      </c>
      <c r="AP238">
        <v>340417.99782405002</v>
      </c>
    </row>
    <row r="239" spans="1:45" x14ac:dyDescent="0.25">
      <c r="A239">
        <v>237</v>
      </c>
      <c r="B239" t="s">
        <v>120</v>
      </c>
      <c r="C239" s="1">
        <v>1.4966E-4</v>
      </c>
      <c r="E239" t="s">
        <v>43</v>
      </c>
      <c r="F239" t="s">
        <v>595</v>
      </c>
      <c r="G239" s="22">
        <v>20230112</v>
      </c>
      <c r="H239" s="56">
        <v>44939.000003240741</v>
      </c>
      <c r="I239">
        <v>4.2395197801870397E-3</v>
      </c>
      <c r="K239" s="21" t="s">
        <v>624</v>
      </c>
      <c r="L239" s="21" t="s">
        <v>567</v>
      </c>
      <c r="M239" s="21" t="s">
        <v>85</v>
      </c>
      <c r="N239" s="21" t="s">
        <v>112</v>
      </c>
      <c r="P239" t="str">
        <f t="shared" si="12"/>
        <v>KSM</v>
      </c>
      <c r="Q239">
        <f t="shared" si="13"/>
        <v>28.327674597000133</v>
      </c>
      <c r="R239">
        <v>0.90154135000000002</v>
      </c>
      <c r="S239">
        <f t="shared" si="14"/>
        <v>1.3492467844099999E-4</v>
      </c>
      <c r="T239" t="str">
        <f t="shared" si="15"/>
        <v xml:space="preserve">'KSM', </v>
      </c>
      <c r="AJ239" s="4" t="s">
        <v>29</v>
      </c>
      <c r="AK239" s="44">
        <v>98000</v>
      </c>
      <c r="AL239">
        <v>1955849.701204041</v>
      </c>
      <c r="AN239" t="s">
        <v>112</v>
      </c>
      <c r="AO239" t="s">
        <v>355</v>
      </c>
      <c r="AP239">
        <v>7201.7560000000003</v>
      </c>
    </row>
    <row r="240" spans="1:45" x14ac:dyDescent="0.25">
      <c r="A240">
        <v>238</v>
      </c>
      <c r="B240" t="s">
        <v>120</v>
      </c>
      <c r="C240" s="1">
        <v>0.24234807999999999</v>
      </c>
      <c r="E240" t="s">
        <v>142</v>
      </c>
      <c r="F240" t="s">
        <v>595</v>
      </c>
      <c r="G240" s="22">
        <v>20230112</v>
      </c>
      <c r="H240" s="56">
        <v>44939.000003240741</v>
      </c>
      <c r="I240">
        <v>3.0956421739687298E-4</v>
      </c>
      <c r="K240" s="21" t="s">
        <v>625</v>
      </c>
      <c r="L240" s="21" t="s">
        <v>567</v>
      </c>
      <c r="M240" s="21" t="s">
        <v>85</v>
      </c>
      <c r="N240" s="21" t="s">
        <v>112</v>
      </c>
      <c r="P240" t="str">
        <f t="shared" si="12"/>
        <v>LAMB</v>
      </c>
      <c r="Q240">
        <f t="shared" si="13"/>
        <v>1.2773537029749646E-3</v>
      </c>
      <c r="R240">
        <v>3.7800280517057798</v>
      </c>
      <c r="S240">
        <f t="shared" si="14"/>
        <v>0.91608254067703643</v>
      </c>
      <c r="T240" t="str">
        <f t="shared" si="15"/>
        <v xml:space="preserve">'LAMB', </v>
      </c>
      <c r="AJ240" s="27" t="s">
        <v>169</v>
      </c>
      <c r="AK240" s="44">
        <v>98000</v>
      </c>
      <c r="AL240">
        <v>1955849.701204041</v>
      </c>
      <c r="AN240" t="s">
        <v>112</v>
      </c>
      <c r="AO240" t="s">
        <v>356</v>
      </c>
      <c r="AP240">
        <v>2339.8611111199998</v>
      </c>
    </row>
    <row r="241" spans="1:42" x14ac:dyDescent="0.25">
      <c r="A241">
        <v>239</v>
      </c>
      <c r="B241" t="s">
        <v>120</v>
      </c>
      <c r="C241" s="1">
        <v>1E-8</v>
      </c>
      <c r="E241" t="s">
        <v>143</v>
      </c>
      <c r="F241" t="s">
        <v>595</v>
      </c>
      <c r="G241" s="22">
        <v>20230112</v>
      </c>
      <c r="H241" s="56">
        <v>44939.000003240741</v>
      </c>
      <c r="I241">
        <v>0</v>
      </c>
      <c r="K241" s="21" t="s">
        <v>626</v>
      </c>
      <c r="L241" s="21" t="s">
        <v>567</v>
      </c>
      <c r="M241" s="21" t="s">
        <v>85</v>
      </c>
      <c r="N241" s="21" t="s">
        <v>112</v>
      </c>
      <c r="P241" t="str">
        <f t="shared" si="12"/>
        <v>LEND</v>
      </c>
      <c r="Q241">
        <f t="shared" si="13"/>
        <v>0</v>
      </c>
      <c r="R241">
        <v>24.360496999999999</v>
      </c>
      <c r="S241">
        <f t="shared" si="14"/>
        <v>2.4360497000000001E-7</v>
      </c>
      <c r="T241" t="str">
        <f t="shared" si="15"/>
        <v xml:space="preserve">'LEND', </v>
      </c>
      <c r="AJ241" s="4" t="s">
        <v>15</v>
      </c>
      <c r="AK241" s="44">
        <v>-38935</v>
      </c>
      <c r="AL241">
        <v>-47571531.242381789</v>
      </c>
      <c r="AN241" t="s">
        <v>112</v>
      </c>
      <c r="AO241" t="s">
        <v>357</v>
      </c>
      <c r="AP241">
        <v>0.68557060000000003</v>
      </c>
    </row>
    <row r="242" spans="1:42" x14ac:dyDescent="0.25">
      <c r="A242">
        <v>240</v>
      </c>
      <c r="B242" t="s">
        <v>120</v>
      </c>
      <c r="C242" s="1">
        <v>538.90453062999995</v>
      </c>
      <c r="E242" t="s">
        <v>27</v>
      </c>
      <c r="F242" t="s">
        <v>595</v>
      </c>
      <c r="G242" s="22">
        <v>20230112</v>
      </c>
      <c r="H242" s="56">
        <v>44939.000003240741</v>
      </c>
      <c r="I242">
        <v>3438.9284850609401</v>
      </c>
      <c r="K242" s="21" t="s">
        <v>579</v>
      </c>
      <c r="L242" s="21" t="s">
        <v>567</v>
      </c>
      <c r="M242" s="21" t="s">
        <v>85</v>
      </c>
      <c r="N242" s="21" t="s">
        <v>112</v>
      </c>
      <c r="P242" t="str">
        <f t="shared" si="12"/>
        <v>LINK</v>
      </c>
      <c r="Q242">
        <f t="shared" si="13"/>
        <v>6.3813315524378718</v>
      </c>
      <c r="R242">
        <v>62.35</v>
      </c>
      <c r="S242">
        <f t="shared" si="14"/>
        <v>33600.697484780496</v>
      </c>
      <c r="T242" t="str">
        <f t="shared" si="15"/>
        <v xml:space="preserve">'LINK', </v>
      </c>
      <c r="AJ242" s="27" t="s">
        <v>169</v>
      </c>
      <c r="AK242" s="44">
        <v>-38935</v>
      </c>
      <c r="AL242">
        <v>-47571531.242381789</v>
      </c>
      <c r="AN242" t="s">
        <v>112</v>
      </c>
      <c r="AO242" t="s">
        <v>358</v>
      </c>
      <c r="AP242">
        <v>54.776400000000002</v>
      </c>
    </row>
    <row r="243" spans="1:42" x14ac:dyDescent="0.25">
      <c r="A243">
        <v>241</v>
      </c>
      <c r="B243" t="s">
        <v>120</v>
      </c>
      <c r="C243" s="1">
        <v>4.3289484800000002</v>
      </c>
      <c r="E243" t="s">
        <v>144</v>
      </c>
      <c r="F243" t="s">
        <v>595</v>
      </c>
      <c r="G243" s="22">
        <v>20230112</v>
      </c>
      <c r="H243" s="56">
        <v>44939.000003240741</v>
      </c>
      <c r="I243">
        <v>1.2336208176422599E-6</v>
      </c>
      <c r="K243" s="21" t="s">
        <v>627</v>
      </c>
      <c r="L243" s="21" t="s">
        <v>567</v>
      </c>
      <c r="M243" s="21" t="s">
        <v>85</v>
      </c>
      <c r="N243" s="21" t="s">
        <v>112</v>
      </c>
      <c r="P243" t="str">
        <f t="shared" si="12"/>
        <v>LOL</v>
      </c>
      <c r="Q243">
        <f t="shared" si="13"/>
        <v>2.8497008530862898E-7</v>
      </c>
      <c r="R243">
        <v>8.09E-2</v>
      </c>
      <c r="S243">
        <f t="shared" si="14"/>
        <v>0.35021193203200002</v>
      </c>
      <c r="T243" t="str">
        <f t="shared" si="15"/>
        <v xml:space="preserve">'LOL', </v>
      </c>
      <c r="AJ243" s="4" t="s">
        <v>107</v>
      </c>
      <c r="AK243" s="44">
        <v>-30000000</v>
      </c>
      <c r="AL243">
        <v>-31006500</v>
      </c>
      <c r="AN243" t="s">
        <v>112</v>
      </c>
      <c r="AO243" t="s">
        <v>359</v>
      </c>
      <c r="AP243">
        <v>100.03406049</v>
      </c>
    </row>
    <row r="244" spans="1:42" x14ac:dyDescent="0.25">
      <c r="A244">
        <v>242</v>
      </c>
      <c r="B244" t="s">
        <v>120</v>
      </c>
      <c r="C244" s="1">
        <v>7241.7835004299995</v>
      </c>
      <c r="E244" t="s">
        <v>24</v>
      </c>
      <c r="F244" t="s">
        <v>595</v>
      </c>
      <c r="G244" s="22">
        <v>20230112</v>
      </c>
      <c r="H244" s="56">
        <v>44939.000003240741</v>
      </c>
      <c r="I244">
        <v>622534.33846366405</v>
      </c>
      <c r="K244" s="21" t="s">
        <v>574</v>
      </c>
      <c r="L244" s="21" t="s">
        <v>567</v>
      </c>
      <c r="M244" s="21" t="s">
        <v>85</v>
      </c>
      <c r="N244" s="21" t="s">
        <v>112</v>
      </c>
      <c r="P244" t="str">
        <f t="shared" si="12"/>
        <v>LTC</v>
      </c>
      <c r="Q244">
        <f t="shared" si="13"/>
        <v>85.964229450756079</v>
      </c>
      <c r="R244">
        <v>1.2567074957005913E-2</v>
      </c>
      <c r="S244">
        <f t="shared" si="14"/>
        <v>91.008036072312464</v>
      </c>
      <c r="T244" t="str">
        <f t="shared" si="15"/>
        <v xml:space="preserve">'LTC', </v>
      </c>
      <c r="AJ244" s="27" t="s">
        <v>169</v>
      </c>
      <c r="AK244" s="44">
        <v>-30000000</v>
      </c>
      <c r="AL244">
        <v>-31006500</v>
      </c>
      <c r="AN244" t="s">
        <v>112</v>
      </c>
      <c r="AO244" t="s">
        <v>360</v>
      </c>
      <c r="AP244">
        <v>5337.6979873099999</v>
      </c>
    </row>
    <row r="245" spans="1:42" x14ac:dyDescent="0.25">
      <c r="A245">
        <v>243</v>
      </c>
      <c r="B245" t="s">
        <v>120</v>
      </c>
      <c r="C245" s="1">
        <v>0.66495972999999997</v>
      </c>
      <c r="E245" t="s">
        <v>145</v>
      </c>
      <c r="F245" t="s">
        <v>595</v>
      </c>
      <c r="G245" s="22">
        <v>20230112</v>
      </c>
      <c r="H245" s="56">
        <v>44939.000003240741</v>
      </c>
      <c r="I245">
        <v>1.7157540226222701E-4</v>
      </c>
      <c r="K245" s="21" t="s">
        <v>628</v>
      </c>
      <c r="L245" s="21" t="s">
        <v>567</v>
      </c>
      <c r="M245" s="21" t="s">
        <v>85</v>
      </c>
      <c r="N245" s="21" t="s">
        <v>112</v>
      </c>
      <c r="P245" t="str">
        <f t="shared" si="12"/>
        <v>LXT</v>
      </c>
      <c r="Q245">
        <f t="shared" si="13"/>
        <v>2.5802374868960415E-4</v>
      </c>
      <c r="R245">
        <v>1</v>
      </c>
      <c r="S245">
        <f t="shared" si="14"/>
        <v>0.66495972999999997</v>
      </c>
      <c r="T245" t="str">
        <f t="shared" si="15"/>
        <v xml:space="preserve">'LXT', </v>
      </c>
      <c r="AJ245" s="4" t="s">
        <v>258</v>
      </c>
      <c r="AK245" s="44">
        <v>-15000000</v>
      </c>
      <c r="AL245">
        <v>-15482913.098339921</v>
      </c>
      <c r="AN245" t="s">
        <v>112</v>
      </c>
      <c r="AO245" t="s">
        <v>361</v>
      </c>
      <c r="AP245">
        <v>3281.8687999200001</v>
      </c>
    </row>
    <row r="246" spans="1:42" x14ac:dyDescent="0.25">
      <c r="A246">
        <v>244</v>
      </c>
      <c r="B246" t="s">
        <v>120</v>
      </c>
      <c r="C246" s="1">
        <v>0.34</v>
      </c>
      <c r="E246" t="s">
        <v>192</v>
      </c>
      <c r="F246" t="s">
        <v>595</v>
      </c>
      <c r="G246" s="22">
        <v>20230112</v>
      </c>
      <c r="H246" s="56">
        <v>44939.000003240741</v>
      </c>
      <c r="I246">
        <v>0.14023380532507301</v>
      </c>
      <c r="K246" s="21" t="s">
        <v>629</v>
      </c>
      <c r="L246" s="21" t="s">
        <v>567</v>
      </c>
      <c r="M246" s="21" t="s">
        <v>85</v>
      </c>
      <c r="N246" s="21" t="s">
        <v>112</v>
      </c>
      <c r="P246" t="str">
        <f t="shared" si="12"/>
        <v>MANA</v>
      </c>
      <c r="Q246">
        <f t="shared" si="13"/>
        <v>0.41245236860315587</v>
      </c>
      <c r="R246">
        <v>0.9994019011090044</v>
      </c>
      <c r="S246">
        <f t="shared" si="14"/>
        <v>0.33979664637706153</v>
      </c>
      <c r="T246" t="str">
        <f t="shared" si="15"/>
        <v xml:space="preserve">'MANA', </v>
      </c>
      <c r="AJ246" s="27" t="s">
        <v>169</v>
      </c>
      <c r="AK246" s="44">
        <v>-15000000</v>
      </c>
      <c r="AL246">
        <v>-15482913.098339921</v>
      </c>
      <c r="AN246" t="s">
        <v>112</v>
      </c>
      <c r="AO246" t="s">
        <v>362</v>
      </c>
      <c r="AP246">
        <v>14.785856219999999</v>
      </c>
    </row>
    <row r="247" spans="1:42" x14ac:dyDescent="0.25">
      <c r="A247">
        <v>245</v>
      </c>
      <c r="B247" t="s">
        <v>120</v>
      </c>
      <c r="C247" s="1">
        <v>0.89105878000000005</v>
      </c>
      <c r="E247" t="s">
        <v>146</v>
      </c>
      <c r="F247" t="s">
        <v>595</v>
      </c>
      <c r="G247" s="22">
        <v>20230112</v>
      </c>
      <c r="H247" s="56">
        <v>44939.000003240741</v>
      </c>
      <c r="I247">
        <v>6.3991039922190902</v>
      </c>
      <c r="K247" s="21" t="s">
        <v>630</v>
      </c>
      <c r="L247" s="21" t="s">
        <v>567</v>
      </c>
      <c r="M247" s="21" t="s">
        <v>85</v>
      </c>
      <c r="N247" s="21" t="s">
        <v>112</v>
      </c>
      <c r="P247" t="str">
        <f t="shared" si="12"/>
        <v>NEO</v>
      </c>
      <c r="Q247">
        <f t="shared" si="13"/>
        <v>7.1814611289943073</v>
      </c>
      <c r="R247">
        <v>9.0786800000000001E-2</v>
      </c>
      <c r="S247">
        <f t="shared" si="14"/>
        <v>8.0896375248104002E-2</v>
      </c>
      <c r="T247" t="str">
        <f t="shared" si="15"/>
        <v xml:space="preserve">'NEO', </v>
      </c>
      <c r="AJ247" s="4" t="s">
        <v>37</v>
      </c>
      <c r="AK247" s="44">
        <v>187000000000</v>
      </c>
      <c r="AL247">
        <v>1688293.498807098</v>
      </c>
      <c r="AN247" t="s">
        <v>112</v>
      </c>
      <c r="AO247" t="s">
        <v>363</v>
      </c>
      <c r="AP247">
        <v>0.81765067999999996</v>
      </c>
    </row>
    <row r="248" spans="1:42" x14ac:dyDescent="0.25">
      <c r="A248">
        <v>246</v>
      </c>
      <c r="B248" t="s">
        <v>120</v>
      </c>
      <c r="C248" s="1">
        <v>40.704174029999997</v>
      </c>
      <c r="E248" t="s">
        <v>147</v>
      </c>
      <c r="F248" t="s">
        <v>595</v>
      </c>
      <c r="G248" s="22">
        <v>20230112</v>
      </c>
      <c r="H248" s="56">
        <v>44939.000003240741</v>
      </c>
      <c r="I248">
        <v>6.5557813758032801E-3</v>
      </c>
      <c r="K248" s="21" t="s">
        <v>631</v>
      </c>
      <c r="L248" s="21" t="s">
        <v>567</v>
      </c>
      <c r="M248" s="21" t="s">
        <v>85</v>
      </c>
      <c r="N248" s="21" t="s">
        <v>112</v>
      </c>
      <c r="P248" t="str">
        <f t="shared" si="12"/>
        <v>NEW</v>
      </c>
      <c r="Q248">
        <f t="shared" si="13"/>
        <v>1.6105919188954689E-4</v>
      </c>
      <c r="R248">
        <v>0.38471588000000001</v>
      </c>
      <c r="S248">
        <f t="shared" si="14"/>
        <v>15.659542131624596</v>
      </c>
      <c r="T248" t="str">
        <f t="shared" si="15"/>
        <v xml:space="preserve">'NEW', </v>
      </c>
      <c r="AJ248" s="27" t="s">
        <v>169</v>
      </c>
      <c r="AK248" s="44">
        <v>187000000000</v>
      </c>
      <c r="AL248">
        <v>1688293.498807098</v>
      </c>
      <c r="AN248" t="s">
        <v>112</v>
      </c>
      <c r="AO248" t="s">
        <v>364</v>
      </c>
      <c r="AP248">
        <v>9.1121815000000002</v>
      </c>
    </row>
    <row r="249" spans="1:42" x14ac:dyDescent="0.25">
      <c r="A249">
        <v>247</v>
      </c>
      <c r="B249" t="s">
        <v>120</v>
      </c>
      <c r="C249" s="1">
        <v>3049025070.2014399</v>
      </c>
      <c r="E249" t="s">
        <v>148</v>
      </c>
      <c r="F249" t="s">
        <v>595</v>
      </c>
      <c r="G249" s="22">
        <v>20230112</v>
      </c>
      <c r="H249" s="56">
        <v>44939.000003240741</v>
      </c>
      <c r="I249">
        <v>1303.0554985349399</v>
      </c>
      <c r="K249" s="21" t="s">
        <v>632</v>
      </c>
      <c r="L249" s="21" t="s">
        <v>567</v>
      </c>
      <c r="M249" s="21" t="s">
        <v>85</v>
      </c>
      <c r="N249" s="21" t="s">
        <v>112</v>
      </c>
      <c r="P249" t="str">
        <f t="shared" si="12"/>
        <v>NFT</v>
      </c>
      <c r="Q249">
        <f t="shared" si="13"/>
        <v>4.2736791877177022E-7</v>
      </c>
      <c r="R249">
        <v>103.98</v>
      </c>
      <c r="S249">
        <f t="shared" si="14"/>
        <v>317037626799.54572</v>
      </c>
      <c r="T249" t="str">
        <f t="shared" si="15"/>
        <v xml:space="preserve">'NFT', </v>
      </c>
      <c r="AJ249" s="4" t="s">
        <v>95</v>
      </c>
      <c r="AK249" s="44">
        <v>-51200000</v>
      </c>
      <c r="AL249">
        <v>-51200000</v>
      </c>
      <c r="AN249" t="s">
        <v>112</v>
      </c>
      <c r="AO249" t="s">
        <v>365</v>
      </c>
      <c r="AP249">
        <v>5</v>
      </c>
    </row>
    <row r="250" spans="1:42" x14ac:dyDescent="0.25">
      <c r="A250">
        <v>248</v>
      </c>
      <c r="B250" t="s">
        <v>120</v>
      </c>
      <c r="C250" s="1">
        <v>4.3068300000000002E-3</v>
      </c>
      <c r="E250" t="s">
        <v>149</v>
      </c>
      <c r="F250" t="s">
        <v>595</v>
      </c>
      <c r="G250" s="22">
        <v>20230112</v>
      </c>
      <c r="H250" s="56">
        <v>44939.000003240741</v>
      </c>
      <c r="I250">
        <v>8.8743929915522204E-4</v>
      </c>
      <c r="K250" s="21" t="s">
        <v>633</v>
      </c>
      <c r="L250" s="21" t="s">
        <v>567</v>
      </c>
      <c r="M250" s="21" t="s">
        <v>85</v>
      </c>
      <c r="N250" s="21" t="s">
        <v>112</v>
      </c>
      <c r="P250" t="str">
        <f t="shared" si="12"/>
        <v>NULS</v>
      </c>
      <c r="Q250">
        <f t="shared" si="13"/>
        <v>0.20605394203050084</v>
      </c>
      <c r="R250">
        <v>39.366320000000002</v>
      </c>
      <c r="S250">
        <f t="shared" si="14"/>
        <v>0.16954404796560002</v>
      </c>
      <c r="T250" t="str">
        <f t="shared" si="15"/>
        <v xml:space="preserve">'NULS', </v>
      </c>
      <c r="AJ250" s="27" t="s">
        <v>169</v>
      </c>
      <c r="AK250" s="44">
        <v>-51200000</v>
      </c>
      <c r="AL250">
        <v>-51200000</v>
      </c>
      <c r="AN250" t="s">
        <v>112</v>
      </c>
      <c r="AO250" t="s">
        <v>366</v>
      </c>
      <c r="AP250">
        <v>0.24234807999999999</v>
      </c>
    </row>
    <row r="251" spans="1:42" x14ac:dyDescent="0.25">
      <c r="A251">
        <v>249</v>
      </c>
      <c r="B251" t="s">
        <v>120</v>
      </c>
      <c r="C251" s="1">
        <v>0.34782034000000001</v>
      </c>
      <c r="E251" t="s">
        <v>151</v>
      </c>
      <c r="F251" t="s">
        <v>595</v>
      </c>
      <c r="G251" s="22">
        <v>20230112</v>
      </c>
      <c r="H251" s="56">
        <v>44939.000003240741</v>
      </c>
      <c r="I251">
        <v>8.4954954190642806E-2</v>
      </c>
      <c r="K251" s="21" t="s">
        <v>634</v>
      </c>
      <c r="L251" s="21" t="s">
        <v>567</v>
      </c>
      <c r="M251" s="21" t="s">
        <v>85</v>
      </c>
      <c r="N251" s="21" t="s">
        <v>112</v>
      </c>
      <c r="P251" t="str">
        <f t="shared" si="12"/>
        <v>ONG</v>
      </c>
      <c r="Q251">
        <f t="shared" si="13"/>
        <v>0.24424952891093948</v>
      </c>
      <c r="R251">
        <v>19.614688999999998</v>
      </c>
      <c r="S251">
        <f t="shared" si="14"/>
        <v>6.8223877969742599</v>
      </c>
      <c r="T251" t="str">
        <f t="shared" si="15"/>
        <v xml:space="preserve">'ONG', </v>
      </c>
      <c r="AJ251" s="4" t="s">
        <v>92</v>
      </c>
      <c r="AK251" s="44">
        <v>-127000000</v>
      </c>
      <c r="AL251">
        <v>-127017315.1802046</v>
      </c>
      <c r="AN251" t="s">
        <v>112</v>
      </c>
      <c r="AO251" t="s">
        <v>367</v>
      </c>
      <c r="AP251" s="29">
        <v>1E-8</v>
      </c>
    </row>
    <row r="252" spans="1:42" x14ac:dyDescent="0.25">
      <c r="A252">
        <v>250</v>
      </c>
      <c r="B252" t="s">
        <v>120</v>
      </c>
      <c r="C252" s="1">
        <v>78631.814589489994</v>
      </c>
      <c r="E252" t="s">
        <v>89</v>
      </c>
      <c r="F252" t="s">
        <v>595</v>
      </c>
      <c r="G252" s="22">
        <v>20230112</v>
      </c>
      <c r="H252" s="56">
        <v>44939.000003240741</v>
      </c>
      <c r="I252">
        <v>5765.2321127505302</v>
      </c>
      <c r="K252" s="21" t="s">
        <v>635</v>
      </c>
      <c r="L252" s="21" t="s">
        <v>567</v>
      </c>
      <c r="M252" s="21" t="s">
        <v>85</v>
      </c>
      <c r="N252" s="21" t="s">
        <v>112</v>
      </c>
      <c r="P252" t="str">
        <f t="shared" si="12"/>
        <v>OXT</v>
      </c>
      <c r="Q252">
        <f t="shared" si="13"/>
        <v>7.3319331912265404E-2</v>
      </c>
      <c r="R252">
        <v>9.1027119999999996E-6</v>
      </c>
      <c r="S252">
        <f t="shared" si="14"/>
        <v>0.7157627622455256</v>
      </c>
      <c r="T252" t="str">
        <f t="shared" si="15"/>
        <v xml:space="preserve">'OXT', </v>
      </c>
      <c r="AJ252" s="27" t="s">
        <v>169</v>
      </c>
      <c r="AK252" s="44">
        <v>-127000000</v>
      </c>
      <c r="AL252">
        <v>-127017315.1802046</v>
      </c>
      <c r="AN252" t="s">
        <v>112</v>
      </c>
      <c r="AO252" t="s">
        <v>368</v>
      </c>
      <c r="AP252">
        <v>362</v>
      </c>
    </row>
    <row r="253" spans="1:42" x14ac:dyDescent="0.25">
      <c r="A253">
        <v>251</v>
      </c>
      <c r="B253" t="s">
        <v>120</v>
      </c>
      <c r="C253" s="1">
        <v>3.0962099999999998E-3</v>
      </c>
      <c r="E253" t="s">
        <v>152</v>
      </c>
      <c r="F253" t="s">
        <v>595</v>
      </c>
      <c r="G253" s="22">
        <v>20230112</v>
      </c>
      <c r="H253" s="56">
        <v>44939.000003240741</v>
      </c>
      <c r="I253">
        <v>6.8010097540225998E-3</v>
      </c>
      <c r="K253" s="21" t="s">
        <v>636</v>
      </c>
      <c r="L253" s="21" t="s">
        <v>567</v>
      </c>
      <c r="M253" s="21" t="s">
        <v>85</v>
      </c>
      <c r="N253" s="21" t="s">
        <v>112</v>
      </c>
      <c r="P253" t="str">
        <f t="shared" si="12"/>
        <v>QTUM</v>
      </c>
      <c r="Q253">
        <f t="shared" si="13"/>
        <v>2.1965595854359363</v>
      </c>
      <c r="R253">
        <v>6065.0834999999997</v>
      </c>
      <c r="S253">
        <f t="shared" si="14"/>
        <v>18.778772183534997</v>
      </c>
      <c r="T253" t="str">
        <f t="shared" si="15"/>
        <v xml:space="preserve">'QTUM', </v>
      </c>
      <c r="AJ253" s="4" t="s">
        <v>171</v>
      </c>
      <c r="AK253" s="44">
        <v>4</v>
      </c>
      <c r="AL253">
        <v>22850.760965968111</v>
      </c>
      <c r="AN253" t="s">
        <v>112</v>
      </c>
      <c r="AO253" t="s">
        <v>368</v>
      </c>
      <c r="AP253">
        <v>-2073</v>
      </c>
    </row>
    <row r="254" spans="1:42" x14ac:dyDescent="0.25">
      <c r="A254">
        <v>252</v>
      </c>
      <c r="B254" t="s">
        <v>120</v>
      </c>
      <c r="C254" s="1">
        <v>2.6598900000000002E-2</v>
      </c>
      <c r="E254" t="s">
        <v>153</v>
      </c>
      <c r="F254" t="s">
        <v>595</v>
      </c>
      <c r="G254" s="22">
        <v>20230112</v>
      </c>
      <c r="H254" s="56">
        <v>44939.000003240741</v>
      </c>
      <c r="I254">
        <v>6.4412294033312095E-4</v>
      </c>
      <c r="K254" s="21" t="s">
        <v>637</v>
      </c>
      <c r="L254" s="21" t="s">
        <v>567</v>
      </c>
      <c r="M254" s="21" t="s">
        <v>85</v>
      </c>
      <c r="N254" s="21" t="s">
        <v>112</v>
      </c>
      <c r="P254" t="str">
        <f t="shared" si="12"/>
        <v>REI</v>
      </c>
      <c r="Q254">
        <f t="shared" si="13"/>
        <v>2.4216149552542431E-2</v>
      </c>
      <c r="R254">
        <v>1208.73</v>
      </c>
      <c r="S254">
        <f t="shared" si="14"/>
        <v>32.150888397000003</v>
      </c>
      <c r="T254" t="str">
        <f t="shared" si="15"/>
        <v xml:space="preserve">'REI', </v>
      </c>
      <c r="AJ254" s="27" t="s">
        <v>169</v>
      </c>
      <c r="AK254" s="44">
        <v>4</v>
      </c>
      <c r="AL254">
        <v>22850.760965968111</v>
      </c>
      <c r="AN254" t="s">
        <v>112</v>
      </c>
      <c r="AO254" t="s">
        <v>368</v>
      </c>
      <c r="AP254">
        <v>23365.829594899998</v>
      </c>
    </row>
    <row r="255" spans="1:42" x14ac:dyDescent="0.25">
      <c r="A255">
        <v>253</v>
      </c>
      <c r="B255" t="s">
        <v>120</v>
      </c>
      <c r="C255" s="1">
        <v>1214222.2371159999</v>
      </c>
      <c r="E255" t="s">
        <v>98</v>
      </c>
      <c r="F255" t="s">
        <v>595</v>
      </c>
      <c r="G255" s="22">
        <v>20230112</v>
      </c>
      <c r="H255" s="56">
        <v>44939.000003240741</v>
      </c>
      <c r="I255">
        <v>14215.176878673101</v>
      </c>
      <c r="K255" s="21" t="s">
        <v>638</v>
      </c>
      <c r="L255" s="21" t="s">
        <v>567</v>
      </c>
      <c r="M255" s="21" t="s">
        <v>85</v>
      </c>
      <c r="N255" s="21" t="s">
        <v>112</v>
      </c>
      <c r="P255" t="str">
        <f t="shared" si="12"/>
        <v>SGB</v>
      </c>
      <c r="Q255">
        <f t="shared" si="13"/>
        <v>1.1707228252084024E-2</v>
      </c>
      <c r="R255">
        <v>1</v>
      </c>
      <c r="S255">
        <f t="shared" si="14"/>
        <v>1214222.2371159999</v>
      </c>
      <c r="T255" t="str">
        <f t="shared" si="15"/>
        <v xml:space="preserve">'SGB', </v>
      </c>
      <c r="AJ255" s="4" t="s">
        <v>26</v>
      </c>
      <c r="AK255" s="44">
        <v>-20000000</v>
      </c>
      <c r="AL255">
        <v>-416552.72751159238</v>
      </c>
      <c r="AN255" t="s">
        <v>112</v>
      </c>
      <c r="AO255" t="s">
        <v>368</v>
      </c>
      <c r="AP255" s="29">
        <v>1E-8</v>
      </c>
    </row>
    <row r="256" spans="1:42" x14ac:dyDescent="0.25">
      <c r="A256">
        <v>254</v>
      </c>
      <c r="B256" t="s">
        <v>120</v>
      </c>
      <c r="C256" s="1">
        <v>1884988.30453923</v>
      </c>
      <c r="E256" t="s">
        <v>37</v>
      </c>
      <c r="F256" t="s">
        <v>595</v>
      </c>
      <c r="G256" s="22">
        <v>20230112</v>
      </c>
      <c r="H256" s="56">
        <v>44939.000003240741</v>
      </c>
      <c r="I256">
        <v>17.853446824831199</v>
      </c>
      <c r="K256" s="21" t="s">
        <v>593</v>
      </c>
      <c r="L256" s="21" t="s">
        <v>567</v>
      </c>
      <c r="M256" s="21" t="s">
        <v>85</v>
      </c>
      <c r="N256" s="21" t="s">
        <v>112</v>
      </c>
      <c r="P256" t="str">
        <f t="shared" si="12"/>
        <v>SHIB</v>
      </c>
      <c r="Q256">
        <f t="shared" si="13"/>
        <v>9.4713833405960196E-6</v>
      </c>
      <c r="R256">
        <v>1</v>
      </c>
      <c r="S256">
        <f t="shared" si="14"/>
        <v>1884988.30453923</v>
      </c>
      <c r="T256" t="str">
        <f t="shared" si="15"/>
        <v xml:space="preserve">'SHIB', </v>
      </c>
      <c r="AJ256" s="27" t="s">
        <v>169</v>
      </c>
      <c r="AK256" s="44">
        <v>-20000000</v>
      </c>
      <c r="AL256">
        <v>-416552.72751159238</v>
      </c>
      <c r="AN256" t="s">
        <v>112</v>
      </c>
      <c r="AO256" t="s">
        <v>369</v>
      </c>
      <c r="AP256">
        <v>4.3289484800000002</v>
      </c>
    </row>
    <row r="257" spans="1:42" x14ac:dyDescent="0.25">
      <c r="A257">
        <v>255</v>
      </c>
      <c r="B257" t="s">
        <v>120</v>
      </c>
      <c r="C257" s="1">
        <v>0.14106867000000001</v>
      </c>
      <c r="E257" t="s">
        <v>154</v>
      </c>
      <c r="F257" t="s">
        <v>595</v>
      </c>
      <c r="G257" s="22">
        <v>20230112</v>
      </c>
      <c r="H257" s="56">
        <v>44939.000003240741</v>
      </c>
      <c r="I257">
        <v>2.3444264614525099</v>
      </c>
      <c r="K257" s="21" t="s">
        <v>639</v>
      </c>
      <c r="L257" s="21" t="s">
        <v>567</v>
      </c>
      <c r="M257" s="21" t="s">
        <v>85</v>
      </c>
      <c r="N257" s="21" t="s">
        <v>112</v>
      </c>
      <c r="P257" t="str">
        <f t="shared" si="12"/>
        <v>SOL</v>
      </c>
      <c r="Q257">
        <f t="shared" si="13"/>
        <v>16.619044196365572</v>
      </c>
      <c r="R257">
        <v>16719.740000000002</v>
      </c>
      <c r="S257">
        <f t="shared" si="14"/>
        <v>2358.6314845458005</v>
      </c>
      <c r="T257" t="str">
        <f t="shared" si="15"/>
        <v xml:space="preserve">'SOL', </v>
      </c>
      <c r="AJ257" s="3" t="s">
        <v>295</v>
      </c>
      <c r="AK257" s="44">
        <v>86.579094099999992</v>
      </c>
      <c r="AL257">
        <v>401.64232005519716</v>
      </c>
      <c r="AN257" t="s">
        <v>112</v>
      </c>
      <c r="AO257" t="s">
        <v>370</v>
      </c>
      <c r="AP257">
        <v>20</v>
      </c>
    </row>
    <row r="258" spans="1:42" x14ac:dyDescent="0.25">
      <c r="A258">
        <v>256</v>
      </c>
      <c r="B258" t="s">
        <v>120</v>
      </c>
      <c r="C258" s="1">
        <v>38753.774400000002</v>
      </c>
      <c r="E258" t="s">
        <v>155</v>
      </c>
      <c r="F258" t="s">
        <v>595</v>
      </c>
      <c r="G258" s="22">
        <v>20230112</v>
      </c>
      <c r="H258" s="56">
        <v>44939.000003240741</v>
      </c>
      <c r="I258">
        <v>6256.6543580955404</v>
      </c>
      <c r="K258" s="21" t="s">
        <v>640</v>
      </c>
      <c r="L258" s="21" t="s">
        <v>567</v>
      </c>
      <c r="M258" s="21" t="s">
        <v>85</v>
      </c>
      <c r="N258" s="21" t="s">
        <v>112</v>
      </c>
      <c r="P258" t="str">
        <f t="shared" ref="P258:P321" si="16">IF($C258="","",$E258)</f>
        <v>SOLO</v>
      </c>
      <c r="Q258">
        <f t="shared" si="13"/>
        <v>0.1614463224540921</v>
      </c>
      <c r="R258">
        <v>16719.740000000002</v>
      </c>
      <c r="S258">
        <f t="shared" si="14"/>
        <v>647953031.98665607</v>
      </c>
      <c r="T258" t="str">
        <f t="shared" si="15"/>
        <v xml:space="preserve">'SOLO', </v>
      </c>
      <c r="AJ258" s="4" t="s">
        <v>14</v>
      </c>
      <c r="AK258" s="44">
        <v>1.9199069999999999E-2</v>
      </c>
      <c r="AL258">
        <v>313.96941313966414</v>
      </c>
      <c r="AN258" t="s">
        <v>112</v>
      </c>
      <c r="AO258" t="s">
        <v>370</v>
      </c>
      <c r="AP258">
        <v>6149.0642865700001</v>
      </c>
    </row>
    <row r="259" spans="1:42" x14ac:dyDescent="0.25">
      <c r="A259">
        <v>257</v>
      </c>
      <c r="B259" t="s">
        <v>120</v>
      </c>
      <c r="C259" s="1">
        <v>29.76350429</v>
      </c>
      <c r="E259" t="s">
        <v>156</v>
      </c>
      <c r="F259" t="s">
        <v>595</v>
      </c>
      <c r="G259" s="22">
        <v>20230112</v>
      </c>
      <c r="H259" s="56">
        <v>44939.000003240741</v>
      </c>
      <c r="I259">
        <v>8.8686409626250899</v>
      </c>
      <c r="K259" s="21" t="s">
        <v>641</v>
      </c>
      <c r="L259" s="21" t="s">
        <v>567</v>
      </c>
      <c r="M259" s="21" t="s">
        <v>85</v>
      </c>
      <c r="N259" s="21" t="s">
        <v>112</v>
      </c>
      <c r="P259" t="str">
        <f t="shared" si="16"/>
        <v>STORJ</v>
      </c>
      <c r="Q259">
        <f t="shared" ref="Q259:Q322" si="17">IF($C259="","",$I259/$C259)</f>
        <v>0.29797032218429981</v>
      </c>
      <c r="R259">
        <v>1208.73</v>
      </c>
      <c r="S259">
        <f t="shared" ref="S259:S322" si="18">IF($B259="","",$C259*$R259)</f>
        <v>35976.040540451701</v>
      </c>
      <c r="T259" t="str">
        <f t="shared" ref="T259:T322" si="19">"'"&amp;P259&amp;"', "</f>
        <v xml:space="preserve">'STORJ', </v>
      </c>
      <c r="AJ259" s="27" t="s">
        <v>85</v>
      </c>
      <c r="AK259" s="44">
        <v>1.9199069999999999E-2</v>
      </c>
      <c r="AL259">
        <v>313.96941313966414</v>
      </c>
      <c r="AN259" t="s">
        <v>112</v>
      </c>
      <c r="AO259" t="s">
        <v>370</v>
      </c>
      <c r="AP259">
        <v>4867.9546093700001</v>
      </c>
    </row>
    <row r="260" spans="1:42" x14ac:dyDescent="0.25">
      <c r="A260">
        <v>258</v>
      </c>
      <c r="B260" t="s">
        <v>120</v>
      </c>
      <c r="C260" s="1">
        <v>44.266270740000003</v>
      </c>
      <c r="E260" t="s">
        <v>25</v>
      </c>
      <c r="F260" t="s">
        <v>595</v>
      </c>
      <c r="G260" s="22">
        <v>20230112</v>
      </c>
      <c r="H260" s="56">
        <v>44939.000003240741</v>
      </c>
      <c r="I260">
        <v>2.5280998251357198</v>
      </c>
      <c r="K260" s="21" t="s">
        <v>575</v>
      </c>
      <c r="L260" s="21" t="s">
        <v>567</v>
      </c>
      <c r="M260" s="21" t="s">
        <v>85</v>
      </c>
      <c r="N260" s="21" t="s">
        <v>112</v>
      </c>
      <c r="P260" t="str">
        <f t="shared" si="16"/>
        <v>TRX</v>
      </c>
      <c r="Q260">
        <f t="shared" si="17"/>
        <v>5.7111199630631451E-2</v>
      </c>
      <c r="R260">
        <v>1208.73</v>
      </c>
      <c r="S260">
        <f t="shared" si="18"/>
        <v>53505.969431560203</v>
      </c>
      <c r="T260" t="str">
        <f t="shared" si="19"/>
        <v xml:space="preserve">'TRX', </v>
      </c>
      <c r="AJ260" s="4" t="s">
        <v>15</v>
      </c>
      <c r="AK260" s="44">
        <v>9.9825000000000001E-4</v>
      </c>
      <c r="AL260">
        <v>1.219681034100619</v>
      </c>
      <c r="AN260" t="s">
        <v>112</v>
      </c>
      <c r="AO260" t="s">
        <v>370</v>
      </c>
      <c r="AP260" s="29">
        <v>1E-8</v>
      </c>
    </row>
    <row r="261" spans="1:42" x14ac:dyDescent="0.25">
      <c r="A261">
        <v>259</v>
      </c>
      <c r="B261" t="s">
        <v>120</v>
      </c>
      <c r="C261" s="1">
        <v>6.3152970000000003E-2</v>
      </c>
      <c r="E261" t="s">
        <v>157</v>
      </c>
      <c r="F261" t="s">
        <v>595</v>
      </c>
      <c r="G261" s="22">
        <v>20230112</v>
      </c>
      <c r="H261" s="56">
        <v>44939.000003240741</v>
      </c>
      <c r="I261">
        <v>2.2172842281770701E-4</v>
      </c>
      <c r="K261" s="21" t="s">
        <v>642</v>
      </c>
      <c r="L261" s="21" t="s">
        <v>567</v>
      </c>
      <c r="M261" s="21" t="s">
        <v>85</v>
      </c>
      <c r="N261" s="21" t="s">
        <v>112</v>
      </c>
      <c r="P261" t="str">
        <f t="shared" si="16"/>
        <v>TT</v>
      </c>
      <c r="Q261">
        <f t="shared" si="17"/>
        <v>3.5109737961287807E-3</v>
      </c>
      <c r="R261">
        <v>0.38471588000000001</v>
      </c>
      <c r="S261">
        <f t="shared" si="18"/>
        <v>2.4295950428163602E-2</v>
      </c>
      <c r="T261" t="str">
        <f t="shared" si="19"/>
        <v xml:space="preserve">'TT', </v>
      </c>
      <c r="AJ261" s="27" t="s">
        <v>85</v>
      </c>
      <c r="AK261" s="44">
        <v>9.9825000000000001E-4</v>
      </c>
      <c r="AL261">
        <v>1.219681034100619</v>
      </c>
      <c r="AN261" t="s">
        <v>112</v>
      </c>
      <c r="AO261" t="s">
        <v>370</v>
      </c>
      <c r="AP261">
        <v>-5500</v>
      </c>
    </row>
    <row r="262" spans="1:42" x14ac:dyDescent="0.25">
      <c r="A262">
        <v>260</v>
      </c>
      <c r="B262" t="s">
        <v>120</v>
      </c>
      <c r="C262" s="1">
        <v>20</v>
      </c>
      <c r="E262" t="s">
        <v>158</v>
      </c>
      <c r="F262" t="s">
        <v>595</v>
      </c>
      <c r="G262" s="22">
        <v>20230112</v>
      </c>
      <c r="H262" s="56">
        <v>44939.000003240741</v>
      </c>
      <c r="I262">
        <v>19.997862390323</v>
      </c>
      <c r="K262" s="21" t="s">
        <v>643</v>
      </c>
      <c r="L262" s="21" t="s">
        <v>567</v>
      </c>
      <c r="M262" s="21" t="s">
        <v>85</v>
      </c>
      <c r="N262" s="21" t="s">
        <v>112</v>
      </c>
      <c r="P262" t="str">
        <f t="shared" si="16"/>
        <v>TUSD</v>
      </c>
      <c r="Q262">
        <f t="shared" si="17"/>
        <v>0.99989311951615001</v>
      </c>
      <c r="R262">
        <v>16719.740000000002</v>
      </c>
      <c r="S262">
        <f t="shared" si="18"/>
        <v>334394.80000000005</v>
      </c>
      <c r="T262" t="str">
        <f t="shared" si="19"/>
        <v xml:space="preserve">'TUSD', </v>
      </c>
      <c r="AJ262" s="4" t="s">
        <v>290</v>
      </c>
      <c r="AK262" s="44">
        <v>9.9825000000000001E-4</v>
      </c>
      <c r="AL262">
        <v>3.2524081496326362E-4</v>
      </c>
      <c r="AN262" t="s">
        <v>112</v>
      </c>
      <c r="AO262" t="s">
        <v>371</v>
      </c>
      <c r="AP262">
        <v>0.66495972999999997</v>
      </c>
    </row>
    <row r="263" spans="1:42" x14ac:dyDescent="0.25">
      <c r="A263">
        <v>261</v>
      </c>
      <c r="B263" t="s">
        <v>120</v>
      </c>
      <c r="C263" s="1">
        <v>1E-8</v>
      </c>
      <c r="E263" t="s">
        <v>159</v>
      </c>
      <c r="F263" t="s">
        <v>595</v>
      </c>
      <c r="G263" s="22">
        <v>20230112</v>
      </c>
      <c r="H263" s="56">
        <v>44939.000003240741</v>
      </c>
      <c r="I263">
        <v>6.1733812820777396E-8</v>
      </c>
      <c r="K263" s="21" t="s">
        <v>644</v>
      </c>
      <c r="L263" s="21" t="s">
        <v>567</v>
      </c>
      <c r="M263" s="21" t="s">
        <v>85</v>
      </c>
      <c r="N263" s="21" t="s">
        <v>112</v>
      </c>
      <c r="P263" t="str">
        <f t="shared" si="16"/>
        <v>UNI</v>
      </c>
      <c r="Q263">
        <f t="shared" si="17"/>
        <v>6.1733812820777398</v>
      </c>
      <c r="R263">
        <v>16719.740000000002</v>
      </c>
      <c r="S263">
        <f t="shared" si="18"/>
        <v>1.6719740000000001E-4</v>
      </c>
      <c r="T263" t="str">
        <f t="shared" si="19"/>
        <v xml:space="preserve">'UNI', </v>
      </c>
      <c r="AJ263" s="27" t="s">
        <v>85</v>
      </c>
      <c r="AK263" s="44">
        <v>9.9825000000000001E-4</v>
      </c>
      <c r="AL263">
        <v>3.2524081496326362E-4</v>
      </c>
      <c r="AN263" t="s">
        <v>112</v>
      </c>
      <c r="AO263" t="s">
        <v>372</v>
      </c>
      <c r="AP263">
        <v>0.34</v>
      </c>
    </row>
    <row r="264" spans="1:42" x14ac:dyDescent="0.25">
      <c r="A264">
        <v>262</v>
      </c>
      <c r="B264" t="s">
        <v>120</v>
      </c>
      <c r="C264" s="1">
        <v>5.6000000000000004E-7</v>
      </c>
      <c r="E264" t="s">
        <v>92</v>
      </c>
      <c r="F264" t="s">
        <v>595</v>
      </c>
      <c r="G264" s="22">
        <v>20230112</v>
      </c>
      <c r="H264" s="56">
        <v>44939.000003240741</v>
      </c>
      <c r="I264">
        <v>5.6004040379134398E-7</v>
      </c>
      <c r="K264" s="21" t="s">
        <v>645</v>
      </c>
      <c r="L264" s="21" t="s">
        <v>567</v>
      </c>
      <c r="M264" s="21" t="s">
        <v>85</v>
      </c>
      <c r="N264" s="21" t="s">
        <v>112</v>
      </c>
      <c r="P264" t="str">
        <f t="shared" si="16"/>
        <v>USDC</v>
      </c>
      <c r="Q264">
        <f t="shared" si="17"/>
        <v>1.0000721496273999</v>
      </c>
      <c r="R264">
        <v>1208.73</v>
      </c>
      <c r="S264">
        <f t="shared" si="18"/>
        <v>6.768888E-4</v>
      </c>
      <c r="T264" t="str">
        <f t="shared" si="19"/>
        <v xml:space="preserve">'USDC', </v>
      </c>
      <c r="AJ264" s="4" t="s">
        <v>272</v>
      </c>
      <c r="AK264" s="44">
        <v>9.9825000000000001E-4</v>
      </c>
      <c r="AL264">
        <v>3.8898539183139548E-3</v>
      </c>
      <c r="AN264" t="s">
        <v>112</v>
      </c>
      <c r="AO264" t="s">
        <v>373</v>
      </c>
      <c r="AP264">
        <v>0.89105878000000005</v>
      </c>
    </row>
    <row r="265" spans="1:42" x14ac:dyDescent="0.25">
      <c r="A265">
        <v>263</v>
      </c>
      <c r="B265" t="s">
        <v>120</v>
      </c>
      <c r="C265" s="1">
        <v>0.34680431</v>
      </c>
      <c r="E265" t="s">
        <v>160</v>
      </c>
      <c r="F265" t="s">
        <v>595</v>
      </c>
      <c r="G265" s="22">
        <v>20230112</v>
      </c>
      <c r="H265" s="56">
        <v>44939.000003240741</v>
      </c>
      <c r="I265">
        <v>0.34621618871566701</v>
      </c>
      <c r="K265" s="21" t="s">
        <v>646</v>
      </c>
      <c r="L265" s="21" t="s">
        <v>567</v>
      </c>
      <c r="M265" s="21" t="s">
        <v>85</v>
      </c>
      <c r="N265" s="21" t="s">
        <v>112</v>
      </c>
      <c r="P265" t="str">
        <f t="shared" si="16"/>
        <v>USDP</v>
      </c>
      <c r="Q265">
        <f t="shared" si="17"/>
        <v>0.99830416962138391</v>
      </c>
      <c r="R265">
        <v>0.99940190110900451</v>
      </c>
      <c r="S265">
        <f t="shared" si="18"/>
        <v>0.34659688672679656</v>
      </c>
      <c r="T265" t="str">
        <f t="shared" si="19"/>
        <v xml:space="preserve">'USDP', </v>
      </c>
      <c r="AJ265" s="27" t="s">
        <v>85</v>
      </c>
      <c r="AK265" s="44">
        <v>9.9825000000000001E-4</v>
      </c>
      <c r="AL265">
        <v>3.8898539183139548E-3</v>
      </c>
      <c r="AN265" t="s">
        <v>112</v>
      </c>
      <c r="AO265" t="s">
        <v>374</v>
      </c>
      <c r="AP265">
        <v>40.704174029999997</v>
      </c>
    </row>
    <row r="266" spans="1:42" x14ac:dyDescent="0.25">
      <c r="A266">
        <v>264</v>
      </c>
      <c r="B266" t="s">
        <v>120</v>
      </c>
      <c r="C266" s="1">
        <v>2871094.4364123498</v>
      </c>
      <c r="E266" t="s">
        <v>38</v>
      </c>
      <c r="F266" t="s">
        <v>595</v>
      </c>
      <c r="G266" s="22">
        <v>20230112</v>
      </c>
      <c r="H266" s="56">
        <v>44939.000003240741</v>
      </c>
      <c r="I266">
        <v>2871358.7183138798</v>
      </c>
      <c r="K266" s="21" t="s">
        <v>590</v>
      </c>
      <c r="L266" s="21" t="s">
        <v>567</v>
      </c>
      <c r="M266" s="21" t="s">
        <v>85</v>
      </c>
      <c r="N266" s="21" t="s">
        <v>112</v>
      </c>
      <c r="P266" t="str">
        <f t="shared" si="16"/>
        <v>USDT</v>
      </c>
      <c r="Q266">
        <f t="shared" si="17"/>
        <v>1.0000920491845124</v>
      </c>
      <c r="R266">
        <v>0.99940190110900462</v>
      </c>
      <c r="S266">
        <f t="shared" si="18"/>
        <v>2869377.2380139884</v>
      </c>
      <c r="T266" t="str">
        <f t="shared" si="19"/>
        <v xml:space="preserve">'USDT', </v>
      </c>
      <c r="AJ266" s="4" t="s">
        <v>291</v>
      </c>
      <c r="AK266" s="44">
        <v>9.5929999999999998E-5</v>
      </c>
      <c r="AL266">
        <v>4.4231165462276686E-6</v>
      </c>
      <c r="AN266" t="s">
        <v>112</v>
      </c>
      <c r="AO266" t="s">
        <v>375</v>
      </c>
      <c r="AP266">
        <v>3013993111.0959401</v>
      </c>
    </row>
    <row r="267" spans="1:42" x14ac:dyDescent="0.25">
      <c r="A267">
        <v>265</v>
      </c>
      <c r="B267" t="s">
        <v>120</v>
      </c>
      <c r="C267" s="1">
        <v>25.959481520000001</v>
      </c>
      <c r="E267" t="s">
        <v>196</v>
      </c>
      <c r="F267" t="s">
        <v>595</v>
      </c>
      <c r="G267" s="22">
        <v>20230112</v>
      </c>
      <c r="H267" s="56">
        <v>44939.000003240741</v>
      </c>
      <c r="I267">
        <v>0.48913662714363099</v>
      </c>
      <c r="K267" s="21" t="s">
        <v>647</v>
      </c>
      <c r="L267" s="21" t="s">
        <v>567</v>
      </c>
      <c r="M267" s="21" t="s">
        <v>85</v>
      </c>
      <c r="N267" s="21" t="s">
        <v>112</v>
      </c>
      <c r="P267" t="str">
        <f t="shared" si="16"/>
        <v>VET</v>
      </c>
      <c r="Q267">
        <f t="shared" si="17"/>
        <v>1.8842311113447498E-2</v>
      </c>
      <c r="R267">
        <v>16719.740000000002</v>
      </c>
      <c r="S267">
        <f t="shared" si="18"/>
        <v>434035.78154920484</v>
      </c>
      <c r="T267" t="str">
        <f t="shared" si="19"/>
        <v xml:space="preserve">'VET', </v>
      </c>
      <c r="AJ267" s="27" t="s">
        <v>85</v>
      </c>
      <c r="AK267" s="44">
        <v>9.5929999999999998E-5</v>
      </c>
      <c r="AL267">
        <v>4.4231165462276686E-6</v>
      </c>
      <c r="AN267" t="s">
        <v>112</v>
      </c>
      <c r="AO267" t="s">
        <v>376</v>
      </c>
      <c r="AP267">
        <v>4.3068300000000002E-3</v>
      </c>
    </row>
    <row r="268" spans="1:42" x14ac:dyDescent="0.25">
      <c r="A268">
        <v>266</v>
      </c>
      <c r="B268" t="s">
        <v>120</v>
      </c>
      <c r="C268" s="1">
        <v>0.20872535</v>
      </c>
      <c r="E268" t="s">
        <v>161</v>
      </c>
      <c r="F268" t="s">
        <v>595</v>
      </c>
      <c r="G268" s="22">
        <v>20230112</v>
      </c>
      <c r="H268" s="56">
        <v>44939.000003240741</v>
      </c>
      <c r="I268">
        <v>2.25420236368514E-4</v>
      </c>
      <c r="K268" s="21" t="s">
        <v>648</v>
      </c>
      <c r="L268" s="21" t="s">
        <v>567</v>
      </c>
      <c r="M268" s="21" t="s">
        <v>85</v>
      </c>
      <c r="N268" s="21" t="s">
        <v>112</v>
      </c>
      <c r="P268" t="str">
        <f t="shared" si="16"/>
        <v>VSYS</v>
      </c>
      <c r="Q268">
        <f t="shared" si="17"/>
        <v>1.0799849484909906E-3</v>
      </c>
      <c r="R268">
        <v>0.9994019011090044</v>
      </c>
      <c r="S268">
        <f t="shared" si="18"/>
        <v>0.20860051159964232</v>
      </c>
      <c r="T268" t="str">
        <f t="shared" si="19"/>
        <v xml:space="preserve">'VSYS', </v>
      </c>
      <c r="AJ268" s="4" t="s">
        <v>38</v>
      </c>
      <c r="AK268" s="44">
        <v>86.556804349999993</v>
      </c>
      <c r="AL268">
        <v>86.449006363582583</v>
      </c>
      <c r="AN268" t="s">
        <v>112</v>
      </c>
      <c r="AO268" t="s">
        <v>377</v>
      </c>
      <c r="AP268">
        <v>162254.56419957001</v>
      </c>
    </row>
    <row r="269" spans="1:42" x14ac:dyDescent="0.25">
      <c r="A269">
        <v>267</v>
      </c>
      <c r="B269" t="s">
        <v>120</v>
      </c>
      <c r="C269" s="1">
        <v>97856389.900000006</v>
      </c>
      <c r="E269" t="s">
        <v>162</v>
      </c>
      <c r="F269" t="s">
        <v>595</v>
      </c>
      <c r="G269" s="22">
        <v>20230112</v>
      </c>
      <c r="H269" s="56">
        <v>44939.000003240741</v>
      </c>
      <c r="I269">
        <v>2672.58922903138</v>
      </c>
      <c r="K269" s="21" t="s">
        <v>649</v>
      </c>
      <c r="L269" s="21" t="s">
        <v>567</v>
      </c>
      <c r="M269" s="21" t="s">
        <v>85</v>
      </c>
      <c r="N269" s="21" t="s">
        <v>112</v>
      </c>
      <c r="P269" t="str">
        <f t="shared" si="16"/>
        <v>XEC</v>
      </c>
      <c r="Q269">
        <f t="shared" si="17"/>
        <v>2.7311340953437114E-5</v>
      </c>
      <c r="R269">
        <v>103.98</v>
      </c>
      <c r="S269">
        <f t="shared" si="18"/>
        <v>10175107421.802002</v>
      </c>
      <c r="T269" t="str">
        <f t="shared" si="19"/>
        <v xml:space="preserve">'XEC', </v>
      </c>
      <c r="AJ269" s="27" t="s">
        <v>85</v>
      </c>
      <c r="AK269" s="44">
        <v>86.556804349999993</v>
      </c>
      <c r="AL269">
        <v>86.449006363582583</v>
      </c>
      <c r="AN269" t="s">
        <v>112</v>
      </c>
      <c r="AO269" t="s">
        <v>378</v>
      </c>
      <c r="AP269">
        <v>0.34782034000000001</v>
      </c>
    </row>
    <row r="270" spans="1:42" x14ac:dyDescent="0.25">
      <c r="A270">
        <v>268</v>
      </c>
      <c r="B270" t="s">
        <v>120</v>
      </c>
      <c r="C270" s="1">
        <v>0.55556267999999998</v>
      </c>
      <c r="E270" t="s">
        <v>163</v>
      </c>
      <c r="F270" t="s">
        <v>595</v>
      </c>
      <c r="G270" s="22">
        <v>20230112</v>
      </c>
      <c r="H270" s="56">
        <v>44939.000003240741</v>
      </c>
      <c r="I270">
        <v>4.5358239391654502E-2</v>
      </c>
      <c r="K270" s="21" t="s">
        <v>650</v>
      </c>
      <c r="L270" s="21" t="s">
        <v>567</v>
      </c>
      <c r="M270" s="21" t="s">
        <v>85</v>
      </c>
      <c r="N270" s="21" t="s">
        <v>112</v>
      </c>
      <c r="P270" t="str">
        <f t="shared" si="16"/>
        <v>XLM</v>
      </c>
      <c r="Q270">
        <f t="shared" si="17"/>
        <v>8.1643783905093303E-2</v>
      </c>
      <c r="R270">
        <v>16719.740000000002</v>
      </c>
      <c r="S270">
        <f t="shared" si="18"/>
        <v>9288.8635633032009</v>
      </c>
      <c r="T270" t="str">
        <f t="shared" si="19"/>
        <v xml:space="preserve">'XLM', </v>
      </c>
      <c r="AJ270" s="3" t="s">
        <v>112</v>
      </c>
      <c r="AK270" s="44">
        <v>9295606592.9325638</v>
      </c>
      <c r="AL270">
        <v>49016557.351335824</v>
      </c>
      <c r="AN270" t="s">
        <v>112</v>
      </c>
      <c r="AO270" t="s">
        <v>379</v>
      </c>
      <c r="AP270">
        <v>1000</v>
      </c>
    </row>
    <row r="271" spans="1:42" x14ac:dyDescent="0.25">
      <c r="A271">
        <v>269</v>
      </c>
      <c r="B271" t="s">
        <v>120</v>
      </c>
      <c r="C271" s="1">
        <v>351.63120758000002</v>
      </c>
      <c r="E271" t="s">
        <v>99</v>
      </c>
      <c r="F271" t="s">
        <v>595</v>
      </c>
      <c r="G271" s="22">
        <v>20230112</v>
      </c>
      <c r="H271" s="56">
        <v>44939.000003240741</v>
      </c>
      <c r="I271">
        <v>131.93102420708399</v>
      </c>
      <c r="K271" s="21" t="s">
        <v>576</v>
      </c>
      <c r="L271" s="21" t="s">
        <v>567</v>
      </c>
      <c r="M271" s="21" t="s">
        <v>85</v>
      </c>
      <c r="N271" s="21" t="s">
        <v>112</v>
      </c>
      <c r="P271" t="str">
        <f t="shared" si="16"/>
        <v>XRP</v>
      </c>
      <c r="Q271">
        <f t="shared" si="17"/>
        <v>0.37519714224189904</v>
      </c>
      <c r="R271">
        <v>16719.740000000002</v>
      </c>
      <c r="S271">
        <f t="shared" si="18"/>
        <v>5879182.3666236298</v>
      </c>
      <c r="T271" t="str">
        <f t="shared" si="19"/>
        <v xml:space="preserve">'XRP', </v>
      </c>
      <c r="AJ271" s="4" t="s">
        <v>121</v>
      </c>
      <c r="AK271" s="44">
        <v>377.09760540000002</v>
      </c>
      <c r="AL271">
        <v>0.2259767804534227</v>
      </c>
      <c r="AN271" t="s">
        <v>112</v>
      </c>
      <c r="AO271" t="s">
        <v>379</v>
      </c>
      <c r="AP271">
        <v>955716.34132199001</v>
      </c>
    </row>
    <row r="272" spans="1:42" x14ac:dyDescent="0.25">
      <c r="A272">
        <v>270</v>
      </c>
      <c r="B272" t="s">
        <v>120</v>
      </c>
      <c r="C272" s="1">
        <v>3.9304560899999998</v>
      </c>
      <c r="E272" t="s">
        <v>164</v>
      </c>
      <c r="F272" t="s">
        <v>595</v>
      </c>
      <c r="G272" s="22">
        <v>20230112</v>
      </c>
      <c r="H272" s="56">
        <v>44939.000003240741</v>
      </c>
      <c r="I272">
        <v>3.4950788489567901</v>
      </c>
      <c r="K272" s="21" t="s">
        <v>651</v>
      </c>
      <c r="L272" s="21" t="s">
        <v>567</v>
      </c>
      <c r="M272" s="21" t="s">
        <v>85</v>
      </c>
      <c r="N272" s="21" t="s">
        <v>112</v>
      </c>
      <c r="P272" t="str">
        <f t="shared" si="16"/>
        <v>XTZ</v>
      </c>
      <c r="Q272">
        <f t="shared" si="17"/>
        <v>0.88922984226921875</v>
      </c>
      <c r="R272">
        <v>0.90154135000000002</v>
      </c>
      <c r="S272">
        <f t="shared" si="18"/>
        <v>3.5434686894943215</v>
      </c>
      <c r="T272" t="str">
        <f t="shared" si="19"/>
        <v xml:space="preserve">'XTZ', </v>
      </c>
      <c r="AJ272" s="27" t="s">
        <v>85</v>
      </c>
      <c r="AK272" s="44">
        <v>377.09760540000002</v>
      </c>
      <c r="AL272">
        <v>0.2259767804534227</v>
      </c>
      <c r="AN272" t="s">
        <v>112</v>
      </c>
      <c r="AO272" t="s">
        <v>380</v>
      </c>
      <c r="AP272">
        <v>3.0962099999999998E-3</v>
      </c>
    </row>
    <row r="273" spans="1:42" x14ac:dyDescent="0.25">
      <c r="A273">
        <v>271</v>
      </c>
      <c r="B273" t="s">
        <v>120</v>
      </c>
      <c r="C273" s="1">
        <v>1.329583E-2</v>
      </c>
      <c r="E273" t="s">
        <v>117</v>
      </c>
      <c r="F273" t="s">
        <v>595</v>
      </c>
      <c r="G273" s="22">
        <v>20230112</v>
      </c>
      <c r="H273" s="56">
        <v>44939.000003240741</v>
      </c>
      <c r="I273">
        <v>16.3346720498742</v>
      </c>
      <c r="K273" s="21" t="s">
        <v>594</v>
      </c>
      <c r="L273" s="21" t="s">
        <v>567</v>
      </c>
      <c r="M273" s="21" t="s">
        <v>85</v>
      </c>
      <c r="N273" s="21" t="s">
        <v>112</v>
      </c>
      <c r="P273" t="str">
        <f t="shared" si="16"/>
        <v>YFII</v>
      </c>
      <c r="Q273">
        <f t="shared" si="17"/>
        <v>1228.5560246990372</v>
      </c>
      <c r="R273">
        <v>1208.73</v>
      </c>
      <c r="S273">
        <f t="shared" si="18"/>
        <v>16.071068595900002</v>
      </c>
      <c r="T273" t="str">
        <f t="shared" si="19"/>
        <v xml:space="preserve">'YFII', </v>
      </c>
      <c r="AJ273" s="4" t="s">
        <v>116</v>
      </c>
      <c r="AK273" s="44">
        <v>0.10014646000000001</v>
      </c>
      <c r="AL273">
        <v>5.6780306475704014</v>
      </c>
      <c r="AN273" t="s">
        <v>112</v>
      </c>
      <c r="AO273" t="s">
        <v>381</v>
      </c>
      <c r="AP273">
        <v>2.6598900000000002E-2</v>
      </c>
    </row>
    <row r="274" spans="1:42" x14ac:dyDescent="0.25">
      <c r="A274">
        <v>272</v>
      </c>
      <c r="B274" t="s">
        <v>120</v>
      </c>
      <c r="C274" s="1">
        <v>2.173E-4</v>
      </c>
      <c r="E274" t="s">
        <v>165</v>
      </c>
      <c r="F274" t="s">
        <v>595</v>
      </c>
      <c r="G274" s="22">
        <v>20230112</v>
      </c>
      <c r="H274" s="56">
        <v>44939.000003240741</v>
      </c>
      <c r="I274">
        <v>9.8461120696399299E-3</v>
      </c>
      <c r="K274" s="21" t="s">
        <v>652</v>
      </c>
      <c r="L274" s="21" t="s">
        <v>567</v>
      </c>
      <c r="M274" s="21" t="s">
        <v>85</v>
      </c>
      <c r="N274" s="21" t="s">
        <v>112</v>
      </c>
      <c r="P274" t="str">
        <f t="shared" si="16"/>
        <v>ZEC</v>
      </c>
      <c r="Q274">
        <f t="shared" si="17"/>
        <v>45.311146201748414</v>
      </c>
      <c r="R274">
        <v>1208.73</v>
      </c>
      <c r="S274">
        <f t="shared" si="18"/>
        <v>0.26265702899999999</v>
      </c>
      <c r="T274" t="str">
        <f t="shared" si="19"/>
        <v xml:space="preserve">'ZEC', </v>
      </c>
      <c r="AJ274" s="27" t="s">
        <v>85</v>
      </c>
      <c r="AK274" s="44">
        <v>0.10014646000000001</v>
      </c>
      <c r="AL274">
        <v>5.6780306475704014</v>
      </c>
      <c r="AN274" t="s">
        <v>112</v>
      </c>
      <c r="AO274" t="s">
        <v>382</v>
      </c>
      <c r="AP274">
        <v>1214222.2371159999</v>
      </c>
    </row>
    <row r="275" spans="1:42" x14ac:dyDescent="0.25">
      <c r="A275">
        <v>273</v>
      </c>
      <c r="B275" t="s">
        <v>120</v>
      </c>
      <c r="C275" s="1">
        <v>1471148.6227112999</v>
      </c>
      <c r="E275" t="s">
        <v>26</v>
      </c>
      <c r="F275" t="s">
        <v>595</v>
      </c>
      <c r="G275" s="22">
        <v>20230112</v>
      </c>
      <c r="H275" s="56">
        <v>44939.000003240741</v>
      </c>
      <c r="I275">
        <v>35270.023095900899</v>
      </c>
      <c r="K275" s="21" t="s">
        <v>653</v>
      </c>
      <c r="L275" s="21" t="s">
        <v>567</v>
      </c>
      <c r="M275" s="21" t="s">
        <v>85</v>
      </c>
      <c r="N275" s="21" t="s">
        <v>112</v>
      </c>
      <c r="P275" t="str">
        <f t="shared" si="16"/>
        <v>ZIL</v>
      </c>
      <c r="Q275">
        <f t="shared" si="17"/>
        <v>2.397447990733859E-2</v>
      </c>
      <c r="R275">
        <v>8.09E-2</v>
      </c>
      <c r="S275">
        <f t="shared" si="18"/>
        <v>119015.92357734416</v>
      </c>
      <c r="T275" t="str">
        <f t="shared" si="19"/>
        <v xml:space="preserve">'ZIL', </v>
      </c>
      <c r="AJ275" s="4" t="s">
        <v>84</v>
      </c>
      <c r="AK275" s="44">
        <v>6.0617099999999997E-3</v>
      </c>
      <c r="AL275">
        <v>2.0011340522687014E-3</v>
      </c>
      <c r="AN275" t="s">
        <v>112</v>
      </c>
      <c r="AO275" t="s">
        <v>383</v>
      </c>
      <c r="AP275">
        <v>4741392995.3522301</v>
      </c>
    </row>
    <row r="276" spans="1:42" x14ac:dyDescent="0.25">
      <c r="A276">
        <v>274</v>
      </c>
      <c r="B276" t="s">
        <v>166</v>
      </c>
      <c r="C276" s="1">
        <v>1E-8</v>
      </c>
      <c r="E276" t="s">
        <v>20</v>
      </c>
      <c r="F276" t="s">
        <v>595</v>
      </c>
      <c r="G276" s="22">
        <v>20230112</v>
      </c>
      <c r="H276" s="56">
        <v>44939.000003240741</v>
      </c>
      <c r="I276">
        <v>1.1971046613741201E-6</v>
      </c>
      <c r="K276" s="21" t="s">
        <v>568</v>
      </c>
      <c r="L276" s="21" t="s">
        <v>567</v>
      </c>
      <c r="M276" s="21" t="s">
        <v>85</v>
      </c>
      <c r="N276" s="21" t="s">
        <v>112</v>
      </c>
      <c r="P276" t="str">
        <f t="shared" si="16"/>
        <v>BCH</v>
      </c>
      <c r="Q276">
        <f t="shared" si="17"/>
        <v>119.710466137412</v>
      </c>
      <c r="R276">
        <v>0.99940190110900451</v>
      </c>
      <c r="S276">
        <f t="shared" si="18"/>
        <v>9.9940190110900447E-9</v>
      </c>
      <c r="T276" t="str">
        <f t="shared" si="19"/>
        <v xml:space="preserve">'BCH', </v>
      </c>
      <c r="AJ276" s="27" t="s">
        <v>85</v>
      </c>
      <c r="AK276" s="44">
        <v>6.0617099999999997E-3</v>
      </c>
      <c r="AL276">
        <v>2.0011340522687014E-3</v>
      </c>
      <c r="AN276" t="s">
        <v>112</v>
      </c>
      <c r="AO276" t="s">
        <v>384</v>
      </c>
      <c r="AP276">
        <v>0.14106867000000001</v>
      </c>
    </row>
    <row r="277" spans="1:42" x14ac:dyDescent="0.25">
      <c r="A277">
        <v>275</v>
      </c>
      <c r="B277" t="s">
        <v>166</v>
      </c>
      <c r="C277" s="1">
        <v>1E-8</v>
      </c>
      <c r="E277" t="s">
        <v>29</v>
      </c>
      <c r="F277" t="s">
        <v>595</v>
      </c>
      <c r="G277" s="22">
        <v>20230112</v>
      </c>
      <c r="H277" s="56">
        <v>44939.000003240741</v>
      </c>
      <c r="I277">
        <v>2.0917758217744E-7</v>
      </c>
      <c r="K277" s="21" t="s">
        <v>572</v>
      </c>
      <c r="L277" s="21" t="s">
        <v>567</v>
      </c>
      <c r="M277" s="21" t="s">
        <v>85</v>
      </c>
      <c r="N277" s="21" t="s">
        <v>112</v>
      </c>
      <c r="P277" t="str">
        <f t="shared" si="16"/>
        <v>ETC</v>
      </c>
      <c r="Q277">
        <f t="shared" si="17"/>
        <v>20.917758217743998</v>
      </c>
      <c r="R277">
        <v>0.99940190110900462</v>
      </c>
      <c r="S277">
        <f t="shared" si="18"/>
        <v>9.9940190110900463E-9</v>
      </c>
      <c r="T277" t="str">
        <f t="shared" si="19"/>
        <v xml:space="preserve">'ETC', </v>
      </c>
      <c r="AJ277" s="4" t="s">
        <v>122</v>
      </c>
      <c r="AK277" s="44">
        <v>3587.9402382600001</v>
      </c>
      <c r="AL277">
        <v>940.67373421006187</v>
      </c>
      <c r="AN277" t="s">
        <v>112</v>
      </c>
      <c r="AO277" t="s">
        <v>385</v>
      </c>
      <c r="AP277">
        <v>38753.774400000002</v>
      </c>
    </row>
    <row r="278" spans="1:42" x14ac:dyDescent="0.25">
      <c r="A278">
        <v>276</v>
      </c>
      <c r="B278" t="s">
        <v>166</v>
      </c>
      <c r="C278" s="1">
        <v>1E-8</v>
      </c>
      <c r="E278" t="s">
        <v>24</v>
      </c>
      <c r="F278" t="s">
        <v>595</v>
      </c>
      <c r="G278" s="22">
        <v>20230112</v>
      </c>
      <c r="H278" s="56">
        <v>44939.000003240741</v>
      </c>
      <c r="I278">
        <v>8.5964229450756099E-7</v>
      </c>
      <c r="K278" s="21" t="s">
        <v>574</v>
      </c>
      <c r="L278" s="21" t="s">
        <v>567</v>
      </c>
      <c r="M278" s="21" t="s">
        <v>85</v>
      </c>
      <c r="N278" s="21" t="s">
        <v>112</v>
      </c>
      <c r="P278" t="str">
        <f t="shared" si="16"/>
        <v>LTC</v>
      </c>
      <c r="Q278">
        <f t="shared" si="17"/>
        <v>85.964229450756093</v>
      </c>
      <c r="R278">
        <v>0.38471588000000001</v>
      </c>
      <c r="S278">
        <f t="shared" si="18"/>
        <v>3.8471587999999998E-9</v>
      </c>
      <c r="T278" t="str">
        <f t="shared" si="19"/>
        <v xml:space="preserve">'LTC', </v>
      </c>
      <c r="AJ278" s="27" t="s">
        <v>85</v>
      </c>
      <c r="AK278" s="44">
        <v>3587.9402382600001</v>
      </c>
      <c r="AL278">
        <v>940.67373421006187</v>
      </c>
      <c r="AN278" t="s">
        <v>112</v>
      </c>
      <c r="AO278" t="s">
        <v>386</v>
      </c>
      <c r="AP278">
        <v>29.76350429</v>
      </c>
    </row>
    <row r="279" spans="1:42" x14ac:dyDescent="0.25">
      <c r="A279">
        <v>277</v>
      </c>
      <c r="B279" t="s">
        <v>166</v>
      </c>
      <c r="C279" s="1">
        <v>1E-8</v>
      </c>
      <c r="E279" t="s">
        <v>25</v>
      </c>
      <c r="F279" t="s">
        <v>595</v>
      </c>
      <c r="G279" s="22">
        <v>20230112</v>
      </c>
      <c r="H279" s="56">
        <v>44939.000003240741</v>
      </c>
      <c r="I279">
        <v>5.7111199630631599E-10</v>
      </c>
      <c r="K279" s="21" t="s">
        <v>575</v>
      </c>
      <c r="L279" s="21" t="s">
        <v>567</v>
      </c>
      <c r="M279" s="21" t="s">
        <v>85</v>
      </c>
      <c r="N279" s="21" t="s">
        <v>112</v>
      </c>
      <c r="P279" t="str">
        <f t="shared" si="16"/>
        <v>TRX</v>
      </c>
      <c r="Q279">
        <f t="shared" si="17"/>
        <v>5.7111199630631597E-2</v>
      </c>
      <c r="R279">
        <v>2.1343125000000001E-2</v>
      </c>
      <c r="S279">
        <f t="shared" si="18"/>
        <v>2.1343125000000002E-10</v>
      </c>
      <c r="T279" t="str">
        <f t="shared" si="19"/>
        <v xml:space="preserve">'TRX', </v>
      </c>
      <c r="AJ279" s="4" t="s">
        <v>123</v>
      </c>
      <c r="AK279" s="44">
        <v>0.53247394999999997</v>
      </c>
      <c r="AL279">
        <v>1.392465312391543E-2</v>
      </c>
      <c r="AN279" t="s">
        <v>112</v>
      </c>
      <c r="AO279" t="s">
        <v>387</v>
      </c>
      <c r="AP279">
        <v>5976030.9888418298</v>
      </c>
    </row>
    <row r="280" spans="1:42" x14ac:dyDescent="0.25">
      <c r="A280">
        <v>278</v>
      </c>
      <c r="B280" t="s">
        <v>166</v>
      </c>
      <c r="C280" s="1">
        <v>0.90999770000000002</v>
      </c>
      <c r="E280" t="s">
        <v>38</v>
      </c>
      <c r="F280" t="s">
        <v>595</v>
      </c>
      <c r="G280" s="22">
        <v>20230112</v>
      </c>
      <c r="H280" s="56">
        <v>44939.000003240741</v>
      </c>
      <c r="I280">
        <v>0.91008146454619399</v>
      </c>
      <c r="K280" s="21" t="s">
        <v>590</v>
      </c>
      <c r="L280" s="21" t="s">
        <v>567</v>
      </c>
      <c r="M280" s="21" t="s">
        <v>85</v>
      </c>
      <c r="N280" s="21" t="s">
        <v>112</v>
      </c>
      <c r="P280" t="str">
        <f t="shared" si="16"/>
        <v>USDT</v>
      </c>
      <c r="Q280">
        <f t="shared" si="17"/>
        <v>1.0000920491845133</v>
      </c>
      <c r="R280">
        <v>103.98</v>
      </c>
      <c r="S280">
        <f t="shared" si="18"/>
        <v>94.621560846000008</v>
      </c>
      <c r="T280" t="str">
        <f t="shared" si="19"/>
        <v xml:space="preserve">'USDT', </v>
      </c>
      <c r="AJ280" s="27" t="s">
        <v>85</v>
      </c>
      <c r="AK280" s="44">
        <v>0.53247394999999997</v>
      </c>
      <c r="AL280">
        <v>1.392465312391543E-2</v>
      </c>
      <c r="AN280" t="s">
        <v>112</v>
      </c>
      <c r="AO280" t="s">
        <v>387</v>
      </c>
      <c r="AP280">
        <v>13696462.7211191</v>
      </c>
    </row>
    <row r="281" spans="1:42" x14ac:dyDescent="0.25">
      <c r="A281">
        <v>279</v>
      </c>
      <c r="B281" t="s">
        <v>166</v>
      </c>
      <c r="C281" s="1">
        <v>7.6039999999999997E-5</v>
      </c>
      <c r="E281" t="s">
        <v>99</v>
      </c>
      <c r="F281" t="s">
        <v>595</v>
      </c>
      <c r="G281" s="22">
        <v>20230112</v>
      </c>
      <c r="H281" s="56">
        <v>44939.000003240741</v>
      </c>
      <c r="I281">
        <v>2.8529990696074101E-5</v>
      </c>
      <c r="K281" s="21" t="s">
        <v>576</v>
      </c>
      <c r="L281" s="21" t="s">
        <v>567</v>
      </c>
      <c r="M281" s="21" t="s">
        <v>85</v>
      </c>
      <c r="N281" s="21" t="s">
        <v>112</v>
      </c>
      <c r="P281" t="str">
        <f t="shared" si="16"/>
        <v>XRP</v>
      </c>
      <c r="Q281">
        <f t="shared" si="17"/>
        <v>0.37519714224190032</v>
      </c>
      <c r="R281">
        <v>39.841106000000003</v>
      </c>
      <c r="S281">
        <f t="shared" si="18"/>
        <v>3.0295177002400003E-3</v>
      </c>
      <c r="T281" t="str">
        <f t="shared" si="19"/>
        <v xml:space="preserve">'XRP', </v>
      </c>
      <c r="AJ281" s="4" t="s">
        <v>35</v>
      </c>
      <c r="AK281" s="44">
        <v>5.2478028200000004</v>
      </c>
      <c r="AL281">
        <v>53.404257610413431</v>
      </c>
      <c r="AN281" t="s">
        <v>112</v>
      </c>
      <c r="AO281" t="s">
        <v>388</v>
      </c>
      <c r="AP281">
        <v>6.3152970000000003E-2</v>
      </c>
    </row>
    <row r="282" spans="1:42" x14ac:dyDescent="0.25">
      <c r="A282">
        <v>280</v>
      </c>
      <c r="B282" t="s">
        <v>167</v>
      </c>
      <c r="C282" s="1">
        <v>0.331542</v>
      </c>
      <c r="E282" t="s">
        <v>35</v>
      </c>
      <c r="F282" t="s">
        <v>526</v>
      </c>
      <c r="G282" s="22">
        <v>20230112</v>
      </c>
      <c r="H282" s="56">
        <v>44938.917056053244</v>
      </c>
      <c r="I282">
        <v>4.0695758794946002</v>
      </c>
      <c r="K282" s="21" t="s">
        <v>654</v>
      </c>
      <c r="L282" s="21" t="s">
        <v>655</v>
      </c>
      <c r="M282" s="21" t="s">
        <v>85</v>
      </c>
      <c r="N282" s="21" t="s">
        <v>167</v>
      </c>
      <c r="P282" t="str">
        <f t="shared" si="16"/>
        <v>ATOM</v>
      </c>
      <c r="Q282">
        <f t="shared" si="17"/>
        <v>12.274691832391071</v>
      </c>
      <c r="R282">
        <v>5.6989999999999998</v>
      </c>
      <c r="S282">
        <f t="shared" si="18"/>
        <v>1.8894578579999999</v>
      </c>
      <c r="T282" t="str">
        <f t="shared" si="19"/>
        <v xml:space="preserve">'ATOM', </v>
      </c>
      <c r="AJ282" s="27" t="s">
        <v>85</v>
      </c>
      <c r="AK282" s="44">
        <v>5.2478028200000004</v>
      </c>
      <c r="AL282">
        <v>53.404257610413431</v>
      </c>
      <c r="AN282" t="s">
        <v>112</v>
      </c>
      <c r="AO282" t="s">
        <v>389</v>
      </c>
      <c r="AP282">
        <v>20</v>
      </c>
    </row>
    <row r="283" spans="1:42" x14ac:dyDescent="0.25">
      <c r="A283">
        <v>281</v>
      </c>
      <c r="B283" t="s">
        <v>167</v>
      </c>
      <c r="C283" s="1">
        <v>1.7695412699999999</v>
      </c>
      <c r="E283" t="s">
        <v>20</v>
      </c>
      <c r="F283" t="s">
        <v>526</v>
      </c>
      <c r="G283" s="22">
        <v>20230112</v>
      </c>
      <c r="H283" s="56">
        <v>44938.917053553239</v>
      </c>
      <c r="I283">
        <v>211.83261028108799</v>
      </c>
      <c r="K283" s="21" t="s">
        <v>656</v>
      </c>
      <c r="L283" s="21" t="s">
        <v>655</v>
      </c>
      <c r="M283" s="21" t="s">
        <v>85</v>
      </c>
      <c r="N283" s="21" t="s">
        <v>167</v>
      </c>
      <c r="P283" t="str">
        <f t="shared" si="16"/>
        <v>BCH</v>
      </c>
      <c r="Q283">
        <f t="shared" si="17"/>
        <v>119.71046613741198</v>
      </c>
      <c r="R283">
        <v>3.7800280517057803</v>
      </c>
      <c r="S283">
        <f t="shared" si="18"/>
        <v>6.6889156392510722</v>
      </c>
      <c r="T283" t="str">
        <f t="shared" si="19"/>
        <v xml:space="preserve">'BCH', </v>
      </c>
      <c r="AJ283" s="4" t="s">
        <v>187</v>
      </c>
      <c r="AK283" s="44">
        <v>1.5389969999999999E-2</v>
      </c>
      <c r="AL283">
        <v>0.2008702006357288</v>
      </c>
      <c r="AN283" t="s">
        <v>112</v>
      </c>
      <c r="AO283" t="s">
        <v>390</v>
      </c>
      <c r="AP283">
        <v>4.7890616599999998</v>
      </c>
    </row>
    <row r="284" spans="1:42" x14ac:dyDescent="0.25">
      <c r="A284">
        <v>282</v>
      </c>
      <c r="B284" t="s">
        <v>167</v>
      </c>
      <c r="C284" s="1">
        <v>1.8847760000000002E-2</v>
      </c>
      <c r="E284" t="s">
        <v>14</v>
      </c>
      <c r="F284" t="s">
        <v>526</v>
      </c>
      <c r="G284" s="22">
        <v>20230112</v>
      </c>
      <c r="H284" s="56">
        <v>44938.917053703706</v>
      </c>
      <c r="I284">
        <v>355.64946696451199</v>
      </c>
      <c r="K284" s="21" t="s">
        <v>657</v>
      </c>
      <c r="L284" s="21" t="s">
        <v>655</v>
      </c>
      <c r="M284" s="21" t="s">
        <v>85</v>
      </c>
      <c r="N284" s="21" t="s">
        <v>167</v>
      </c>
      <c r="P284" t="str">
        <f t="shared" si="16"/>
        <v>BTC</v>
      </c>
      <c r="Q284">
        <f t="shared" si="17"/>
        <v>18869.588055265558</v>
      </c>
      <c r="R284">
        <v>6.2919999999999998</v>
      </c>
      <c r="S284">
        <f t="shared" si="18"/>
        <v>0.11859010592000001</v>
      </c>
      <c r="T284" t="str">
        <f t="shared" si="19"/>
        <v xml:space="preserve">'BTC', </v>
      </c>
      <c r="AJ284" s="27" t="s">
        <v>85</v>
      </c>
      <c r="AK284" s="44">
        <v>1.5389969999999999E-2</v>
      </c>
      <c r="AL284">
        <v>0.2008702006357288</v>
      </c>
      <c r="AN284" t="s">
        <v>112</v>
      </c>
      <c r="AO284" t="s">
        <v>324</v>
      </c>
      <c r="AP284">
        <v>-79762265.626461402</v>
      </c>
    </row>
    <row r="285" spans="1:42" x14ac:dyDescent="0.25">
      <c r="A285">
        <v>283</v>
      </c>
      <c r="B285" t="s">
        <v>167</v>
      </c>
      <c r="C285" s="1">
        <v>9.9499194400000004</v>
      </c>
      <c r="E285" t="s">
        <v>23</v>
      </c>
      <c r="F285" t="s">
        <v>526</v>
      </c>
      <c r="G285" s="22">
        <v>20230112</v>
      </c>
      <c r="H285" s="56">
        <v>44938.91705517361</v>
      </c>
      <c r="I285">
        <v>9.8528328702951509</v>
      </c>
      <c r="K285" s="21" t="s">
        <v>658</v>
      </c>
      <c r="L285" s="21" t="s">
        <v>655</v>
      </c>
      <c r="M285" s="21" t="s">
        <v>85</v>
      </c>
      <c r="N285" s="21" t="s">
        <v>167</v>
      </c>
      <c r="P285" t="str">
        <f t="shared" si="16"/>
        <v>EOS</v>
      </c>
      <c r="Q285">
        <f t="shared" si="17"/>
        <v>0.99024247680694288</v>
      </c>
      <c r="R285">
        <v>62.35</v>
      </c>
      <c r="S285">
        <f t="shared" si="18"/>
        <v>620.37747708400002</v>
      </c>
      <c r="T285" t="str">
        <f t="shared" si="19"/>
        <v xml:space="preserve">'EOS', </v>
      </c>
      <c r="AJ285" s="4" t="s">
        <v>124</v>
      </c>
      <c r="AK285" s="44">
        <v>152.41521331999999</v>
      </c>
      <c r="AL285">
        <v>34.003794089884757</v>
      </c>
      <c r="AN285" t="s">
        <v>112</v>
      </c>
      <c r="AO285" t="s">
        <v>391</v>
      </c>
      <c r="AP285">
        <v>4512595.36556256</v>
      </c>
    </row>
    <row r="286" spans="1:42" x14ac:dyDescent="0.25">
      <c r="A286">
        <v>284</v>
      </c>
      <c r="B286" t="s">
        <v>167</v>
      </c>
      <c r="C286" s="1">
        <v>3.4037359</v>
      </c>
      <c r="E286" t="s">
        <v>272</v>
      </c>
      <c r="F286" t="s">
        <v>526</v>
      </c>
      <c r="G286" s="22">
        <v>20230112</v>
      </c>
      <c r="H286" s="56">
        <v>44938.917055324077</v>
      </c>
      <c r="I286">
        <v>11.6887470292637</v>
      </c>
      <c r="K286" s="21" t="s">
        <v>659</v>
      </c>
      <c r="L286" s="21" t="s">
        <v>655</v>
      </c>
      <c r="M286" s="21" t="s">
        <v>85</v>
      </c>
      <c r="N286" s="21" t="s">
        <v>167</v>
      </c>
      <c r="P286" t="str">
        <f t="shared" si="16"/>
        <v>ETHW</v>
      </c>
      <c r="Q286">
        <f t="shared" si="17"/>
        <v>3.4340934116726567</v>
      </c>
      <c r="R286">
        <v>9.1027119999999996E-6</v>
      </c>
      <c r="S286">
        <f t="shared" si="18"/>
        <v>3.09832276217608E-5</v>
      </c>
      <c r="T286" t="str">
        <f t="shared" si="19"/>
        <v xml:space="preserve">'ETHW', </v>
      </c>
      <c r="AJ286" s="27" t="s">
        <v>85</v>
      </c>
      <c r="AK286" s="44">
        <v>152.41521331999999</v>
      </c>
      <c r="AL286">
        <v>34.003794089884757</v>
      </c>
      <c r="AN286" t="s">
        <v>112</v>
      </c>
      <c r="AO286" t="s">
        <v>392</v>
      </c>
      <c r="AP286">
        <v>0.34680431</v>
      </c>
    </row>
    <row r="287" spans="1:42" x14ac:dyDescent="0.25">
      <c r="A287">
        <v>285</v>
      </c>
      <c r="B287" t="s">
        <v>167</v>
      </c>
      <c r="C287" s="1">
        <v>9.1421368100000002</v>
      </c>
      <c r="E287" t="s">
        <v>24</v>
      </c>
      <c r="F287" t="s">
        <v>526</v>
      </c>
      <c r="G287" s="22">
        <v>20230112</v>
      </c>
      <c r="H287" s="56">
        <v>44938.917054976853</v>
      </c>
      <c r="I287">
        <v>785.89674640504302</v>
      </c>
      <c r="K287" s="21" t="s">
        <v>660</v>
      </c>
      <c r="L287" s="21" t="s">
        <v>655</v>
      </c>
      <c r="M287" s="21" t="s">
        <v>85</v>
      </c>
      <c r="N287" s="21" t="s">
        <v>167</v>
      </c>
      <c r="P287" t="str">
        <f t="shared" si="16"/>
        <v>LTC</v>
      </c>
      <c r="Q287">
        <f t="shared" si="17"/>
        <v>85.964229450756051</v>
      </c>
      <c r="R287">
        <v>0.99940190110900451</v>
      </c>
      <c r="S287">
        <f t="shared" si="18"/>
        <v>9.1366689081126093</v>
      </c>
      <c r="T287" t="str">
        <f t="shared" si="19"/>
        <v xml:space="preserve">'LTC', </v>
      </c>
      <c r="AJ287" s="4" t="s">
        <v>20</v>
      </c>
      <c r="AK287" s="44">
        <v>-2719.7565568099999</v>
      </c>
      <c r="AL287">
        <v>-271014.24235943722</v>
      </c>
      <c r="AN287" t="s">
        <v>112</v>
      </c>
      <c r="AO287" t="s">
        <v>393</v>
      </c>
      <c r="AP287">
        <v>20621131.491479099</v>
      </c>
    </row>
    <row r="288" spans="1:42" x14ac:dyDescent="0.25">
      <c r="A288">
        <v>286</v>
      </c>
      <c r="B288" t="s">
        <v>167</v>
      </c>
      <c r="C288" s="1">
        <v>700512.94058015</v>
      </c>
      <c r="E288" t="s">
        <v>89</v>
      </c>
      <c r="F288" t="s">
        <v>526</v>
      </c>
      <c r="G288" s="22">
        <v>20230112</v>
      </c>
      <c r="H288" s="56">
        <v>44938.917054247686</v>
      </c>
      <c r="I288">
        <v>51361.140799233101</v>
      </c>
      <c r="K288" s="21" t="s">
        <v>661</v>
      </c>
      <c r="L288" s="21" t="s">
        <v>655</v>
      </c>
      <c r="M288" s="21" t="s">
        <v>85</v>
      </c>
      <c r="N288" s="21" t="s">
        <v>167</v>
      </c>
      <c r="P288" t="str">
        <f t="shared" si="16"/>
        <v>OXT</v>
      </c>
      <c r="Q288">
        <f t="shared" si="17"/>
        <v>7.3319331912265445E-2</v>
      </c>
      <c r="R288">
        <v>2.8637358E-5</v>
      </c>
      <c r="S288">
        <f t="shared" si="18"/>
        <v>20.060839863026484</v>
      </c>
      <c r="T288" t="str">
        <f t="shared" si="19"/>
        <v xml:space="preserve">'OXT', </v>
      </c>
      <c r="AJ288" s="27" t="s">
        <v>85</v>
      </c>
      <c r="AK288" s="44">
        <v>2309.61344319</v>
      </c>
      <c r="AL288">
        <v>230144.91347838542</v>
      </c>
      <c r="AN288" t="s">
        <v>112</v>
      </c>
      <c r="AO288" t="s">
        <v>393</v>
      </c>
      <c r="AP288">
        <v>8853108.5269754808</v>
      </c>
    </row>
    <row r="289" spans="1:42" x14ac:dyDescent="0.25">
      <c r="A289">
        <v>287</v>
      </c>
      <c r="B289" t="s">
        <v>167</v>
      </c>
      <c r="C289" s="1">
        <v>0.10834547999999999</v>
      </c>
      <c r="E289" t="s">
        <v>98</v>
      </c>
      <c r="F289" t="s">
        <v>526</v>
      </c>
      <c r="G289" s="22">
        <v>20230112</v>
      </c>
      <c r="H289" s="56">
        <v>44938.917056597224</v>
      </c>
      <c r="I289">
        <v>1.26842526444161E-3</v>
      </c>
      <c r="K289" s="21" t="s">
        <v>662</v>
      </c>
      <c r="L289" s="21" t="s">
        <v>655</v>
      </c>
      <c r="M289" s="21" t="s">
        <v>85</v>
      </c>
      <c r="N289" s="21" t="s">
        <v>167</v>
      </c>
      <c r="P289" t="str">
        <f t="shared" si="16"/>
        <v>SGB</v>
      </c>
      <c r="Q289">
        <f t="shared" si="17"/>
        <v>1.1707228252084074E-2</v>
      </c>
      <c r="R289">
        <v>0.38471588000000001</v>
      </c>
      <c r="S289">
        <f t="shared" si="18"/>
        <v>4.1682226682222399E-2</v>
      </c>
      <c r="T289" t="str">
        <f t="shared" si="19"/>
        <v xml:space="preserve">'SGB', </v>
      </c>
      <c r="AJ289" s="27" t="s">
        <v>195</v>
      </c>
      <c r="AK289" s="44">
        <v>-5029.37</v>
      </c>
      <c r="AL289">
        <v>-501159.15583782265</v>
      </c>
      <c r="AN289" t="s">
        <v>112</v>
      </c>
      <c r="AO289" t="s">
        <v>393</v>
      </c>
      <c r="AP289">
        <v>33167.9</v>
      </c>
    </row>
    <row r="290" spans="1:42" x14ac:dyDescent="0.25">
      <c r="A290">
        <v>288</v>
      </c>
      <c r="B290" t="s">
        <v>167</v>
      </c>
      <c r="C290" s="1">
        <v>128214.5635</v>
      </c>
      <c r="E290" t="s">
        <v>95</v>
      </c>
      <c r="F290" t="s">
        <v>526</v>
      </c>
      <c r="G290" s="22">
        <v>20230112</v>
      </c>
      <c r="H290" s="56">
        <v>44938.917053900463</v>
      </c>
      <c r="I290">
        <v>128214.5635</v>
      </c>
      <c r="K290" s="21" t="s">
        <v>663</v>
      </c>
      <c r="L290" s="21" t="s">
        <v>655</v>
      </c>
      <c r="M290" s="21" t="s">
        <v>85</v>
      </c>
      <c r="N290" s="21" t="s">
        <v>167</v>
      </c>
      <c r="P290" t="str">
        <f t="shared" si="16"/>
        <v>USD</v>
      </c>
      <c r="Q290">
        <f t="shared" si="17"/>
        <v>1</v>
      </c>
      <c r="R290">
        <v>1208.73</v>
      </c>
      <c r="S290">
        <f t="shared" si="18"/>
        <v>154976789.33935502</v>
      </c>
      <c r="T290" t="str">
        <f t="shared" si="19"/>
        <v xml:space="preserve">'USD', </v>
      </c>
      <c r="AJ290" s="4" t="s">
        <v>125</v>
      </c>
      <c r="AK290" s="44">
        <v>2.5033500000000001E-3</v>
      </c>
      <c r="AL290">
        <v>2.2277765296032829E-4</v>
      </c>
      <c r="AN290" t="s">
        <v>112</v>
      </c>
      <c r="AO290" t="s">
        <v>393</v>
      </c>
      <c r="AP290" s="29">
        <v>1E-8</v>
      </c>
    </row>
    <row r="291" spans="1:42" x14ac:dyDescent="0.25">
      <c r="A291">
        <v>289</v>
      </c>
      <c r="B291" t="s">
        <v>167</v>
      </c>
      <c r="C291" s="1">
        <v>1.182861E-2</v>
      </c>
      <c r="E291" t="s">
        <v>38</v>
      </c>
      <c r="F291" t="s">
        <v>526</v>
      </c>
      <c r="G291" s="22">
        <v>20230112</v>
      </c>
      <c r="H291" s="56">
        <v>44938.91705679398</v>
      </c>
      <c r="I291">
        <v>1.18296988139044E-2</v>
      </c>
      <c r="K291" s="21" t="s">
        <v>664</v>
      </c>
      <c r="L291" s="21" t="s">
        <v>655</v>
      </c>
      <c r="M291" s="21" t="s">
        <v>85</v>
      </c>
      <c r="N291" s="21" t="s">
        <v>167</v>
      </c>
      <c r="P291" t="str">
        <f t="shared" si="16"/>
        <v>USDT</v>
      </c>
      <c r="Q291">
        <f t="shared" si="17"/>
        <v>1.0000920491845111</v>
      </c>
      <c r="R291">
        <v>1.0364599999999999</v>
      </c>
      <c r="S291">
        <f t="shared" si="18"/>
        <v>1.2259881120599999E-2</v>
      </c>
      <c r="T291" t="str">
        <f t="shared" si="19"/>
        <v xml:space="preserve">'USDT', </v>
      </c>
      <c r="AJ291" s="27" t="s">
        <v>85</v>
      </c>
      <c r="AK291" s="44">
        <v>2.5033500000000001E-3</v>
      </c>
      <c r="AL291">
        <v>2.2277765296032829E-4</v>
      </c>
      <c r="AN291" t="s">
        <v>112</v>
      </c>
      <c r="AO291" t="s">
        <v>393</v>
      </c>
      <c r="AP291">
        <v>817354.02785735996</v>
      </c>
    </row>
    <row r="292" spans="1:42" x14ac:dyDescent="0.25">
      <c r="A292">
        <v>290</v>
      </c>
      <c r="B292" t="s">
        <v>167</v>
      </c>
      <c r="C292" s="1">
        <v>8.93329E-3</v>
      </c>
      <c r="E292" t="s">
        <v>163</v>
      </c>
      <c r="F292" t="s">
        <v>526</v>
      </c>
      <c r="G292" s="22">
        <v>20230112</v>
      </c>
      <c r="H292" s="56">
        <v>44938.917056979168</v>
      </c>
      <c r="I292">
        <v>7.2934759832153195E-4</v>
      </c>
      <c r="K292" s="21" t="s">
        <v>665</v>
      </c>
      <c r="L292" s="21" t="s">
        <v>655</v>
      </c>
      <c r="M292" s="21" t="s">
        <v>85</v>
      </c>
      <c r="N292" s="21" t="s">
        <v>167</v>
      </c>
      <c r="P292" t="str">
        <f t="shared" si="16"/>
        <v>XLM</v>
      </c>
      <c r="Q292">
        <f t="shared" si="17"/>
        <v>8.1643783905093414E-2</v>
      </c>
      <c r="R292">
        <v>1.1863900000000001</v>
      </c>
      <c r="S292">
        <f t="shared" si="18"/>
        <v>1.0598365923100001E-2</v>
      </c>
      <c r="T292" t="str">
        <f t="shared" si="19"/>
        <v xml:space="preserve">'XLM', </v>
      </c>
      <c r="AJ292" s="4" t="s">
        <v>126</v>
      </c>
      <c r="AK292" s="44">
        <v>115.29838952</v>
      </c>
      <c r="AL292">
        <v>6.5585114194220004</v>
      </c>
      <c r="AN292" t="s">
        <v>112</v>
      </c>
      <c r="AO292" t="s">
        <v>393</v>
      </c>
      <c r="AP292">
        <v>33123.9</v>
      </c>
    </row>
    <row r="293" spans="1:42" x14ac:dyDescent="0.25">
      <c r="A293">
        <v>291</v>
      </c>
      <c r="B293" t="s">
        <v>167</v>
      </c>
      <c r="C293" s="1">
        <v>0.71704489000000005</v>
      </c>
      <c r="E293" t="s">
        <v>99</v>
      </c>
      <c r="F293" t="s">
        <v>526</v>
      </c>
      <c r="G293" s="22">
        <v>20230112</v>
      </c>
      <c r="H293" s="56">
        <v>44938.917055520833</v>
      </c>
      <c r="I293">
        <v>0.26903319358715799</v>
      </c>
      <c r="K293" s="21" t="s">
        <v>666</v>
      </c>
      <c r="L293" s="21" t="s">
        <v>655</v>
      </c>
      <c r="M293" s="21" t="s">
        <v>85</v>
      </c>
      <c r="N293" s="21" t="s">
        <v>167</v>
      </c>
      <c r="P293" t="str">
        <f t="shared" si="16"/>
        <v>XRP</v>
      </c>
      <c r="Q293">
        <f t="shared" si="17"/>
        <v>0.37519714224190059</v>
      </c>
      <c r="R293">
        <v>5.3040348599083235E-2</v>
      </c>
      <c r="S293">
        <f t="shared" si="18"/>
        <v>3.8032310926791296E-2</v>
      </c>
      <c r="T293" t="str">
        <f t="shared" si="19"/>
        <v xml:space="preserve">'XRP', </v>
      </c>
      <c r="AJ293" s="27" t="s">
        <v>85</v>
      </c>
      <c r="AK293" s="44">
        <v>115.29838952</v>
      </c>
      <c r="AL293">
        <v>6.5585114194220004</v>
      </c>
      <c r="AN293" t="s">
        <v>112</v>
      </c>
      <c r="AO293" t="s">
        <v>393</v>
      </c>
      <c r="AP293">
        <v>6.2163969999999999E-2</v>
      </c>
    </row>
    <row r="294" spans="1:42" x14ac:dyDescent="0.25">
      <c r="A294">
        <v>292</v>
      </c>
      <c r="B294" t="s">
        <v>168</v>
      </c>
      <c r="C294" s="1">
        <v>300</v>
      </c>
      <c r="E294" t="s">
        <v>116</v>
      </c>
      <c r="F294" t="s">
        <v>667</v>
      </c>
      <c r="G294" s="22">
        <v>20230112</v>
      </c>
      <c r="H294" s="56">
        <v>44938</v>
      </c>
      <c r="I294">
        <v>20358.340959391298</v>
      </c>
      <c r="K294" s="21" t="s">
        <v>869</v>
      </c>
      <c r="L294" s="21" t="s">
        <v>669</v>
      </c>
      <c r="M294" s="21" t="s">
        <v>169</v>
      </c>
      <c r="N294" s="21" t="s">
        <v>170</v>
      </c>
      <c r="P294" t="str">
        <f t="shared" si="16"/>
        <v>AAVE</v>
      </c>
      <c r="Q294">
        <f t="shared" si="17"/>
        <v>67.861136531304325</v>
      </c>
      <c r="R294">
        <v>1</v>
      </c>
      <c r="S294">
        <f t="shared" si="18"/>
        <v>300</v>
      </c>
      <c r="T294" t="str">
        <f t="shared" si="19"/>
        <v xml:space="preserve">'AAVE', </v>
      </c>
      <c r="AJ294" s="4" t="s">
        <v>127</v>
      </c>
      <c r="AK294" s="44">
        <v>14.7502</v>
      </c>
      <c r="AL294">
        <v>2.9590711223279542</v>
      </c>
      <c r="AN294" t="s">
        <v>112</v>
      </c>
      <c r="AO294" t="s">
        <v>393</v>
      </c>
      <c r="AP294">
        <v>8853064.5269754808</v>
      </c>
    </row>
    <row r="295" spans="1:42" x14ac:dyDescent="0.25">
      <c r="A295">
        <v>293</v>
      </c>
      <c r="B295" t="s">
        <v>168</v>
      </c>
      <c r="C295" s="1">
        <v>150000</v>
      </c>
      <c r="E295" t="s">
        <v>84</v>
      </c>
      <c r="F295" t="s">
        <v>667</v>
      </c>
      <c r="G295" s="22">
        <v>20230112</v>
      </c>
      <c r="H295" s="56">
        <v>44938</v>
      </c>
      <c r="I295">
        <v>49463.771211506297</v>
      </c>
      <c r="K295" s="21" t="s">
        <v>870</v>
      </c>
      <c r="L295" s="21" t="s">
        <v>669</v>
      </c>
      <c r="M295" s="21" t="s">
        <v>169</v>
      </c>
      <c r="N295" s="21" t="s">
        <v>170</v>
      </c>
      <c r="P295" t="str">
        <f t="shared" si="16"/>
        <v>ADA</v>
      </c>
      <c r="Q295">
        <f t="shared" si="17"/>
        <v>0.32975847474337533</v>
      </c>
      <c r="R295">
        <v>0.99940190110900451</v>
      </c>
      <c r="S295">
        <f t="shared" si="18"/>
        <v>149910.28516635069</v>
      </c>
      <c r="T295" t="str">
        <f t="shared" si="19"/>
        <v xml:space="preserve">'ADA', </v>
      </c>
      <c r="AJ295" s="27" t="s">
        <v>85</v>
      </c>
      <c r="AK295" s="44">
        <v>14.7502</v>
      </c>
      <c r="AL295">
        <v>2.9590711223279542</v>
      </c>
      <c r="AN295" t="s">
        <v>112</v>
      </c>
      <c r="AO295" t="s">
        <v>393</v>
      </c>
      <c r="AP295">
        <v>12245.511049999999</v>
      </c>
    </row>
    <row r="296" spans="1:42" x14ac:dyDescent="0.25">
      <c r="A296">
        <v>294</v>
      </c>
      <c r="B296" t="s">
        <v>168</v>
      </c>
      <c r="C296" s="1">
        <v>35000</v>
      </c>
      <c r="E296" t="s">
        <v>122</v>
      </c>
      <c r="F296" t="s">
        <v>667</v>
      </c>
      <c r="G296" s="22">
        <v>20230112</v>
      </c>
      <c r="H296" s="56">
        <v>44938</v>
      </c>
      <c r="I296">
        <v>7438.4272051851603</v>
      </c>
      <c r="K296" s="21" t="s">
        <v>871</v>
      </c>
      <c r="L296" s="21" t="s">
        <v>669</v>
      </c>
      <c r="M296" s="21" t="s">
        <v>169</v>
      </c>
      <c r="N296" s="21" t="s">
        <v>170</v>
      </c>
      <c r="P296" t="str">
        <f t="shared" si="16"/>
        <v>ALGO</v>
      </c>
      <c r="Q296">
        <f t="shared" si="17"/>
        <v>0.21252649157671888</v>
      </c>
      <c r="R296">
        <v>9.0786800000000001E-2</v>
      </c>
      <c r="S296">
        <f t="shared" si="18"/>
        <v>3177.538</v>
      </c>
      <c r="T296" t="str">
        <f t="shared" si="19"/>
        <v xml:space="preserve">'ALGO', </v>
      </c>
      <c r="AJ296" s="4" t="s">
        <v>113</v>
      </c>
      <c r="AK296" s="44">
        <v>84.770241400000486</v>
      </c>
      <c r="AL296">
        <v>3282.1908275582246</v>
      </c>
      <c r="AN296" t="s">
        <v>112</v>
      </c>
      <c r="AO296" t="s">
        <v>393</v>
      </c>
      <c r="AP296">
        <v>-1000000</v>
      </c>
    </row>
    <row r="297" spans="1:42" x14ac:dyDescent="0.25">
      <c r="A297">
        <v>295</v>
      </c>
      <c r="B297" t="s">
        <v>168</v>
      </c>
      <c r="C297" s="1">
        <v>3000</v>
      </c>
      <c r="E297" t="s">
        <v>187</v>
      </c>
      <c r="F297" t="s">
        <v>667</v>
      </c>
      <c r="G297" s="22">
        <v>20230112</v>
      </c>
      <c r="H297" s="56">
        <v>44938</v>
      </c>
      <c r="I297">
        <v>46372.050779343299</v>
      </c>
      <c r="K297" s="21" t="s">
        <v>872</v>
      </c>
      <c r="L297" s="21" t="s">
        <v>669</v>
      </c>
      <c r="M297" s="21" t="s">
        <v>169</v>
      </c>
      <c r="N297" s="21" t="s">
        <v>170</v>
      </c>
      <c r="P297" t="str">
        <f t="shared" si="16"/>
        <v>AVAX</v>
      </c>
      <c r="Q297">
        <f t="shared" si="17"/>
        <v>15.4573502597811</v>
      </c>
      <c r="R297">
        <v>1.3863001368121896E-2</v>
      </c>
      <c r="S297">
        <f t="shared" si="18"/>
        <v>41.589004104365685</v>
      </c>
      <c r="T297" t="str">
        <f t="shared" si="19"/>
        <v xml:space="preserve">'AVAX', </v>
      </c>
      <c r="AJ297" s="27" t="s">
        <v>85</v>
      </c>
      <c r="AK297" s="44">
        <v>4231.1402414000004</v>
      </c>
      <c r="AL297">
        <v>163824.1139942744</v>
      </c>
      <c r="AN297" t="s">
        <v>112</v>
      </c>
      <c r="AO297" t="s">
        <v>393</v>
      </c>
      <c r="AP297">
        <v>-50520.467648209997</v>
      </c>
    </row>
    <row r="298" spans="1:42" x14ac:dyDescent="0.25">
      <c r="A298">
        <v>296</v>
      </c>
      <c r="B298" t="s">
        <v>168</v>
      </c>
      <c r="C298" s="1">
        <v>100000</v>
      </c>
      <c r="E298" t="s">
        <v>124</v>
      </c>
      <c r="F298" t="s">
        <v>667</v>
      </c>
      <c r="G298" s="22">
        <v>20230112</v>
      </c>
      <c r="H298" s="56">
        <v>44938</v>
      </c>
      <c r="I298">
        <v>20477.401519184201</v>
      </c>
      <c r="K298" s="21" t="s">
        <v>873</v>
      </c>
      <c r="L298" s="21" t="s">
        <v>669</v>
      </c>
      <c r="M298" s="21" t="s">
        <v>169</v>
      </c>
      <c r="N298" s="21" t="s">
        <v>170</v>
      </c>
      <c r="P298" t="str">
        <f t="shared" si="16"/>
        <v>BAT</v>
      </c>
      <c r="Q298">
        <f t="shared" si="17"/>
        <v>0.20477401519184202</v>
      </c>
      <c r="R298">
        <v>0.32653653999999999</v>
      </c>
      <c r="S298">
        <f t="shared" si="18"/>
        <v>32653.653999999999</v>
      </c>
      <c r="T298" t="str">
        <f t="shared" si="19"/>
        <v xml:space="preserve">'BAT', </v>
      </c>
      <c r="AJ298" s="27" t="s">
        <v>195</v>
      </c>
      <c r="AK298" s="44">
        <v>-4146.37</v>
      </c>
      <c r="AL298">
        <v>-160541.92316671618</v>
      </c>
      <c r="AN298" t="s">
        <v>112</v>
      </c>
      <c r="AO298" t="s">
        <v>393</v>
      </c>
      <c r="AP298">
        <v>-9528648.0788313001</v>
      </c>
    </row>
    <row r="299" spans="1:42" x14ac:dyDescent="0.25">
      <c r="A299">
        <v>297</v>
      </c>
      <c r="B299" t="s">
        <v>168</v>
      </c>
      <c r="C299" s="1">
        <v>5627</v>
      </c>
      <c r="E299" t="s">
        <v>20</v>
      </c>
      <c r="F299" t="s">
        <v>667</v>
      </c>
      <c r="G299" s="22">
        <v>20230112</v>
      </c>
      <c r="H299" s="56">
        <v>44938</v>
      </c>
      <c r="I299">
        <v>673610.792955218</v>
      </c>
      <c r="K299" s="21" t="s">
        <v>668</v>
      </c>
      <c r="L299" s="21" t="s">
        <v>669</v>
      </c>
      <c r="M299" s="21" t="s">
        <v>169</v>
      </c>
      <c r="N299" s="21" t="s">
        <v>170</v>
      </c>
      <c r="P299" t="str">
        <f t="shared" si="16"/>
        <v>BCH</v>
      </c>
      <c r="Q299">
        <f t="shared" si="17"/>
        <v>119.71046613741213</v>
      </c>
      <c r="R299">
        <v>3.7800280517057789</v>
      </c>
      <c r="S299">
        <f t="shared" si="18"/>
        <v>21270.217846948417</v>
      </c>
      <c r="T299" t="str">
        <f t="shared" si="19"/>
        <v xml:space="preserve">'BCH', </v>
      </c>
      <c r="AJ299" s="4" t="s">
        <v>14</v>
      </c>
      <c r="AK299" s="44">
        <v>1826.77260088</v>
      </c>
      <c r="AL299">
        <v>29873880.424307607</v>
      </c>
      <c r="AN299" t="s">
        <v>112</v>
      </c>
      <c r="AO299" t="s">
        <v>393</v>
      </c>
      <c r="AP299">
        <v>6596.56</v>
      </c>
    </row>
    <row r="300" spans="1:42" x14ac:dyDescent="0.25">
      <c r="A300">
        <v>298</v>
      </c>
      <c r="B300" t="s">
        <v>168</v>
      </c>
      <c r="C300" s="1">
        <v>100</v>
      </c>
      <c r="E300" t="s">
        <v>132</v>
      </c>
      <c r="F300" t="s">
        <v>667</v>
      </c>
      <c r="G300" s="22">
        <v>20230112</v>
      </c>
      <c r="H300" s="56">
        <v>44938</v>
      </c>
      <c r="I300">
        <v>4935.6487119112799</v>
      </c>
      <c r="K300" s="21" t="s">
        <v>874</v>
      </c>
      <c r="L300" s="21" t="s">
        <v>669</v>
      </c>
      <c r="M300" s="21" t="s">
        <v>169</v>
      </c>
      <c r="N300" s="21" t="s">
        <v>170</v>
      </c>
      <c r="P300" t="str">
        <f t="shared" si="16"/>
        <v>DASH</v>
      </c>
      <c r="Q300">
        <f t="shared" si="17"/>
        <v>49.356487119112799</v>
      </c>
      <c r="R300">
        <v>0.99940190110900451</v>
      </c>
      <c r="S300">
        <f t="shared" si="18"/>
        <v>99.940190110900446</v>
      </c>
      <c r="T300" t="str">
        <f t="shared" si="19"/>
        <v xml:space="preserve">'DASH', </v>
      </c>
      <c r="AJ300" s="27" t="s">
        <v>85</v>
      </c>
      <c r="AK300" s="44">
        <v>2326.77260088</v>
      </c>
      <c r="AL300">
        <v>38050563.282895654</v>
      </c>
      <c r="AN300" t="s">
        <v>112</v>
      </c>
      <c r="AO300" t="s">
        <v>394</v>
      </c>
      <c r="AP300">
        <v>59589.017780000002</v>
      </c>
    </row>
    <row r="301" spans="1:42" x14ac:dyDescent="0.25">
      <c r="A301">
        <v>299</v>
      </c>
      <c r="B301" t="s">
        <v>168</v>
      </c>
      <c r="C301" s="1">
        <v>600000</v>
      </c>
      <c r="E301" t="s">
        <v>190</v>
      </c>
      <c r="F301" t="s">
        <v>667</v>
      </c>
      <c r="G301" s="22">
        <v>20230112</v>
      </c>
      <c r="H301" s="56">
        <v>44938</v>
      </c>
      <c r="I301">
        <v>48171.441601568797</v>
      </c>
      <c r="K301" s="21" t="s">
        <v>875</v>
      </c>
      <c r="L301" s="21" t="s">
        <v>669</v>
      </c>
      <c r="M301" s="21" t="s">
        <v>169</v>
      </c>
      <c r="N301" s="21" t="s">
        <v>170</v>
      </c>
      <c r="P301" t="str">
        <f t="shared" si="16"/>
        <v>DOGE</v>
      </c>
      <c r="Q301">
        <f t="shared" si="17"/>
        <v>8.0285736002614655E-2</v>
      </c>
      <c r="R301">
        <v>0.12440039999999999</v>
      </c>
      <c r="S301">
        <f t="shared" si="18"/>
        <v>74640.239999999991</v>
      </c>
      <c r="T301" t="str">
        <f t="shared" si="19"/>
        <v xml:space="preserve">'DOGE', </v>
      </c>
      <c r="AJ301" s="27" t="s">
        <v>195</v>
      </c>
      <c r="AK301" s="44">
        <v>-500</v>
      </c>
      <c r="AL301">
        <v>-8176682.8585880492</v>
      </c>
      <c r="AN301" t="s">
        <v>112</v>
      </c>
      <c r="AO301" t="s">
        <v>395</v>
      </c>
      <c r="AP301">
        <v>0.20872535</v>
      </c>
    </row>
    <row r="302" spans="1:42" x14ac:dyDescent="0.25">
      <c r="A302">
        <v>300</v>
      </c>
      <c r="B302" t="s">
        <v>168</v>
      </c>
      <c r="C302" s="1">
        <v>5000</v>
      </c>
      <c r="E302" t="s">
        <v>22</v>
      </c>
      <c r="F302" t="s">
        <v>667</v>
      </c>
      <c r="G302" s="22">
        <v>20230112</v>
      </c>
      <c r="H302" s="56">
        <v>44938</v>
      </c>
      <c r="I302">
        <v>26147.389695369999</v>
      </c>
      <c r="K302" s="21" t="s">
        <v>876</v>
      </c>
      <c r="L302" s="21" t="s">
        <v>669</v>
      </c>
      <c r="M302" s="21" t="s">
        <v>169</v>
      </c>
      <c r="N302" s="21" t="s">
        <v>170</v>
      </c>
      <c r="P302" t="str">
        <f t="shared" si="16"/>
        <v>DOT</v>
      </c>
      <c r="Q302">
        <f t="shared" si="17"/>
        <v>5.229477939074</v>
      </c>
      <c r="R302">
        <v>59.23</v>
      </c>
      <c r="S302">
        <f t="shared" si="18"/>
        <v>296150</v>
      </c>
      <c r="T302" t="str">
        <f t="shared" si="19"/>
        <v xml:space="preserve">'DOT', </v>
      </c>
      <c r="AJ302" s="4" t="s">
        <v>128</v>
      </c>
      <c r="AK302" s="44">
        <v>0.33565571999999999</v>
      </c>
      <c r="AL302">
        <v>3.3171758306922141E-3</v>
      </c>
      <c r="AN302" t="s">
        <v>112</v>
      </c>
      <c r="AO302" t="s">
        <v>396</v>
      </c>
      <c r="AP302">
        <v>97856389.900000006</v>
      </c>
    </row>
    <row r="303" spans="1:42" x14ac:dyDescent="0.25">
      <c r="A303">
        <v>301</v>
      </c>
      <c r="B303" t="s">
        <v>168</v>
      </c>
      <c r="C303" s="1">
        <v>15000</v>
      </c>
      <c r="E303" t="s">
        <v>28</v>
      </c>
      <c r="F303" t="s">
        <v>667</v>
      </c>
      <c r="G303" s="22">
        <v>20230112</v>
      </c>
      <c r="H303" s="56">
        <v>44938</v>
      </c>
      <c r="I303">
        <v>4561.4429835563797</v>
      </c>
      <c r="K303" s="21" t="s">
        <v>877</v>
      </c>
      <c r="L303" s="21" t="s">
        <v>669</v>
      </c>
      <c r="M303" s="21" t="s">
        <v>169</v>
      </c>
      <c r="N303" s="21" t="s">
        <v>170</v>
      </c>
      <c r="P303" t="str">
        <f t="shared" si="16"/>
        <v>ENJ</v>
      </c>
      <c r="Q303">
        <f t="shared" si="17"/>
        <v>0.30409619890375866</v>
      </c>
      <c r="R303">
        <v>0.32653653999999999</v>
      </c>
      <c r="S303">
        <f t="shared" si="18"/>
        <v>4898.0481</v>
      </c>
      <c r="T303" t="str">
        <f t="shared" si="19"/>
        <v xml:space="preserve">'ENJ', </v>
      </c>
      <c r="AJ303" s="27" t="s">
        <v>85</v>
      </c>
      <c r="AK303" s="44">
        <v>0.33565571999999999</v>
      </c>
      <c r="AL303">
        <v>3.3171758306922141E-3</v>
      </c>
      <c r="AN303" t="s">
        <v>112</v>
      </c>
      <c r="AO303" t="s">
        <v>397</v>
      </c>
      <c r="AP303">
        <v>0.55556267999999998</v>
      </c>
    </row>
    <row r="304" spans="1:42" x14ac:dyDescent="0.25">
      <c r="A304">
        <v>302</v>
      </c>
      <c r="B304" t="s">
        <v>168</v>
      </c>
      <c r="C304" s="1">
        <v>30000</v>
      </c>
      <c r="E304" t="s">
        <v>23</v>
      </c>
      <c r="F304" t="s">
        <v>667</v>
      </c>
      <c r="G304" s="22">
        <v>20230112</v>
      </c>
      <c r="H304" s="56">
        <v>44938</v>
      </c>
      <c r="I304">
        <v>29707.2743042082</v>
      </c>
      <c r="K304" s="21" t="s">
        <v>878</v>
      </c>
      <c r="L304" s="21" t="s">
        <v>669</v>
      </c>
      <c r="M304" s="21" t="s">
        <v>169</v>
      </c>
      <c r="N304" s="21" t="s">
        <v>170</v>
      </c>
      <c r="P304" t="str">
        <f t="shared" si="16"/>
        <v>EOS</v>
      </c>
      <c r="Q304">
        <f t="shared" si="17"/>
        <v>0.99024247680694</v>
      </c>
      <c r="R304">
        <v>13.03</v>
      </c>
      <c r="S304">
        <f t="shared" si="18"/>
        <v>390900</v>
      </c>
      <c r="T304" t="str">
        <f t="shared" si="19"/>
        <v xml:space="preserve">'EOS', </v>
      </c>
      <c r="AJ304" s="4" t="s">
        <v>129</v>
      </c>
      <c r="AK304" s="44">
        <v>1367501156.8785999</v>
      </c>
      <c r="AL304">
        <v>927.57059291804489</v>
      </c>
      <c r="AN304" t="s">
        <v>112</v>
      </c>
      <c r="AO304" t="s">
        <v>398</v>
      </c>
      <c r="AP304">
        <v>7.6039999999999997E-5</v>
      </c>
    </row>
    <row r="305" spans="1:42" x14ac:dyDescent="0.25">
      <c r="A305">
        <v>303</v>
      </c>
      <c r="B305" t="s">
        <v>168</v>
      </c>
      <c r="C305" s="1">
        <v>98000</v>
      </c>
      <c r="E305" t="s">
        <v>29</v>
      </c>
      <c r="F305" t="s">
        <v>667</v>
      </c>
      <c r="G305" s="22">
        <v>20230112</v>
      </c>
      <c r="H305" s="56">
        <v>44938</v>
      </c>
      <c r="I305">
        <v>2049940.3053389101</v>
      </c>
      <c r="K305" s="21" t="s">
        <v>670</v>
      </c>
      <c r="L305" s="21" t="s">
        <v>669</v>
      </c>
      <c r="M305" s="21" t="s">
        <v>169</v>
      </c>
      <c r="N305" s="21" t="s">
        <v>170</v>
      </c>
      <c r="P305" t="str">
        <f t="shared" si="16"/>
        <v>ETC</v>
      </c>
      <c r="Q305">
        <f t="shared" si="17"/>
        <v>20.91775821774398</v>
      </c>
      <c r="R305">
        <v>103.98</v>
      </c>
      <c r="S305">
        <f t="shared" si="18"/>
        <v>10190040</v>
      </c>
      <c r="T305" t="str">
        <f t="shared" si="19"/>
        <v xml:space="preserve">'ETC', </v>
      </c>
      <c r="AJ305" s="27" t="s">
        <v>85</v>
      </c>
      <c r="AK305" s="44">
        <v>1367501156.8785999</v>
      </c>
      <c r="AL305">
        <v>927.57059291804489</v>
      </c>
      <c r="AN305" t="s">
        <v>112</v>
      </c>
      <c r="AO305" t="s">
        <v>398</v>
      </c>
      <c r="AP305">
        <v>6.4869999999999994E-5</v>
      </c>
    </row>
    <row r="306" spans="1:42" x14ac:dyDescent="0.25">
      <c r="A306">
        <v>304</v>
      </c>
      <c r="B306" t="s">
        <v>168</v>
      </c>
      <c r="C306" s="1">
        <v>30000</v>
      </c>
      <c r="E306" t="s">
        <v>191</v>
      </c>
      <c r="F306" t="s">
        <v>667</v>
      </c>
      <c r="G306" s="22">
        <v>20230112</v>
      </c>
      <c r="H306" s="56">
        <v>44938</v>
      </c>
      <c r="I306">
        <v>8203.4051788677698</v>
      </c>
      <c r="K306" s="21" t="s">
        <v>879</v>
      </c>
      <c r="L306" s="21" t="s">
        <v>669</v>
      </c>
      <c r="M306" s="21" t="s">
        <v>169</v>
      </c>
      <c r="N306" s="21" t="s">
        <v>170</v>
      </c>
      <c r="P306" t="str">
        <f t="shared" si="16"/>
        <v>FTM</v>
      </c>
      <c r="Q306">
        <f t="shared" si="17"/>
        <v>0.27344683929559233</v>
      </c>
      <c r="R306">
        <v>16719.740000000002</v>
      </c>
      <c r="S306">
        <f t="shared" si="18"/>
        <v>501592200.00000006</v>
      </c>
      <c r="T306" t="str">
        <f t="shared" si="19"/>
        <v xml:space="preserve">'FTM', </v>
      </c>
      <c r="AJ306" s="4" t="s">
        <v>130</v>
      </c>
      <c r="AK306" s="44">
        <v>1.7855998900000001</v>
      </c>
      <c r="AL306">
        <v>6.132119285401077E-3</v>
      </c>
      <c r="AN306" t="s">
        <v>112</v>
      </c>
      <c r="AO306" t="s">
        <v>398</v>
      </c>
      <c r="AP306">
        <v>5952.37141058</v>
      </c>
    </row>
    <row r="307" spans="1:42" x14ac:dyDescent="0.25">
      <c r="A307">
        <v>305</v>
      </c>
      <c r="B307" t="s">
        <v>168</v>
      </c>
      <c r="C307" s="1">
        <v>50000</v>
      </c>
      <c r="E307" t="s">
        <v>415</v>
      </c>
      <c r="F307" t="s">
        <v>667</v>
      </c>
      <c r="G307" s="22">
        <v>20230112</v>
      </c>
      <c r="H307" s="56">
        <v>44938</v>
      </c>
      <c r="I307">
        <v>3675.0979151612801</v>
      </c>
      <c r="K307" s="21" t="s">
        <v>880</v>
      </c>
      <c r="L307" s="21" t="s">
        <v>669</v>
      </c>
      <c r="M307" s="21" t="s">
        <v>169</v>
      </c>
      <c r="N307" s="21" t="s">
        <v>170</v>
      </c>
      <c r="P307" t="str">
        <f t="shared" si="16"/>
        <v>GRT</v>
      </c>
      <c r="Q307">
        <f t="shared" si="17"/>
        <v>7.3501958303225604E-2</v>
      </c>
      <c r="R307">
        <v>39.366320000000002</v>
      </c>
      <c r="S307">
        <f t="shared" si="18"/>
        <v>1968316</v>
      </c>
      <c r="T307" t="str">
        <f t="shared" si="19"/>
        <v xml:space="preserve">'GRT', </v>
      </c>
      <c r="AJ307" s="27" t="s">
        <v>85</v>
      </c>
      <c r="AK307" s="44">
        <v>1.7855998900000001</v>
      </c>
      <c r="AL307">
        <v>6.132119285401077E-3</v>
      </c>
      <c r="AN307" t="s">
        <v>112</v>
      </c>
      <c r="AO307" t="s">
        <v>398</v>
      </c>
      <c r="AP307">
        <v>300</v>
      </c>
    </row>
    <row r="308" spans="1:42" x14ac:dyDescent="0.25">
      <c r="A308">
        <v>306</v>
      </c>
      <c r="B308" t="s">
        <v>168</v>
      </c>
      <c r="C308" s="1">
        <v>125000</v>
      </c>
      <c r="E308" t="s">
        <v>135</v>
      </c>
      <c r="F308" t="s">
        <v>667</v>
      </c>
      <c r="G308" s="22">
        <v>20230112</v>
      </c>
      <c r="H308" s="56">
        <v>44938</v>
      </c>
      <c r="I308">
        <v>5955.95459558743</v>
      </c>
      <c r="K308" s="21" t="s">
        <v>881</v>
      </c>
      <c r="L308" s="21" t="s">
        <v>669</v>
      </c>
      <c r="M308" s="21" t="s">
        <v>169</v>
      </c>
      <c r="N308" s="21" t="s">
        <v>170</v>
      </c>
      <c r="P308" t="str">
        <f t="shared" si="16"/>
        <v>HBAR</v>
      </c>
      <c r="Q308">
        <f t="shared" si="17"/>
        <v>4.7647636764699443E-2</v>
      </c>
      <c r="R308">
        <v>5.6989999999999998</v>
      </c>
      <c r="S308">
        <f t="shared" si="18"/>
        <v>712375</v>
      </c>
      <c r="T308" t="str">
        <f t="shared" si="19"/>
        <v xml:space="preserve">'HBAR', </v>
      </c>
      <c r="AJ308" s="4" t="s">
        <v>31</v>
      </c>
      <c r="AK308" s="44">
        <v>43.072197150000001</v>
      </c>
      <c r="AL308">
        <v>1668.816691001718</v>
      </c>
      <c r="AN308" t="s">
        <v>112</v>
      </c>
      <c r="AO308" t="s">
        <v>398</v>
      </c>
      <c r="AP308">
        <v>7.4209999999999996E-5</v>
      </c>
    </row>
    <row r="309" spans="1:42" x14ac:dyDescent="0.25">
      <c r="A309">
        <v>307</v>
      </c>
      <c r="B309" t="s">
        <v>168</v>
      </c>
      <c r="C309" s="1">
        <v>7000</v>
      </c>
      <c r="E309" t="s">
        <v>27</v>
      </c>
      <c r="F309" t="s">
        <v>667</v>
      </c>
      <c r="G309" s="22">
        <v>20230112</v>
      </c>
      <c r="H309" s="56">
        <v>44938</v>
      </c>
      <c r="I309">
        <v>44669.3208670651</v>
      </c>
      <c r="K309" s="21" t="s">
        <v>882</v>
      </c>
      <c r="L309" s="21" t="s">
        <v>669</v>
      </c>
      <c r="M309" s="21" t="s">
        <v>169</v>
      </c>
      <c r="N309" s="21" t="s">
        <v>170</v>
      </c>
      <c r="P309" t="str">
        <f t="shared" si="16"/>
        <v>LINK</v>
      </c>
      <c r="Q309">
        <f t="shared" si="17"/>
        <v>6.3813315524378718</v>
      </c>
      <c r="R309">
        <v>0.30611965000000002</v>
      </c>
      <c r="S309">
        <f t="shared" si="18"/>
        <v>2142.8375500000002</v>
      </c>
      <c r="T309" t="str">
        <f t="shared" si="19"/>
        <v xml:space="preserve">'LINK', </v>
      </c>
      <c r="AJ309" s="27" t="s">
        <v>85</v>
      </c>
      <c r="AK309" s="44">
        <v>43.072197150000001</v>
      </c>
      <c r="AL309">
        <v>1668.816691001718</v>
      </c>
      <c r="AN309" t="s">
        <v>112</v>
      </c>
      <c r="AO309" t="s">
        <v>399</v>
      </c>
      <c r="AP309">
        <v>3.9304560899999998</v>
      </c>
    </row>
    <row r="310" spans="1:42" x14ac:dyDescent="0.25">
      <c r="A310">
        <v>308</v>
      </c>
      <c r="B310" t="s">
        <v>168</v>
      </c>
      <c r="C310" s="1">
        <v>500</v>
      </c>
      <c r="E310" t="s">
        <v>24</v>
      </c>
      <c r="F310" t="s">
        <v>667</v>
      </c>
      <c r="G310" s="22">
        <v>20230112</v>
      </c>
      <c r="H310" s="56">
        <v>44938</v>
      </c>
      <c r="I310">
        <v>42982.114725378</v>
      </c>
      <c r="K310" s="21" t="s">
        <v>883</v>
      </c>
      <c r="L310" s="21" t="s">
        <v>669</v>
      </c>
      <c r="M310" s="21" t="s">
        <v>169</v>
      </c>
      <c r="N310" s="21" t="s">
        <v>170</v>
      </c>
      <c r="P310" t="str">
        <f t="shared" si="16"/>
        <v>LTC</v>
      </c>
      <c r="Q310">
        <f t="shared" si="17"/>
        <v>85.964229450755994</v>
      </c>
      <c r="R310">
        <v>0.90154135000000002</v>
      </c>
      <c r="S310">
        <f t="shared" si="18"/>
        <v>450.77067499999998</v>
      </c>
      <c r="T310" t="str">
        <f t="shared" si="19"/>
        <v xml:space="preserve">'LTC', </v>
      </c>
      <c r="AJ310" s="4" t="s">
        <v>131</v>
      </c>
      <c r="AK310" s="44">
        <v>0.30791584</v>
      </c>
      <c r="AL310">
        <v>2.0135583072477242E-2</v>
      </c>
      <c r="AN310" t="s">
        <v>112</v>
      </c>
      <c r="AO310" t="s">
        <v>400</v>
      </c>
      <c r="AP310">
        <v>0.10222220999999999</v>
      </c>
    </row>
    <row r="311" spans="1:42" x14ac:dyDescent="0.25">
      <c r="A311">
        <v>309</v>
      </c>
      <c r="B311" t="s">
        <v>168</v>
      </c>
      <c r="C311" s="1">
        <v>45000</v>
      </c>
      <c r="E311" t="s">
        <v>192</v>
      </c>
      <c r="F311" t="s">
        <v>667</v>
      </c>
      <c r="G311" s="22">
        <v>20230112</v>
      </c>
      <c r="H311" s="56">
        <v>44938</v>
      </c>
      <c r="I311">
        <v>18560.356587142</v>
      </c>
      <c r="K311" s="21" t="s">
        <v>884</v>
      </c>
      <c r="L311" s="21" t="s">
        <v>669</v>
      </c>
      <c r="M311" s="21" t="s">
        <v>169</v>
      </c>
      <c r="N311" s="21" t="s">
        <v>170</v>
      </c>
      <c r="P311" t="str">
        <f t="shared" si="16"/>
        <v>MANA</v>
      </c>
      <c r="Q311">
        <f t="shared" si="17"/>
        <v>0.41245236860315554</v>
      </c>
      <c r="R311">
        <v>19.614688999999998</v>
      </c>
      <c r="S311">
        <f t="shared" si="18"/>
        <v>882661.00499999989</v>
      </c>
      <c r="T311" t="str">
        <f t="shared" si="19"/>
        <v xml:space="preserve">'MANA', </v>
      </c>
      <c r="AJ311" s="27" t="s">
        <v>85</v>
      </c>
      <c r="AK311" s="44">
        <v>0.30791584</v>
      </c>
      <c r="AL311">
        <v>2.0135583072477242E-2</v>
      </c>
      <c r="AN311" t="s">
        <v>112</v>
      </c>
      <c r="AO311" t="s">
        <v>401</v>
      </c>
      <c r="AP311">
        <v>1.329583E-2</v>
      </c>
    </row>
    <row r="312" spans="1:42" x14ac:dyDescent="0.25">
      <c r="A312">
        <v>310</v>
      </c>
      <c r="B312" t="s">
        <v>168</v>
      </c>
      <c r="C312" s="1">
        <v>50000</v>
      </c>
      <c r="E312" t="s">
        <v>193</v>
      </c>
      <c r="F312" t="s">
        <v>667</v>
      </c>
      <c r="G312" s="22">
        <v>20230112</v>
      </c>
      <c r="H312" s="56">
        <v>44938</v>
      </c>
      <c r="I312">
        <v>45814.455718261699</v>
      </c>
      <c r="K312" s="21" t="s">
        <v>885</v>
      </c>
      <c r="L312" s="21" t="s">
        <v>669</v>
      </c>
      <c r="M312" s="21" t="s">
        <v>169</v>
      </c>
      <c r="N312" s="21" t="s">
        <v>170</v>
      </c>
      <c r="P312" t="str">
        <f t="shared" si="16"/>
        <v>MATIC</v>
      </c>
      <c r="Q312">
        <f t="shared" si="17"/>
        <v>0.91628911436523397</v>
      </c>
      <c r="R312">
        <v>1208.73</v>
      </c>
      <c r="S312">
        <f t="shared" si="18"/>
        <v>60436500</v>
      </c>
      <c r="T312" t="str">
        <f t="shared" si="19"/>
        <v xml:space="preserve">'MATIC', </v>
      </c>
      <c r="AJ312" s="4" t="s">
        <v>132</v>
      </c>
      <c r="AK312" s="44">
        <v>5.6119999999999998E-5</v>
      </c>
      <c r="AL312">
        <v>1.8802263034161919E-3</v>
      </c>
      <c r="AN312" t="s">
        <v>112</v>
      </c>
      <c r="AO312" t="s">
        <v>402</v>
      </c>
      <c r="AP312">
        <v>2.173E-4</v>
      </c>
    </row>
    <row r="313" spans="1:42" x14ac:dyDescent="0.25">
      <c r="A313">
        <v>311</v>
      </c>
      <c r="B313" t="s">
        <v>168</v>
      </c>
      <c r="C313" s="1">
        <v>80000</v>
      </c>
      <c r="E313" t="s">
        <v>89</v>
      </c>
      <c r="F313" t="s">
        <v>667</v>
      </c>
      <c r="G313" s="22">
        <v>20230112</v>
      </c>
      <c r="H313" s="56">
        <v>44938</v>
      </c>
      <c r="I313">
        <v>5865.54655298123</v>
      </c>
      <c r="K313" s="21" t="s">
        <v>886</v>
      </c>
      <c r="L313" s="21" t="s">
        <v>669</v>
      </c>
      <c r="M313" s="21" t="s">
        <v>169</v>
      </c>
      <c r="N313" s="21" t="s">
        <v>170</v>
      </c>
      <c r="P313" t="str">
        <f t="shared" si="16"/>
        <v>OXT</v>
      </c>
      <c r="Q313">
        <f t="shared" si="17"/>
        <v>7.3319331912265376E-2</v>
      </c>
      <c r="R313">
        <v>3.7800280517057789</v>
      </c>
      <c r="S313">
        <f t="shared" si="18"/>
        <v>302402.24413646234</v>
      </c>
      <c r="T313" t="str">
        <f t="shared" si="19"/>
        <v xml:space="preserve">'OXT', </v>
      </c>
      <c r="AJ313" s="27" t="s">
        <v>85</v>
      </c>
      <c r="AK313" s="44">
        <v>5.6119999999999998E-5</v>
      </c>
      <c r="AL313">
        <v>1.8802263034161919E-3</v>
      </c>
      <c r="AN313" t="s">
        <v>112</v>
      </c>
      <c r="AO313" t="s">
        <v>403</v>
      </c>
      <c r="AP313">
        <v>19451203.1070689</v>
      </c>
    </row>
    <row r="314" spans="1:42" x14ac:dyDescent="0.25">
      <c r="A314">
        <v>312</v>
      </c>
      <c r="B314" t="s">
        <v>168</v>
      </c>
      <c r="C314" s="1">
        <v>3500</v>
      </c>
      <c r="E314" t="s">
        <v>154</v>
      </c>
      <c r="F314" t="s">
        <v>667</v>
      </c>
      <c r="G314" s="22">
        <v>20230112</v>
      </c>
      <c r="H314" s="56">
        <v>44938</v>
      </c>
      <c r="I314">
        <v>58166.654687279501</v>
      </c>
      <c r="K314" s="21" t="s">
        <v>887</v>
      </c>
      <c r="L314" s="21" t="s">
        <v>669</v>
      </c>
      <c r="M314" s="21" t="s">
        <v>169</v>
      </c>
      <c r="N314" s="21" t="s">
        <v>170</v>
      </c>
      <c r="P314" t="str">
        <f t="shared" si="16"/>
        <v>SOL</v>
      </c>
      <c r="Q314">
        <f t="shared" si="17"/>
        <v>16.619044196365572</v>
      </c>
      <c r="R314">
        <v>1.033539447639525</v>
      </c>
      <c r="S314">
        <f t="shared" si="18"/>
        <v>3617.3880667383373</v>
      </c>
      <c r="T314" t="str">
        <f t="shared" si="19"/>
        <v xml:space="preserve">'SOL', </v>
      </c>
      <c r="AJ314" s="4" t="s">
        <v>133</v>
      </c>
      <c r="AK314" s="44">
        <v>5.9800000000000001E-4</v>
      </c>
      <c r="AL314">
        <v>1.107908488410577E-5</v>
      </c>
      <c r="AN314" t="s">
        <v>167</v>
      </c>
      <c r="AO314" t="s">
        <v>20</v>
      </c>
      <c r="AP314">
        <v>1.7695412699999999</v>
      </c>
    </row>
    <row r="315" spans="1:42" x14ac:dyDescent="0.25">
      <c r="A315">
        <v>313</v>
      </c>
      <c r="B315" t="s">
        <v>168</v>
      </c>
      <c r="C315" s="1">
        <v>21600</v>
      </c>
      <c r="E315" t="s">
        <v>414</v>
      </c>
      <c r="F315" t="s">
        <v>667</v>
      </c>
      <c r="G315" s="22">
        <v>20230112</v>
      </c>
      <c r="H315" s="56">
        <v>44938</v>
      </c>
      <c r="I315">
        <v>24574.094963555199</v>
      </c>
      <c r="K315" s="21" t="s">
        <v>888</v>
      </c>
      <c r="L315" s="21" t="s">
        <v>669</v>
      </c>
      <c r="M315" s="21" t="s">
        <v>169</v>
      </c>
      <c r="N315" s="21" t="s">
        <v>170</v>
      </c>
      <c r="P315" t="str">
        <f t="shared" si="16"/>
        <v>SUSHI</v>
      </c>
      <c r="Q315">
        <f t="shared" si="17"/>
        <v>1.1376895816460739</v>
      </c>
      <c r="R315">
        <v>0.17945811</v>
      </c>
      <c r="S315">
        <f t="shared" si="18"/>
        <v>3876.2951760000001</v>
      </c>
      <c r="T315" t="str">
        <f t="shared" si="19"/>
        <v xml:space="preserve">'SUSHI', </v>
      </c>
      <c r="AJ315" s="27" t="s">
        <v>85</v>
      </c>
      <c r="AK315" s="44">
        <v>5.9800000000000001E-4</v>
      </c>
      <c r="AL315">
        <v>1.107908488410577E-5</v>
      </c>
      <c r="AN315" t="s">
        <v>167</v>
      </c>
      <c r="AO315" t="s">
        <v>14</v>
      </c>
      <c r="AP315">
        <v>1.8847761800000001E-2</v>
      </c>
    </row>
    <row r="316" spans="1:42" x14ac:dyDescent="0.25">
      <c r="A316">
        <v>314</v>
      </c>
      <c r="B316" t="s">
        <v>168</v>
      </c>
      <c r="C316" s="1">
        <v>6000</v>
      </c>
      <c r="E316" t="s">
        <v>159</v>
      </c>
      <c r="F316" t="s">
        <v>667</v>
      </c>
      <c r="G316" s="22">
        <v>20230112</v>
      </c>
      <c r="H316" s="56">
        <v>44938</v>
      </c>
      <c r="I316">
        <v>37040.287692466401</v>
      </c>
      <c r="K316" s="21" t="s">
        <v>889</v>
      </c>
      <c r="L316" s="21" t="s">
        <v>669</v>
      </c>
      <c r="M316" s="21" t="s">
        <v>169</v>
      </c>
      <c r="N316" s="21" t="s">
        <v>170</v>
      </c>
      <c r="P316" t="str">
        <f t="shared" si="16"/>
        <v>UNI</v>
      </c>
      <c r="Q316">
        <f t="shared" si="17"/>
        <v>6.1733812820777336</v>
      </c>
      <c r="R316">
        <v>1.5288371999999999</v>
      </c>
      <c r="S316">
        <f t="shared" si="18"/>
        <v>9173.0231999999996</v>
      </c>
      <c r="T316" t="str">
        <f t="shared" si="19"/>
        <v xml:space="preserve">'UNI', </v>
      </c>
      <c r="AJ316" s="4" t="s">
        <v>22</v>
      </c>
      <c r="AK316" s="44">
        <v>-3299.3106825299983</v>
      </c>
      <c r="AL316">
        <v>-18981.752480847674</v>
      </c>
      <c r="AN316" t="s">
        <v>167</v>
      </c>
      <c r="AO316" t="s">
        <v>23</v>
      </c>
      <c r="AP316">
        <v>9.9499194400000004</v>
      </c>
    </row>
    <row r="317" spans="1:42" x14ac:dyDescent="0.25">
      <c r="A317">
        <v>315</v>
      </c>
      <c r="B317" t="s">
        <v>168</v>
      </c>
      <c r="C317" s="1">
        <v>10000000</v>
      </c>
      <c r="E317" t="s">
        <v>38</v>
      </c>
      <c r="F317" t="s">
        <v>667</v>
      </c>
      <c r="G317" s="22">
        <v>20230112</v>
      </c>
      <c r="H317" s="56">
        <v>44938</v>
      </c>
      <c r="I317">
        <v>10000920.491845099</v>
      </c>
      <c r="K317" s="21" t="s">
        <v>864</v>
      </c>
      <c r="L317" s="21" t="s">
        <v>669</v>
      </c>
      <c r="M317" s="21" t="s">
        <v>169</v>
      </c>
      <c r="N317" s="21" t="s">
        <v>170</v>
      </c>
      <c r="P317" t="str">
        <f t="shared" si="16"/>
        <v>USDT</v>
      </c>
      <c r="Q317">
        <f t="shared" si="17"/>
        <v>1.00009204918451</v>
      </c>
      <c r="R317">
        <v>4.9363444999999999E-2</v>
      </c>
      <c r="S317">
        <f t="shared" si="18"/>
        <v>493634.45</v>
      </c>
      <c r="T317" t="str">
        <f t="shared" si="19"/>
        <v xml:space="preserve">'USDT', </v>
      </c>
      <c r="AJ317" s="27" t="s">
        <v>85</v>
      </c>
      <c r="AK317" s="44">
        <v>36700.689317470002</v>
      </c>
      <c r="AL317">
        <v>211148.16624862421</v>
      </c>
      <c r="AN317" t="s">
        <v>167</v>
      </c>
      <c r="AO317" t="s">
        <v>15</v>
      </c>
      <c r="AP317">
        <v>3.4037359600000001</v>
      </c>
    </row>
    <row r="318" spans="1:42" x14ac:dyDescent="0.25">
      <c r="A318">
        <v>316</v>
      </c>
      <c r="B318" t="s">
        <v>168</v>
      </c>
      <c r="C318" s="1">
        <v>100000</v>
      </c>
      <c r="E318" t="s">
        <v>163</v>
      </c>
      <c r="F318" t="s">
        <v>667</v>
      </c>
      <c r="G318" s="22">
        <v>20230112</v>
      </c>
      <c r="H318" s="56">
        <v>44938</v>
      </c>
      <c r="I318">
        <v>8164.3783905093396</v>
      </c>
      <c r="K318" s="21" t="s">
        <v>890</v>
      </c>
      <c r="L318" s="21" t="s">
        <v>669</v>
      </c>
      <c r="M318" s="21" t="s">
        <v>169</v>
      </c>
      <c r="N318" s="21" t="s">
        <v>170</v>
      </c>
      <c r="P318" t="str">
        <f t="shared" si="16"/>
        <v>XLM</v>
      </c>
      <c r="Q318">
        <f t="shared" si="17"/>
        <v>8.1643783905093401E-2</v>
      </c>
      <c r="R318">
        <v>24.360496999999999</v>
      </c>
      <c r="S318">
        <f t="shared" si="18"/>
        <v>2436049.6999999997</v>
      </c>
      <c r="T318" t="str">
        <f t="shared" si="19"/>
        <v xml:space="preserve">'XLM', </v>
      </c>
      <c r="AJ318" s="27" t="s">
        <v>195</v>
      </c>
      <c r="AK318" s="44">
        <v>-40000</v>
      </c>
      <c r="AL318">
        <v>-230129.91872947189</v>
      </c>
      <c r="AN318" t="s">
        <v>167</v>
      </c>
      <c r="AO318" t="s">
        <v>24</v>
      </c>
      <c r="AP318">
        <v>9.1421368100000002</v>
      </c>
    </row>
    <row r="319" spans="1:42" x14ac:dyDescent="0.25">
      <c r="A319">
        <v>317</v>
      </c>
      <c r="B319" t="s">
        <v>168</v>
      </c>
      <c r="C319" s="1">
        <v>5000</v>
      </c>
      <c r="E319" t="s">
        <v>164</v>
      </c>
      <c r="F319" t="s">
        <v>667</v>
      </c>
      <c r="G319" s="22">
        <v>20230112</v>
      </c>
      <c r="H319" s="56">
        <v>44938</v>
      </c>
      <c r="I319">
        <v>4446.1492113460999</v>
      </c>
      <c r="K319" s="21" t="s">
        <v>891</v>
      </c>
      <c r="L319" s="21" t="s">
        <v>669</v>
      </c>
      <c r="M319" s="21" t="s">
        <v>169</v>
      </c>
      <c r="N319" s="21" t="s">
        <v>170</v>
      </c>
      <c r="P319" t="str">
        <f t="shared" si="16"/>
        <v>XTZ</v>
      </c>
      <c r="Q319">
        <f t="shared" si="17"/>
        <v>0.88922984226921997</v>
      </c>
      <c r="R319">
        <v>6.2919999999999998</v>
      </c>
      <c r="S319">
        <f t="shared" si="18"/>
        <v>31460</v>
      </c>
      <c r="T319" t="str">
        <f t="shared" si="19"/>
        <v xml:space="preserve">'XTZ', </v>
      </c>
      <c r="AJ319" s="4" t="s">
        <v>28</v>
      </c>
      <c r="AK319" s="44">
        <v>241319.15317850999</v>
      </c>
      <c r="AL319">
        <v>75061.75397511058</v>
      </c>
      <c r="AN319" t="s">
        <v>167</v>
      </c>
      <c r="AO319" t="s">
        <v>89</v>
      </c>
      <c r="AP319">
        <v>867220.80407488998</v>
      </c>
    </row>
    <row r="320" spans="1:42" x14ac:dyDescent="0.25">
      <c r="A320">
        <v>318</v>
      </c>
      <c r="B320" t="s">
        <v>172</v>
      </c>
      <c r="C320" s="1">
        <v>5.0000000000000001E-4</v>
      </c>
      <c r="E320" t="s">
        <v>15</v>
      </c>
      <c r="F320" t="s">
        <v>526</v>
      </c>
      <c r="G320" s="22">
        <v>20230112</v>
      </c>
      <c r="H320" s="56">
        <v>44938.000008414354</v>
      </c>
      <c r="I320">
        <v>0.70896926155560902</v>
      </c>
      <c r="K320" s="21" t="s">
        <v>671</v>
      </c>
      <c r="L320" s="21" t="s">
        <v>672</v>
      </c>
      <c r="M320" s="21" t="s">
        <v>85</v>
      </c>
      <c r="N320" s="21" t="s">
        <v>172</v>
      </c>
      <c r="P320" t="str">
        <f t="shared" si="16"/>
        <v>ETH</v>
      </c>
      <c r="Q320">
        <f t="shared" si="17"/>
        <v>1417.938523111218</v>
      </c>
      <c r="R320">
        <v>62.35</v>
      </c>
      <c r="S320">
        <f t="shared" si="18"/>
        <v>3.1175000000000001E-2</v>
      </c>
      <c r="T320" t="str">
        <f t="shared" si="19"/>
        <v xml:space="preserve">'ETH', </v>
      </c>
      <c r="AJ320" s="27" t="s">
        <v>85</v>
      </c>
      <c r="AK320" s="44">
        <v>241319.15317850999</v>
      </c>
      <c r="AL320">
        <v>75061.75397511058</v>
      </c>
      <c r="AN320" t="s">
        <v>167</v>
      </c>
      <c r="AO320" t="s">
        <v>98</v>
      </c>
      <c r="AP320">
        <v>0.10834547999999999</v>
      </c>
    </row>
    <row r="321" spans="1:42" x14ac:dyDescent="0.25">
      <c r="A321">
        <v>319</v>
      </c>
      <c r="B321" t="s">
        <v>172</v>
      </c>
      <c r="C321" s="1">
        <v>2.63E-3</v>
      </c>
      <c r="E321" t="s">
        <v>95</v>
      </c>
      <c r="F321" t="s">
        <v>526</v>
      </c>
      <c r="G321" s="22">
        <v>20230112</v>
      </c>
      <c r="H321" s="56">
        <v>44938.000008414354</v>
      </c>
      <c r="I321">
        <v>2.63E-3</v>
      </c>
      <c r="K321" s="21" t="s">
        <v>673</v>
      </c>
      <c r="L321" s="21" t="s">
        <v>672</v>
      </c>
      <c r="M321" s="21" t="s">
        <v>85</v>
      </c>
      <c r="N321" s="21" t="s">
        <v>172</v>
      </c>
      <c r="P321" t="str">
        <f t="shared" si="16"/>
        <v>USD</v>
      </c>
      <c r="Q321">
        <f t="shared" si="17"/>
        <v>1</v>
      </c>
      <c r="R321">
        <v>0.41775250000000003</v>
      </c>
      <c r="S321">
        <f t="shared" si="18"/>
        <v>1.098689075E-3</v>
      </c>
      <c r="T321" t="str">
        <f t="shared" si="19"/>
        <v xml:space="preserve">'USD', </v>
      </c>
      <c r="AJ321" s="4" t="s">
        <v>23</v>
      </c>
      <c r="AK321" s="44">
        <v>15343.485490710009</v>
      </c>
      <c r="AL321">
        <v>13603.017305427929</v>
      </c>
      <c r="AN321" t="s">
        <v>167</v>
      </c>
      <c r="AO321" t="s">
        <v>95</v>
      </c>
      <c r="AP321">
        <v>112996.6406</v>
      </c>
    </row>
    <row r="322" spans="1:42" x14ac:dyDescent="0.25">
      <c r="A322">
        <v>320</v>
      </c>
      <c r="B322" t="s">
        <v>173</v>
      </c>
      <c r="C322" s="1">
        <v>10138.725630000001</v>
      </c>
      <c r="E322" t="s">
        <v>95</v>
      </c>
      <c r="F322" t="s">
        <v>526</v>
      </c>
      <c r="G322" s="22">
        <v>20230112</v>
      </c>
      <c r="H322" s="56">
        <v>44938.000008414354</v>
      </c>
      <c r="I322">
        <v>10138.725630000001</v>
      </c>
      <c r="K322" s="21" t="s">
        <v>674</v>
      </c>
      <c r="L322" s="21" t="s">
        <v>675</v>
      </c>
      <c r="M322" s="21" t="s">
        <v>85</v>
      </c>
      <c r="N322" s="21" t="s">
        <v>173</v>
      </c>
      <c r="P322" t="str">
        <f t="shared" ref="P322:P385" si="20">IF($C322="","",$E322)</f>
        <v>USD</v>
      </c>
      <c r="Q322">
        <f t="shared" si="17"/>
        <v>1</v>
      </c>
      <c r="R322">
        <v>0.88490000000000002</v>
      </c>
      <c r="S322">
        <f t="shared" si="18"/>
        <v>8971.7583099870008</v>
      </c>
      <c r="T322" t="str">
        <f t="shared" si="19"/>
        <v xml:space="preserve">'USD', </v>
      </c>
      <c r="AJ322" s="27" t="s">
        <v>85</v>
      </c>
      <c r="AK322" s="44">
        <v>632546.48549071001</v>
      </c>
      <c r="AL322">
        <v>560794.40319004562</v>
      </c>
      <c r="AN322" t="s">
        <v>167</v>
      </c>
      <c r="AO322" t="s">
        <v>38</v>
      </c>
      <c r="AP322">
        <v>1.182861E-2</v>
      </c>
    </row>
    <row r="323" spans="1:42" x14ac:dyDescent="0.25">
      <c r="A323">
        <v>321</v>
      </c>
      <c r="B323" t="s">
        <v>48</v>
      </c>
      <c r="C323" s="1">
        <v>2.6E-7</v>
      </c>
      <c r="D323" t="s">
        <v>72</v>
      </c>
      <c r="E323" t="s">
        <v>14</v>
      </c>
      <c r="F323" t="s">
        <v>676</v>
      </c>
      <c r="G323" s="22">
        <v>20230112</v>
      </c>
      <c r="H323" s="56">
        <v>44939.000000312502</v>
      </c>
      <c r="I323">
        <v>4.9060928943690501E-3</v>
      </c>
      <c r="K323" s="21" t="s">
        <v>677</v>
      </c>
      <c r="L323" s="21" t="s">
        <v>678</v>
      </c>
      <c r="M323" s="21" t="s">
        <v>85</v>
      </c>
      <c r="N323" s="21" t="s">
        <v>45</v>
      </c>
      <c r="P323" t="str">
        <f t="shared" si="20"/>
        <v>BTC</v>
      </c>
      <c r="Q323">
        <f t="shared" ref="Q323:Q387" si="21">IF($C323="","",$I323/$C323)</f>
        <v>18869.588055265576</v>
      </c>
      <c r="R323">
        <v>1.1276999999999999</v>
      </c>
      <c r="S323">
        <f t="shared" ref="S323:S387" si="22">IF($B323="","",$C323*$R323)</f>
        <v>2.9320199999999995E-7</v>
      </c>
      <c r="T323" t="str">
        <f t="shared" ref="T323:T350" si="23">"'"&amp;P323&amp;"', "</f>
        <v xml:space="preserve">'BTC', </v>
      </c>
      <c r="AJ323" s="27" t="s">
        <v>195</v>
      </c>
      <c r="AK323" s="44">
        <v>-617203</v>
      </c>
      <c r="AL323">
        <v>-547191.38588461769</v>
      </c>
      <c r="AN323" t="s">
        <v>167</v>
      </c>
      <c r="AO323" t="s">
        <v>163</v>
      </c>
      <c r="AP323">
        <v>8.93329E-3</v>
      </c>
    </row>
    <row r="324" spans="1:42" x14ac:dyDescent="0.25">
      <c r="A324">
        <v>322</v>
      </c>
      <c r="B324" t="s">
        <v>48</v>
      </c>
      <c r="C324" s="1">
        <v>6.7499999999999997E-6</v>
      </c>
      <c r="D324" t="s">
        <v>72</v>
      </c>
      <c r="E324" t="s">
        <v>15</v>
      </c>
      <c r="F324" t="s">
        <v>676</v>
      </c>
      <c r="G324" s="22">
        <v>20230112</v>
      </c>
      <c r="H324" s="56">
        <v>44939.000000312502</v>
      </c>
      <c r="I324">
        <v>9.5710850310007298E-3</v>
      </c>
      <c r="K324" s="21" t="s">
        <v>679</v>
      </c>
      <c r="L324" s="21" t="s">
        <v>678</v>
      </c>
      <c r="M324" s="21" t="s">
        <v>85</v>
      </c>
      <c r="N324" s="21" t="s">
        <v>45</v>
      </c>
      <c r="P324" t="str">
        <f t="shared" si="20"/>
        <v>ETH</v>
      </c>
      <c r="Q324">
        <f t="shared" si="21"/>
        <v>1417.9385231112192</v>
      </c>
      <c r="R324">
        <v>8.09E-2</v>
      </c>
      <c r="S324">
        <f t="shared" si="22"/>
        <v>5.46075E-7</v>
      </c>
      <c r="T324" t="str">
        <f t="shared" si="23"/>
        <v xml:space="preserve">'ETH', </v>
      </c>
      <c r="AJ324" s="4" t="s">
        <v>29</v>
      </c>
      <c r="AK324" s="44">
        <v>-98321.479875470002</v>
      </c>
      <c r="AL324">
        <v>-1962265.6840446652</v>
      </c>
      <c r="AN324" t="s">
        <v>167</v>
      </c>
      <c r="AO324" t="s">
        <v>99</v>
      </c>
      <c r="AP324">
        <v>0.71704489000000005</v>
      </c>
    </row>
    <row r="325" spans="1:42" x14ac:dyDescent="0.25">
      <c r="A325">
        <v>323</v>
      </c>
      <c r="B325" t="s">
        <v>48</v>
      </c>
      <c r="C325" s="1">
        <v>0.44933625999999999</v>
      </c>
      <c r="D325" t="s">
        <v>72</v>
      </c>
      <c r="E325" t="s">
        <v>99</v>
      </c>
      <c r="F325" t="s">
        <v>676</v>
      </c>
      <c r="G325" s="22">
        <v>20230112</v>
      </c>
      <c r="H325" s="56">
        <v>44939.000000312502</v>
      </c>
      <c r="I325">
        <v>0.168589680657663</v>
      </c>
      <c r="K325" s="21" t="s">
        <v>680</v>
      </c>
      <c r="L325" s="21" t="s">
        <v>678</v>
      </c>
      <c r="M325" s="21" t="s">
        <v>85</v>
      </c>
      <c r="N325" s="21" t="s">
        <v>45</v>
      </c>
      <c r="P325" t="str">
        <f t="shared" si="20"/>
        <v>XRP</v>
      </c>
      <c r="Q325">
        <f t="shared" si="21"/>
        <v>0.37519714224189921</v>
      </c>
      <c r="R325">
        <v>13.78</v>
      </c>
      <c r="S325">
        <f t="shared" si="22"/>
        <v>6.1918536627999998</v>
      </c>
      <c r="T325" t="str">
        <f t="shared" si="23"/>
        <v xml:space="preserve">'XRP', </v>
      </c>
      <c r="AJ325" s="27" t="s">
        <v>85</v>
      </c>
      <c r="AK325" s="44">
        <v>9678.5201245300013</v>
      </c>
      <c r="AL325">
        <v>193160.51728223779</v>
      </c>
      <c r="AN325" t="s">
        <v>172</v>
      </c>
      <c r="AO325" t="s">
        <v>20</v>
      </c>
      <c r="AP325">
        <v>0.1</v>
      </c>
    </row>
    <row r="326" spans="1:42" x14ac:dyDescent="0.25">
      <c r="A326">
        <v>324</v>
      </c>
      <c r="B326" t="s">
        <v>50</v>
      </c>
      <c r="C326" s="1">
        <v>9.0007799999999999E-3</v>
      </c>
      <c r="D326" t="s">
        <v>72</v>
      </c>
      <c r="E326" t="s">
        <v>38</v>
      </c>
      <c r="F326" t="s">
        <v>681</v>
      </c>
      <c r="G326" s="22">
        <v>20230112</v>
      </c>
      <c r="H326" s="56">
        <v>44939.000000312502</v>
      </c>
      <c r="I326">
        <v>9.0016085144589905E-3</v>
      </c>
      <c r="K326" s="21" t="s">
        <v>682</v>
      </c>
      <c r="L326" s="21" t="s">
        <v>678</v>
      </c>
      <c r="M326" s="21" t="s">
        <v>85</v>
      </c>
      <c r="N326" s="21" t="s">
        <v>45</v>
      </c>
      <c r="P326" t="str">
        <f t="shared" si="20"/>
        <v>USDT</v>
      </c>
      <c r="Q326">
        <f t="shared" si="21"/>
        <v>1.000092049184514</v>
      </c>
      <c r="R326">
        <v>5.7869999999999999</v>
      </c>
      <c r="S326">
        <f t="shared" si="22"/>
        <v>5.2087513859999997E-2</v>
      </c>
      <c r="T326" t="str">
        <f t="shared" si="23"/>
        <v xml:space="preserve">'USDT', </v>
      </c>
      <c r="AJ326" s="27" t="s">
        <v>195</v>
      </c>
      <c r="AK326" s="44">
        <v>-108000</v>
      </c>
      <c r="AL326">
        <v>-2155426.201326903</v>
      </c>
      <c r="AN326" t="s">
        <v>172</v>
      </c>
      <c r="AO326" t="s">
        <v>14</v>
      </c>
      <c r="AP326">
        <v>7.4249999999999998</v>
      </c>
    </row>
    <row r="327" spans="1:42" x14ac:dyDescent="0.25">
      <c r="A327">
        <v>325</v>
      </c>
      <c r="B327" t="s">
        <v>51</v>
      </c>
      <c r="C327" s="1">
        <v>1.3863722599999999</v>
      </c>
      <c r="D327" t="s">
        <v>72</v>
      </c>
      <c r="E327" t="s">
        <v>14</v>
      </c>
      <c r="F327">
        <v>0</v>
      </c>
      <c r="G327" s="22">
        <v>20230112</v>
      </c>
      <c r="H327" s="56">
        <v>44939.000003819441</v>
      </c>
      <c r="I327">
        <v>26160.2734374475</v>
      </c>
      <c r="K327" s="21" t="s">
        <v>677</v>
      </c>
      <c r="L327" s="21" t="s">
        <v>678</v>
      </c>
      <c r="M327" s="21" t="s">
        <v>85</v>
      </c>
      <c r="N327" s="21" t="s">
        <v>45</v>
      </c>
      <c r="P327" t="str">
        <f t="shared" si="20"/>
        <v>BTC</v>
      </c>
      <c r="Q327">
        <f t="shared" si="21"/>
        <v>18869.588055265547</v>
      </c>
      <c r="R327">
        <v>1.0001621022067759</v>
      </c>
      <c r="S327">
        <f t="shared" si="22"/>
        <v>1.3865969940027589</v>
      </c>
      <c r="T327" t="str">
        <f t="shared" si="23"/>
        <v xml:space="preserve">'BTC', </v>
      </c>
      <c r="AJ327" s="4" t="s">
        <v>15</v>
      </c>
      <c r="AK327" s="44">
        <v>5079.2188189799999</v>
      </c>
      <c r="AL327">
        <v>6205887.1640940178</v>
      </c>
      <c r="AN327" t="s">
        <v>172</v>
      </c>
      <c r="AO327" t="s">
        <v>15</v>
      </c>
      <c r="AP327">
        <v>5.0000000000000001E-4</v>
      </c>
    </row>
    <row r="328" spans="1:42" x14ac:dyDescent="0.25">
      <c r="A328">
        <v>326</v>
      </c>
      <c r="B328" t="s">
        <v>51</v>
      </c>
      <c r="C328" s="1">
        <v>14155.78589843</v>
      </c>
      <c r="D328" t="s">
        <v>72</v>
      </c>
      <c r="E328" t="s">
        <v>38</v>
      </c>
      <c r="F328">
        <v>0</v>
      </c>
      <c r="G328" s="22">
        <v>20230112</v>
      </c>
      <c r="H328" s="56">
        <v>44939.000003819441</v>
      </c>
      <c r="I328">
        <v>14157.0889269781</v>
      </c>
      <c r="K328" s="21" t="s">
        <v>682</v>
      </c>
      <c r="L328" s="21" t="s">
        <v>678</v>
      </c>
      <c r="M328" s="21" t="s">
        <v>85</v>
      </c>
      <c r="N328" s="21" t="s">
        <v>45</v>
      </c>
      <c r="P328" t="str">
        <f t="shared" si="20"/>
        <v>USDT</v>
      </c>
      <c r="Q328">
        <f t="shared" si="21"/>
        <v>1.0000920491845136</v>
      </c>
      <c r="R328">
        <v>0.99940190110900451</v>
      </c>
      <c r="S328">
        <f t="shared" si="22"/>
        <v>14147.31933858298</v>
      </c>
      <c r="T328" t="str">
        <f t="shared" si="23"/>
        <v xml:space="preserve">'USDT', </v>
      </c>
      <c r="AJ328" s="27" t="s">
        <v>85</v>
      </c>
      <c r="AK328" s="44">
        <v>11145.48881898</v>
      </c>
      <c r="AL328">
        <v>13617772.430042993</v>
      </c>
      <c r="AN328" t="s">
        <v>172</v>
      </c>
      <c r="AO328" t="s">
        <v>24</v>
      </c>
      <c r="AP328">
        <v>914.82898999999998</v>
      </c>
    </row>
    <row r="329" spans="1:42" x14ac:dyDescent="0.25">
      <c r="A329">
        <v>327</v>
      </c>
      <c r="B329" t="s">
        <v>51</v>
      </c>
      <c r="C329" s="1">
        <v>-17651.770061800002</v>
      </c>
      <c r="D329" t="s">
        <v>90</v>
      </c>
      <c r="E329" t="s">
        <v>38</v>
      </c>
      <c r="F329">
        <v>0</v>
      </c>
      <c r="G329" s="22">
        <v>20230112</v>
      </c>
      <c r="H329" s="56">
        <v>44939.000003819441</v>
      </c>
      <c r="I329">
        <v>-17653.394892839398</v>
      </c>
      <c r="K329" s="21" t="s">
        <v>682</v>
      </c>
      <c r="L329" s="21" t="s">
        <v>678</v>
      </c>
      <c r="M329" s="21" t="s">
        <v>85</v>
      </c>
      <c r="N329" s="21" t="s">
        <v>45</v>
      </c>
      <c r="P329" t="str">
        <f t="shared" si="20"/>
        <v>USDT</v>
      </c>
      <c r="Q329">
        <f t="shared" si="21"/>
        <v>1.0000920491845129</v>
      </c>
      <c r="R329">
        <v>9.0786800000000001E-2</v>
      </c>
      <c r="S329">
        <f t="shared" si="22"/>
        <v>-1602.5477182466243</v>
      </c>
      <c r="T329" t="str">
        <f t="shared" si="23"/>
        <v xml:space="preserve">'USDT', </v>
      </c>
      <c r="AJ329" s="27" t="s">
        <v>195</v>
      </c>
      <c r="AK329" s="44">
        <v>-6066.27</v>
      </c>
      <c r="AL329">
        <v>-7411885.2659489755</v>
      </c>
      <c r="AN329" t="s">
        <v>172</v>
      </c>
      <c r="AO329" t="s">
        <v>95</v>
      </c>
      <c r="AP329">
        <v>2.63E-3</v>
      </c>
    </row>
    <row r="330" spans="1:42" x14ac:dyDescent="0.25">
      <c r="A330">
        <v>328</v>
      </c>
      <c r="B330" t="s">
        <v>46</v>
      </c>
      <c r="C330" s="1">
        <v>719.02328516</v>
      </c>
      <c r="D330" t="s">
        <v>72</v>
      </c>
      <c r="E330" t="s">
        <v>14</v>
      </c>
      <c r="F330" t="s">
        <v>683</v>
      </c>
      <c r="G330" s="22">
        <v>20230112</v>
      </c>
      <c r="H330" s="56">
        <v>44939.000005208334</v>
      </c>
      <c r="I330">
        <v>13567673.1931129</v>
      </c>
      <c r="K330" s="21" t="s">
        <v>677</v>
      </c>
      <c r="L330" s="21" t="s">
        <v>678</v>
      </c>
      <c r="M330" s="21" t="s">
        <v>85</v>
      </c>
      <c r="N330" s="21" t="s">
        <v>45</v>
      </c>
      <c r="P330" t="str">
        <f t="shared" si="20"/>
        <v>BTC</v>
      </c>
      <c r="Q330">
        <f t="shared" si="21"/>
        <v>18869.588055265507</v>
      </c>
      <c r="R330">
        <v>0.38471588000000001</v>
      </c>
      <c r="S330">
        <f t="shared" si="22"/>
        <v>276.61967589082036</v>
      </c>
      <c r="T330" t="str">
        <f t="shared" si="23"/>
        <v xml:space="preserve">'BTC', </v>
      </c>
      <c r="AJ330" s="4" t="s">
        <v>290</v>
      </c>
      <c r="AK330" s="44">
        <v>9823.8364263999993</v>
      </c>
      <c r="AL330">
        <v>3200.7138145636168</v>
      </c>
      <c r="AN330" t="s">
        <v>172</v>
      </c>
      <c r="AO330" t="s">
        <v>99</v>
      </c>
      <c r="AP330">
        <v>493543</v>
      </c>
    </row>
    <row r="331" spans="1:42" x14ac:dyDescent="0.25">
      <c r="A331">
        <v>329</v>
      </c>
      <c r="B331" t="s">
        <v>46</v>
      </c>
      <c r="C331" s="1">
        <v>-32.644600570000001</v>
      </c>
      <c r="D331" t="s">
        <v>90</v>
      </c>
      <c r="E331" t="s">
        <v>14</v>
      </c>
      <c r="F331" t="s">
        <v>683</v>
      </c>
      <c r="G331" s="22">
        <v>20230112</v>
      </c>
      <c r="H331" s="56">
        <v>44939.000005208334</v>
      </c>
      <c r="I331">
        <v>-615990.16498458805</v>
      </c>
      <c r="K331" s="21" t="s">
        <v>677</v>
      </c>
      <c r="L331" s="21" t="s">
        <v>678</v>
      </c>
      <c r="M331" s="21" t="s">
        <v>85</v>
      </c>
      <c r="N331" s="21" t="s">
        <v>45</v>
      </c>
      <c r="P331" t="str">
        <f t="shared" si="20"/>
        <v>BTC</v>
      </c>
      <c r="Q331">
        <f t="shared" si="21"/>
        <v>18869.588055265584</v>
      </c>
      <c r="R331">
        <v>6065.0834999999997</v>
      </c>
      <c r="S331">
        <f t="shared" si="22"/>
        <v>-197992.2282811976</v>
      </c>
      <c r="T331" t="str">
        <f t="shared" si="23"/>
        <v xml:space="preserve">'BTC', </v>
      </c>
      <c r="AJ331" s="27" t="s">
        <v>85</v>
      </c>
      <c r="AK331" s="44">
        <v>9823.8364263999993</v>
      </c>
      <c r="AL331">
        <v>3200.7138145636168</v>
      </c>
      <c r="AN331" t="s">
        <v>173</v>
      </c>
      <c r="AO331" t="s">
        <v>95</v>
      </c>
      <c r="AP331">
        <v>10138.885630000001</v>
      </c>
    </row>
    <row r="332" spans="1:42" x14ac:dyDescent="0.25">
      <c r="A332">
        <v>330</v>
      </c>
      <c r="B332" t="s">
        <v>46</v>
      </c>
      <c r="C332" s="1">
        <v>8955.2959333500003</v>
      </c>
      <c r="D332" t="s">
        <v>72</v>
      </c>
      <c r="E332" t="s">
        <v>15</v>
      </c>
      <c r="F332" t="s">
        <v>683</v>
      </c>
      <c r="G332" s="22">
        <v>20230112</v>
      </c>
      <c r="H332" s="56">
        <v>44939.000005208334</v>
      </c>
      <c r="I332">
        <v>12698059.089758201</v>
      </c>
      <c r="K332" s="21" t="s">
        <v>679</v>
      </c>
      <c r="L332" s="21" t="s">
        <v>678</v>
      </c>
      <c r="M332" s="21" t="s">
        <v>85</v>
      </c>
      <c r="N332" s="21" t="s">
        <v>45</v>
      </c>
      <c r="P332" t="str">
        <f t="shared" si="20"/>
        <v>ETH</v>
      </c>
      <c r="Q332">
        <f t="shared" si="21"/>
        <v>1417.9385231112185</v>
      </c>
      <c r="R332">
        <v>59.23</v>
      </c>
      <c r="S332">
        <f t="shared" si="22"/>
        <v>530422.17813232052</v>
      </c>
      <c r="T332" t="str">
        <f t="shared" si="23"/>
        <v xml:space="preserve">'ETH', </v>
      </c>
      <c r="AJ332" s="4" t="s">
        <v>272</v>
      </c>
      <c r="AK332" s="44">
        <v>3460.93190667</v>
      </c>
      <c r="AL332">
        <v>13486.120248613161</v>
      </c>
      <c r="AN332" t="s">
        <v>45</v>
      </c>
      <c r="AO332" t="s">
        <v>20</v>
      </c>
      <c r="AP332">
        <v>0.49829999999999902</v>
      </c>
    </row>
    <row r="333" spans="1:42" x14ac:dyDescent="0.25">
      <c r="A333">
        <v>331</v>
      </c>
      <c r="B333" t="s">
        <v>46</v>
      </c>
      <c r="C333" s="1">
        <v>-270.77938137000001</v>
      </c>
      <c r="D333" t="s">
        <v>90</v>
      </c>
      <c r="E333" t="s">
        <v>15</v>
      </c>
      <c r="F333" t="s">
        <v>683</v>
      </c>
      <c r="G333" s="22">
        <v>20230112</v>
      </c>
      <c r="H333" s="56">
        <v>44939.000005208334</v>
      </c>
      <c r="I333">
        <v>-383948.51610874699</v>
      </c>
      <c r="K333" s="21" t="s">
        <v>679</v>
      </c>
      <c r="L333" s="21" t="s">
        <v>678</v>
      </c>
      <c r="M333" s="21" t="s">
        <v>85</v>
      </c>
      <c r="N333" s="21" t="s">
        <v>45</v>
      </c>
      <c r="P333" t="str">
        <f t="shared" si="20"/>
        <v>ETH</v>
      </c>
      <c r="Q333">
        <f t="shared" si="21"/>
        <v>1417.9385231112176</v>
      </c>
      <c r="R333">
        <v>0.32653653999999999</v>
      </c>
      <c r="S333">
        <f t="shared" si="22"/>
        <v>-88.419362295900257</v>
      </c>
      <c r="T333" t="str">
        <f t="shared" si="23"/>
        <v xml:space="preserve">'ETH', </v>
      </c>
      <c r="AJ333" s="27" t="s">
        <v>85</v>
      </c>
      <c r="AK333" s="44">
        <v>3460.93190667</v>
      </c>
      <c r="AL333">
        <v>13486.120248613161</v>
      </c>
      <c r="AN333" t="s">
        <v>45</v>
      </c>
      <c r="AO333" t="s">
        <v>14</v>
      </c>
      <c r="AP333">
        <v>83.467310608521004</v>
      </c>
    </row>
    <row r="334" spans="1:42" x14ac:dyDescent="0.25">
      <c r="A334">
        <v>332</v>
      </c>
      <c r="B334" t="s">
        <v>46</v>
      </c>
      <c r="C334" s="1">
        <v>604136.71778894996</v>
      </c>
      <c r="D334" t="s">
        <v>72</v>
      </c>
      <c r="E334" t="s">
        <v>89</v>
      </c>
      <c r="F334" t="s">
        <v>683</v>
      </c>
      <c r="G334" s="22">
        <v>20230112</v>
      </c>
      <c r="H334" s="56">
        <v>44939.000005208334</v>
      </c>
      <c r="I334">
        <v>44294.900531954598</v>
      </c>
      <c r="K334" s="21" t="s">
        <v>685</v>
      </c>
      <c r="L334" s="21" t="s">
        <v>678</v>
      </c>
      <c r="M334" s="21" t="s">
        <v>85</v>
      </c>
      <c r="N334" s="21" t="s">
        <v>45</v>
      </c>
      <c r="P334" t="str">
        <f t="shared" si="20"/>
        <v>OXT</v>
      </c>
      <c r="Q334">
        <f t="shared" si="21"/>
        <v>7.3319331912265334E-2</v>
      </c>
      <c r="R334">
        <v>13.03</v>
      </c>
      <c r="S334">
        <f t="shared" si="22"/>
        <v>7871901.4327900177</v>
      </c>
      <c r="T334" t="str">
        <f t="shared" si="23"/>
        <v xml:space="preserve">'OXT', </v>
      </c>
      <c r="AJ334" s="4" t="s">
        <v>258</v>
      </c>
      <c r="AK334" s="44">
        <v>339630.03834208002</v>
      </c>
      <c r="AL334">
        <v>350564.15794908552</v>
      </c>
      <c r="AN334" t="s">
        <v>45</v>
      </c>
      <c r="AO334" t="s">
        <v>14</v>
      </c>
      <c r="AP334">
        <v>206.253836413801</v>
      </c>
    </row>
    <row r="335" spans="1:42" x14ac:dyDescent="0.25">
      <c r="A335">
        <v>333</v>
      </c>
      <c r="B335" t="s">
        <v>46</v>
      </c>
      <c r="C335" s="1">
        <v>78952990042.466797</v>
      </c>
      <c r="D335" t="s">
        <v>72</v>
      </c>
      <c r="E335" t="s">
        <v>37</v>
      </c>
      <c r="F335" t="s">
        <v>683</v>
      </c>
      <c r="G335" s="22">
        <v>20230112</v>
      </c>
      <c r="H335" s="56">
        <v>44939.000005208334</v>
      </c>
      <c r="I335">
        <v>747794.03457846702</v>
      </c>
      <c r="K335" s="21" t="s">
        <v>691</v>
      </c>
      <c r="L335" s="21" t="s">
        <v>678</v>
      </c>
      <c r="M335" s="21" t="s">
        <v>85</v>
      </c>
      <c r="N335" s="21" t="s">
        <v>45</v>
      </c>
      <c r="P335" t="str">
        <f t="shared" si="20"/>
        <v>SHIB</v>
      </c>
      <c r="Q335">
        <f t="shared" si="21"/>
        <v>9.4713833405960653E-6</v>
      </c>
      <c r="R335">
        <v>0.22422048</v>
      </c>
      <c r="S335">
        <f t="shared" si="22"/>
        <v>17702877324.757126</v>
      </c>
      <c r="T335" t="str">
        <f t="shared" si="23"/>
        <v xml:space="preserve">'SHIB', </v>
      </c>
      <c r="AJ335" s="27" t="s">
        <v>85</v>
      </c>
      <c r="AK335" s="44">
        <v>339630.03834208002</v>
      </c>
      <c r="AL335">
        <v>350564.15794908552</v>
      </c>
      <c r="AN335" t="s">
        <v>45</v>
      </c>
      <c r="AO335" t="s">
        <v>14</v>
      </c>
      <c r="AP335">
        <v>54.235957655954202</v>
      </c>
    </row>
    <row r="336" spans="1:42" x14ac:dyDescent="0.25">
      <c r="A336">
        <v>334</v>
      </c>
      <c r="B336" t="s">
        <v>46</v>
      </c>
      <c r="C336" s="1">
        <v>2962793.3999678502</v>
      </c>
      <c r="D336" t="s">
        <v>72</v>
      </c>
      <c r="E336" t="s">
        <v>38</v>
      </c>
      <c r="F336" t="s">
        <v>683</v>
      </c>
      <c r="G336" s="22">
        <v>20230112</v>
      </c>
      <c r="H336" s="56">
        <v>44939.000005208334</v>
      </c>
      <c r="I336">
        <v>2963066.1226841998</v>
      </c>
      <c r="K336" s="21" t="s">
        <v>682</v>
      </c>
      <c r="L336" s="21" t="s">
        <v>678</v>
      </c>
      <c r="M336" s="21" t="s">
        <v>85</v>
      </c>
      <c r="N336" s="21" t="s">
        <v>45</v>
      </c>
      <c r="P336" t="str">
        <f t="shared" si="20"/>
        <v>USDT</v>
      </c>
      <c r="Q336">
        <f t="shared" si="21"/>
        <v>1.0000920491845138</v>
      </c>
      <c r="R336">
        <v>103.98</v>
      </c>
      <c r="S336">
        <f t="shared" si="22"/>
        <v>308071257.72865707</v>
      </c>
      <c r="T336" t="str">
        <f t="shared" si="23"/>
        <v xml:space="preserve">'USDT', </v>
      </c>
      <c r="AJ336" s="4" t="s">
        <v>30</v>
      </c>
      <c r="AK336" s="44">
        <v>2339.8611111199998</v>
      </c>
      <c r="AL336">
        <v>10047.308334751389</v>
      </c>
      <c r="AN336" t="s">
        <v>45</v>
      </c>
      <c r="AO336" t="s">
        <v>22</v>
      </c>
      <c r="AP336">
        <v>33</v>
      </c>
    </row>
    <row r="337" spans="1:42" x14ac:dyDescent="0.25">
      <c r="A337">
        <v>335</v>
      </c>
      <c r="B337" t="s">
        <v>46</v>
      </c>
      <c r="C337" s="1">
        <v>582247.84443457995</v>
      </c>
      <c r="D337" t="s">
        <v>90</v>
      </c>
      <c r="E337" t="s">
        <v>38</v>
      </c>
      <c r="F337" t="s">
        <v>683</v>
      </c>
      <c r="G337" s="22">
        <v>20230112</v>
      </c>
      <c r="H337" s="56">
        <v>44939.000005208334</v>
      </c>
      <c r="I337">
        <v>582301.43987384497</v>
      </c>
      <c r="K337" s="21" t="s">
        <v>682</v>
      </c>
      <c r="L337" s="21" t="s">
        <v>678</v>
      </c>
      <c r="M337" s="21" t="s">
        <v>85</v>
      </c>
      <c r="N337" s="21" t="s">
        <v>45</v>
      </c>
      <c r="P337" t="str">
        <f t="shared" si="20"/>
        <v>USDT</v>
      </c>
      <c r="Q337">
        <f t="shared" si="21"/>
        <v>1.0000920491845136</v>
      </c>
      <c r="R337">
        <v>16719.740000000002</v>
      </c>
      <c r="S337">
        <f t="shared" si="22"/>
        <v>9735032574.5066242</v>
      </c>
      <c r="T337" t="str">
        <f t="shared" si="23"/>
        <v xml:space="preserve">'USDT', </v>
      </c>
      <c r="AJ337" s="27" t="s">
        <v>85</v>
      </c>
      <c r="AK337" s="44">
        <v>2339.8611111199998</v>
      </c>
      <c r="AL337">
        <v>10047.308334751389</v>
      </c>
      <c r="AN337" t="s">
        <v>45</v>
      </c>
      <c r="AO337" t="s">
        <v>23</v>
      </c>
      <c r="AP337">
        <v>147384.59369374899</v>
      </c>
    </row>
    <row r="338" spans="1:42" x14ac:dyDescent="0.25">
      <c r="A338">
        <v>336</v>
      </c>
      <c r="B338" t="s">
        <v>46</v>
      </c>
      <c r="C338" s="1">
        <v>3469624.0473292298</v>
      </c>
      <c r="D338" t="s">
        <v>72</v>
      </c>
      <c r="E338" t="s">
        <v>26</v>
      </c>
      <c r="F338" t="s">
        <v>683</v>
      </c>
      <c r="G338" s="22">
        <v>20230112</v>
      </c>
      <c r="H338" s="56">
        <v>44939.000005208334</v>
      </c>
      <c r="I338">
        <v>83182.432008713396</v>
      </c>
      <c r="K338" s="21" t="s">
        <v>686</v>
      </c>
      <c r="L338" s="21" t="s">
        <v>678</v>
      </c>
      <c r="M338" s="21" t="s">
        <v>85</v>
      </c>
      <c r="N338" s="21" t="s">
        <v>45</v>
      </c>
      <c r="P338" t="str">
        <f t="shared" si="20"/>
        <v>ZIL</v>
      </c>
      <c r="Q338">
        <f t="shared" si="21"/>
        <v>2.3974479907338583E-2</v>
      </c>
      <c r="R338">
        <v>1.0002433738949958</v>
      </c>
      <c r="S338">
        <f t="shared" si="22"/>
        <v>3470468.4632477993</v>
      </c>
      <c r="T338" t="str">
        <f t="shared" si="23"/>
        <v xml:space="preserve">'ZIL', </v>
      </c>
      <c r="AJ338" s="4" t="s">
        <v>109</v>
      </c>
      <c r="AK338" s="44">
        <v>0.68557060000000003</v>
      </c>
      <c r="AL338">
        <v>1.020995740229458</v>
      </c>
      <c r="AN338" t="s">
        <v>45</v>
      </c>
      <c r="AO338" t="s">
        <v>29</v>
      </c>
      <c r="AP338">
        <v>-0.40708584438984002</v>
      </c>
    </row>
    <row r="339" spans="1:42" x14ac:dyDescent="0.25">
      <c r="A339">
        <v>337</v>
      </c>
      <c r="B339" t="s">
        <v>174</v>
      </c>
      <c r="C339" s="1">
        <v>9.4549999999999994E-5</v>
      </c>
      <c r="D339" t="s">
        <v>72</v>
      </c>
      <c r="E339" t="s">
        <v>113</v>
      </c>
      <c r="F339" t="s">
        <v>687</v>
      </c>
      <c r="G339" s="22">
        <v>20230112</v>
      </c>
      <c r="H339" s="56">
        <v>44939.000005208334</v>
      </c>
      <c r="I339">
        <v>3.9850920739355599E-3</v>
      </c>
      <c r="K339" s="21" t="s">
        <v>688</v>
      </c>
      <c r="L339" s="21" t="s">
        <v>678</v>
      </c>
      <c r="M339" s="21" t="s">
        <v>85</v>
      </c>
      <c r="N339" s="21" t="s">
        <v>45</v>
      </c>
      <c r="P339" t="str">
        <f t="shared" si="20"/>
        <v>BSV</v>
      </c>
      <c r="Q339">
        <f t="shared" si="21"/>
        <v>42.147985974992707</v>
      </c>
      <c r="R339">
        <v>39.366320000000002</v>
      </c>
      <c r="S339">
        <f t="shared" si="22"/>
        <v>3.7220855559999999E-3</v>
      </c>
      <c r="T339" t="str">
        <f t="shared" si="23"/>
        <v xml:space="preserve">'BSV', </v>
      </c>
      <c r="AJ339" s="27" t="s">
        <v>85</v>
      </c>
      <c r="AK339" s="44">
        <v>0.68557060000000003</v>
      </c>
      <c r="AL339">
        <v>1.020995740229458</v>
      </c>
      <c r="AN339" t="s">
        <v>45</v>
      </c>
      <c r="AO339" t="s">
        <v>15</v>
      </c>
      <c r="AP339">
        <v>-25.196230196931499</v>
      </c>
    </row>
    <row r="340" spans="1:42" x14ac:dyDescent="0.25">
      <c r="A340">
        <v>338</v>
      </c>
      <c r="B340" t="s">
        <v>174</v>
      </c>
      <c r="C340" s="1">
        <v>1E-8</v>
      </c>
      <c r="D340" t="s">
        <v>72</v>
      </c>
      <c r="E340" t="s">
        <v>22</v>
      </c>
      <c r="F340" t="s">
        <v>687</v>
      </c>
      <c r="G340" s="22">
        <v>20230112</v>
      </c>
      <c r="H340" s="56">
        <v>44939.000005208334</v>
      </c>
      <c r="I340">
        <v>5.2294779390740102E-8</v>
      </c>
      <c r="K340" s="21" t="s">
        <v>689</v>
      </c>
      <c r="L340" s="21" t="s">
        <v>678</v>
      </c>
      <c r="M340" s="21" t="s">
        <v>85</v>
      </c>
      <c r="N340" s="21" t="s">
        <v>45</v>
      </c>
      <c r="P340" t="str">
        <f t="shared" si="20"/>
        <v>DOT</v>
      </c>
      <c r="Q340">
        <f t="shared" si="21"/>
        <v>5.2294779390740098</v>
      </c>
      <c r="R340">
        <v>8.5419999999999996E-2</v>
      </c>
      <c r="S340">
        <f t="shared" si="22"/>
        <v>8.5420000000000001E-10</v>
      </c>
      <c r="T340" t="str">
        <f t="shared" si="23"/>
        <v xml:space="preserve">'DOT', </v>
      </c>
      <c r="AJ340" s="4" t="s">
        <v>134</v>
      </c>
      <c r="AK340" s="44">
        <v>54.776400000000002</v>
      </c>
      <c r="AL340">
        <v>113.6883984033032</v>
      </c>
      <c r="AN340" t="s">
        <v>45</v>
      </c>
      <c r="AO340" t="s">
        <v>15</v>
      </c>
      <c r="AP340">
        <v>5131.67158237892</v>
      </c>
    </row>
    <row r="341" spans="1:42" x14ac:dyDescent="0.25">
      <c r="A341">
        <v>339</v>
      </c>
      <c r="B341" t="s">
        <v>174</v>
      </c>
      <c r="C341" s="1">
        <v>8.7929999999999993E-5</v>
      </c>
      <c r="D341" t="s">
        <v>72</v>
      </c>
      <c r="E341" t="s">
        <v>272</v>
      </c>
      <c r="F341" t="s">
        <v>687</v>
      </c>
      <c r="G341" s="22">
        <v>20230112</v>
      </c>
      <c r="H341" s="56">
        <v>44939.000005208334</v>
      </c>
      <c r="I341">
        <v>3.0195983368837601E-4</v>
      </c>
      <c r="K341" s="21" t="s">
        <v>690</v>
      </c>
      <c r="L341" s="21" t="s">
        <v>678</v>
      </c>
      <c r="M341" s="21" t="s">
        <v>85</v>
      </c>
      <c r="N341" s="21" t="s">
        <v>45</v>
      </c>
      <c r="P341" t="str">
        <f t="shared" si="20"/>
        <v>ETHW</v>
      </c>
      <c r="Q341">
        <f t="shared" si="21"/>
        <v>3.4340934116726491</v>
      </c>
      <c r="R341">
        <v>5.6989999999999998</v>
      </c>
      <c r="S341">
        <f t="shared" si="22"/>
        <v>5.0111306999999991E-4</v>
      </c>
      <c r="T341" t="str">
        <f t="shared" si="23"/>
        <v xml:space="preserve">'ETHW', </v>
      </c>
      <c r="AJ341" s="27" t="s">
        <v>85</v>
      </c>
      <c r="AK341" s="44">
        <v>54.776400000000002</v>
      </c>
      <c r="AL341">
        <v>113.6883984033032</v>
      </c>
      <c r="AN341" t="s">
        <v>45</v>
      </c>
      <c r="AO341" t="s">
        <v>15</v>
      </c>
      <c r="AP341">
        <v>150</v>
      </c>
    </row>
    <row r="342" spans="1:42" x14ac:dyDescent="0.25">
      <c r="A342">
        <v>340</v>
      </c>
      <c r="B342" t="s">
        <v>174</v>
      </c>
      <c r="C342" s="1">
        <v>1E-8</v>
      </c>
      <c r="D342" t="s">
        <v>72</v>
      </c>
      <c r="E342" t="s">
        <v>24</v>
      </c>
      <c r="F342" t="s">
        <v>687</v>
      </c>
      <c r="G342" s="22">
        <v>20230112</v>
      </c>
      <c r="H342" s="56">
        <v>44939.000005208334</v>
      </c>
      <c r="I342">
        <v>8.5964229450756099E-7</v>
      </c>
      <c r="K342" s="21" t="s">
        <v>684</v>
      </c>
      <c r="L342" s="21" t="s">
        <v>678</v>
      </c>
      <c r="M342" s="21" t="s">
        <v>85</v>
      </c>
      <c r="N342" s="21" t="s">
        <v>45</v>
      </c>
      <c r="P342" t="str">
        <f t="shared" si="20"/>
        <v>LTC</v>
      </c>
      <c r="Q342">
        <f t="shared" si="21"/>
        <v>85.964229450756093</v>
      </c>
      <c r="R342">
        <v>0.30611965000000002</v>
      </c>
      <c r="S342">
        <f t="shared" si="22"/>
        <v>3.0611965000000003E-9</v>
      </c>
      <c r="T342" t="str">
        <f t="shared" si="23"/>
        <v xml:space="preserve">'LTC', </v>
      </c>
      <c r="AJ342" s="4" t="s">
        <v>135</v>
      </c>
      <c r="AK342" s="44">
        <v>100.03406049</v>
      </c>
      <c r="AL342">
        <v>4.5345066468947701</v>
      </c>
      <c r="AN342" t="s">
        <v>45</v>
      </c>
      <c r="AO342" t="s">
        <v>30</v>
      </c>
      <c r="AP342">
        <v>-3.6901195303759099E-2</v>
      </c>
    </row>
    <row r="343" spans="1:42" x14ac:dyDescent="0.25">
      <c r="A343">
        <v>341</v>
      </c>
      <c r="B343" t="s">
        <v>174</v>
      </c>
      <c r="C343" s="1">
        <v>10000000000</v>
      </c>
      <c r="D343" t="s">
        <v>72</v>
      </c>
      <c r="E343" t="s">
        <v>37</v>
      </c>
      <c r="F343" t="s">
        <v>687</v>
      </c>
      <c r="G343" s="22">
        <v>20230112</v>
      </c>
      <c r="H343" s="56">
        <v>44939.000005208334</v>
      </c>
      <c r="I343">
        <v>94713.833405960599</v>
      </c>
      <c r="K343" s="21" t="s">
        <v>691</v>
      </c>
      <c r="L343" s="21" t="s">
        <v>678</v>
      </c>
      <c r="M343" s="21" t="s">
        <v>85</v>
      </c>
      <c r="N343" s="21" t="s">
        <v>45</v>
      </c>
      <c r="P343" t="str">
        <f t="shared" si="20"/>
        <v>SHIB</v>
      </c>
      <c r="Q343">
        <f t="shared" si="21"/>
        <v>9.4713833405960602E-6</v>
      </c>
      <c r="R343">
        <v>0.17945811</v>
      </c>
      <c r="S343">
        <f t="shared" si="22"/>
        <v>1794581100</v>
      </c>
      <c r="T343" t="str">
        <f t="shared" si="23"/>
        <v xml:space="preserve">'SHIB', </v>
      </c>
      <c r="AJ343" s="27" t="s">
        <v>85</v>
      </c>
      <c r="AK343" s="44">
        <v>100.03406049</v>
      </c>
      <c r="AL343">
        <v>4.5345066468947701</v>
      </c>
      <c r="AN343" t="s">
        <v>45</v>
      </c>
      <c r="AO343" t="s">
        <v>24</v>
      </c>
      <c r="AP343">
        <v>-29.569263762295201</v>
      </c>
    </row>
    <row r="344" spans="1:42" x14ac:dyDescent="0.25">
      <c r="A344">
        <v>342</v>
      </c>
      <c r="B344" t="s">
        <v>174</v>
      </c>
      <c r="C344" s="1">
        <v>5.2E-7</v>
      </c>
      <c r="D344" t="s">
        <v>72</v>
      </c>
      <c r="E344" t="s">
        <v>92</v>
      </c>
      <c r="F344" t="s">
        <v>687</v>
      </c>
      <c r="G344" s="22">
        <v>20230112</v>
      </c>
      <c r="H344" s="56">
        <v>44939.000005208334</v>
      </c>
      <c r="I344">
        <v>5.2003751780624803E-7</v>
      </c>
      <c r="K344" s="21" t="s">
        <v>907</v>
      </c>
      <c r="L344" s="21" t="s">
        <v>678</v>
      </c>
      <c r="M344" s="21" t="s">
        <v>85</v>
      </c>
      <c r="N344" s="21" t="s">
        <v>45</v>
      </c>
      <c r="P344" t="str">
        <f t="shared" si="20"/>
        <v>USDC</v>
      </c>
      <c r="Q344">
        <f t="shared" si="21"/>
        <v>1.0000721496274001</v>
      </c>
      <c r="R344">
        <v>6.2919999999999998</v>
      </c>
      <c r="S344">
        <f t="shared" si="22"/>
        <v>3.27184E-6</v>
      </c>
      <c r="T344" t="str">
        <f t="shared" si="23"/>
        <v xml:space="preserve">'USDC', </v>
      </c>
      <c r="AJ344" s="4" t="s">
        <v>136</v>
      </c>
      <c r="AK344" s="44">
        <v>5337.6979873099999</v>
      </c>
      <c r="AL344">
        <v>5.9962334919691651</v>
      </c>
      <c r="AN344" t="s">
        <v>45</v>
      </c>
      <c r="AO344" t="s">
        <v>89</v>
      </c>
      <c r="AP344">
        <v>383818.60575309797</v>
      </c>
    </row>
    <row r="345" spans="1:42" x14ac:dyDescent="0.25">
      <c r="A345">
        <v>343</v>
      </c>
      <c r="B345" t="s">
        <v>174</v>
      </c>
      <c r="C345" s="1">
        <v>5.47</v>
      </c>
      <c r="D345" t="s">
        <v>72</v>
      </c>
      <c r="E345" t="s">
        <v>162</v>
      </c>
      <c r="F345" t="s">
        <v>687</v>
      </c>
      <c r="G345" s="22">
        <v>20230112</v>
      </c>
      <c r="H345" s="56">
        <v>44939.000005208334</v>
      </c>
      <c r="I345">
        <v>1.4939303501530001E-4</v>
      </c>
      <c r="K345" s="21" t="s">
        <v>692</v>
      </c>
      <c r="L345" s="21" t="s">
        <v>678</v>
      </c>
      <c r="M345" s="21" t="s">
        <v>85</v>
      </c>
      <c r="N345" s="21" t="s">
        <v>45</v>
      </c>
      <c r="P345" t="str">
        <f t="shared" si="20"/>
        <v>XEC</v>
      </c>
      <c r="Q345">
        <f t="shared" si="21"/>
        <v>2.7311340953436931E-5</v>
      </c>
      <c r="R345">
        <v>62.35</v>
      </c>
      <c r="S345">
        <f t="shared" si="22"/>
        <v>341.05450000000002</v>
      </c>
      <c r="T345" t="str">
        <f t="shared" si="23"/>
        <v xml:space="preserve">'XEC', </v>
      </c>
      <c r="AJ345" s="27" t="s">
        <v>85</v>
      </c>
      <c r="AK345" s="44">
        <v>5337.6979873099999</v>
      </c>
      <c r="AL345">
        <v>5.9962334919691651</v>
      </c>
      <c r="AN345" t="s">
        <v>45</v>
      </c>
      <c r="AO345" t="s">
        <v>37</v>
      </c>
      <c r="AP345">
        <v>-10030682958.4883</v>
      </c>
    </row>
    <row r="346" spans="1:42" x14ac:dyDescent="0.25">
      <c r="A346">
        <v>344</v>
      </c>
      <c r="B346" t="s">
        <v>174</v>
      </c>
      <c r="C346" s="1">
        <v>4.4000000000000002E-7</v>
      </c>
      <c r="D346" t="s">
        <v>72</v>
      </c>
      <c r="E346" t="s">
        <v>99</v>
      </c>
      <c r="F346" t="s">
        <v>687</v>
      </c>
      <c r="G346" s="22">
        <v>20230112</v>
      </c>
      <c r="H346" s="56">
        <v>44939.000005208334</v>
      </c>
      <c r="I346">
        <v>1.65086742586436E-7</v>
      </c>
      <c r="K346" s="21" t="s">
        <v>680</v>
      </c>
      <c r="L346" s="21" t="s">
        <v>678</v>
      </c>
      <c r="M346" s="21" t="s">
        <v>85</v>
      </c>
      <c r="N346" s="21" t="s">
        <v>45</v>
      </c>
      <c r="P346" t="str">
        <f t="shared" si="20"/>
        <v>XRP</v>
      </c>
      <c r="Q346">
        <f t="shared" si="21"/>
        <v>0.37519714224189998</v>
      </c>
      <c r="R346">
        <v>0.41775250000000003</v>
      </c>
      <c r="S346">
        <f t="shared" si="22"/>
        <v>1.8381110000000002E-7</v>
      </c>
      <c r="T346" t="str">
        <f t="shared" si="23"/>
        <v xml:space="preserve">'XRP', </v>
      </c>
      <c r="AJ346" s="4" t="s">
        <v>137</v>
      </c>
      <c r="AK346" s="44">
        <v>3354.5254768599998</v>
      </c>
      <c r="AL346">
        <v>16293.74993214988</v>
      </c>
      <c r="AN346" t="s">
        <v>45</v>
      </c>
      <c r="AO346" t="s">
        <v>92</v>
      </c>
      <c r="AP346">
        <v>-66835.391536763593</v>
      </c>
    </row>
    <row r="347" spans="1:42" x14ac:dyDescent="0.25">
      <c r="A347">
        <v>345</v>
      </c>
      <c r="B347" t="s">
        <v>175</v>
      </c>
      <c r="C347" s="1">
        <v>7.1361999999999999E-4</v>
      </c>
      <c r="E347" t="s">
        <v>15</v>
      </c>
      <c r="F347">
        <v>0</v>
      </c>
      <c r="G347" s="22">
        <v>20230112</v>
      </c>
      <c r="H347" s="56">
        <v>44939.040304745373</v>
      </c>
      <c r="I347">
        <v>1.01186928886262</v>
      </c>
      <c r="K347" s="21" t="s">
        <v>693</v>
      </c>
      <c r="L347" s="21" t="s">
        <v>694</v>
      </c>
      <c r="M347" s="21" t="s">
        <v>85</v>
      </c>
      <c r="N347" s="21" t="s">
        <v>176</v>
      </c>
      <c r="P347" t="str">
        <f t="shared" si="20"/>
        <v>ETH</v>
      </c>
      <c r="Q347">
        <f t="shared" si="21"/>
        <v>1417.9385231112076</v>
      </c>
      <c r="R347">
        <v>1.1276999999999999</v>
      </c>
      <c r="S347">
        <f t="shared" si="22"/>
        <v>8.0474927399999988E-4</v>
      </c>
      <c r="T347" t="str">
        <f t="shared" si="23"/>
        <v xml:space="preserve">'ETH', </v>
      </c>
      <c r="AJ347" s="27" t="s">
        <v>85</v>
      </c>
      <c r="AK347" s="44">
        <v>3354.5254768599998</v>
      </c>
      <c r="AL347">
        <v>16293.74993214988</v>
      </c>
      <c r="AN347" t="s">
        <v>45</v>
      </c>
      <c r="AO347" t="s">
        <v>38</v>
      </c>
      <c r="AP347">
        <v>34742049.153713502</v>
      </c>
    </row>
    <row r="348" spans="1:42" x14ac:dyDescent="0.25">
      <c r="A348">
        <v>346</v>
      </c>
      <c r="B348" t="s">
        <v>175</v>
      </c>
      <c r="C348" s="1">
        <v>0.01</v>
      </c>
      <c r="E348" t="s">
        <v>107</v>
      </c>
      <c r="F348">
        <v>0</v>
      </c>
      <c r="G348" s="22">
        <v>20230112</v>
      </c>
      <c r="H348" s="56">
        <v>44939.040304548609</v>
      </c>
      <c r="I348">
        <v>1.0852199999999999E-2</v>
      </c>
      <c r="K348" s="21" t="s">
        <v>695</v>
      </c>
      <c r="L348" s="21" t="s">
        <v>694</v>
      </c>
      <c r="M348" s="21" t="s">
        <v>85</v>
      </c>
      <c r="N348" s="21" t="s">
        <v>176</v>
      </c>
      <c r="P348" t="str">
        <f t="shared" si="20"/>
        <v>EUR</v>
      </c>
      <c r="Q348">
        <f t="shared" si="21"/>
        <v>1.0852199999999999</v>
      </c>
      <c r="R348">
        <v>9.1027119999999996E-6</v>
      </c>
      <c r="S348">
        <f t="shared" si="22"/>
        <v>9.1027119999999997E-8</v>
      </c>
      <c r="T348" t="str">
        <f t="shared" si="23"/>
        <v xml:space="preserve">'EUR', </v>
      </c>
      <c r="AJ348" s="4" t="s">
        <v>139</v>
      </c>
      <c r="AK348" s="44">
        <v>14.785856219999999</v>
      </c>
      <c r="AL348">
        <v>0.12488945366293019</v>
      </c>
      <c r="AN348" t="s">
        <v>45</v>
      </c>
      <c r="AO348" t="s">
        <v>38</v>
      </c>
      <c r="AP348">
        <v>17263081.789881501</v>
      </c>
    </row>
    <row r="349" spans="1:42" x14ac:dyDescent="0.25">
      <c r="A349">
        <v>347</v>
      </c>
      <c r="B349" t="s">
        <v>175</v>
      </c>
      <c r="C349" s="1">
        <v>0.01</v>
      </c>
      <c r="E349" t="s">
        <v>177</v>
      </c>
      <c r="F349">
        <v>0</v>
      </c>
      <c r="G349" s="22">
        <v>20230112</v>
      </c>
      <c r="H349" s="56">
        <v>44939.040304548609</v>
      </c>
      <c r="I349">
        <v>1.2211649999999999E-2</v>
      </c>
      <c r="K349" s="21" t="s">
        <v>696</v>
      </c>
      <c r="L349" s="21" t="s">
        <v>694</v>
      </c>
      <c r="M349" s="21" t="s">
        <v>85</v>
      </c>
      <c r="N349" s="21" t="s">
        <v>176</v>
      </c>
      <c r="P349" t="str">
        <f t="shared" si="20"/>
        <v>GBP</v>
      </c>
      <c r="Q349">
        <f t="shared" si="21"/>
        <v>1.2211649999999998</v>
      </c>
      <c r="R349">
        <v>13.78</v>
      </c>
      <c r="S349">
        <f t="shared" si="22"/>
        <v>0.13780000000000001</v>
      </c>
      <c r="T349" t="str">
        <f t="shared" si="23"/>
        <v xml:space="preserve">'GBP', </v>
      </c>
      <c r="AJ349" s="27" t="s">
        <v>85</v>
      </c>
      <c r="AK349" s="44">
        <v>14.785856219999999</v>
      </c>
      <c r="AL349">
        <v>0.12488945366293019</v>
      </c>
      <c r="AN349" t="s">
        <v>45</v>
      </c>
      <c r="AO349" t="s">
        <v>99</v>
      </c>
      <c r="AP349">
        <v>0.44933626032875401</v>
      </c>
    </row>
    <row r="350" spans="1:42" x14ac:dyDescent="0.25">
      <c r="A350">
        <v>348</v>
      </c>
      <c r="B350" t="s">
        <v>175</v>
      </c>
      <c r="C350" s="1">
        <v>0.10983253</v>
      </c>
      <c r="E350" t="s">
        <v>179</v>
      </c>
      <c r="F350">
        <v>0</v>
      </c>
      <c r="G350" s="22">
        <v>20230112</v>
      </c>
      <c r="H350" s="56">
        <v>44939.040304548609</v>
      </c>
      <c r="I350">
        <v>2.6601917850581499E-4</v>
      </c>
      <c r="K350" s="21" t="s">
        <v>697</v>
      </c>
      <c r="L350" s="21" t="s">
        <v>694</v>
      </c>
      <c r="M350" s="21" t="s">
        <v>85</v>
      </c>
      <c r="N350" s="21" t="s">
        <v>176</v>
      </c>
      <c r="P350" t="str">
        <f t="shared" si="20"/>
        <v>TRY</v>
      </c>
      <c r="Q350">
        <f t="shared" si="21"/>
        <v>2.4220436195525586E-3</v>
      </c>
      <c r="R350">
        <v>5.7869999999999999</v>
      </c>
      <c r="S350">
        <f t="shared" si="22"/>
        <v>0.63560085110999998</v>
      </c>
      <c r="T350" t="str">
        <f t="shared" si="23"/>
        <v xml:space="preserve">'TRY', </v>
      </c>
      <c r="AJ350" s="4" t="s">
        <v>140</v>
      </c>
      <c r="AK350" s="44">
        <v>0.81765067999999996</v>
      </c>
      <c r="AL350">
        <v>1.0843441088562659E-2</v>
      </c>
      <c r="AN350" t="s">
        <v>45</v>
      </c>
      <c r="AO350" t="s">
        <v>99</v>
      </c>
      <c r="AP350">
        <v>5297132.9727466302</v>
      </c>
    </row>
    <row r="351" spans="1:42" x14ac:dyDescent="0.25">
      <c r="A351">
        <v>349</v>
      </c>
      <c r="B351" t="s">
        <v>175</v>
      </c>
      <c r="C351" s="1">
        <v>6.5778299999999998E-3</v>
      </c>
      <c r="E351" t="s">
        <v>95</v>
      </c>
      <c r="F351">
        <v>0</v>
      </c>
      <c r="G351" s="22">
        <v>20230112</v>
      </c>
      <c r="H351" s="56">
        <v>44939.040304548609</v>
      </c>
      <c r="I351">
        <v>6.5778299999999998E-3</v>
      </c>
      <c r="K351" s="21" t="s">
        <v>698</v>
      </c>
      <c r="L351" s="21" t="s">
        <v>694</v>
      </c>
      <c r="M351" s="21" t="s">
        <v>85</v>
      </c>
      <c r="N351" s="21" t="s">
        <v>176</v>
      </c>
      <c r="P351" t="str">
        <f t="shared" si="20"/>
        <v>USD</v>
      </c>
      <c r="Q351">
        <f t="shared" si="21"/>
        <v>1</v>
      </c>
      <c r="R351">
        <v>1.9404659000000001E-2</v>
      </c>
      <c r="S351">
        <f t="shared" si="22"/>
        <v>1.2764054810997E-4</v>
      </c>
      <c r="T351" t="str">
        <f>IF($C351="","","'"&amp;P351&amp;"', ")</f>
        <v xml:space="preserve">'USD', </v>
      </c>
      <c r="AJ351" s="27" t="s">
        <v>85</v>
      </c>
      <c r="AK351" s="44">
        <v>0.81765067999999996</v>
      </c>
      <c r="AL351">
        <v>1.0843441088562659E-2</v>
      </c>
      <c r="AN351" t="s">
        <v>45</v>
      </c>
      <c r="AO351" t="s">
        <v>99</v>
      </c>
      <c r="AP351">
        <v>-2041.7036599847299</v>
      </c>
    </row>
    <row r="352" spans="1:42" x14ac:dyDescent="0.25">
      <c r="A352">
        <v>350</v>
      </c>
      <c r="B352" t="s">
        <v>175</v>
      </c>
      <c r="C352" s="1">
        <v>9.9996000000000004E-4</v>
      </c>
      <c r="E352" t="s">
        <v>38</v>
      </c>
      <c r="F352">
        <v>0</v>
      </c>
      <c r="G352" s="22">
        <v>20230112</v>
      </c>
      <c r="H352" s="56">
        <v>44939.040304548609</v>
      </c>
      <c r="I352">
        <v>1.0000520455025401E-3</v>
      </c>
      <c r="K352" s="21" t="s">
        <v>699</v>
      </c>
      <c r="L352" s="21" t="s">
        <v>694</v>
      </c>
      <c r="M352" s="21" t="s">
        <v>85</v>
      </c>
      <c r="N352" s="21" t="s">
        <v>176</v>
      </c>
      <c r="P352" t="str">
        <f t="shared" si="20"/>
        <v>USDT</v>
      </c>
      <c r="Q352">
        <f t="shared" si="21"/>
        <v>1.0000920491845073</v>
      </c>
      <c r="R352">
        <v>9.0786800000000001E-2</v>
      </c>
      <c r="S352">
        <f t="shared" si="22"/>
        <v>9.0783168528000001E-5</v>
      </c>
      <c r="T352" t="str">
        <f t="shared" ref="T352:T407" si="24">IF($C352="","","'"&amp;P352&amp;"', ")</f>
        <v xml:space="preserve">'USDT', </v>
      </c>
      <c r="AJ352" s="4" t="s">
        <v>141</v>
      </c>
      <c r="AK352" s="44">
        <v>9.1121815000000002</v>
      </c>
      <c r="AL352">
        <v>0.19232876287963729</v>
      </c>
      <c r="AN352" t="s">
        <v>45</v>
      </c>
      <c r="AO352" t="s">
        <v>26</v>
      </c>
      <c r="AP352">
        <v>1540128.6311230001</v>
      </c>
    </row>
    <row r="353" spans="1:42" x14ac:dyDescent="0.25">
      <c r="A353">
        <v>351</v>
      </c>
      <c r="B353" t="s">
        <v>175</v>
      </c>
      <c r="C353" s="1">
        <v>9.9999999999999995E-8</v>
      </c>
      <c r="E353" t="s">
        <v>163</v>
      </c>
      <c r="F353">
        <v>0</v>
      </c>
      <c r="G353" s="22">
        <v>20230112</v>
      </c>
      <c r="H353" s="56">
        <v>44939.040304548609</v>
      </c>
      <c r="I353">
        <v>8.1643783905093393E-9</v>
      </c>
      <c r="K353" s="21" t="s">
        <v>700</v>
      </c>
      <c r="L353" s="21" t="s">
        <v>694</v>
      </c>
      <c r="M353" s="21" t="s">
        <v>85</v>
      </c>
      <c r="N353" s="21" t="s">
        <v>176</v>
      </c>
      <c r="P353" t="str">
        <f t="shared" si="20"/>
        <v>XLM</v>
      </c>
      <c r="Q353">
        <f t="shared" si="21"/>
        <v>8.1643783905093401E-2</v>
      </c>
      <c r="R353">
        <v>103.98</v>
      </c>
      <c r="S353">
        <f t="shared" si="22"/>
        <v>1.0397999999999999E-5</v>
      </c>
      <c r="T353" t="str">
        <f t="shared" si="24"/>
        <v xml:space="preserve">'XLM', </v>
      </c>
      <c r="AJ353" s="27" t="s">
        <v>85</v>
      </c>
      <c r="AK353" s="44">
        <v>9.1121815000000002</v>
      </c>
      <c r="AL353">
        <v>0.19232876287963729</v>
      </c>
      <c r="AN353" t="s">
        <v>45</v>
      </c>
      <c r="AO353" t="s">
        <v>324</v>
      </c>
      <c r="AP353">
        <v>-24678.549614920001</v>
      </c>
    </row>
    <row r="354" spans="1:42" x14ac:dyDescent="0.25">
      <c r="A354">
        <v>352</v>
      </c>
      <c r="B354" t="s">
        <v>180</v>
      </c>
      <c r="C354" s="1">
        <v>3449324.2188823698</v>
      </c>
      <c r="E354" t="s">
        <v>181</v>
      </c>
      <c r="F354">
        <v>0</v>
      </c>
      <c r="G354" s="22">
        <v>20230112</v>
      </c>
      <c r="H354" s="56">
        <v>44939.000005590278</v>
      </c>
      <c r="I354">
        <v>27668.2027522961</v>
      </c>
      <c r="K354" s="21" t="s">
        <v>701</v>
      </c>
      <c r="L354" s="21" t="s">
        <v>702</v>
      </c>
      <c r="M354" s="21" t="s">
        <v>85</v>
      </c>
      <c r="N354" s="21" t="s">
        <v>182</v>
      </c>
      <c r="P354" t="str">
        <f t="shared" si="20"/>
        <v>SHFT</v>
      </c>
      <c r="Q354">
        <f t="shared" si="21"/>
        <v>8.0213401224605643E-3</v>
      </c>
      <c r="R354">
        <v>39.841106000000003</v>
      </c>
      <c r="S354">
        <f t="shared" si="22"/>
        <v>137424891.83285969</v>
      </c>
      <c r="T354" t="str">
        <f t="shared" si="24"/>
        <v xml:space="preserve">'SHFT', </v>
      </c>
      <c r="AJ354" s="4" t="s">
        <v>43</v>
      </c>
      <c r="AK354" s="44">
        <v>5</v>
      </c>
      <c r="AL354">
        <v>115.9608196675254</v>
      </c>
      <c r="AN354" t="s">
        <v>184</v>
      </c>
      <c r="AO354" t="s">
        <v>84</v>
      </c>
      <c r="AP354">
        <v>59</v>
      </c>
    </row>
    <row r="355" spans="1:42" x14ac:dyDescent="0.25">
      <c r="A355">
        <v>353</v>
      </c>
      <c r="B355" t="s">
        <v>183</v>
      </c>
      <c r="C355" s="1">
        <v>130.56228007999999</v>
      </c>
      <c r="E355" t="s">
        <v>14</v>
      </c>
      <c r="F355">
        <v>0</v>
      </c>
      <c r="G355" s="22">
        <v>20230112</v>
      </c>
      <c r="H355" s="56">
        <v>44939.000000775464</v>
      </c>
      <c r="I355">
        <v>2463656.4406658001</v>
      </c>
      <c r="K355" s="21" t="s">
        <v>704</v>
      </c>
      <c r="L355" s="21" t="s">
        <v>703</v>
      </c>
      <c r="M355" s="21" t="s">
        <v>85</v>
      </c>
      <c r="N355" s="21" t="s">
        <v>184</v>
      </c>
      <c r="P355" t="str">
        <f t="shared" si="20"/>
        <v>BTC</v>
      </c>
      <c r="Q355">
        <f t="shared" si="21"/>
        <v>18869.588055265525</v>
      </c>
      <c r="R355">
        <v>0.90154135000000002</v>
      </c>
      <c r="S355">
        <f t="shared" si="22"/>
        <v>117.7072942424013</v>
      </c>
      <c r="T355" t="str">
        <f t="shared" si="24"/>
        <v xml:space="preserve">'BTC', </v>
      </c>
      <c r="AJ355" s="27" t="s">
        <v>85</v>
      </c>
      <c r="AK355" s="44">
        <v>5</v>
      </c>
      <c r="AL355">
        <v>115.9608196675254</v>
      </c>
      <c r="AN355" t="s">
        <v>184</v>
      </c>
      <c r="AO355" t="s">
        <v>14</v>
      </c>
      <c r="AP355">
        <v>-221.57694376000001</v>
      </c>
    </row>
    <row r="356" spans="1:42" x14ac:dyDescent="0.25">
      <c r="A356">
        <v>354</v>
      </c>
      <c r="B356" t="s">
        <v>183</v>
      </c>
      <c r="C356" s="1">
        <v>2169.3453886699999</v>
      </c>
      <c r="E356" t="s">
        <v>15</v>
      </c>
      <c r="F356">
        <v>0</v>
      </c>
      <c r="G356" s="22">
        <v>20230112</v>
      </c>
      <c r="H356" s="56">
        <v>44939.000000775464</v>
      </c>
      <c r="I356">
        <v>3075998.3965288699</v>
      </c>
      <c r="K356" s="21" t="s">
        <v>937</v>
      </c>
      <c r="L356" s="21" t="s">
        <v>703</v>
      </c>
      <c r="M356" s="21" t="s">
        <v>85</v>
      </c>
      <c r="N356" s="21" t="s">
        <v>184</v>
      </c>
      <c r="P356" t="str">
        <f t="shared" si="20"/>
        <v>ETH</v>
      </c>
      <c r="Q356">
        <f t="shared" si="21"/>
        <v>1417.9385231112176</v>
      </c>
      <c r="R356">
        <v>1208.73</v>
      </c>
      <c r="S356">
        <f t="shared" si="22"/>
        <v>2622152.8516470892</v>
      </c>
      <c r="T356" t="str">
        <f t="shared" si="24"/>
        <v xml:space="preserve">'ETH', </v>
      </c>
      <c r="AJ356" s="4" t="s">
        <v>142</v>
      </c>
      <c r="AK356" s="44">
        <v>0.24234807999999999</v>
      </c>
      <c r="AL356">
        <v>2.7518533091107778E-4</v>
      </c>
      <c r="AN356" t="s">
        <v>184</v>
      </c>
      <c r="AO356" t="s">
        <v>15</v>
      </c>
      <c r="AP356">
        <v>-2975.5798351799999</v>
      </c>
    </row>
    <row r="357" spans="1:42" x14ac:dyDescent="0.25">
      <c r="A357">
        <v>355</v>
      </c>
      <c r="B357" t="s">
        <v>183</v>
      </c>
      <c r="C357" s="1">
        <v>1644286.05309931</v>
      </c>
      <c r="E357" t="s">
        <v>185</v>
      </c>
      <c r="F357">
        <v>0</v>
      </c>
      <c r="G357" s="22">
        <v>20230112</v>
      </c>
      <c r="H357" s="56">
        <v>44939.000000775464</v>
      </c>
      <c r="I357">
        <v>281459.93846142199</v>
      </c>
      <c r="K357" s="21" t="s">
        <v>705</v>
      </c>
      <c r="L357" s="21" t="s">
        <v>703</v>
      </c>
      <c r="M357" s="21" t="s">
        <v>85</v>
      </c>
      <c r="N357" s="21" t="s">
        <v>184</v>
      </c>
      <c r="P357" t="str">
        <f t="shared" si="20"/>
        <v>WOO</v>
      </c>
      <c r="Q357">
        <f t="shared" si="21"/>
        <v>0.1711745580587386</v>
      </c>
      <c r="R357">
        <v>6.2919999999999998</v>
      </c>
      <c r="S357">
        <f t="shared" si="22"/>
        <v>10345847.846100857</v>
      </c>
      <c r="T357" t="str">
        <f t="shared" si="24"/>
        <v xml:space="preserve">'WOO', </v>
      </c>
      <c r="AJ357" s="27" t="s">
        <v>85</v>
      </c>
      <c r="AK357" s="44">
        <v>0.24234807999999999</v>
      </c>
      <c r="AL357">
        <v>2.7518533091107778E-4</v>
      </c>
      <c r="AN357" t="s">
        <v>184</v>
      </c>
      <c r="AO357" t="s">
        <v>272</v>
      </c>
      <c r="AP357">
        <v>1267.7570125100001</v>
      </c>
    </row>
    <row r="358" spans="1:42" x14ac:dyDescent="0.25">
      <c r="A358">
        <v>356</v>
      </c>
      <c r="B358" t="s">
        <v>186</v>
      </c>
      <c r="C358" s="1">
        <v>1.34894162</v>
      </c>
      <c r="E358" t="s">
        <v>116</v>
      </c>
      <c r="F358">
        <v>0</v>
      </c>
      <c r="G358" s="22">
        <v>20230112</v>
      </c>
      <c r="H358" s="56">
        <v>44938.983087002314</v>
      </c>
      <c r="I358">
        <v>91.5407114475789</v>
      </c>
      <c r="K358" s="21" t="s">
        <v>706</v>
      </c>
      <c r="L358" s="21" t="s">
        <v>707</v>
      </c>
      <c r="M358" s="21" t="s">
        <v>85</v>
      </c>
      <c r="N358" s="21" t="s">
        <v>186</v>
      </c>
      <c r="P358" t="str">
        <f t="shared" si="20"/>
        <v>AAVE</v>
      </c>
      <c r="Q358">
        <f t="shared" si="21"/>
        <v>67.861136531304368</v>
      </c>
      <c r="R358">
        <v>62.35</v>
      </c>
      <c r="S358">
        <f t="shared" si="22"/>
        <v>84.106510006999997</v>
      </c>
      <c r="T358" t="str">
        <f t="shared" si="24"/>
        <v xml:space="preserve">'AAVE', </v>
      </c>
      <c r="AJ358" s="4" t="s">
        <v>143</v>
      </c>
      <c r="AK358" s="44">
        <v>1E-8</v>
      </c>
      <c r="AL358">
        <v>0</v>
      </c>
      <c r="AN358" t="s">
        <v>184</v>
      </c>
      <c r="AO358" t="s">
        <v>38</v>
      </c>
      <c r="AP358">
        <v>10004697.2340612</v>
      </c>
    </row>
    <row r="359" spans="1:42" x14ac:dyDescent="0.25">
      <c r="A359">
        <v>357</v>
      </c>
      <c r="B359" t="s">
        <v>186</v>
      </c>
      <c r="C359" s="1">
        <v>559</v>
      </c>
      <c r="E359" t="s">
        <v>84</v>
      </c>
      <c r="F359">
        <v>0</v>
      </c>
      <c r="G359" s="22">
        <v>20230112</v>
      </c>
      <c r="H359" s="56">
        <v>44938.983087002314</v>
      </c>
      <c r="I359">
        <v>184.33498738154699</v>
      </c>
      <c r="K359" s="21" t="s">
        <v>899</v>
      </c>
      <c r="L359" s="21" t="s">
        <v>707</v>
      </c>
      <c r="M359" s="21" t="s">
        <v>85</v>
      </c>
      <c r="N359" s="21" t="s">
        <v>186</v>
      </c>
      <c r="P359" t="str">
        <f t="shared" si="20"/>
        <v>ADA</v>
      </c>
      <c r="Q359">
        <f t="shared" si="21"/>
        <v>0.32975847474337566</v>
      </c>
      <c r="R359">
        <v>0.99940190110900451</v>
      </c>
      <c r="S359">
        <f t="shared" si="22"/>
        <v>558.66566271993349</v>
      </c>
      <c r="T359" t="str">
        <f t="shared" si="24"/>
        <v xml:space="preserve">'ADA', </v>
      </c>
      <c r="AJ359" s="27" t="s">
        <v>85</v>
      </c>
      <c r="AK359" s="44">
        <v>1E-8</v>
      </c>
      <c r="AL359">
        <v>0</v>
      </c>
      <c r="AN359" t="s">
        <v>184</v>
      </c>
      <c r="AO359" t="s">
        <v>185</v>
      </c>
      <c r="AP359">
        <v>1644286.05309931</v>
      </c>
    </row>
    <row r="360" spans="1:42" x14ac:dyDescent="0.25">
      <c r="A360">
        <v>358</v>
      </c>
      <c r="B360" t="s">
        <v>186</v>
      </c>
      <c r="C360" s="1">
        <v>116.66666600000001</v>
      </c>
      <c r="E360" t="s">
        <v>122</v>
      </c>
      <c r="F360">
        <v>0</v>
      </c>
      <c r="G360" s="22">
        <v>20230112</v>
      </c>
      <c r="H360" s="56">
        <v>44938.983087002314</v>
      </c>
      <c r="I360">
        <v>24.794757208932801</v>
      </c>
      <c r="K360" s="21" t="s">
        <v>853</v>
      </c>
      <c r="L360" s="21" t="s">
        <v>707</v>
      </c>
      <c r="M360" s="21" t="s">
        <v>85</v>
      </c>
      <c r="N360" s="21" t="s">
        <v>186</v>
      </c>
      <c r="P360" t="str">
        <f t="shared" si="20"/>
        <v>ALGO</v>
      </c>
      <c r="Q360">
        <f t="shared" si="21"/>
        <v>0.21252649157671824</v>
      </c>
      <c r="R360">
        <v>16719.740000000002</v>
      </c>
      <c r="S360">
        <f t="shared" si="22"/>
        <v>1950636.3221868402</v>
      </c>
      <c r="T360" t="str">
        <f t="shared" si="24"/>
        <v xml:space="preserve">'ALGO', </v>
      </c>
      <c r="AJ360" s="4" t="s">
        <v>27</v>
      </c>
      <c r="AK360" s="44">
        <v>7841.9514679599997</v>
      </c>
      <c r="AL360">
        <v>47619.829376495356</v>
      </c>
    </row>
    <row r="361" spans="1:42" x14ac:dyDescent="0.25">
      <c r="A361">
        <v>359</v>
      </c>
      <c r="B361" t="s">
        <v>186</v>
      </c>
      <c r="C361" s="1">
        <v>170.43333855999899</v>
      </c>
      <c r="E361" t="s">
        <v>187</v>
      </c>
      <c r="F361">
        <v>0</v>
      </c>
      <c r="G361" s="22">
        <v>20230112</v>
      </c>
      <c r="H361" s="56">
        <v>44938.983087002314</v>
      </c>
      <c r="I361">
        <v>2634.4478100657702</v>
      </c>
      <c r="K361" s="21" t="s">
        <v>708</v>
      </c>
      <c r="L361" s="21" t="s">
        <v>707</v>
      </c>
      <c r="M361" s="21" t="s">
        <v>85</v>
      </c>
      <c r="N361" s="21" t="s">
        <v>186</v>
      </c>
      <c r="P361" t="str">
        <f t="shared" si="20"/>
        <v>AVAX</v>
      </c>
      <c r="Q361">
        <f t="shared" si="21"/>
        <v>15.457350259781157</v>
      </c>
      <c r="R361">
        <v>0.90154135000000002</v>
      </c>
      <c r="S361">
        <f t="shared" si="22"/>
        <v>153.65270213038855</v>
      </c>
      <c r="T361" t="str">
        <f t="shared" si="24"/>
        <v xml:space="preserve">'AVAX', </v>
      </c>
      <c r="AJ361" s="27" t="s">
        <v>85</v>
      </c>
      <c r="AK361" s="44">
        <v>26914.95146796</v>
      </c>
      <c r="AL361">
        <v>163439.59814307874</v>
      </c>
    </row>
    <row r="362" spans="1:42" x14ac:dyDescent="0.25">
      <c r="A362">
        <v>360</v>
      </c>
      <c r="B362" t="s">
        <v>186</v>
      </c>
      <c r="C362" s="1">
        <v>333.33333333000002</v>
      </c>
      <c r="E362" t="s">
        <v>124</v>
      </c>
      <c r="F362">
        <v>0</v>
      </c>
      <c r="G362" s="22">
        <v>20230112</v>
      </c>
      <c r="H362" s="56">
        <v>44938.983087002314</v>
      </c>
      <c r="I362">
        <v>68.258005063265003</v>
      </c>
      <c r="K362" s="21" t="s">
        <v>842</v>
      </c>
      <c r="L362" s="21" t="s">
        <v>707</v>
      </c>
      <c r="M362" s="21" t="s">
        <v>85</v>
      </c>
      <c r="N362" s="21" t="s">
        <v>186</v>
      </c>
      <c r="P362" t="str">
        <f t="shared" si="20"/>
        <v>BAT</v>
      </c>
      <c r="Q362">
        <f t="shared" si="21"/>
        <v>0.20477401519184274</v>
      </c>
      <c r="R362">
        <v>1208.73</v>
      </c>
      <c r="S362">
        <f t="shared" si="22"/>
        <v>402909.99999597092</v>
      </c>
      <c r="T362" t="str">
        <f t="shared" si="24"/>
        <v xml:space="preserve">'BAT', </v>
      </c>
      <c r="AJ362" s="27" t="s">
        <v>195</v>
      </c>
      <c r="AK362" s="44">
        <v>-19073</v>
      </c>
      <c r="AL362">
        <v>-115819.76876658338</v>
      </c>
    </row>
    <row r="363" spans="1:42" x14ac:dyDescent="0.25">
      <c r="A363">
        <v>361</v>
      </c>
      <c r="B363" t="s">
        <v>186</v>
      </c>
      <c r="C363" s="1">
        <v>5171.2119944799997</v>
      </c>
      <c r="E363" t="s">
        <v>20</v>
      </c>
      <c r="F363">
        <v>0</v>
      </c>
      <c r="G363" s="22">
        <v>20230112</v>
      </c>
      <c r="H363" s="56">
        <v>44938.983087002314</v>
      </c>
      <c r="I363">
        <v>619048.19835457695</v>
      </c>
      <c r="K363" s="21" t="s">
        <v>900</v>
      </c>
      <c r="L363" s="21" t="s">
        <v>707</v>
      </c>
      <c r="M363" s="21" t="s">
        <v>85</v>
      </c>
      <c r="N363" s="21" t="s">
        <v>186</v>
      </c>
      <c r="P363" t="str">
        <f t="shared" si="20"/>
        <v>BCH</v>
      </c>
      <c r="Q363">
        <f t="shared" si="21"/>
        <v>119.71046613741203</v>
      </c>
      <c r="R363">
        <v>16719.740000000002</v>
      </c>
      <c r="S363">
        <f t="shared" si="22"/>
        <v>86461320.032587036</v>
      </c>
      <c r="T363" t="str">
        <f t="shared" si="24"/>
        <v xml:space="preserve">'BCH', </v>
      </c>
      <c r="AJ363" s="4" t="s">
        <v>144</v>
      </c>
      <c r="AK363" s="44">
        <v>4.3289484800000002</v>
      </c>
      <c r="AL363">
        <v>1.058141254504416E-6</v>
      </c>
    </row>
    <row r="364" spans="1:42" x14ac:dyDescent="0.25">
      <c r="A364">
        <v>362</v>
      </c>
      <c r="B364" t="s">
        <v>186</v>
      </c>
      <c r="C364" s="1">
        <v>1.7652E-4</v>
      </c>
      <c r="E364" t="s">
        <v>87</v>
      </c>
      <c r="F364">
        <v>0</v>
      </c>
      <c r="G364" s="22">
        <v>20230112</v>
      </c>
      <c r="H364" s="56">
        <v>44938.983087002314</v>
      </c>
      <c r="I364">
        <v>5.0804633608003198E-2</v>
      </c>
      <c r="K364" s="21" t="s">
        <v>929</v>
      </c>
      <c r="L364" s="21" t="s">
        <v>707</v>
      </c>
      <c r="M364" s="21" t="s">
        <v>85</v>
      </c>
      <c r="N364" s="21" t="s">
        <v>186</v>
      </c>
      <c r="P364" t="str">
        <f t="shared" si="20"/>
        <v>BNB</v>
      </c>
      <c r="Q364">
        <f t="shared" si="21"/>
        <v>287.81233632451392</v>
      </c>
      <c r="R364">
        <v>1208.73</v>
      </c>
      <c r="S364">
        <f t="shared" si="22"/>
        <v>0.21336501960000001</v>
      </c>
      <c r="T364" t="str">
        <f t="shared" si="24"/>
        <v xml:space="preserve">'BNB', </v>
      </c>
      <c r="AJ364" s="27" t="s">
        <v>85</v>
      </c>
      <c r="AK364" s="44">
        <v>4.3289484800000002</v>
      </c>
      <c r="AL364">
        <v>1.058141254504416E-6</v>
      </c>
    </row>
    <row r="365" spans="1:42" x14ac:dyDescent="0.25">
      <c r="A365">
        <v>363</v>
      </c>
      <c r="B365" t="s">
        <v>186</v>
      </c>
      <c r="C365" s="1">
        <v>135.14263080000001</v>
      </c>
      <c r="E365" t="s">
        <v>14</v>
      </c>
      <c r="F365">
        <v>0</v>
      </c>
      <c r="G365" s="22">
        <v>20230112</v>
      </c>
      <c r="H365" s="56">
        <v>44938.983087002314</v>
      </c>
      <c r="I365">
        <v>2550085.7719008401</v>
      </c>
      <c r="K365" s="21" t="s">
        <v>709</v>
      </c>
      <c r="L365" s="21" t="s">
        <v>707</v>
      </c>
      <c r="M365" s="21" t="s">
        <v>85</v>
      </c>
      <c r="N365" s="21" t="s">
        <v>186</v>
      </c>
      <c r="P365" t="str">
        <f t="shared" si="20"/>
        <v>BTC</v>
      </c>
      <c r="Q365">
        <f t="shared" si="21"/>
        <v>18869.588055265533</v>
      </c>
      <c r="R365">
        <v>1.0364599999999999</v>
      </c>
      <c r="S365">
        <f t="shared" si="22"/>
        <v>140.06993111896799</v>
      </c>
      <c r="T365" t="str">
        <f t="shared" si="24"/>
        <v xml:space="preserve">'BTC', </v>
      </c>
      <c r="AJ365" s="4" t="s">
        <v>24</v>
      </c>
      <c r="AK365" s="44">
        <v>-5868.792733369999</v>
      </c>
      <c r="AL365">
        <v>-337380.30868611252</v>
      </c>
    </row>
    <row r="366" spans="1:42" x14ac:dyDescent="0.25">
      <c r="A366">
        <v>364</v>
      </c>
      <c r="B366" t="s">
        <v>186</v>
      </c>
      <c r="C366" s="1">
        <v>2921.9333411799998</v>
      </c>
      <c r="E366" t="s">
        <v>31</v>
      </c>
      <c r="F366">
        <v>0</v>
      </c>
      <c r="G366" s="22">
        <v>20230112</v>
      </c>
      <c r="H366" s="56">
        <v>44938.983087002314</v>
      </c>
      <c r="I366">
        <v>110175.64054287699</v>
      </c>
      <c r="K366" s="21" t="s">
        <v>901</v>
      </c>
      <c r="L366" s="21" t="s">
        <v>707</v>
      </c>
      <c r="M366" s="21" t="s">
        <v>85</v>
      </c>
      <c r="N366" s="21" t="s">
        <v>186</v>
      </c>
      <c r="P366" t="str">
        <f t="shared" si="20"/>
        <v>COMP</v>
      </c>
      <c r="Q366">
        <f t="shared" si="21"/>
        <v>37.70641820952131</v>
      </c>
      <c r="R366">
        <v>1.0335394476395248</v>
      </c>
      <c r="S366">
        <f t="shared" si="22"/>
        <v>3019.933371482688</v>
      </c>
      <c r="T366" t="str">
        <f t="shared" si="24"/>
        <v xml:space="preserve">'COMP', </v>
      </c>
      <c r="AJ366" s="27" t="s">
        <v>85</v>
      </c>
      <c r="AK366" s="44">
        <v>11431.207266630001</v>
      </c>
      <c r="AL366">
        <v>657147.80049081286</v>
      </c>
    </row>
    <row r="367" spans="1:42" x14ac:dyDescent="0.25">
      <c r="A367">
        <v>365</v>
      </c>
      <c r="B367" t="s">
        <v>186</v>
      </c>
      <c r="C367" s="1">
        <v>2.9907231299999899</v>
      </c>
      <c r="E367" t="s">
        <v>132</v>
      </c>
      <c r="F367">
        <v>0</v>
      </c>
      <c r="G367" s="22">
        <v>20230112</v>
      </c>
      <c r="H367" s="56">
        <v>44938.983087002314</v>
      </c>
      <c r="I367">
        <v>147.61158764267699</v>
      </c>
      <c r="K367" s="21" t="s">
        <v>710</v>
      </c>
      <c r="L367" s="21" t="s">
        <v>707</v>
      </c>
      <c r="M367" s="21" t="s">
        <v>85</v>
      </c>
      <c r="N367" s="21" t="s">
        <v>186</v>
      </c>
      <c r="P367" t="str">
        <f t="shared" si="20"/>
        <v>DASH</v>
      </c>
      <c r="Q367">
        <f t="shared" si="21"/>
        <v>49.356487119112728</v>
      </c>
      <c r="R367">
        <v>1</v>
      </c>
      <c r="S367">
        <f t="shared" si="22"/>
        <v>2.9907231299999899</v>
      </c>
      <c r="T367" t="str">
        <f t="shared" si="24"/>
        <v xml:space="preserve">'DASH', </v>
      </c>
      <c r="AJ367" s="27" t="s">
        <v>195</v>
      </c>
      <c r="AK367" s="44">
        <v>-17300</v>
      </c>
      <c r="AL367">
        <v>-994528.10917692538</v>
      </c>
    </row>
    <row r="368" spans="1:42" x14ac:dyDescent="0.25">
      <c r="A368">
        <v>366</v>
      </c>
      <c r="B368" t="s">
        <v>186</v>
      </c>
      <c r="C368" s="1">
        <v>2000</v>
      </c>
      <c r="E368" t="s">
        <v>190</v>
      </c>
      <c r="F368">
        <v>0</v>
      </c>
      <c r="G368" s="22">
        <v>20230112</v>
      </c>
      <c r="H368" s="56">
        <v>44938.983087002314</v>
      </c>
      <c r="I368">
        <v>160.571472005229</v>
      </c>
      <c r="K368" s="21" t="s">
        <v>902</v>
      </c>
      <c r="L368" s="21" t="s">
        <v>707</v>
      </c>
      <c r="M368" s="21" t="s">
        <v>85</v>
      </c>
      <c r="N368" s="21" t="s">
        <v>186</v>
      </c>
      <c r="P368" t="str">
        <f t="shared" si="20"/>
        <v>DOGE</v>
      </c>
      <c r="Q368">
        <f t="shared" si="21"/>
        <v>8.0285736002614502E-2</v>
      </c>
      <c r="R368">
        <v>1.0001621022067764</v>
      </c>
      <c r="S368">
        <f t="shared" si="22"/>
        <v>2000.3242044135527</v>
      </c>
      <c r="T368" t="str">
        <f t="shared" si="24"/>
        <v xml:space="preserve">'DOGE', </v>
      </c>
      <c r="AJ368" s="4" t="s">
        <v>145</v>
      </c>
      <c r="AK368" s="44">
        <v>0.66495972999999997</v>
      </c>
      <c r="AL368">
        <v>1.3747523872825721E-4</v>
      </c>
    </row>
    <row r="369" spans="1:38" x14ac:dyDescent="0.25">
      <c r="A369">
        <v>367</v>
      </c>
      <c r="B369" t="s">
        <v>186</v>
      </c>
      <c r="C369" s="1">
        <v>322.31185354000002</v>
      </c>
      <c r="E369" t="s">
        <v>22</v>
      </c>
      <c r="F369">
        <v>0</v>
      </c>
      <c r="G369" s="22">
        <v>20230112</v>
      </c>
      <c r="H369" s="56">
        <v>44938.983087002314</v>
      </c>
      <c r="I369">
        <v>1685.5227275894799</v>
      </c>
      <c r="J369" s="34"/>
      <c r="K369" s="21" t="s">
        <v>711</v>
      </c>
      <c r="L369" s="21" t="s">
        <v>707</v>
      </c>
      <c r="M369" s="21" t="s">
        <v>85</v>
      </c>
      <c r="N369" s="21" t="s">
        <v>186</v>
      </c>
      <c r="P369" t="str">
        <f t="shared" si="20"/>
        <v>DOT</v>
      </c>
      <c r="Q369">
        <f t="shared" si="21"/>
        <v>5.2294779390739992</v>
      </c>
      <c r="R369">
        <v>2.1343125000000001E-2</v>
      </c>
      <c r="S369">
        <f t="shared" si="22"/>
        <v>6.8791421790859131</v>
      </c>
      <c r="T369" t="str">
        <f t="shared" si="24"/>
        <v xml:space="preserve">'DOT', </v>
      </c>
      <c r="AJ369" s="27" t="s">
        <v>85</v>
      </c>
      <c r="AK369" s="44">
        <v>0.66495972999999997</v>
      </c>
      <c r="AL369">
        <v>1.3747523872825721E-4</v>
      </c>
    </row>
    <row r="370" spans="1:38" x14ac:dyDescent="0.25">
      <c r="A370">
        <v>368</v>
      </c>
      <c r="B370" t="s">
        <v>186</v>
      </c>
      <c r="C370" s="1">
        <v>516.67744242000003</v>
      </c>
      <c r="E370" t="s">
        <v>28</v>
      </c>
      <c r="F370">
        <v>0</v>
      </c>
      <c r="G370" s="22">
        <v>20230112</v>
      </c>
      <c r="H370" s="56">
        <v>44938.983087002314</v>
      </c>
      <c r="I370">
        <v>157.11964629923699</v>
      </c>
      <c r="K370" s="21" t="s">
        <v>795</v>
      </c>
      <c r="L370" s="21" t="s">
        <v>707</v>
      </c>
      <c r="M370" s="21" t="s">
        <v>85</v>
      </c>
      <c r="N370" s="21" t="s">
        <v>186</v>
      </c>
      <c r="P370" t="str">
        <f t="shared" si="20"/>
        <v>ENJ</v>
      </c>
      <c r="Q370">
        <f t="shared" si="21"/>
        <v>0.30409619890375739</v>
      </c>
      <c r="R370">
        <v>103.98</v>
      </c>
      <c r="S370">
        <f t="shared" si="22"/>
        <v>53724.120462831605</v>
      </c>
      <c r="T370" t="str">
        <f t="shared" si="24"/>
        <v xml:space="preserve">'ENJ', </v>
      </c>
      <c r="AJ370" s="4" t="s">
        <v>192</v>
      </c>
      <c r="AK370" s="44">
        <v>0.34</v>
      </c>
      <c r="AL370">
        <v>0.1527997152353536</v>
      </c>
    </row>
    <row r="371" spans="1:38" x14ac:dyDescent="0.25">
      <c r="A371">
        <v>369</v>
      </c>
      <c r="B371" t="s">
        <v>186</v>
      </c>
      <c r="C371" s="1">
        <v>186334.70740000001</v>
      </c>
      <c r="E371" t="s">
        <v>23</v>
      </c>
      <c r="F371">
        <v>0</v>
      </c>
      <c r="G371" s="22">
        <v>20230112</v>
      </c>
      <c r="H371" s="56">
        <v>44938.983087002314</v>
      </c>
      <c r="I371">
        <v>184516.542170873</v>
      </c>
      <c r="K371" s="21" t="s">
        <v>712</v>
      </c>
      <c r="L371" s="21" t="s">
        <v>707</v>
      </c>
      <c r="M371" s="21" t="s">
        <v>85</v>
      </c>
      <c r="N371" s="21" t="s">
        <v>186</v>
      </c>
      <c r="P371" t="str">
        <f t="shared" si="20"/>
        <v>EOS</v>
      </c>
      <c r="Q371">
        <f t="shared" si="21"/>
        <v>0.99024247680694288</v>
      </c>
      <c r="R371">
        <v>39.841106000000003</v>
      </c>
      <c r="S371">
        <f t="shared" si="22"/>
        <v>7423780.829002386</v>
      </c>
      <c r="T371" t="str">
        <f t="shared" si="24"/>
        <v xml:space="preserve">'EOS', </v>
      </c>
      <c r="AJ371" s="27" t="s">
        <v>85</v>
      </c>
      <c r="AK371" s="44">
        <v>0.34</v>
      </c>
      <c r="AL371">
        <v>0.1527997152353536</v>
      </c>
    </row>
    <row r="372" spans="1:38" x14ac:dyDescent="0.25">
      <c r="A372">
        <v>370</v>
      </c>
      <c r="B372" t="s">
        <v>186</v>
      </c>
      <c r="C372" s="1">
        <v>98844.463872979904</v>
      </c>
      <c r="E372" t="s">
        <v>29</v>
      </c>
      <c r="F372">
        <v>0</v>
      </c>
      <c r="G372" s="22">
        <v>20230112</v>
      </c>
      <c r="H372" s="56">
        <v>44938.983087002314</v>
      </c>
      <c r="I372">
        <v>2067604.59645753</v>
      </c>
      <c r="K372" s="21" t="s">
        <v>713</v>
      </c>
      <c r="L372" s="21" t="s">
        <v>707</v>
      </c>
      <c r="M372" s="21" t="s">
        <v>85</v>
      </c>
      <c r="N372" s="21" t="s">
        <v>186</v>
      </c>
      <c r="P372" t="str">
        <f t="shared" si="20"/>
        <v>ETC</v>
      </c>
      <c r="Q372">
        <f t="shared" si="21"/>
        <v>20.917758217744048</v>
      </c>
      <c r="R372">
        <v>40.841106000000003</v>
      </c>
      <c r="S372">
        <f t="shared" si="22"/>
        <v>4036917.226549543</v>
      </c>
      <c r="T372" t="str">
        <f t="shared" si="24"/>
        <v xml:space="preserve">'ETC', </v>
      </c>
      <c r="AJ372" s="4" t="s">
        <v>146</v>
      </c>
      <c r="AK372" s="44">
        <v>0.89105878000000005</v>
      </c>
      <c r="AL372">
        <v>5.9237362248513286</v>
      </c>
    </row>
    <row r="373" spans="1:38" x14ac:dyDescent="0.25">
      <c r="A373">
        <v>371</v>
      </c>
      <c r="B373" t="s">
        <v>186</v>
      </c>
      <c r="C373" s="1">
        <v>1175.8957334300001</v>
      </c>
      <c r="E373" t="s">
        <v>15</v>
      </c>
      <c r="F373">
        <v>0</v>
      </c>
      <c r="G373" s="22">
        <v>20230112</v>
      </c>
      <c r="H373" s="56">
        <v>44938.983087002314</v>
      </c>
      <c r="I373">
        <v>1667347.8595925099</v>
      </c>
      <c r="K373" s="21" t="s">
        <v>714</v>
      </c>
      <c r="L373" s="21" t="s">
        <v>707</v>
      </c>
      <c r="M373" s="21" t="s">
        <v>85</v>
      </c>
      <c r="N373" s="21" t="s">
        <v>186</v>
      </c>
      <c r="P373" t="str">
        <f t="shared" si="20"/>
        <v>ETH</v>
      </c>
      <c r="Q373">
        <f t="shared" si="21"/>
        <v>1417.9385231112121</v>
      </c>
      <c r="R373">
        <v>41.841106000000003</v>
      </c>
      <c r="S373">
        <f t="shared" si="22"/>
        <v>49200.778027392378</v>
      </c>
      <c r="T373" t="str">
        <f t="shared" si="24"/>
        <v xml:space="preserve">'ETH', </v>
      </c>
      <c r="AJ373" s="27" t="s">
        <v>85</v>
      </c>
      <c r="AK373" s="44">
        <v>0.89105878000000005</v>
      </c>
      <c r="AL373">
        <v>5.9237362248513286</v>
      </c>
    </row>
    <row r="374" spans="1:38" x14ac:dyDescent="0.25">
      <c r="A374">
        <v>372</v>
      </c>
      <c r="B374" t="s">
        <v>186</v>
      </c>
      <c r="C374" s="1">
        <v>1268.1820227400001</v>
      </c>
      <c r="E374" t="s">
        <v>272</v>
      </c>
      <c r="F374">
        <v>0</v>
      </c>
      <c r="G374" s="22">
        <v>20230112</v>
      </c>
      <c r="H374" s="56">
        <v>44938.983087002314</v>
      </c>
      <c r="I374">
        <v>4355.0555290931297</v>
      </c>
      <c r="K374" s="21" t="s">
        <v>715</v>
      </c>
      <c r="L374" s="21" t="s">
        <v>707</v>
      </c>
      <c r="M374" s="21" t="s">
        <v>85</v>
      </c>
      <c r="N374" s="21" t="s">
        <v>186</v>
      </c>
      <c r="P374" t="str">
        <f t="shared" si="20"/>
        <v>ETHW</v>
      </c>
      <c r="Q374">
        <f t="shared" si="21"/>
        <v>3.4340934116726505</v>
      </c>
      <c r="R374">
        <v>42.841106000000003</v>
      </c>
      <c r="S374">
        <f t="shared" si="22"/>
        <v>54330.320463498756</v>
      </c>
      <c r="T374" t="str">
        <f t="shared" si="24"/>
        <v xml:space="preserve">'ETHW', </v>
      </c>
      <c r="AJ374" s="4" t="s">
        <v>147</v>
      </c>
      <c r="AK374" s="44">
        <v>40.704174029999997</v>
      </c>
      <c r="AL374">
        <v>7.431168330338943E-3</v>
      </c>
    </row>
    <row r="375" spans="1:38" x14ac:dyDescent="0.25">
      <c r="A375">
        <v>373</v>
      </c>
      <c r="B375" t="s">
        <v>186</v>
      </c>
      <c r="C375" s="1">
        <v>235746.127034</v>
      </c>
      <c r="E375" t="s">
        <v>258</v>
      </c>
      <c r="F375">
        <v>0</v>
      </c>
      <c r="G375" s="22">
        <v>20230112</v>
      </c>
      <c r="H375" s="56">
        <v>44938.983087002314</v>
      </c>
      <c r="I375">
        <v>255681.53062948701</v>
      </c>
      <c r="K375" s="21" t="s">
        <v>716</v>
      </c>
      <c r="L375" s="21" t="s">
        <v>707</v>
      </c>
      <c r="M375" s="21" t="s">
        <v>85</v>
      </c>
      <c r="N375" s="21" t="s">
        <v>186</v>
      </c>
      <c r="P375" t="str">
        <f t="shared" si="20"/>
        <v>EUROC</v>
      </c>
      <c r="Q375">
        <f t="shared" si="21"/>
        <v>1.0845630163528068</v>
      </c>
      <c r="R375">
        <v>43.841106000000003</v>
      </c>
      <c r="S375">
        <f t="shared" si="22"/>
        <v>10335370.944387062</v>
      </c>
      <c r="T375" t="str">
        <f t="shared" si="24"/>
        <v xml:space="preserve">'EUROC', </v>
      </c>
      <c r="AJ375" s="27" t="s">
        <v>85</v>
      </c>
      <c r="AK375" s="44">
        <v>40.704174029999997</v>
      </c>
      <c r="AL375">
        <v>7.431168330338943E-3</v>
      </c>
    </row>
    <row r="376" spans="1:38" x14ac:dyDescent="0.25">
      <c r="A376">
        <v>374</v>
      </c>
      <c r="B376" t="s">
        <v>186</v>
      </c>
      <c r="C376" s="1">
        <v>3173.41253207</v>
      </c>
      <c r="E376" t="s">
        <v>191</v>
      </c>
      <c r="F376">
        <v>0</v>
      </c>
      <c r="G376" s="22">
        <v>20230112</v>
      </c>
      <c r="H376" s="56">
        <v>44938.983087002314</v>
      </c>
      <c r="I376">
        <v>867.75962667556405</v>
      </c>
      <c r="K376" s="21" t="s">
        <v>717</v>
      </c>
      <c r="L376" s="21" t="s">
        <v>707</v>
      </c>
      <c r="M376" s="21" t="s">
        <v>85</v>
      </c>
      <c r="N376" s="21" t="s">
        <v>186</v>
      </c>
      <c r="P376" t="str">
        <f t="shared" si="20"/>
        <v>FTM</v>
      </c>
      <c r="Q376">
        <f t="shared" si="21"/>
        <v>0.27344683929559233</v>
      </c>
      <c r="R376">
        <v>44.841106000000003</v>
      </c>
      <c r="S376">
        <f t="shared" si="22"/>
        <v>142299.32773227929</v>
      </c>
      <c r="T376" t="str">
        <f t="shared" si="24"/>
        <v xml:space="preserve">'FTM', </v>
      </c>
      <c r="AJ376" s="4" t="s">
        <v>148</v>
      </c>
      <c r="AK376" s="44">
        <v>3013993111.0959439</v>
      </c>
      <c r="AL376">
        <v>1548.0118504366519</v>
      </c>
    </row>
    <row r="377" spans="1:38" x14ac:dyDescent="0.25">
      <c r="A377">
        <v>375</v>
      </c>
      <c r="B377" t="s">
        <v>186</v>
      </c>
      <c r="C377" s="1">
        <v>2.53888889</v>
      </c>
      <c r="E377" t="s">
        <v>109</v>
      </c>
      <c r="F377">
        <v>0</v>
      </c>
      <c r="G377" s="22">
        <v>20230112</v>
      </c>
      <c r="H377" s="56">
        <v>44938.983087002314</v>
      </c>
      <c r="I377">
        <v>3.5057257739339498</v>
      </c>
      <c r="K377" s="21" t="s">
        <v>718</v>
      </c>
      <c r="L377" s="21" t="s">
        <v>707</v>
      </c>
      <c r="M377" s="21" t="s">
        <v>85</v>
      </c>
      <c r="N377" s="21" t="s">
        <v>186</v>
      </c>
      <c r="P377" t="str">
        <f t="shared" si="20"/>
        <v>FTT</v>
      </c>
      <c r="Q377">
        <f t="shared" si="21"/>
        <v>1.3808110263281155</v>
      </c>
      <c r="R377">
        <v>45.841106000000003</v>
      </c>
      <c r="S377">
        <f t="shared" si="22"/>
        <v>116.38547472871235</v>
      </c>
      <c r="T377" t="str">
        <f t="shared" si="24"/>
        <v xml:space="preserve">'FTT', </v>
      </c>
      <c r="AJ377" s="27" t="s">
        <v>85</v>
      </c>
      <c r="AK377" s="44">
        <v>3013993111.0959439</v>
      </c>
      <c r="AL377">
        <v>1548.0118504366519</v>
      </c>
    </row>
    <row r="378" spans="1:38" x14ac:dyDescent="0.25">
      <c r="A378">
        <v>376</v>
      </c>
      <c r="B378" t="s">
        <v>186</v>
      </c>
      <c r="C378" s="1">
        <v>8497.41400307</v>
      </c>
      <c r="E378" t="s">
        <v>415</v>
      </c>
      <c r="F378">
        <v>0</v>
      </c>
      <c r="G378" s="22">
        <v>20230112</v>
      </c>
      <c r="H378" s="56">
        <v>44938.983087002314</v>
      </c>
      <c r="I378">
        <v>624.57656973889596</v>
      </c>
      <c r="K378" s="21" t="s">
        <v>837</v>
      </c>
      <c r="L378" s="21" t="s">
        <v>707</v>
      </c>
      <c r="M378" s="21" t="s">
        <v>85</v>
      </c>
      <c r="N378" s="21" t="s">
        <v>186</v>
      </c>
      <c r="P378" t="str">
        <f t="shared" si="20"/>
        <v>GRT</v>
      </c>
      <c r="Q378">
        <f t="shared" si="21"/>
        <v>7.3501958303225534E-2</v>
      </c>
      <c r="R378">
        <v>46.841106000000003</v>
      </c>
      <c r="S378">
        <f t="shared" si="22"/>
        <v>398028.27004368621</v>
      </c>
      <c r="T378" t="str">
        <f t="shared" si="24"/>
        <v xml:space="preserve">'GRT', </v>
      </c>
      <c r="AJ378" s="4" t="s">
        <v>149</v>
      </c>
      <c r="AK378" s="44">
        <v>4.3068300000000002E-3</v>
      </c>
      <c r="AL378">
        <v>7.408290106056878E-4</v>
      </c>
    </row>
    <row r="379" spans="1:38" x14ac:dyDescent="0.25">
      <c r="A379">
        <v>377</v>
      </c>
      <c r="B379" t="s">
        <v>186</v>
      </c>
      <c r="C379" s="1">
        <v>255118.81084801001</v>
      </c>
      <c r="E379" t="s">
        <v>135</v>
      </c>
      <c r="F379">
        <v>0</v>
      </c>
      <c r="G379" s="22">
        <v>20230112</v>
      </c>
      <c r="H379" s="56">
        <v>44938.983087002314</v>
      </c>
      <c r="I379">
        <v>12155.808431128</v>
      </c>
      <c r="K379" s="21" t="s">
        <v>719</v>
      </c>
      <c r="L379" s="21" t="s">
        <v>707</v>
      </c>
      <c r="M379" s="21" t="s">
        <v>85</v>
      </c>
      <c r="N379" s="21" t="s">
        <v>186</v>
      </c>
      <c r="P379" t="str">
        <f t="shared" si="20"/>
        <v>HBAR</v>
      </c>
      <c r="Q379">
        <f t="shared" si="21"/>
        <v>4.7647636764699269E-2</v>
      </c>
      <c r="R379">
        <v>47.841106000000003</v>
      </c>
      <c r="S379">
        <f t="shared" si="22"/>
        <v>12205166.072373597</v>
      </c>
      <c r="T379" t="str">
        <f t="shared" si="24"/>
        <v xml:space="preserve">'HBAR', </v>
      </c>
      <c r="AJ379" s="27" t="s">
        <v>85</v>
      </c>
      <c r="AK379" s="44">
        <v>4.3068300000000002E-3</v>
      </c>
      <c r="AL379">
        <v>7.408290106056878E-4</v>
      </c>
    </row>
    <row r="380" spans="1:38" x14ac:dyDescent="0.25">
      <c r="A380">
        <v>378</v>
      </c>
      <c r="B380" t="s">
        <v>186</v>
      </c>
      <c r="C380" s="1">
        <v>9.2269799999999992E-3</v>
      </c>
      <c r="E380" t="s">
        <v>43</v>
      </c>
      <c r="F380">
        <v>0</v>
      </c>
      <c r="G380" s="22">
        <v>20230112</v>
      </c>
      <c r="H380" s="56">
        <v>44938.983087002314</v>
      </c>
      <c r="I380">
        <v>0.26137888695302802</v>
      </c>
      <c r="K380" s="21" t="s">
        <v>720</v>
      </c>
      <c r="L380" s="21" t="s">
        <v>707</v>
      </c>
      <c r="M380" s="21" t="s">
        <v>85</v>
      </c>
      <c r="N380" s="21" t="s">
        <v>186</v>
      </c>
      <c r="P380" t="str">
        <f t="shared" si="20"/>
        <v>KSM</v>
      </c>
      <c r="Q380">
        <f t="shared" si="21"/>
        <v>28.327674597000108</v>
      </c>
      <c r="R380">
        <v>48.841106000000003</v>
      </c>
      <c r="S380">
        <f t="shared" si="22"/>
        <v>0.45065590823988</v>
      </c>
      <c r="T380" t="str">
        <f t="shared" si="24"/>
        <v xml:space="preserve">'KSM', </v>
      </c>
      <c r="AJ380" s="4" t="s">
        <v>150</v>
      </c>
      <c r="AK380" s="44">
        <v>162254.56419957001</v>
      </c>
      <c r="AL380">
        <v>183203.58357909331</v>
      </c>
    </row>
    <row r="381" spans="1:38" x14ac:dyDescent="0.25">
      <c r="A381">
        <v>379</v>
      </c>
      <c r="B381" t="s">
        <v>186</v>
      </c>
      <c r="C381" s="1">
        <v>23.333333329999999</v>
      </c>
      <c r="E381" t="s">
        <v>27</v>
      </c>
      <c r="F381">
        <v>0</v>
      </c>
      <c r="G381" s="22">
        <v>20230112</v>
      </c>
      <c r="H381" s="56">
        <v>44938.983087002314</v>
      </c>
      <c r="I381">
        <v>148.89773620227899</v>
      </c>
      <c r="K381" s="21" t="s">
        <v>903</v>
      </c>
      <c r="L381" s="21" t="s">
        <v>707</v>
      </c>
      <c r="M381" s="21" t="s">
        <v>85</v>
      </c>
      <c r="N381" s="21" t="s">
        <v>186</v>
      </c>
      <c r="P381" t="str">
        <f t="shared" si="20"/>
        <v>LINK</v>
      </c>
      <c r="Q381">
        <f t="shared" si="21"/>
        <v>6.381331552437862</v>
      </c>
      <c r="R381">
        <v>49.841106000000003</v>
      </c>
      <c r="S381">
        <f t="shared" si="22"/>
        <v>1162.959139833863</v>
      </c>
      <c r="T381" t="str">
        <f t="shared" si="24"/>
        <v xml:space="preserve">'LINK', </v>
      </c>
      <c r="AJ381" s="27" t="s">
        <v>85</v>
      </c>
      <c r="AK381" s="44">
        <v>162254.56419957001</v>
      </c>
      <c r="AL381">
        <v>183203.58357909331</v>
      </c>
    </row>
    <row r="382" spans="1:38" x14ac:dyDescent="0.25">
      <c r="A382">
        <v>380</v>
      </c>
      <c r="B382" t="s">
        <v>186</v>
      </c>
      <c r="C382" s="1">
        <v>1.6666666699999999</v>
      </c>
      <c r="E382" t="s">
        <v>24</v>
      </c>
      <c r="F382">
        <v>0</v>
      </c>
      <c r="G382" s="22">
        <v>20230112</v>
      </c>
      <c r="H382" s="56">
        <v>44938.983087002314</v>
      </c>
      <c r="I382">
        <v>143.27371603780699</v>
      </c>
      <c r="K382" s="21" t="s">
        <v>799</v>
      </c>
      <c r="L382" s="21" t="s">
        <v>707</v>
      </c>
      <c r="M382" s="21" t="s">
        <v>85</v>
      </c>
      <c r="N382" s="21" t="s">
        <v>186</v>
      </c>
      <c r="P382" t="str">
        <f t="shared" si="20"/>
        <v>LTC</v>
      </c>
      <c r="Q382">
        <f t="shared" si="21"/>
        <v>85.964229450755738</v>
      </c>
      <c r="R382">
        <v>50.841106000000003</v>
      </c>
      <c r="S382">
        <f t="shared" si="22"/>
        <v>84.735176836137015</v>
      </c>
      <c r="T382" t="str">
        <f t="shared" si="24"/>
        <v xml:space="preserve">'LTC', </v>
      </c>
      <c r="AJ382" s="4" t="s">
        <v>151</v>
      </c>
      <c r="AK382" s="44">
        <v>0.34782034000000001</v>
      </c>
      <c r="AL382">
        <v>8.0812801871423298E-2</v>
      </c>
    </row>
    <row r="383" spans="1:38" x14ac:dyDescent="0.25">
      <c r="A383">
        <v>381</v>
      </c>
      <c r="B383" t="s">
        <v>186</v>
      </c>
      <c r="C383" s="1">
        <v>150.97894937000001</v>
      </c>
      <c r="E383" t="s">
        <v>192</v>
      </c>
      <c r="F383">
        <v>0</v>
      </c>
      <c r="G383" s="22">
        <v>20230112</v>
      </c>
      <c r="H383" s="56">
        <v>44938.983087002314</v>
      </c>
      <c r="I383">
        <v>62.271625276872697</v>
      </c>
      <c r="K383" s="21" t="s">
        <v>721</v>
      </c>
      <c r="L383" s="21" t="s">
        <v>707</v>
      </c>
      <c r="M383" s="21" t="s">
        <v>85</v>
      </c>
      <c r="N383" s="21" t="s">
        <v>186</v>
      </c>
      <c r="P383" t="str">
        <f t="shared" si="20"/>
        <v>MANA</v>
      </c>
      <c r="Q383">
        <f t="shared" si="21"/>
        <v>0.41245236860315748</v>
      </c>
      <c r="R383">
        <v>51.841106000000003</v>
      </c>
      <c r="S383">
        <f t="shared" si="22"/>
        <v>7826.9157180588045</v>
      </c>
      <c r="T383" t="str">
        <f t="shared" si="24"/>
        <v xml:space="preserve">'MANA', </v>
      </c>
      <c r="AJ383" s="27" t="s">
        <v>85</v>
      </c>
      <c r="AK383" s="44">
        <v>0.34782034000000001</v>
      </c>
      <c r="AL383">
        <v>8.0812801871423298E-2</v>
      </c>
    </row>
    <row r="384" spans="1:38" x14ac:dyDescent="0.25">
      <c r="A384">
        <v>382</v>
      </c>
      <c r="B384" t="s">
        <v>186</v>
      </c>
      <c r="C384" s="1">
        <v>2464.7238741799902</v>
      </c>
      <c r="E384" t="s">
        <v>193</v>
      </c>
      <c r="F384">
        <v>0</v>
      </c>
      <c r="G384" s="22">
        <v>20230112</v>
      </c>
      <c r="H384" s="56">
        <v>44938.983087002314</v>
      </c>
      <c r="I384">
        <v>2258.3996558272402</v>
      </c>
      <c r="K384" s="21" t="s">
        <v>975</v>
      </c>
      <c r="L384" s="21" t="s">
        <v>707</v>
      </c>
      <c r="M384" s="21" t="s">
        <v>85</v>
      </c>
      <c r="N384" s="21" t="s">
        <v>186</v>
      </c>
      <c r="P384" t="str">
        <f t="shared" si="20"/>
        <v>MATIC</v>
      </c>
      <c r="Q384">
        <f t="shared" si="21"/>
        <v>0.91628911436523752</v>
      </c>
      <c r="R384">
        <v>52.841106000000003</v>
      </c>
      <c r="S384">
        <f t="shared" si="22"/>
        <v>130238.73549627553</v>
      </c>
      <c r="T384" t="str">
        <f t="shared" si="24"/>
        <v xml:space="preserve">'MATIC', </v>
      </c>
      <c r="AJ384" s="4" t="s">
        <v>89</v>
      </c>
      <c r="AK384" s="44">
        <v>950734.69046149997</v>
      </c>
      <c r="AL384">
        <v>77537.718424978273</v>
      </c>
    </row>
    <row r="385" spans="1:38" x14ac:dyDescent="0.25">
      <c r="A385">
        <v>383</v>
      </c>
      <c r="B385" t="s">
        <v>186</v>
      </c>
      <c r="C385" s="1">
        <v>3.27084449</v>
      </c>
      <c r="E385" t="s">
        <v>413</v>
      </c>
      <c r="F385">
        <v>0</v>
      </c>
      <c r="G385" s="22">
        <v>20230112</v>
      </c>
      <c r="H385" s="56">
        <v>44938.983087002314</v>
      </c>
      <c r="I385">
        <v>2134.4735182886802</v>
      </c>
      <c r="K385" s="21" t="s">
        <v>960</v>
      </c>
      <c r="L385" s="21" t="s">
        <v>707</v>
      </c>
      <c r="M385" s="21" t="s">
        <v>85</v>
      </c>
      <c r="N385" s="21" t="s">
        <v>186</v>
      </c>
      <c r="P385" t="str">
        <f t="shared" si="20"/>
        <v>MKR</v>
      </c>
      <c r="Q385">
        <f t="shared" si="21"/>
        <v>652.57566503526436</v>
      </c>
      <c r="R385">
        <v>53.841106000000003</v>
      </c>
      <c r="S385">
        <f t="shared" si="22"/>
        <v>176.10588489560595</v>
      </c>
      <c r="T385" t="str">
        <f t="shared" si="24"/>
        <v xml:space="preserve">'MKR', </v>
      </c>
      <c r="AJ385" s="27" t="s">
        <v>85</v>
      </c>
      <c r="AK385" s="44">
        <v>950734.69046149997</v>
      </c>
      <c r="AL385">
        <v>77537.718424978273</v>
      </c>
    </row>
    <row r="386" spans="1:38" x14ac:dyDescent="0.25">
      <c r="A386">
        <v>384</v>
      </c>
      <c r="B386" t="s">
        <v>186</v>
      </c>
      <c r="C386" s="1">
        <v>204.55099999999999</v>
      </c>
      <c r="E386" t="s">
        <v>150</v>
      </c>
      <c r="F386">
        <v>0</v>
      </c>
      <c r="G386" s="22">
        <v>20230112</v>
      </c>
      <c r="H386" s="56">
        <v>44938.983087002314</v>
      </c>
      <c r="I386">
        <v>247.97144936939401</v>
      </c>
      <c r="K386" s="21" t="s">
        <v>722</v>
      </c>
      <c r="L386" s="21" t="s">
        <v>707</v>
      </c>
      <c r="M386" s="21" t="s">
        <v>85</v>
      </c>
      <c r="N386" s="21" t="s">
        <v>186</v>
      </c>
      <c r="P386" t="str">
        <f t="shared" ref="P386:P407" si="25">IF($C386="","",$E386)</f>
        <v>OMG</v>
      </c>
      <c r="Q386">
        <f t="shared" si="21"/>
        <v>1.212271997542882</v>
      </c>
      <c r="R386">
        <v>54.841106000000003</v>
      </c>
      <c r="S386">
        <f t="shared" si="22"/>
        <v>11217.803073405999</v>
      </c>
      <c r="T386" t="str">
        <f t="shared" si="24"/>
        <v xml:space="preserve">'OMG', </v>
      </c>
      <c r="AJ386" s="4" t="s">
        <v>152</v>
      </c>
      <c r="AK386" s="44">
        <v>3.0962099999999998E-3</v>
      </c>
      <c r="AL386">
        <v>6.2342268195535906E-3</v>
      </c>
    </row>
    <row r="387" spans="1:38" x14ac:dyDescent="0.25">
      <c r="A387">
        <v>385</v>
      </c>
      <c r="B387" t="s">
        <v>186</v>
      </c>
      <c r="C387" s="1">
        <v>837715.31955742999</v>
      </c>
      <c r="E387" t="s">
        <v>89</v>
      </c>
      <c r="F387">
        <v>0</v>
      </c>
      <c r="G387" s="22">
        <v>20230112</v>
      </c>
      <c r="H387" s="56">
        <v>44938.983087002314</v>
      </c>
      <c r="I387">
        <v>61420.727562620697</v>
      </c>
      <c r="K387" s="21" t="s">
        <v>723</v>
      </c>
      <c r="L387" s="21" t="s">
        <v>707</v>
      </c>
      <c r="M387" s="21" t="s">
        <v>85</v>
      </c>
      <c r="N387" s="21" t="s">
        <v>186</v>
      </c>
      <c r="P387" t="str">
        <f t="shared" si="25"/>
        <v>OXT</v>
      </c>
      <c r="Q387">
        <f t="shared" si="21"/>
        <v>7.3319331912265417E-2</v>
      </c>
      <c r="R387">
        <v>55.841106000000003</v>
      </c>
      <c r="S387">
        <f t="shared" si="22"/>
        <v>46778949.957230322</v>
      </c>
      <c r="T387" t="str">
        <f t="shared" si="24"/>
        <v xml:space="preserve">'OXT', </v>
      </c>
      <c r="AJ387" s="27" t="s">
        <v>85</v>
      </c>
      <c r="AK387" s="44">
        <v>3.0962099999999998E-3</v>
      </c>
      <c r="AL387">
        <v>6.2342268195535906E-3</v>
      </c>
    </row>
    <row r="388" spans="1:38" x14ac:dyDescent="0.25">
      <c r="A388">
        <v>386</v>
      </c>
      <c r="B388" t="s">
        <v>186</v>
      </c>
      <c r="C388" s="1">
        <v>1682891321.7256501</v>
      </c>
      <c r="E388" t="s">
        <v>37</v>
      </c>
      <c r="F388">
        <v>0</v>
      </c>
      <c r="G388" s="22">
        <v>20230112</v>
      </c>
      <c r="H388" s="56">
        <v>44938.983087002314</v>
      </c>
      <c r="I388">
        <v>15939.308828626001</v>
      </c>
      <c r="K388" s="21" t="s">
        <v>833</v>
      </c>
      <c r="L388" s="21" t="s">
        <v>707</v>
      </c>
      <c r="M388" s="21" t="s">
        <v>85</v>
      </c>
      <c r="N388" s="21" t="s">
        <v>186</v>
      </c>
      <c r="P388" t="str">
        <f t="shared" si="25"/>
        <v>SHIB</v>
      </c>
      <c r="Q388">
        <f t="shared" ref="Q388:Q407" si="26">IF($C388="","",$I388/$C388)</f>
        <v>9.4713833405960569E-6</v>
      </c>
      <c r="R388">
        <v>56.841106000000003</v>
      </c>
      <c r="S388">
        <f t="shared" ref="S388:S407" si="27">IF($B388="","",$C388*$R388)</f>
        <v>95657404004.68779</v>
      </c>
      <c r="T388" t="str">
        <f t="shared" si="24"/>
        <v xml:space="preserve">'SHIB', </v>
      </c>
      <c r="AJ388" s="4" t="s">
        <v>153</v>
      </c>
      <c r="AK388" s="44">
        <v>2.6598900000000002E-2</v>
      </c>
      <c r="AL388">
        <v>5.9957183944127747E-4</v>
      </c>
    </row>
    <row r="389" spans="1:38" x14ac:dyDescent="0.25">
      <c r="A389">
        <v>387</v>
      </c>
      <c r="B389" t="s">
        <v>186</v>
      </c>
      <c r="C389" s="1">
        <v>11.66666667</v>
      </c>
      <c r="E389" t="s">
        <v>154</v>
      </c>
      <c r="F389">
        <v>0</v>
      </c>
      <c r="G389" s="22">
        <v>20230112</v>
      </c>
      <c r="H389" s="56">
        <v>44938.983087002314</v>
      </c>
      <c r="I389">
        <v>193.888849012995</v>
      </c>
      <c r="K389" s="21" t="s">
        <v>976</v>
      </c>
      <c r="L389" s="21" t="s">
        <v>707</v>
      </c>
      <c r="M389" s="21" t="s">
        <v>85</v>
      </c>
      <c r="N389" s="21" t="s">
        <v>186</v>
      </c>
      <c r="P389" t="str">
        <f t="shared" si="25"/>
        <v>SOL</v>
      </c>
      <c r="Q389">
        <f t="shared" si="26"/>
        <v>16.619044196365557</v>
      </c>
      <c r="R389">
        <v>57.841106000000003</v>
      </c>
      <c r="S389">
        <f t="shared" si="27"/>
        <v>674.81290352613701</v>
      </c>
      <c r="T389" t="str">
        <f t="shared" si="24"/>
        <v xml:space="preserve">'SOL', </v>
      </c>
      <c r="AJ389" s="27" t="s">
        <v>85</v>
      </c>
      <c r="AK389" s="44">
        <v>2.6598900000000002E-2</v>
      </c>
      <c r="AL389">
        <v>5.9957183944127747E-4</v>
      </c>
    </row>
    <row r="390" spans="1:38" x14ac:dyDescent="0.25">
      <c r="A390">
        <v>388</v>
      </c>
      <c r="B390" t="s">
        <v>186</v>
      </c>
      <c r="C390" s="1">
        <v>719.80145141000003</v>
      </c>
      <c r="E390" t="s">
        <v>414</v>
      </c>
      <c r="F390">
        <v>0</v>
      </c>
      <c r="G390" s="22">
        <v>20230112</v>
      </c>
      <c r="H390" s="56">
        <v>44938.983087002314</v>
      </c>
      <c r="I390">
        <v>818.91061212288105</v>
      </c>
      <c r="K390" s="21" t="s">
        <v>838</v>
      </c>
      <c r="L390" s="21" t="s">
        <v>707</v>
      </c>
      <c r="M390" s="21" t="s">
        <v>85</v>
      </c>
      <c r="N390" s="21" t="s">
        <v>186</v>
      </c>
      <c r="P390" t="str">
        <f t="shared" si="25"/>
        <v>SUSHI</v>
      </c>
      <c r="Q390">
        <f t="shared" si="26"/>
        <v>1.1376895816460757</v>
      </c>
      <c r="R390">
        <v>58.841106000000003</v>
      </c>
      <c r="S390">
        <f t="shared" si="27"/>
        <v>42353.913501369665</v>
      </c>
      <c r="T390" t="str">
        <f t="shared" si="24"/>
        <v xml:space="preserve">'SUSHI', </v>
      </c>
      <c r="AJ390" s="4" t="s">
        <v>98</v>
      </c>
      <c r="AK390" s="44">
        <v>1214222.2371159999</v>
      </c>
      <c r="AL390">
        <v>14587.05820208952</v>
      </c>
    </row>
    <row r="391" spans="1:38" x14ac:dyDescent="0.25">
      <c r="A391">
        <v>389</v>
      </c>
      <c r="B391" t="s">
        <v>186</v>
      </c>
      <c r="C391" s="1">
        <v>308.31158293999999</v>
      </c>
      <c r="E391" t="s">
        <v>159</v>
      </c>
      <c r="F391">
        <v>0</v>
      </c>
      <c r="G391" s="22">
        <v>20230112</v>
      </c>
      <c r="H391" s="56">
        <v>44938.983087002314</v>
      </c>
      <c r="I391">
        <v>1903.3249551695501</v>
      </c>
      <c r="K391" s="21" t="s">
        <v>724</v>
      </c>
      <c r="L391" s="21" t="s">
        <v>707</v>
      </c>
      <c r="M391" s="21" t="s">
        <v>85</v>
      </c>
      <c r="N391" s="21" t="s">
        <v>186</v>
      </c>
      <c r="P391" t="str">
        <f t="shared" si="25"/>
        <v>UNI</v>
      </c>
      <c r="Q391">
        <f t="shared" si="26"/>
        <v>6.1733812820777256</v>
      </c>
      <c r="R391">
        <v>59.841106000000003</v>
      </c>
      <c r="S391">
        <f t="shared" si="27"/>
        <v>18449.706115740333</v>
      </c>
      <c r="T391" t="str">
        <f t="shared" si="24"/>
        <v xml:space="preserve">'UNI', </v>
      </c>
      <c r="AJ391" s="27" t="s">
        <v>85</v>
      </c>
      <c r="AK391" s="44">
        <v>1214222.2371159999</v>
      </c>
      <c r="AL391">
        <v>14587.05820208952</v>
      </c>
    </row>
    <row r="392" spans="1:38" x14ac:dyDescent="0.25">
      <c r="A392">
        <v>390</v>
      </c>
      <c r="B392" t="s">
        <v>186</v>
      </c>
      <c r="C392" s="1">
        <v>18401408.683667999</v>
      </c>
      <c r="E392" t="s">
        <v>92</v>
      </c>
      <c r="F392">
        <v>0</v>
      </c>
      <c r="G392" s="22">
        <v>20230112</v>
      </c>
      <c r="H392" s="56">
        <v>44938.983087002314</v>
      </c>
      <c r="I392">
        <v>18402736.3384481</v>
      </c>
      <c r="K392" s="21" t="s">
        <v>725</v>
      </c>
      <c r="L392" s="21" t="s">
        <v>707</v>
      </c>
      <c r="M392" s="21" t="s">
        <v>85</v>
      </c>
      <c r="N392" s="21" t="s">
        <v>186</v>
      </c>
      <c r="P392" t="str">
        <f t="shared" si="25"/>
        <v>USDC</v>
      </c>
      <c r="Q392">
        <f t="shared" si="26"/>
        <v>1.0000721496273968</v>
      </c>
      <c r="R392">
        <v>60.841106000000003</v>
      </c>
      <c r="S392">
        <f t="shared" si="27"/>
        <v>1119562056.2723653</v>
      </c>
      <c r="T392" t="str">
        <f t="shared" si="24"/>
        <v xml:space="preserve">'USDC', </v>
      </c>
      <c r="AJ392" s="4" t="s">
        <v>37</v>
      </c>
      <c r="AK392" s="44">
        <v>4793408512.5576334</v>
      </c>
      <c r="AL392">
        <v>43276.365929827021</v>
      </c>
    </row>
    <row r="393" spans="1:38" x14ac:dyDescent="0.25">
      <c r="A393">
        <v>391</v>
      </c>
      <c r="B393" t="s">
        <v>186</v>
      </c>
      <c r="C393" s="1">
        <v>1579950.0448429999</v>
      </c>
      <c r="E393" t="s">
        <v>38</v>
      </c>
      <c r="F393">
        <v>0</v>
      </c>
      <c r="G393" s="22">
        <v>20230112</v>
      </c>
      <c r="H393" s="56">
        <v>44938.983087002314</v>
      </c>
      <c r="I393">
        <v>1580095.4779562</v>
      </c>
      <c r="K393" s="21" t="s">
        <v>726</v>
      </c>
      <c r="L393" s="21" t="s">
        <v>707</v>
      </c>
      <c r="M393" s="21" t="s">
        <v>85</v>
      </c>
      <c r="N393" s="21" t="s">
        <v>186</v>
      </c>
      <c r="P393" t="str">
        <f t="shared" si="25"/>
        <v>USDT</v>
      </c>
      <c r="Q393">
        <f t="shared" si="26"/>
        <v>1.0000920491845136</v>
      </c>
      <c r="R393">
        <v>61.841106000000003</v>
      </c>
      <c r="S393">
        <f t="shared" si="27"/>
        <v>97705858.19784072</v>
      </c>
      <c r="T393" t="str">
        <f t="shared" si="24"/>
        <v xml:space="preserve">'USDT', </v>
      </c>
      <c r="AJ393" s="27" t="s">
        <v>85</v>
      </c>
      <c r="AK393" s="44">
        <v>4793408512.5576334</v>
      </c>
      <c r="AL393">
        <v>43276.365929827021</v>
      </c>
    </row>
    <row r="394" spans="1:38" x14ac:dyDescent="0.25">
      <c r="A394">
        <v>392</v>
      </c>
      <c r="B394" t="s">
        <v>186</v>
      </c>
      <c r="C394" s="1">
        <v>25070.457326</v>
      </c>
      <c r="E394" t="s">
        <v>163</v>
      </c>
      <c r="F394">
        <v>0</v>
      </c>
      <c r="G394" s="22">
        <v>20230112</v>
      </c>
      <c r="H394" s="56">
        <v>44938.983087002314</v>
      </c>
      <c r="I394">
        <v>2046.8470003258101</v>
      </c>
      <c r="K394" s="21" t="s">
        <v>727</v>
      </c>
      <c r="L394" s="21" t="s">
        <v>707</v>
      </c>
      <c r="M394" s="21" t="s">
        <v>85</v>
      </c>
      <c r="N394" s="21" t="s">
        <v>186</v>
      </c>
      <c r="P394" t="str">
        <f t="shared" si="25"/>
        <v>XLM</v>
      </c>
      <c r="Q394">
        <f t="shared" si="26"/>
        <v>8.1643783905093414E-2</v>
      </c>
      <c r="R394">
        <v>62.841106000000003</v>
      </c>
      <c r="S394">
        <f t="shared" si="27"/>
        <v>1575455.2662916426</v>
      </c>
      <c r="T394" t="str">
        <f t="shared" si="24"/>
        <v xml:space="preserve">'XLM', </v>
      </c>
      <c r="AJ394" s="4" t="s">
        <v>154</v>
      </c>
      <c r="AK394" s="44">
        <v>0.14106867000000001</v>
      </c>
      <c r="AL394">
        <v>1.8571025375708929</v>
      </c>
    </row>
    <row r="395" spans="1:38" x14ac:dyDescent="0.25">
      <c r="A395">
        <v>393</v>
      </c>
      <c r="B395" t="s">
        <v>186</v>
      </c>
      <c r="C395" s="1">
        <v>283.58991600000002</v>
      </c>
      <c r="E395" t="s">
        <v>99</v>
      </c>
      <c r="F395">
        <v>0</v>
      </c>
      <c r="G395" s="22">
        <v>20230112</v>
      </c>
      <c r="H395" s="56">
        <v>44938.983087002314</v>
      </c>
      <c r="I395" s="20">
        <v>106.40212605182001</v>
      </c>
      <c r="K395" s="21" t="s">
        <v>728</v>
      </c>
      <c r="L395" s="21" t="s">
        <v>707</v>
      </c>
      <c r="M395" s="21" t="s">
        <v>85</v>
      </c>
      <c r="N395" s="21" t="s">
        <v>186</v>
      </c>
      <c r="P395" t="str">
        <f t="shared" si="25"/>
        <v>XRP</v>
      </c>
      <c r="Q395">
        <f t="shared" si="26"/>
        <v>0.37519714224189832</v>
      </c>
      <c r="R395">
        <v>63.841106000000003</v>
      </c>
      <c r="S395">
        <f t="shared" si="27"/>
        <v>18104.693887887097</v>
      </c>
      <c r="T395" t="str">
        <f t="shared" si="24"/>
        <v xml:space="preserve">'XRP', </v>
      </c>
      <c r="AJ395" s="27" t="s">
        <v>85</v>
      </c>
      <c r="AK395" s="44">
        <v>0.14106867000000001</v>
      </c>
      <c r="AL395">
        <v>1.8571025375708929</v>
      </c>
    </row>
    <row r="396" spans="1:38" x14ac:dyDescent="0.25">
      <c r="A396">
        <v>394</v>
      </c>
      <c r="B396" t="s">
        <v>186</v>
      </c>
      <c r="C396" s="1">
        <v>599.81476599999996</v>
      </c>
      <c r="E396" t="s">
        <v>164</v>
      </c>
      <c r="F396">
        <v>0</v>
      </c>
      <c r="G396" s="22">
        <v>20230112</v>
      </c>
      <c r="H396" s="56">
        <v>44938.983087002314</v>
      </c>
      <c r="I396" s="20">
        <v>533.37318976092899</v>
      </c>
      <c r="K396" s="21" t="s">
        <v>906</v>
      </c>
      <c r="L396" s="21" t="s">
        <v>707</v>
      </c>
      <c r="M396" s="21" t="s">
        <v>85</v>
      </c>
      <c r="N396" s="21" t="s">
        <v>186</v>
      </c>
      <c r="P396" t="str">
        <f t="shared" si="25"/>
        <v>XTZ</v>
      </c>
      <c r="Q396">
        <f t="shared" si="26"/>
        <v>0.88922984226921986</v>
      </c>
      <c r="R396">
        <v>64.841105999999996</v>
      </c>
      <c r="S396">
        <f t="shared" si="27"/>
        <v>38892.652822571188</v>
      </c>
      <c r="T396" t="str">
        <f t="shared" si="24"/>
        <v xml:space="preserve">'XTZ', </v>
      </c>
      <c r="AJ396" s="4" t="s">
        <v>155</v>
      </c>
      <c r="AK396" s="44">
        <v>38753.774400000002</v>
      </c>
      <c r="AL396">
        <v>7978.226257767119</v>
      </c>
    </row>
    <row r="397" spans="1:38" x14ac:dyDescent="0.25">
      <c r="A397">
        <v>395</v>
      </c>
      <c r="B397" t="s">
        <v>186</v>
      </c>
      <c r="C397" s="1">
        <v>3.444444E-2</v>
      </c>
      <c r="E397" t="s">
        <v>171</v>
      </c>
      <c r="F397">
        <v>0</v>
      </c>
      <c r="G397" s="22">
        <v>20230112</v>
      </c>
      <c r="H397" s="56">
        <v>44938.983087002314</v>
      </c>
      <c r="I397" s="20">
        <v>214.737571186076</v>
      </c>
      <c r="K397" s="21" t="s">
        <v>729</v>
      </c>
      <c r="L397" s="21" t="s">
        <v>707</v>
      </c>
      <c r="M397" s="21" t="s">
        <v>85</v>
      </c>
      <c r="N397" s="21" t="s">
        <v>186</v>
      </c>
      <c r="P397" t="str">
        <f t="shared" si="25"/>
        <v>YFI</v>
      </c>
      <c r="Q397">
        <f t="shared" si="26"/>
        <v>6234.3173872496109</v>
      </c>
      <c r="R397">
        <v>65.841105999999996</v>
      </c>
      <c r="S397">
        <f t="shared" si="27"/>
        <v>2.26786002515064</v>
      </c>
      <c r="T397" t="str">
        <f t="shared" si="24"/>
        <v xml:space="preserve">'YFI', </v>
      </c>
      <c r="AJ397" s="27" t="s">
        <v>85</v>
      </c>
      <c r="AK397" s="44">
        <v>38753.774400000002</v>
      </c>
      <c r="AL397">
        <v>7978.226257767119</v>
      </c>
    </row>
    <row r="398" spans="1:38" x14ac:dyDescent="0.25">
      <c r="A398">
        <v>396</v>
      </c>
      <c r="B398" t="s">
        <v>194</v>
      </c>
      <c r="C398" s="1">
        <v>-900</v>
      </c>
      <c r="E398" t="s">
        <v>116</v>
      </c>
      <c r="F398" t="s">
        <v>515</v>
      </c>
      <c r="G398" s="22">
        <v>20230112</v>
      </c>
      <c r="H398" s="56">
        <v>44939.000002199071</v>
      </c>
      <c r="I398">
        <v>-61075.022878173899</v>
      </c>
      <c r="K398" s="21" t="s">
        <v>730</v>
      </c>
      <c r="L398" s="21" t="s">
        <v>731</v>
      </c>
      <c r="M398" s="21" t="s">
        <v>195</v>
      </c>
      <c r="N398" s="21" t="s">
        <v>86</v>
      </c>
      <c r="P398" t="str">
        <f t="shared" si="25"/>
        <v>AAVE</v>
      </c>
      <c r="Q398">
        <f t="shared" si="26"/>
        <v>67.861136531304325</v>
      </c>
      <c r="R398">
        <v>66.841105999999996</v>
      </c>
      <c r="S398">
        <f t="shared" si="27"/>
        <v>-60156.9954</v>
      </c>
      <c r="T398" t="str">
        <f t="shared" si="24"/>
        <v xml:space="preserve">'AAVE', </v>
      </c>
      <c r="AJ398" s="4" t="s">
        <v>156</v>
      </c>
      <c r="AK398" s="44">
        <v>29.76350429</v>
      </c>
      <c r="AL398">
        <v>8.7891975775563402</v>
      </c>
    </row>
    <row r="399" spans="1:38" x14ac:dyDescent="0.25">
      <c r="A399">
        <v>397</v>
      </c>
      <c r="B399" t="s">
        <v>194</v>
      </c>
      <c r="C399" s="1">
        <v>-450000</v>
      </c>
      <c r="E399" t="s">
        <v>84</v>
      </c>
      <c r="F399" t="s">
        <v>515</v>
      </c>
      <c r="G399" s="22">
        <v>20230112</v>
      </c>
      <c r="H399" s="56">
        <v>44939.000002199071</v>
      </c>
      <c r="I399">
        <v>-148391.313634519</v>
      </c>
      <c r="K399" s="21" t="s">
        <v>732</v>
      </c>
      <c r="L399" s="21" t="s">
        <v>731</v>
      </c>
      <c r="M399" s="21" t="s">
        <v>195</v>
      </c>
      <c r="N399" s="21" t="s">
        <v>86</v>
      </c>
      <c r="P399" t="str">
        <f t="shared" si="25"/>
        <v>ADA</v>
      </c>
      <c r="Q399">
        <f t="shared" si="26"/>
        <v>0.32975847474337555</v>
      </c>
      <c r="R399">
        <v>67.841105999999996</v>
      </c>
      <c r="S399">
        <f t="shared" si="27"/>
        <v>-30528497.699999999</v>
      </c>
      <c r="T399" t="str">
        <f t="shared" si="24"/>
        <v xml:space="preserve">'ADA', </v>
      </c>
      <c r="AJ399" s="27" t="s">
        <v>85</v>
      </c>
      <c r="AK399" s="44">
        <v>29.76350429</v>
      </c>
      <c r="AL399">
        <v>8.7891975775563402</v>
      </c>
    </row>
    <row r="400" spans="1:38" x14ac:dyDescent="0.25">
      <c r="A400">
        <v>398</v>
      </c>
      <c r="B400" t="s">
        <v>194</v>
      </c>
      <c r="C400" s="1">
        <v>-244800</v>
      </c>
      <c r="E400" t="s">
        <v>122</v>
      </c>
      <c r="F400" t="s">
        <v>515</v>
      </c>
      <c r="G400" s="22">
        <v>20230112</v>
      </c>
      <c r="H400" s="56">
        <v>44939.000002199071</v>
      </c>
      <c r="I400">
        <v>-52026.485137980802</v>
      </c>
      <c r="K400" s="21" t="s">
        <v>733</v>
      </c>
      <c r="L400" s="21" t="s">
        <v>731</v>
      </c>
      <c r="M400" s="21" t="s">
        <v>195</v>
      </c>
      <c r="N400" s="21" t="s">
        <v>86</v>
      </c>
      <c r="P400" t="str">
        <f t="shared" si="25"/>
        <v>ALGO</v>
      </c>
      <c r="Q400">
        <f t="shared" si="26"/>
        <v>0.21252649157671896</v>
      </c>
      <c r="R400">
        <v>68.841105999999996</v>
      </c>
      <c r="S400">
        <f t="shared" si="27"/>
        <v>-16852302.748799998</v>
      </c>
      <c r="T400" t="str">
        <f t="shared" si="24"/>
        <v xml:space="preserve">'ALGO', </v>
      </c>
      <c r="AJ400" s="4" t="s">
        <v>25</v>
      </c>
      <c r="AK400" s="44">
        <v>-14515248.94181318</v>
      </c>
      <c r="AL400">
        <v>-738701.82282670285</v>
      </c>
    </row>
    <row r="401" spans="1:38" x14ac:dyDescent="0.25">
      <c r="A401">
        <v>399</v>
      </c>
      <c r="B401" t="s">
        <v>194</v>
      </c>
      <c r="C401" s="1">
        <v>-6000</v>
      </c>
      <c r="E401" t="s">
        <v>187</v>
      </c>
      <c r="F401" t="s">
        <v>515</v>
      </c>
      <c r="G401" s="22">
        <v>20230112</v>
      </c>
      <c r="H401" s="56">
        <v>44939.000002199071</v>
      </c>
      <c r="I401">
        <v>-92744.101558686598</v>
      </c>
      <c r="K401" s="21" t="s">
        <v>734</v>
      </c>
      <c r="L401" s="21" t="s">
        <v>731</v>
      </c>
      <c r="M401" s="21" t="s">
        <v>195</v>
      </c>
      <c r="N401" s="21" t="s">
        <v>86</v>
      </c>
      <c r="P401" t="str">
        <f t="shared" si="25"/>
        <v>AVAX</v>
      </c>
      <c r="Q401">
        <f t="shared" si="26"/>
        <v>15.4573502597811</v>
      </c>
      <c r="R401">
        <v>69.841105999999996</v>
      </c>
      <c r="S401">
        <f t="shared" si="27"/>
        <v>-419046.636</v>
      </c>
      <c r="T401" t="str">
        <f t="shared" si="24"/>
        <v xml:space="preserve">'AVAX', </v>
      </c>
      <c r="AJ401" s="27" t="s">
        <v>85</v>
      </c>
      <c r="AK401" s="44">
        <v>12984751.05818682</v>
      </c>
      <c r="AL401">
        <v>660812.59192206408</v>
      </c>
    </row>
    <row r="402" spans="1:38" x14ac:dyDescent="0.25">
      <c r="A402">
        <v>400</v>
      </c>
      <c r="B402" t="s">
        <v>194</v>
      </c>
      <c r="C402" s="1">
        <v>-200000</v>
      </c>
      <c r="E402" t="s">
        <v>124</v>
      </c>
      <c r="F402" t="s">
        <v>515</v>
      </c>
      <c r="G402" s="22">
        <v>20230112</v>
      </c>
      <c r="H402" s="56">
        <v>44939.000002199071</v>
      </c>
      <c r="I402">
        <v>-40954.803038368504</v>
      </c>
      <c r="K402" s="21" t="s">
        <v>735</v>
      </c>
      <c r="L402" s="21" t="s">
        <v>731</v>
      </c>
      <c r="M402" s="21" t="s">
        <v>195</v>
      </c>
      <c r="N402" s="21" t="s">
        <v>86</v>
      </c>
      <c r="P402" t="str">
        <f t="shared" si="25"/>
        <v>BAT</v>
      </c>
      <c r="Q402">
        <f t="shared" si="26"/>
        <v>0.20477401519184252</v>
      </c>
      <c r="R402">
        <v>70.841105999999996</v>
      </c>
      <c r="S402">
        <f t="shared" si="27"/>
        <v>-14168221.199999999</v>
      </c>
      <c r="T402" t="str">
        <f t="shared" si="24"/>
        <v xml:space="preserve">'BAT', </v>
      </c>
      <c r="AJ402" s="27" t="s">
        <v>195</v>
      </c>
      <c r="AK402" s="44">
        <v>-27500000</v>
      </c>
      <c r="AL402">
        <v>-1399514.4147487669</v>
      </c>
    </row>
    <row r="403" spans="1:38" x14ac:dyDescent="0.25">
      <c r="A403">
        <v>401</v>
      </c>
      <c r="B403" t="s">
        <v>194</v>
      </c>
      <c r="C403" s="1">
        <v>-90</v>
      </c>
      <c r="E403" t="s">
        <v>20</v>
      </c>
      <c r="F403" t="s">
        <v>515</v>
      </c>
      <c r="G403" s="22">
        <v>20230112</v>
      </c>
      <c r="H403" s="56">
        <v>44939.000002199071</v>
      </c>
      <c r="I403">
        <v>-10773.941952367</v>
      </c>
      <c r="K403" s="21" t="s">
        <v>736</v>
      </c>
      <c r="L403" s="21" t="s">
        <v>731</v>
      </c>
      <c r="M403" s="21" t="s">
        <v>195</v>
      </c>
      <c r="N403" s="21" t="s">
        <v>86</v>
      </c>
      <c r="P403" t="str">
        <f t="shared" si="25"/>
        <v>BCH</v>
      </c>
      <c r="Q403">
        <f t="shared" si="26"/>
        <v>119.71046613741112</v>
      </c>
      <c r="R403">
        <v>71.841105999999996</v>
      </c>
      <c r="S403">
        <f t="shared" si="27"/>
        <v>-6465.6995399999996</v>
      </c>
      <c r="T403" t="str">
        <f t="shared" si="24"/>
        <v xml:space="preserve">'BCH', </v>
      </c>
      <c r="AJ403" s="4" t="s">
        <v>157</v>
      </c>
      <c r="AK403" s="44">
        <v>6.3152970000000003E-2</v>
      </c>
      <c r="AL403">
        <v>2.1142595802624739E-4</v>
      </c>
    </row>
    <row r="404" spans="1:38" x14ac:dyDescent="0.25">
      <c r="A404">
        <v>402</v>
      </c>
      <c r="B404" t="s">
        <v>194</v>
      </c>
      <c r="C404" s="1">
        <v>-4800</v>
      </c>
      <c r="E404" t="s">
        <v>31</v>
      </c>
      <c r="F404" t="s">
        <v>515</v>
      </c>
      <c r="G404" s="22">
        <v>20230112</v>
      </c>
      <c r="H404" s="56">
        <v>44939.000002199071</v>
      </c>
      <c r="I404">
        <v>-180990.80740570201</v>
      </c>
      <c r="K404" s="21" t="s">
        <v>737</v>
      </c>
      <c r="L404" s="21" t="s">
        <v>731</v>
      </c>
      <c r="M404" s="21" t="s">
        <v>195</v>
      </c>
      <c r="N404" s="21" t="s">
        <v>86</v>
      </c>
      <c r="P404" t="str">
        <f t="shared" si="25"/>
        <v>COMP</v>
      </c>
      <c r="Q404">
        <f t="shared" si="26"/>
        <v>37.706418209521253</v>
      </c>
      <c r="R404">
        <v>72.841105999999996</v>
      </c>
      <c r="S404">
        <f t="shared" si="27"/>
        <v>-349637.3088</v>
      </c>
      <c r="T404" t="str">
        <f t="shared" si="24"/>
        <v xml:space="preserve">'COMP', </v>
      </c>
      <c r="AJ404" s="27" t="s">
        <v>85</v>
      </c>
      <c r="AK404" s="44">
        <v>6.3152970000000003E-2</v>
      </c>
      <c r="AL404">
        <v>2.1142595802624739E-4</v>
      </c>
    </row>
    <row r="405" spans="1:38" x14ac:dyDescent="0.25">
      <c r="A405">
        <v>403</v>
      </c>
      <c r="B405" t="s">
        <v>194</v>
      </c>
      <c r="C405" s="1">
        <v>-1000</v>
      </c>
      <c r="E405" t="s">
        <v>132</v>
      </c>
      <c r="F405" t="s">
        <v>515</v>
      </c>
      <c r="G405" s="22">
        <v>20230112</v>
      </c>
      <c r="H405" s="56">
        <v>44939.000002199071</v>
      </c>
      <c r="I405">
        <v>-49356.487119112797</v>
      </c>
      <c r="K405" s="21" t="s">
        <v>738</v>
      </c>
      <c r="L405" s="21" t="s">
        <v>731</v>
      </c>
      <c r="M405" s="21" t="s">
        <v>195</v>
      </c>
      <c r="N405" s="21" t="s">
        <v>86</v>
      </c>
      <c r="P405" t="str">
        <f t="shared" si="25"/>
        <v>DASH</v>
      </c>
      <c r="Q405">
        <f t="shared" si="26"/>
        <v>49.356487119112799</v>
      </c>
      <c r="R405">
        <v>73.841105999999996</v>
      </c>
      <c r="S405">
        <f t="shared" si="27"/>
        <v>-73841.106</v>
      </c>
      <c r="T405" t="str">
        <f t="shared" si="24"/>
        <v xml:space="preserve">'DASH', </v>
      </c>
      <c r="AJ405" s="4" t="s">
        <v>158</v>
      </c>
      <c r="AK405" s="44">
        <v>20</v>
      </c>
      <c r="AL405">
        <v>19.96844747437672</v>
      </c>
    </row>
    <row r="406" spans="1:38" x14ac:dyDescent="0.25">
      <c r="A406">
        <v>404</v>
      </c>
      <c r="B406" t="s">
        <v>194</v>
      </c>
      <c r="C406" s="1">
        <v>-1100000</v>
      </c>
      <c r="E406" t="s">
        <v>190</v>
      </c>
      <c r="F406" t="s">
        <v>515</v>
      </c>
      <c r="G406" s="22">
        <v>20230112</v>
      </c>
      <c r="H406" s="56">
        <v>44939.000002199071</v>
      </c>
      <c r="I406">
        <v>-88314.309602876194</v>
      </c>
      <c r="K406" s="21" t="s">
        <v>739</v>
      </c>
      <c r="L406" s="21" t="s">
        <v>731</v>
      </c>
      <c r="M406" s="21" t="s">
        <v>195</v>
      </c>
      <c r="N406" s="21" t="s">
        <v>86</v>
      </c>
      <c r="P406" t="str">
        <f t="shared" si="25"/>
        <v>DOGE</v>
      </c>
      <c r="Q406">
        <f t="shared" si="26"/>
        <v>8.0285736002614724E-2</v>
      </c>
      <c r="R406">
        <v>74.841105999999996</v>
      </c>
      <c r="S406">
        <f t="shared" si="27"/>
        <v>-82325216.599999994</v>
      </c>
      <c r="T406" t="str">
        <f t="shared" si="24"/>
        <v xml:space="preserve">'DOGE', </v>
      </c>
      <c r="AJ406" s="27" t="s">
        <v>85</v>
      </c>
      <c r="AK406" s="44">
        <v>20</v>
      </c>
      <c r="AL406">
        <v>19.96844747437672</v>
      </c>
    </row>
    <row r="407" spans="1:38" x14ac:dyDescent="0.25">
      <c r="A407">
        <v>405</v>
      </c>
      <c r="B407" t="s">
        <v>194</v>
      </c>
      <c r="C407" s="1">
        <v>-10000</v>
      </c>
      <c r="E407" t="s">
        <v>22</v>
      </c>
      <c r="F407" t="s">
        <v>515</v>
      </c>
      <c r="G407" s="22">
        <v>20230112</v>
      </c>
      <c r="H407" s="56">
        <v>44939.000002199071</v>
      </c>
      <c r="I407">
        <v>-52294.779390740099</v>
      </c>
      <c r="K407" s="21" t="s">
        <v>740</v>
      </c>
      <c r="L407" s="21" t="s">
        <v>731</v>
      </c>
      <c r="M407" s="21" t="s">
        <v>195</v>
      </c>
      <c r="N407" s="21" t="s">
        <v>86</v>
      </c>
      <c r="P407" t="str">
        <f t="shared" si="25"/>
        <v>DOT</v>
      </c>
      <c r="Q407">
        <f t="shared" si="26"/>
        <v>5.2294779390740098</v>
      </c>
      <c r="R407">
        <v>75.841105999999996</v>
      </c>
      <c r="S407">
        <f t="shared" si="27"/>
        <v>-758411.05999999994</v>
      </c>
      <c r="T407" t="str">
        <f t="shared" si="24"/>
        <v xml:space="preserve">'DOT', </v>
      </c>
      <c r="AJ407" s="4" t="s">
        <v>159</v>
      </c>
      <c r="AK407" s="44">
        <v>4.7890616599999998</v>
      </c>
      <c r="AL407">
        <v>27.822478711595039</v>
      </c>
    </row>
    <row r="408" spans="1:38" x14ac:dyDescent="0.25">
      <c r="A408">
        <v>406</v>
      </c>
      <c r="B408" t="s">
        <v>194</v>
      </c>
      <c r="C408" s="1">
        <v>-60000</v>
      </c>
      <c r="E408" t="s">
        <v>28</v>
      </c>
      <c r="F408" t="s">
        <v>515</v>
      </c>
      <c r="G408">
        <v>20230112</v>
      </c>
      <c r="H408" s="56">
        <v>44939.000002199071</v>
      </c>
      <c r="I408" s="20">
        <v>-18245.7719342255</v>
      </c>
      <c r="K408" s="21" t="s">
        <v>741</v>
      </c>
      <c r="L408" s="21" t="s">
        <v>731</v>
      </c>
      <c r="M408" s="21" t="s">
        <v>195</v>
      </c>
      <c r="N408" s="21" t="s">
        <v>86</v>
      </c>
      <c r="AJ408" s="27" t="s">
        <v>85</v>
      </c>
      <c r="AK408" s="44">
        <v>4.7890616599999998</v>
      </c>
      <c r="AL408">
        <v>27.822478711595039</v>
      </c>
    </row>
    <row r="409" spans="1:38" x14ac:dyDescent="0.25">
      <c r="A409">
        <v>407</v>
      </c>
      <c r="B409" t="s">
        <v>194</v>
      </c>
      <c r="C409" s="1">
        <v>-115336.6</v>
      </c>
      <c r="E409" t="s">
        <v>23</v>
      </c>
      <c r="F409" t="s">
        <v>515</v>
      </c>
      <c r="G409">
        <v>20230112</v>
      </c>
      <c r="H409" s="56">
        <v>44939.000002199071</v>
      </c>
      <c r="I409" s="20">
        <v>-114211.200450491</v>
      </c>
      <c r="K409" s="21" t="s">
        <v>834</v>
      </c>
      <c r="L409" s="21" t="s">
        <v>731</v>
      </c>
      <c r="M409" s="21" t="s">
        <v>195</v>
      </c>
      <c r="N409" s="21" t="s">
        <v>86</v>
      </c>
      <c r="AJ409" s="4" t="s">
        <v>92</v>
      </c>
      <c r="AK409" s="44">
        <v>4512595.36556256</v>
      </c>
      <c r="AL409">
        <v>4513210.612821972</v>
      </c>
    </row>
    <row r="410" spans="1:38" x14ac:dyDescent="0.25">
      <c r="A410">
        <v>408</v>
      </c>
      <c r="B410" t="s">
        <v>194</v>
      </c>
      <c r="C410" s="1">
        <v>-300000</v>
      </c>
      <c r="E410" t="s">
        <v>191</v>
      </c>
      <c r="F410" t="s">
        <v>515</v>
      </c>
      <c r="G410">
        <v>20230112</v>
      </c>
      <c r="H410" s="56">
        <v>44939.000002199071</v>
      </c>
      <c r="I410" s="20">
        <v>-82034.051788677694</v>
      </c>
      <c r="K410" s="21" t="s">
        <v>742</v>
      </c>
      <c r="L410" s="21" t="s">
        <v>731</v>
      </c>
      <c r="M410" s="21" t="s">
        <v>195</v>
      </c>
      <c r="N410" s="21" t="s">
        <v>86</v>
      </c>
      <c r="AJ410" s="27" t="s">
        <v>85</v>
      </c>
      <c r="AK410" s="44">
        <v>4512595.36556256</v>
      </c>
      <c r="AL410">
        <v>4513210.612821972</v>
      </c>
    </row>
    <row r="411" spans="1:38" x14ac:dyDescent="0.25">
      <c r="A411">
        <v>409</v>
      </c>
      <c r="B411" t="s">
        <v>194</v>
      </c>
      <c r="C411" s="1">
        <v>-240000</v>
      </c>
      <c r="E411" t="s">
        <v>415</v>
      </c>
      <c r="F411" t="s">
        <v>515</v>
      </c>
      <c r="G411">
        <v>20230112</v>
      </c>
      <c r="H411" s="56">
        <v>44939.000002199071</v>
      </c>
      <c r="I411" s="20">
        <v>-17640.469992774099</v>
      </c>
      <c r="K411" s="21" t="s">
        <v>843</v>
      </c>
      <c r="L411" s="21" t="s">
        <v>731</v>
      </c>
      <c r="M411" s="21" t="s">
        <v>195</v>
      </c>
      <c r="N411" s="21" t="s">
        <v>86</v>
      </c>
      <c r="AJ411" s="4" t="s">
        <v>160</v>
      </c>
      <c r="AK411" s="44">
        <v>0.34680431</v>
      </c>
      <c r="AL411">
        <v>0.34492841110450329</v>
      </c>
    </row>
    <row r="412" spans="1:38" x14ac:dyDescent="0.25">
      <c r="A412">
        <v>410</v>
      </c>
      <c r="B412" t="s">
        <v>194</v>
      </c>
      <c r="C412" s="1">
        <v>-628800</v>
      </c>
      <c r="E412" t="s">
        <v>135</v>
      </c>
      <c r="F412" t="s">
        <v>515</v>
      </c>
      <c r="G412">
        <v>20230112</v>
      </c>
      <c r="H412" s="56">
        <v>44939.000002199071</v>
      </c>
      <c r="I412" s="20">
        <v>-29960.833997643</v>
      </c>
      <c r="K412" s="21" t="s">
        <v>844</v>
      </c>
      <c r="L412" s="21" t="s">
        <v>731</v>
      </c>
      <c r="M412" s="21" t="s">
        <v>195</v>
      </c>
      <c r="N412" s="21" t="s">
        <v>86</v>
      </c>
      <c r="P412" t="s">
        <v>237</v>
      </c>
      <c r="Q412" s="20">
        <v>39697417.520000003</v>
      </c>
      <c r="R412" t="s">
        <v>72</v>
      </c>
      <c r="S412" t="s">
        <v>95</v>
      </c>
      <c r="U412" s="57" t="s">
        <v>417</v>
      </c>
      <c r="V412" s="56">
        <v>44883</v>
      </c>
      <c r="W412">
        <v>39697417.520000003</v>
      </c>
      <c r="Y412" s="21" t="s">
        <v>265</v>
      </c>
      <c r="Z412" s="21" t="s">
        <v>316</v>
      </c>
      <c r="AA412" s="21" t="s">
        <v>309</v>
      </c>
      <c r="AB412" s="21" t="s">
        <v>265</v>
      </c>
      <c r="AJ412" s="27" t="s">
        <v>85</v>
      </c>
      <c r="AK412" s="44">
        <v>0.34680431</v>
      </c>
      <c r="AL412">
        <v>0.34492841110450329</v>
      </c>
    </row>
    <row r="413" spans="1:38" x14ac:dyDescent="0.25">
      <c r="A413">
        <v>411</v>
      </c>
      <c r="B413" t="s">
        <v>194</v>
      </c>
      <c r="C413" s="1">
        <v>-20654.13</v>
      </c>
      <c r="E413" t="s">
        <v>27</v>
      </c>
      <c r="F413" t="s">
        <v>515</v>
      </c>
      <c r="G413">
        <v>20230112</v>
      </c>
      <c r="H413" s="56">
        <v>44939.000002199071</v>
      </c>
      <c r="I413" s="20">
        <v>-131800.85145715301</v>
      </c>
      <c r="K413" s="21" t="s">
        <v>743</v>
      </c>
      <c r="L413" s="21" t="s">
        <v>731</v>
      </c>
      <c r="M413" s="21" t="s">
        <v>195</v>
      </c>
      <c r="N413" s="21" t="s">
        <v>86</v>
      </c>
      <c r="P413" t="s">
        <v>259</v>
      </c>
      <c r="Q413" s="20">
        <v>141983.65</v>
      </c>
      <c r="R413" t="s">
        <v>72</v>
      </c>
      <c r="S413" t="s">
        <v>95</v>
      </c>
      <c r="U413" s="57" t="s">
        <v>417</v>
      </c>
      <c r="V413" s="56">
        <v>44883</v>
      </c>
      <c r="W413">
        <v>141983.65</v>
      </c>
      <c r="Y413" s="21" t="s">
        <v>259</v>
      </c>
      <c r="Z413" s="21" t="s">
        <v>261</v>
      </c>
      <c r="AA413" s="21" t="s">
        <v>85</v>
      </c>
      <c r="AB413" s="21" t="s">
        <v>259</v>
      </c>
      <c r="AJ413" s="4" t="s">
        <v>38</v>
      </c>
      <c r="AK413" s="44">
        <v>10490636.347712729</v>
      </c>
      <c r="AL413">
        <v>10477571.291961037</v>
      </c>
    </row>
    <row r="414" spans="1:38" x14ac:dyDescent="0.25">
      <c r="A414">
        <v>412</v>
      </c>
      <c r="B414" t="s">
        <v>194</v>
      </c>
      <c r="C414" s="1">
        <v>-1610.2</v>
      </c>
      <c r="E414" t="s">
        <v>24</v>
      </c>
      <c r="F414" t="s">
        <v>515</v>
      </c>
      <c r="G414">
        <v>20230112</v>
      </c>
      <c r="H414" s="56">
        <v>44939.000002199071</v>
      </c>
      <c r="I414" s="20">
        <v>-138419.60226160701</v>
      </c>
      <c r="K414" s="21" t="s">
        <v>744</v>
      </c>
      <c r="L414" s="21" t="s">
        <v>731</v>
      </c>
      <c r="M414" s="21" t="s">
        <v>195</v>
      </c>
      <c r="N414" s="21" t="s">
        <v>86</v>
      </c>
      <c r="R414" s="57"/>
      <c r="S414" s="56"/>
      <c r="AJ414" s="27" t="s">
        <v>85</v>
      </c>
      <c r="AK414" s="44">
        <v>37405875.610862829</v>
      </c>
      <c r="AL414">
        <v>37359290.271890208</v>
      </c>
    </row>
    <row r="415" spans="1:38" x14ac:dyDescent="0.25">
      <c r="A415">
        <v>413</v>
      </c>
      <c r="B415" t="s">
        <v>194</v>
      </c>
      <c r="C415" s="1">
        <v>-90000</v>
      </c>
      <c r="E415" t="s">
        <v>192</v>
      </c>
      <c r="F415" t="s">
        <v>515</v>
      </c>
      <c r="G415">
        <v>20230112</v>
      </c>
      <c r="H415" s="56">
        <v>44939.000002199071</v>
      </c>
      <c r="I415" s="20">
        <v>-37120.713174284101</v>
      </c>
      <c r="K415" s="21" t="s">
        <v>745</v>
      </c>
      <c r="L415" s="21" t="s">
        <v>731</v>
      </c>
      <c r="M415" s="21" t="s">
        <v>195</v>
      </c>
      <c r="N415" s="21" t="s">
        <v>86</v>
      </c>
      <c r="AJ415" s="27" t="s">
        <v>195</v>
      </c>
      <c r="AK415" s="44">
        <v>-26915239.2631501</v>
      </c>
      <c r="AL415">
        <v>-26881718.979929172</v>
      </c>
    </row>
    <row r="416" spans="1:38" x14ac:dyDescent="0.25">
      <c r="A416">
        <v>414</v>
      </c>
      <c r="B416" t="s">
        <v>194</v>
      </c>
      <c r="C416" s="1">
        <v>-100000</v>
      </c>
      <c r="E416" t="s">
        <v>193</v>
      </c>
      <c r="F416" t="s">
        <v>515</v>
      </c>
      <c r="G416">
        <v>20230112</v>
      </c>
      <c r="H416" s="56">
        <v>44939.000002199071</v>
      </c>
      <c r="I416" s="20">
        <v>-91628.9114365235</v>
      </c>
      <c r="K416" s="21" t="s">
        <v>746</v>
      </c>
      <c r="L416" s="21" t="s">
        <v>731</v>
      </c>
      <c r="M416" s="21" t="s">
        <v>195</v>
      </c>
      <c r="N416" s="21" t="s">
        <v>86</v>
      </c>
      <c r="AJ416" s="4" t="s">
        <v>196</v>
      </c>
      <c r="AK416" s="44">
        <v>59589.017780000002</v>
      </c>
      <c r="AL416">
        <v>1143.3895217359529</v>
      </c>
    </row>
    <row r="417" spans="1:38" x14ac:dyDescent="0.25">
      <c r="A417">
        <v>415</v>
      </c>
      <c r="B417" t="s">
        <v>194</v>
      </c>
      <c r="C417" s="1">
        <v>-14</v>
      </c>
      <c r="E417" t="s">
        <v>413</v>
      </c>
      <c r="F417" t="s">
        <v>515</v>
      </c>
      <c r="G417">
        <v>20230112</v>
      </c>
      <c r="H417" s="56">
        <v>44939.000002199071</v>
      </c>
      <c r="I417" s="20">
        <v>-9136.0593104937107</v>
      </c>
      <c r="K417" s="21" t="s">
        <v>747</v>
      </c>
      <c r="L417" s="21" t="s">
        <v>731</v>
      </c>
      <c r="M417" s="21" t="s">
        <v>195</v>
      </c>
      <c r="N417" s="21" t="s">
        <v>86</v>
      </c>
      <c r="P417" t="str">
        <f t="shared" ref="P417:P424" si="28">IF($C417="","",$E417)</f>
        <v>MKR</v>
      </c>
      <c r="Q417">
        <f>IF($C417="","",$I417/$C417)</f>
        <v>652.57566503526505</v>
      </c>
      <c r="S417">
        <f t="shared" ref="S417:S424" si="29">IF($B417="","",$C417*$R417)</f>
        <v>0</v>
      </c>
      <c r="AJ417" s="27" t="s">
        <v>85</v>
      </c>
      <c r="AK417" s="44">
        <v>59589.017780000002</v>
      </c>
      <c r="AL417">
        <v>1143.3895217359529</v>
      </c>
    </row>
    <row r="418" spans="1:38" x14ac:dyDescent="0.25">
      <c r="A418">
        <v>416</v>
      </c>
      <c r="B418" t="s">
        <v>194</v>
      </c>
      <c r="C418" s="1">
        <v>-6000000000</v>
      </c>
      <c r="E418" t="s">
        <v>37</v>
      </c>
      <c r="F418" t="s">
        <v>515</v>
      </c>
      <c r="G418">
        <v>20230112</v>
      </c>
      <c r="H418" s="56">
        <v>44939.000002199071</v>
      </c>
      <c r="I418" s="20">
        <v>-56828.300043576302</v>
      </c>
      <c r="K418" s="21" t="s">
        <v>748</v>
      </c>
      <c r="L418" s="21" t="s">
        <v>731</v>
      </c>
      <c r="M418" s="21" t="s">
        <v>195</v>
      </c>
      <c r="N418" s="21" t="s">
        <v>86</v>
      </c>
      <c r="P418" t="str">
        <f t="shared" si="28"/>
        <v>SHIB</v>
      </c>
      <c r="Q418">
        <f>IF($C418="","",$I418/$C418)</f>
        <v>9.4713833405960501E-6</v>
      </c>
      <c r="S418">
        <f t="shared" si="29"/>
        <v>0</v>
      </c>
      <c r="AJ418" s="4" t="s">
        <v>161</v>
      </c>
      <c r="AK418" s="44">
        <v>0.20872535</v>
      </c>
      <c r="AL418">
        <v>1.9676883399649811E-4</v>
      </c>
    </row>
    <row r="419" spans="1:38" x14ac:dyDescent="0.25">
      <c r="A419">
        <v>417</v>
      </c>
      <c r="B419" t="s">
        <v>194</v>
      </c>
      <c r="C419" s="1">
        <v>-8500</v>
      </c>
      <c r="E419" t="s">
        <v>154</v>
      </c>
      <c r="F419" t="s">
        <v>515</v>
      </c>
      <c r="G419">
        <v>20230112</v>
      </c>
      <c r="H419" s="56">
        <v>44939.000002199071</v>
      </c>
      <c r="I419" s="20">
        <v>-141261.87566910699</v>
      </c>
      <c r="K419" s="21" t="s">
        <v>749</v>
      </c>
      <c r="L419" s="21" t="s">
        <v>731</v>
      </c>
      <c r="M419" s="21" t="s">
        <v>195</v>
      </c>
      <c r="N419" s="21" t="s">
        <v>86</v>
      </c>
      <c r="P419" t="str">
        <f t="shared" si="28"/>
        <v>SOL</v>
      </c>
      <c r="Q419">
        <f>IF($C419="","",$I419/$C419)</f>
        <v>16.619044196365529</v>
      </c>
      <c r="S419">
        <f t="shared" si="29"/>
        <v>0</v>
      </c>
      <c r="AJ419" s="27" t="s">
        <v>85</v>
      </c>
      <c r="AK419" s="44">
        <v>0.20872535</v>
      </c>
      <c r="AL419">
        <v>1.9676883399649811E-4</v>
      </c>
    </row>
    <row r="420" spans="1:38" x14ac:dyDescent="0.25">
      <c r="A420">
        <v>418</v>
      </c>
      <c r="B420" t="s">
        <v>194</v>
      </c>
      <c r="C420" s="1">
        <v>-43200</v>
      </c>
      <c r="E420" t="s">
        <v>414</v>
      </c>
      <c r="F420" t="s">
        <v>515</v>
      </c>
      <c r="G420">
        <v>20230112</v>
      </c>
      <c r="H420" s="56">
        <v>44939.000002199071</v>
      </c>
      <c r="I420" s="20">
        <v>-49148.189927110499</v>
      </c>
      <c r="K420" s="21" t="s">
        <v>835</v>
      </c>
      <c r="L420" s="21" t="s">
        <v>731</v>
      </c>
      <c r="M420" s="21" t="s">
        <v>195</v>
      </c>
      <c r="N420" s="21" t="s">
        <v>86</v>
      </c>
      <c r="P420" t="str">
        <f t="shared" si="28"/>
        <v>SUSHI</v>
      </c>
      <c r="S420">
        <f t="shared" si="29"/>
        <v>0</v>
      </c>
      <c r="AJ420" s="4" t="s">
        <v>162</v>
      </c>
      <c r="AK420" s="44">
        <v>97856389.900000006</v>
      </c>
      <c r="AL420">
        <v>2783.8908510174469</v>
      </c>
    </row>
    <row r="421" spans="1:38" x14ac:dyDescent="0.25">
      <c r="A421">
        <v>419</v>
      </c>
      <c r="B421" t="s">
        <v>194</v>
      </c>
      <c r="C421" s="1">
        <v>-12000</v>
      </c>
      <c r="E421" t="s">
        <v>159</v>
      </c>
      <c r="F421" t="s">
        <v>515</v>
      </c>
      <c r="G421">
        <v>20230112</v>
      </c>
      <c r="H421" s="56">
        <v>44939.000002199071</v>
      </c>
      <c r="I421" s="20">
        <v>-74080.575384932905</v>
      </c>
      <c r="K421" s="21" t="s">
        <v>750</v>
      </c>
      <c r="L421" s="21" t="s">
        <v>731</v>
      </c>
      <c r="M421" s="21" t="s">
        <v>195</v>
      </c>
      <c r="N421" s="21" t="s">
        <v>86</v>
      </c>
      <c r="P421" t="str">
        <f t="shared" si="28"/>
        <v>UNI</v>
      </c>
      <c r="S421">
        <f t="shared" si="29"/>
        <v>0</v>
      </c>
      <c r="AJ421" s="4" t="s">
        <v>85</v>
      </c>
      <c r="AK421" s="44">
        <v>97856389.900000006</v>
      </c>
      <c r="AL421">
        <v>2783.8908510174469</v>
      </c>
    </row>
    <row r="422" spans="1:38" x14ac:dyDescent="0.25">
      <c r="A422">
        <v>420</v>
      </c>
      <c r="B422" t="s">
        <v>194</v>
      </c>
      <c r="C422" s="1">
        <v>-100</v>
      </c>
      <c r="E422" t="s">
        <v>196</v>
      </c>
      <c r="F422" t="s">
        <v>515</v>
      </c>
      <c r="G422">
        <v>20230112</v>
      </c>
      <c r="H422" s="56">
        <v>44939.000002199071</v>
      </c>
      <c r="I422" s="20">
        <v>-1.8842311113447501</v>
      </c>
      <c r="K422" s="21" t="s">
        <v>751</v>
      </c>
      <c r="L422" s="21" t="s">
        <v>731</v>
      </c>
      <c r="M422" s="21" t="s">
        <v>195</v>
      </c>
      <c r="N422" s="21" t="s">
        <v>86</v>
      </c>
      <c r="P422" t="str">
        <f t="shared" si="28"/>
        <v>VET</v>
      </c>
      <c r="S422">
        <f t="shared" si="29"/>
        <v>0</v>
      </c>
      <c r="AJ422" s="4" t="s">
        <v>163</v>
      </c>
      <c r="AK422" s="44">
        <v>0.55556267999999998</v>
      </c>
      <c r="AL422">
        <v>4.9064506111574757E-2</v>
      </c>
    </row>
    <row r="423" spans="1:38" x14ac:dyDescent="0.25">
      <c r="A423">
        <v>421</v>
      </c>
      <c r="B423" t="s">
        <v>194</v>
      </c>
      <c r="C423" s="1">
        <v>-1000000</v>
      </c>
      <c r="E423" t="s">
        <v>163</v>
      </c>
      <c r="F423" t="s">
        <v>515</v>
      </c>
      <c r="G423">
        <v>20230112</v>
      </c>
      <c r="H423" s="56">
        <v>44939.000002199071</v>
      </c>
      <c r="I423" s="20">
        <v>-81643.783905093398</v>
      </c>
      <c r="K423" s="21" t="s">
        <v>752</v>
      </c>
      <c r="L423" s="21" t="s">
        <v>731</v>
      </c>
      <c r="M423" s="21" t="s">
        <v>195</v>
      </c>
      <c r="N423" s="21" t="s">
        <v>86</v>
      </c>
      <c r="P423" t="str">
        <f t="shared" si="28"/>
        <v>XLM</v>
      </c>
      <c r="S423">
        <f t="shared" si="29"/>
        <v>0</v>
      </c>
      <c r="AJ423" s="4" t="s">
        <v>85</v>
      </c>
      <c r="AK423" s="44">
        <v>0.55556267999999998</v>
      </c>
      <c r="AL423">
        <v>4.9064506111574757E-2</v>
      </c>
    </row>
    <row r="424" spans="1:38" x14ac:dyDescent="0.25">
      <c r="A424">
        <v>422</v>
      </c>
      <c r="B424" t="s">
        <v>194</v>
      </c>
      <c r="C424" s="1">
        <v>-68160</v>
      </c>
      <c r="E424" t="s">
        <v>164</v>
      </c>
      <c r="F424" t="s">
        <v>515</v>
      </c>
      <c r="G424">
        <v>20230112</v>
      </c>
      <c r="H424" s="56">
        <v>44939.000002199071</v>
      </c>
      <c r="I424" s="20">
        <v>-60609.906049069999</v>
      </c>
      <c r="K424" s="21" t="s">
        <v>845</v>
      </c>
      <c r="L424" s="21" t="s">
        <v>731</v>
      </c>
      <c r="M424" s="21" t="s">
        <v>195</v>
      </c>
      <c r="N424" s="21" t="s">
        <v>86</v>
      </c>
      <c r="P424" t="str">
        <f t="shared" si="28"/>
        <v>XTZ</v>
      </c>
      <c r="S424">
        <f t="shared" si="29"/>
        <v>0</v>
      </c>
      <c r="AJ424" s="4" t="s">
        <v>99</v>
      </c>
      <c r="AK424" s="44">
        <v>1335.7771694800001</v>
      </c>
      <c r="AL424">
        <v>454.56020309235521</v>
      </c>
    </row>
    <row r="425" spans="1:38" x14ac:dyDescent="0.25">
      <c r="A425">
        <v>423</v>
      </c>
      <c r="B425" t="s">
        <v>865</v>
      </c>
      <c r="C425" s="1">
        <v>-9993078.3940130007</v>
      </c>
      <c r="D425" t="s">
        <v>319</v>
      </c>
      <c r="E425" t="s">
        <v>38</v>
      </c>
      <c r="F425">
        <v>0</v>
      </c>
      <c r="G425">
        <v>20230112</v>
      </c>
      <c r="H425" s="56">
        <v>44939.000001585649</v>
      </c>
      <c r="I425" s="20">
        <v>-9993998.2487299498</v>
      </c>
      <c r="K425" s="21" t="s">
        <v>867</v>
      </c>
      <c r="L425" s="21" t="s">
        <v>868</v>
      </c>
      <c r="M425" s="21" t="s">
        <v>195</v>
      </c>
      <c r="N425" s="21" t="s">
        <v>294</v>
      </c>
      <c r="AJ425" s="4" t="s">
        <v>85</v>
      </c>
      <c r="AK425" s="44">
        <v>1335.7771694800001</v>
      </c>
      <c r="AL425">
        <v>454.56020309235521</v>
      </c>
    </row>
    <row r="426" spans="1:38" x14ac:dyDescent="0.25">
      <c r="A426">
        <v>424</v>
      </c>
      <c r="B426" t="s">
        <v>203</v>
      </c>
      <c r="C426" s="1">
        <v>-3350</v>
      </c>
      <c r="E426" t="s">
        <v>14</v>
      </c>
      <c r="F426">
        <v>0</v>
      </c>
      <c r="G426">
        <v>20230112</v>
      </c>
      <c r="H426" s="56">
        <v>44938</v>
      </c>
      <c r="I426" s="20">
        <v>-63213119.985139698</v>
      </c>
      <c r="K426" s="21" t="s">
        <v>757</v>
      </c>
      <c r="L426" s="21" t="s">
        <v>758</v>
      </c>
      <c r="M426" s="21" t="s">
        <v>195</v>
      </c>
      <c r="N426" s="21" t="s">
        <v>101</v>
      </c>
      <c r="AJ426" s="4" t="s">
        <v>164</v>
      </c>
      <c r="AK426" s="44">
        <v>3.9304560899999998</v>
      </c>
      <c r="AL426">
        <v>3.972655860982079</v>
      </c>
    </row>
    <row r="427" spans="1:38" x14ac:dyDescent="0.25">
      <c r="A427">
        <v>425</v>
      </c>
      <c r="B427" t="s">
        <v>203</v>
      </c>
      <c r="C427" s="1">
        <v>-4350822.18</v>
      </c>
      <c r="E427" t="s">
        <v>23</v>
      </c>
      <c r="F427">
        <v>0</v>
      </c>
      <c r="G427">
        <v>20230112</v>
      </c>
      <c r="H427" s="56">
        <v>44938</v>
      </c>
      <c r="I427" s="20">
        <v>-4308368.9316697801</v>
      </c>
      <c r="K427" s="21" t="s">
        <v>759</v>
      </c>
      <c r="L427" s="21" t="s">
        <v>758</v>
      </c>
      <c r="M427" s="21" t="s">
        <v>195</v>
      </c>
      <c r="N427" s="21" t="s">
        <v>101</v>
      </c>
      <c r="AJ427" s="4" t="s">
        <v>85</v>
      </c>
      <c r="AK427" s="44">
        <v>3.9304560899999998</v>
      </c>
      <c r="AL427">
        <v>3.972655860982079</v>
      </c>
    </row>
    <row r="428" spans="1:38" x14ac:dyDescent="0.25">
      <c r="A428">
        <v>426</v>
      </c>
      <c r="B428" t="s">
        <v>203</v>
      </c>
      <c r="C428" s="1">
        <v>-6499.9949999999999</v>
      </c>
      <c r="E428" t="s">
        <v>15</v>
      </c>
      <c r="F428">
        <v>0</v>
      </c>
      <c r="G428">
        <v>20230112</v>
      </c>
      <c r="H428" s="56">
        <v>44938</v>
      </c>
      <c r="I428" s="20">
        <v>-9216593.3105303105</v>
      </c>
      <c r="K428" s="21" t="s">
        <v>760</v>
      </c>
      <c r="L428" s="21" t="s">
        <v>758</v>
      </c>
      <c r="M428" s="21" t="s">
        <v>195</v>
      </c>
      <c r="N428" s="21" t="s">
        <v>101</v>
      </c>
      <c r="P428" t="s">
        <v>237</v>
      </c>
      <c r="Q428">
        <v>38289617.950000003</v>
      </c>
      <c r="R428">
        <v>38289617.950000003</v>
      </c>
      <c r="S428" t="s">
        <v>72</v>
      </c>
      <c r="U428" t="s">
        <v>95</v>
      </c>
      <c r="W428" t="s">
        <v>298</v>
      </c>
      <c r="X428">
        <v>44874</v>
      </c>
      <c r="Y428">
        <v>38289617.950000003</v>
      </c>
      <c r="AA428" t="s">
        <v>265</v>
      </c>
      <c r="AB428" t="s">
        <v>267</v>
      </c>
      <c r="AC428" t="s">
        <v>265</v>
      </c>
      <c r="AD428" t="s">
        <v>266</v>
      </c>
      <c r="AJ428" s="4" t="s">
        <v>171</v>
      </c>
      <c r="AK428" s="44">
        <v>0.10222220999999999</v>
      </c>
      <c r="AL428">
        <v>583.96382153074887</v>
      </c>
    </row>
    <row r="429" spans="1:38" x14ac:dyDescent="0.25">
      <c r="A429">
        <v>427</v>
      </c>
      <c r="B429" t="s">
        <v>168</v>
      </c>
      <c r="C429" s="1">
        <v>-1340.01684679</v>
      </c>
      <c r="E429" t="s">
        <v>14</v>
      </c>
      <c r="F429" t="s">
        <v>667</v>
      </c>
      <c r="G429">
        <v>20230112</v>
      </c>
      <c r="H429" s="56">
        <v>44938</v>
      </c>
      <c r="I429" s="20">
        <v>-25285565.886043198</v>
      </c>
      <c r="K429" s="21" t="s">
        <v>761</v>
      </c>
      <c r="L429" s="21" t="s">
        <v>669</v>
      </c>
      <c r="M429" s="21" t="s">
        <v>169</v>
      </c>
      <c r="N429" s="21" t="s">
        <v>170</v>
      </c>
      <c r="P429" t="s">
        <v>259</v>
      </c>
      <c r="Q429">
        <v>9770263.2400000002</v>
      </c>
      <c r="R429">
        <v>9770263.2400000002</v>
      </c>
      <c r="S429" t="s">
        <v>72</v>
      </c>
      <c r="U429" t="s">
        <v>95</v>
      </c>
      <c r="W429" t="s">
        <v>298</v>
      </c>
      <c r="X429">
        <v>44874</v>
      </c>
      <c r="Y429">
        <v>9770263.2400000002</v>
      </c>
      <c r="AA429" t="s">
        <v>259</v>
      </c>
      <c r="AB429" t="s">
        <v>260</v>
      </c>
      <c r="AC429" t="s">
        <v>259</v>
      </c>
      <c r="AD429" t="s">
        <v>261</v>
      </c>
      <c r="AJ429" s="4" t="s">
        <v>85</v>
      </c>
      <c r="AK429" s="44">
        <v>0.10222220999999999</v>
      </c>
      <c r="AL429">
        <v>583.96382153074887</v>
      </c>
    </row>
    <row r="430" spans="1:38" x14ac:dyDescent="0.25">
      <c r="A430">
        <v>428</v>
      </c>
      <c r="B430" t="s">
        <v>168</v>
      </c>
      <c r="C430" s="1">
        <v>-25855</v>
      </c>
      <c r="E430" t="s">
        <v>15</v>
      </c>
      <c r="F430" t="s">
        <v>667</v>
      </c>
      <c r="G430">
        <v>20230112</v>
      </c>
      <c r="H430" s="56">
        <v>44938</v>
      </c>
      <c r="I430" s="20">
        <v>-36660800.515040502</v>
      </c>
      <c r="K430" s="21" t="s">
        <v>762</v>
      </c>
      <c r="L430" s="21" t="s">
        <v>669</v>
      </c>
      <c r="M430" s="21" t="s">
        <v>169</v>
      </c>
      <c r="N430" s="21" t="s">
        <v>170</v>
      </c>
      <c r="AJ430" s="4" t="s">
        <v>117</v>
      </c>
      <c r="AK430" s="44">
        <v>1.572583E-2</v>
      </c>
      <c r="AL430">
        <v>32.499444517869279</v>
      </c>
    </row>
    <row r="431" spans="1:38" x14ac:dyDescent="0.25">
      <c r="A431">
        <v>429</v>
      </c>
      <c r="B431" t="s">
        <v>168</v>
      </c>
      <c r="C431" s="1">
        <v>-15000000</v>
      </c>
      <c r="E431" t="s">
        <v>258</v>
      </c>
      <c r="F431" t="s">
        <v>667</v>
      </c>
      <c r="G431">
        <v>20230112</v>
      </c>
      <c r="H431" s="56">
        <v>44938</v>
      </c>
      <c r="I431" s="20">
        <v>-16268445.245292099</v>
      </c>
      <c r="K431" s="21" t="s">
        <v>763</v>
      </c>
      <c r="L431" s="21" t="s">
        <v>669</v>
      </c>
      <c r="M431" s="21" t="s">
        <v>169</v>
      </c>
      <c r="N431" s="21" t="s">
        <v>170</v>
      </c>
      <c r="AJ431" s="4" t="s">
        <v>85</v>
      </c>
      <c r="AK431" s="44">
        <v>1.572583E-2</v>
      </c>
      <c r="AL431">
        <v>32.499444517869279</v>
      </c>
    </row>
    <row r="432" spans="1:38" x14ac:dyDescent="0.25">
      <c r="A432">
        <v>430</v>
      </c>
      <c r="B432" t="s">
        <v>168</v>
      </c>
      <c r="C432" s="1">
        <v>-42800000</v>
      </c>
      <c r="E432" t="s">
        <v>95</v>
      </c>
      <c r="F432" t="s">
        <v>667</v>
      </c>
      <c r="G432">
        <v>20230112</v>
      </c>
      <c r="H432" s="56">
        <v>44938</v>
      </c>
      <c r="I432" s="20">
        <v>-42800000</v>
      </c>
      <c r="K432" s="21" t="s">
        <v>764</v>
      </c>
      <c r="L432" s="21" t="s">
        <v>669</v>
      </c>
      <c r="M432" s="21" t="s">
        <v>169</v>
      </c>
      <c r="N432" s="21" t="s">
        <v>170</v>
      </c>
      <c r="AJ432" s="4" t="s">
        <v>165</v>
      </c>
      <c r="AK432" s="44">
        <v>2.173E-4</v>
      </c>
      <c r="AL432">
        <v>8.8366813215128449E-3</v>
      </c>
    </row>
    <row r="433" spans="1:38" x14ac:dyDescent="0.25">
      <c r="A433">
        <v>431</v>
      </c>
      <c r="B433" t="s">
        <v>168</v>
      </c>
      <c r="C433" s="1">
        <v>-89706000</v>
      </c>
      <c r="E433" t="s">
        <v>92</v>
      </c>
      <c r="F433" t="s">
        <v>667</v>
      </c>
      <c r="G433">
        <v>20230112</v>
      </c>
      <c r="H433" s="56">
        <v>44938</v>
      </c>
      <c r="I433" s="20">
        <v>-89712472.254475504</v>
      </c>
      <c r="K433" s="21" t="s">
        <v>765</v>
      </c>
      <c r="L433" s="21" t="s">
        <v>669</v>
      </c>
      <c r="M433" s="21" t="s">
        <v>169</v>
      </c>
      <c r="N433" s="21" t="s">
        <v>170</v>
      </c>
      <c r="AJ433" s="4" t="s">
        <v>85</v>
      </c>
      <c r="AK433" s="44">
        <v>2.173E-4</v>
      </c>
      <c r="AL433">
        <v>8.8366813215128449E-3</v>
      </c>
    </row>
    <row r="434" spans="1:38" x14ac:dyDescent="0.25">
      <c r="A434">
        <v>432</v>
      </c>
      <c r="B434" t="s">
        <v>168</v>
      </c>
      <c r="C434" s="1">
        <v>-20000000</v>
      </c>
      <c r="E434" t="s">
        <v>26</v>
      </c>
      <c r="F434" t="s">
        <v>667</v>
      </c>
      <c r="G434">
        <v>20230112</v>
      </c>
      <c r="H434" s="56">
        <v>44938</v>
      </c>
      <c r="I434" s="20">
        <v>-479489.59814677201</v>
      </c>
      <c r="K434" s="21" t="s">
        <v>766</v>
      </c>
      <c r="L434" s="21" t="s">
        <v>669</v>
      </c>
      <c r="M434" s="21" t="s">
        <v>169</v>
      </c>
      <c r="N434" s="21" t="s">
        <v>170</v>
      </c>
      <c r="AJ434" s="4" t="s">
        <v>26</v>
      </c>
      <c r="AK434" s="44">
        <v>19402725.175014921</v>
      </c>
      <c r="AL434">
        <v>404112.90464051522</v>
      </c>
    </row>
    <row r="435" spans="1:38" x14ac:dyDescent="0.25">
      <c r="A435">
        <v>433</v>
      </c>
      <c r="B435" t="s">
        <v>204</v>
      </c>
      <c r="C435" s="1">
        <v>-5000</v>
      </c>
      <c r="E435" t="s">
        <v>20</v>
      </c>
      <c r="F435" t="s">
        <v>767</v>
      </c>
      <c r="G435">
        <v>20230112</v>
      </c>
      <c r="H435" s="56">
        <v>44938</v>
      </c>
      <c r="I435" s="20">
        <v>-598552.33068706002</v>
      </c>
      <c r="K435" s="21" t="s">
        <v>768</v>
      </c>
      <c r="L435" s="21" t="s">
        <v>754</v>
      </c>
      <c r="M435" s="21" t="s">
        <v>195</v>
      </c>
      <c r="N435" s="21" t="s">
        <v>112</v>
      </c>
      <c r="AJ435" s="4" t="s">
        <v>85</v>
      </c>
      <c r="AK435" s="44">
        <v>19402725.175014921</v>
      </c>
      <c r="AL435">
        <v>404112.90464051522</v>
      </c>
    </row>
    <row r="436" spans="1:38" x14ac:dyDescent="0.25">
      <c r="A436">
        <v>434</v>
      </c>
      <c r="B436" t="s">
        <v>204</v>
      </c>
      <c r="C436" s="1">
        <v>-40000</v>
      </c>
      <c r="E436" t="s">
        <v>22</v>
      </c>
      <c r="F436" t="s">
        <v>767</v>
      </c>
      <c r="G436">
        <v>20230112</v>
      </c>
      <c r="H436" s="56">
        <v>44938</v>
      </c>
      <c r="I436" s="20">
        <v>-209179.11756295999</v>
      </c>
      <c r="K436" s="21" t="s">
        <v>769</v>
      </c>
      <c r="L436" s="21" t="s">
        <v>754</v>
      </c>
      <c r="M436" s="21" t="s">
        <v>195</v>
      </c>
      <c r="N436" s="21" t="s">
        <v>112</v>
      </c>
      <c r="AJ436" s="4" t="s">
        <v>167</v>
      </c>
      <c r="AK436" s="44">
        <v>984235.53820117004</v>
      </c>
      <c r="AL436">
        <v>337598.48340671888</v>
      </c>
    </row>
    <row r="437" spans="1:38" x14ac:dyDescent="0.25">
      <c r="A437">
        <v>435</v>
      </c>
      <c r="B437" t="s">
        <v>204</v>
      </c>
      <c r="C437" s="1">
        <v>-160000</v>
      </c>
      <c r="E437" t="s">
        <v>23</v>
      </c>
      <c r="F437" t="s">
        <v>767</v>
      </c>
      <c r="G437">
        <v>20230112</v>
      </c>
      <c r="H437" s="56">
        <v>44938</v>
      </c>
      <c r="I437" s="20">
        <v>-158438.79628911</v>
      </c>
      <c r="K437" s="21" t="s">
        <v>753</v>
      </c>
      <c r="L437" s="21" t="s">
        <v>754</v>
      </c>
      <c r="M437" s="21" t="s">
        <v>195</v>
      </c>
      <c r="N437" s="21" t="s">
        <v>112</v>
      </c>
      <c r="AJ437" s="4" t="s">
        <v>35</v>
      </c>
      <c r="AK437" s="44">
        <v>430.45047</v>
      </c>
      <c r="AL437">
        <v>4380.4785692011837</v>
      </c>
    </row>
    <row r="438" spans="1:38" x14ac:dyDescent="0.25">
      <c r="A438">
        <v>436</v>
      </c>
      <c r="B438" t="s">
        <v>204</v>
      </c>
      <c r="C438" s="1">
        <v>-108000</v>
      </c>
      <c r="E438" t="s">
        <v>29</v>
      </c>
      <c r="F438" t="s">
        <v>767</v>
      </c>
      <c r="G438">
        <v>20230112</v>
      </c>
      <c r="H438" s="56">
        <v>44938</v>
      </c>
      <c r="I438" s="20">
        <v>-2259117.88751635</v>
      </c>
      <c r="K438" s="21" t="s">
        <v>770</v>
      </c>
      <c r="L438" s="21" t="s">
        <v>754</v>
      </c>
      <c r="M438" s="21" t="s">
        <v>195</v>
      </c>
      <c r="N438" s="21" t="s">
        <v>112</v>
      </c>
      <c r="AJ438" s="4" t="s">
        <v>85</v>
      </c>
      <c r="AK438" s="44">
        <v>430.45047</v>
      </c>
      <c r="AL438">
        <v>4380.4785692011837</v>
      </c>
    </row>
    <row r="439" spans="1:38" x14ac:dyDescent="0.25">
      <c r="A439">
        <v>437</v>
      </c>
      <c r="B439" t="s">
        <v>204</v>
      </c>
      <c r="C439" s="1">
        <v>-4600</v>
      </c>
      <c r="E439" t="s">
        <v>15</v>
      </c>
      <c r="F439" t="s">
        <v>767</v>
      </c>
      <c r="G439">
        <v>20230112</v>
      </c>
      <c r="H439" s="56">
        <v>44938</v>
      </c>
      <c r="I439">
        <v>-6522517.2063116096</v>
      </c>
      <c r="K439" t="s">
        <v>771</v>
      </c>
      <c r="L439" t="s">
        <v>754</v>
      </c>
      <c r="M439" t="s">
        <v>195</v>
      </c>
      <c r="N439" t="s">
        <v>112</v>
      </c>
      <c r="AJ439" s="4" t="s">
        <v>20</v>
      </c>
      <c r="AK439" s="44">
        <v>1.7695412699999999</v>
      </c>
      <c r="AL439">
        <v>176.32860757776589</v>
      </c>
    </row>
    <row r="440" spans="1:38" x14ac:dyDescent="0.25">
      <c r="A440">
        <v>438</v>
      </c>
      <c r="B440" t="s">
        <v>204</v>
      </c>
      <c r="C440" s="1">
        <v>-17000</v>
      </c>
      <c r="E440" t="s">
        <v>27</v>
      </c>
      <c r="F440" t="s">
        <v>767</v>
      </c>
      <c r="G440">
        <v>20230112</v>
      </c>
      <c r="H440" s="56">
        <v>44938</v>
      </c>
      <c r="I440">
        <v>-108482.636391443</v>
      </c>
      <c r="K440" t="s">
        <v>755</v>
      </c>
      <c r="L440" t="s">
        <v>754</v>
      </c>
      <c r="M440" t="s">
        <v>195</v>
      </c>
      <c r="N440" t="s">
        <v>112</v>
      </c>
      <c r="AJ440" s="27" t="s">
        <v>85</v>
      </c>
      <c r="AK440" s="44">
        <v>1.7695412699999999</v>
      </c>
      <c r="AL440">
        <v>176.32860757776589</v>
      </c>
    </row>
    <row r="441" spans="1:38" x14ac:dyDescent="0.25">
      <c r="A441">
        <v>439</v>
      </c>
      <c r="B441" t="s">
        <v>204</v>
      </c>
      <c r="C441" s="1">
        <v>-11800</v>
      </c>
      <c r="E441" t="s">
        <v>24</v>
      </c>
      <c r="F441" t="s">
        <v>767</v>
      </c>
      <c r="G441">
        <v>20230112</v>
      </c>
      <c r="H441" s="56">
        <v>44938</v>
      </c>
      <c r="I441">
        <v>-1014377.90751892</v>
      </c>
      <c r="K441" t="s">
        <v>756</v>
      </c>
      <c r="L441" t="s">
        <v>754</v>
      </c>
      <c r="M441" t="s">
        <v>195</v>
      </c>
      <c r="N441" t="s">
        <v>112</v>
      </c>
      <c r="AJ441" s="4" t="s">
        <v>14</v>
      </c>
      <c r="AK441" s="44">
        <v>1.8847760000000002E-2</v>
      </c>
      <c r="AL441">
        <v>308.224312229563</v>
      </c>
    </row>
    <row r="442" spans="1:38" x14ac:dyDescent="0.25">
      <c r="A442">
        <v>440</v>
      </c>
      <c r="B442" t="s">
        <v>207</v>
      </c>
      <c r="C442" s="1">
        <v>-2600208</v>
      </c>
      <c r="E442" t="s">
        <v>89</v>
      </c>
      <c r="F442">
        <v>0</v>
      </c>
      <c r="G442">
        <v>20230112</v>
      </c>
      <c r="H442" s="56">
        <v>44938</v>
      </c>
      <c r="I442">
        <v>-190645.51339292701</v>
      </c>
      <c r="K442" t="s">
        <v>772</v>
      </c>
      <c r="L442" t="s">
        <v>773</v>
      </c>
      <c r="M442" t="s">
        <v>208</v>
      </c>
      <c r="N442" t="s">
        <v>209</v>
      </c>
      <c r="AJ442" s="27" t="s">
        <v>85</v>
      </c>
      <c r="AK442" s="44">
        <v>1.8847760000000002E-2</v>
      </c>
      <c r="AL442">
        <v>308.224312229563</v>
      </c>
    </row>
    <row r="443" spans="1:38" x14ac:dyDescent="0.25">
      <c r="A443">
        <v>441</v>
      </c>
      <c r="B443" t="s">
        <v>207</v>
      </c>
      <c r="C443" s="1">
        <v>-1000000</v>
      </c>
      <c r="E443" t="s">
        <v>92</v>
      </c>
      <c r="F443">
        <v>0</v>
      </c>
      <c r="G443">
        <v>20230112</v>
      </c>
      <c r="H443" s="56">
        <v>44938</v>
      </c>
      <c r="I443">
        <v>-1000072.1496274</v>
      </c>
      <c r="K443" t="s">
        <v>774</v>
      </c>
      <c r="L443" t="s">
        <v>773</v>
      </c>
      <c r="M443" t="s">
        <v>208</v>
      </c>
      <c r="N443" t="s">
        <v>209</v>
      </c>
      <c r="AJ443" s="4" t="s">
        <v>22</v>
      </c>
      <c r="AK443" s="44">
        <v>34.962823350000001</v>
      </c>
      <c r="AL443">
        <v>201.1497924022095</v>
      </c>
    </row>
    <row r="444" spans="1:38" x14ac:dyDescent="0.25">
      <c r="A444">
        <v>442</v>
      </c>
      <c r="B444" t="s">
        <v>210</v>
      </c>
      <c r="C444" s="1">
        <v>-201.17</v>
      </c>
      <c r="E444" t="s">
        <v>99</v>
      </c>
      <c r="F444" t="s">
        <v>767</v>
      </c>
      <c r="G444">
        <v>20230112</v>
      </c>
      <c r="H444" s="56">
        <v>44938</v>
      </c>
      <c r="I444">
        <v>-75.478409104803205</v>
      </c>
      <c r="K444" t="s">
        <v>775</v>
      </c>
      <c r="L444" t="s">
        <v>776</v>
      </c>
      <c r="M444" t="s">
        <v>208</v>
      </c>
      <c r="N444" t="s">
        <v>211</v>
      </c>
      <c r="AJ444" s="27" t="s">
        <v>85</v>
      </c>
      <c r="AK444" s="44">
        <v>34.962823350000001</v>
      </c>
      <c r="AL444">
        <v>201.1497924022095</v>
      </c>
    </row>
    <row r="445" spans="1:38" x14ac:dyDescent="0.25">
      <c r="A445">
        <v>443</v>
      </c>
      <c r="B445" t="s">
        <v>213</v>
      </c>
      <c r="C445" s="1">
        <v>-12.89958137</v>
      </c>
      <c r="D445" t="s">
        <v>72</v>
      </c>
      <c r="E445" t="s">
        <v>20</v>
      </c>
      <c r="F445" t="s">
        <v>683</v>
      </c>
      <c r="G445">
        <v>20230112</v>
      </c>
      <c r="H445" s="56">
        <v>44939.000005208334</v>
      </c>
      <c r="I445">
        <v>-1544.21489878017</v>
      </c>
      <c r="K445" t="s">
        <v>977</v>
      </c>
      <c r="L445" t="s">
        <v>777</v>
      </c>
      <c r="M445" t="s">
        <v>195</v>
      </c>
      <c r="N445" t="s">
        <v>45</v>
      </c>
      <c r="AJ445" s="4" t="s">
        <v>23</v>
      </c>
      <c r="AK445" s="44">
        <v>9.9499194400000004</v>
      </c>
      <c r="AL445">
        <v>8.8212633571351713</v>
      </c>
    </row>
    <row r="446" spans="1:38" x14ac:dyDescent="0.25">
      <c r="A446">
        <v>444</v>
      </c>
      <c r="B446" t="s">
        <v>213</v>
      </c>
      <c r="C446" s="1">
        <v>-22178.1698817</v>
      </c>
      <c r="D446" t="s">
        <v>72</v>
      </c>
      <c r="E446" t="s">
        <v>23</v>
      </c>
      <c r="F446" t="s">
        <v>683</v>
      </c>
      <c r="G446">
        <v>20230112</v>
      </c>
      <c r="H446" s="56">
        <v>44939.000005208334</v>
      </c>
      <c r="I446">
        <v>-21961.7658746997</v>
      </c>
      <c r="K446" t="s">
        <v>828</v>
      </c>
      <c r="L446" t="s">
        <v>777</v>
      </c>
      <c r="M446" t="s">
        <v>195</v>
      </c>
      <c r="N446" t="s">
        <v>45</v>
      </c>
      <c r="AJ446" s="27" t="s">
        <v>85</v>
      </c>
      <c r="AK446" s="44">
        <v>9.9499194400000004</v>
      </c>
      <c r="AL446">
        <v>8.8212633571351713</v>
      </c>
    </row>
    <row r="447" spans="1:38" x14ac:dyDescent="0.25">
      <c r="A447">
        <v>445</v>
      </c>
      <c r="B447" t="s">
        <v>213</v>
      </c>
      <c r="C447" s="1">
        <v>-3.6961340000000002E-2</v>
      </c>
      <c r="D447" t="s">
        <v>72</v>
      </c>
      <c r="E447" t="s">
        <v>30</v>
      </c>
      <c r="F447" t="s">
        <v>683</v>
      </c>
      <c r="G447">
        <v>20230112</v>
      </c>
      <c r="H447" s="56">
        <v>44939.000005208334</v>
      </c>
      <c r="I447">
        <v>-0.142421836203701</v>
      </c>
      <c r="K447" t="s">
        <v>778</v>
      </c>
      <c r="L447" t="s">
        <v>777</v>
      </c>
      <c r="M447" t="s">
        <v>195</v>
      </c>
      <c r="N447" t="s">
        <v>45</v>
      </c>
      <c r="AJ447" s="4" t="s">
        <v>272</v>
      </c>
      <c r="AK447" s="44">
        <v>3.4037359</v>
      </c>
      <c r="AL447">
        <v>13.26324610821024</v>
      </c>
    </row>
    <row r="448" spans="1:38" x14ac:dyDescent="0.25">
      <c r="A448">
        <v>446</v>
      </c>
      <c r="B448" t="s">
        <v>213</v>
      </c>
      <c r="C448" s="1">
        <v>-304.03511947999999</v>
      </c>
      <c r="D448" t="s">
        <v>72</v>
      </c>
      <c r="E448" t="s">
        <v>24</v>
      </c>
      <c r="F448" t="s">
        <v>683</v>
      </c>
      <c r="G448">
        <v>20230112</v>
      </c>
      <c r="H448" s="56">
        <v>44939.000005208334</v>
      </c>
      <c r="I448">
        <v>-26136.144772066698</v>
      </c>
      <c r="K448" t="s">
        <v>908</v>
      </c>
      <c r="L448" t="s">
        <v>777</v>
      </c>
      <c r="M448" t="s">
        <v>195</v>
      </c>
      <c r="N448" t="s">
        <v>45</v>
      </c>
      <c r="AJ448" s="27" t="s">
        <v>85</v>
      </c>
      <c r="AK448" s="44">
        <v>3.4037359</v>
      </c>
      <c r="AL448">
        <v>13.26324610821024</v>
      </c>
    </row>
    <row r="449" spans="1:38" x14ac:dyDescent="0.25">
      <c r="A449">
        <v>447</v>
      </c>
      <c r="B449" t="s">
        <v>213</v>
      </c>
      <c r="C449" s="1">
        <v>-1352.6511590499999</v>
      </c>
      <c r="D449" t="s">
        <v>72</v>
      </c>
      <c r="E449" t="s">
        <v>99</v>
      </c>
      <c r="F449" t="s">
        <v>683</v>
      </c>
      <c r="G449">
        <v>20230112</v>
      </c>
      <c r="H449" s="56">
        <v>44939.000005208334</v>
      </c>
      <c r="I449">
        <v>-507.51084932575498</v>
      </c>
      <c r="K449" t="s">
        <v>985</v>
      </c>
      <c r="L449" t="s">
        <v>777</v>
      </c>
      <c r="M449" t="s">
        <v>195</v>
      </c>
      <c r="N449" t="s">
        <v>45</v>
      </c>
      <c r="AJ449" s="4" t="s">
        <v>43</v>
      </c>
      <c r="AK449" s="44">
        <v>6392.7486803700003</v>
      </c>
      <c r="AL449">
        <v>148261.67538083941</v>
      </c>
    </row>
    <row r="450" spans="1:38" x14ac:dyDescent="0.25">
      <c r="A450">
        <v>448</v>
      </c>
      <c r="B450" t="s">
        <v>214</v>
      </c>
      <c r="C450" s="1">
        <v>-2376627.8714167802</v>
      </c>
      <c r="E450" t="s">
        <v>38</v>
      </c>
      <c r="F450">
        <v>0</v>
      </c>
      <c r="G450">
        <v>20230112</v>
      </c>
      <c r="H450" s="56">
        <v>44939.000000775464</v>
      </c>
      <c r="I450">
        <v>-2376846.6380742299</v>
      </c>
      <c r="K450" t="s">
        <v>978</v>
      </c>
      <c r="L450" t="s">
        <v>979</v>
      </c>
      <c r="M450" t="s">
        <v>195</v>
      </c>
      <c r="N450" t="s">
        <v>184</v>
      </c>
      <c r="AJ450" s="27" t="s">
        <v>85</v>
      </c>
      <c r="AK450" s="44">
        <v>6392.7486803700003</v>
      </c>
      <c r="AL450">
        <v>148261.67538083941</v>
      </c>
    </row>
    <row r="451" spans="1:38" x14ac:dyDescent="0.25">
      <c r="A451">
        <v>449</v>
      </c>
      <c r="B451" t="s">
        <v>427</v>
      </c>
      <c r="C451" s="1">
        <v>79941.919999999998</v>
      </c>
      <c r="E451" t="s">
        <v>95</v>
      </c>
      <c r="G451">
        <v>20230112</v>
      </c>
      <c r="H451" s="56">
        <v>44939.000003356479</v>
      </c>
      <c r="I451">
        <v>79941.919999999998</v>
      </c>
      <c r="K451" t="s">
        <v>779</v>
      </c>
      <c r="L451" t="s">
        <v>780</v>
      </c>
      <c r="M451" t="s">
        <v>309</v>
      </c>
      <c r="N451" t="s">
        <v>427</v>
      </c>
      <c r="AJ451" s="4" t="s">
        <v>24</v>
      </c>
      <c r="AK451" s="44">
        <v>9.1421368100000002</v>
      </c>
      <c r="AL451">
        <v>525.55560898763406</v>
      </c>
    </row>
    <row r="452" spans="1:38" x14ac:dyDescent="0.25">
      <c r="A452">
        <v>450</v>
      </c>
      <c r="B452" t="s">
        <v>259</v>
      </c>
      <c r="C452" s="1">
        <v>830007.48</v>
      </c>
      <c r="D452" t="s">
        <v>72</v>
      </c>
      <c r="E452" t="s">
        <v>95</v>
      </c>
      <c r="G452">
        <v>20230112</v>
      </c>
      <c r="H452" s="56">
        <v>44939.000003356479</v>
      </c>
      <c r="I452">
        <v>830007.48</v>
      </c>
      <c r="K452" t="s">
        <v>260</v>
      </c>
      <c r="L452" t="s">
        <v>261</v>
      </c>
      <c r="M452" t="s">
        <v>85</v>
      </c>
      <c r="N452" t="s">
        <v>259</v>
      </c>
      <c r="AJ452" s="27" t="s">
        <v>85</v>
      </c>
      <c r="AK452" s="44">
        <v>9.1421368100000002</v>
      </c>
      <c r="AL452">
        <v>525.55560898763406</v>
      </c>
    </row>
    <row r="453" spans="1:38" x14ac:dyDescent="0.25">
      <c r="A453">
        <v>451</v>
      </c>
      <c r="B453" t="s">
        <v>237</v>
      </c>
      <c r="C453" s="1">
        <v>27324183.52</v>
      </c>
      <c r="D453" t="s">
        <v>72</v>
      </c>
      <c r="E453" t="s">
        <v>95</v>
      </c>
      <c r="G453">
        <v>20230112</v>
      </c>
      <c r="H453" s="56">
        <v>44939.000003356479</v>
      </c>
      <c r="I453">
        <v>27324183.52</v>
      </c>
      <c r="K453" t="s">
        <v>781</v>
      </c>
      <c r="L453" t="s">
        <v>316</v>
      </c>
      <c r="M453" t="s">
        <v>309</v>
      </c>
      <c r="N453" t="s">
        <v>265</v>
      </c>
      <c r="AJ453" s="4" t="s">
        <v>89</v>
      </c>
      <c r="AK453" s="44">
        <v>864101.84359399998</v>
      </c>
      <c r="AL453">
        <v>70472.326413768707</v>
      </c>
    </row>
    <row r="454" spans="1:38" x14ac:dyDescent="0.25">
      <c r="AJ454" s="27" t="s">
        <v>85</v>
      </c>
      <c r="AK454" s="44">
        <v>864101.84359399998</v>
      </c>
      <c r="AL454">
        <v>70472.326413768707</v>
      </c>
    </row>
    <row r="455" spans="1:38" x14ac:dyDescent="0.25">
      <c r="AJ455" s="4" t="s">
        <v>98</v>
      </c>
      <c r="AK455" s="44">
        <v>0.10834547999999999</v>
      </c>
      <c r="AL455">
        <v>1.3016083665599509E-3</v>
      </c>
    </row>
    <row r="456" spans="1:38" x14ac:dyDescent="0.25">
      <c r="AJ456" s="27" t="s">
        <v>85</v>
      </c>
      <c r="AK456" s="44">
        <v>0.10834547999999999</v>
      </c>
      <c r="AL456">
        <v>1.3016083665599509E-3</v>
      </c>
    </row>
    <row r="457" spans="1:38" x14ac:dyDescent="0.25">
      <c r="AJ457" s="4" t="s">
        <v>95</v>
      </c>
      <c r="AK457" s="44">
        <v>113250.4023</v>
      </c>
      <c r="AL457">
        <v>113250.4023</v>
      </c>
    </row>
    <row r="458" spans="1:38" x14ac:dyDescent="0.25">
      <c r="AJ458" s="27" t="s">
        <v>85</v>
      </c>
      <c r="AK458" s="44">
        <v>113250.4023</v>
      </c>
      <c r="AL458">
        <v>113250.4023</v>
      </c>
    </row>
    <row r="459" spans="1:38" x14ac:dyDescent="0.25">
      <c r="AJ459" s="4" t="s">
        <v>38</v>
      </c>
      <c r="AK459" s="44">
        <v>1.182861E-2</v>
      </c>
      <c r="AL459">
        <v>1.1813878629662419E-2</v>
      </c>
    </row>
    <row r="460" spans="1:38" x14ac:dyDescent="0.25">
      <c r="AJ460" s="27" t="s">
        <v>85</v>
      </c>
      <c r="AK460" s="44">
        <v>1.182861E-2</v>
      </c>
      <c r="AL460">
        <v>1.1813878629662419E-2</v>
      </c>
    </row>
    <row r="461" spans="1:38" x14ac:dyDescent="0.25">
      <c r="AJ461" s="4" t="s">
        <v>163</v>
      </c>
      <c r="AK461" s="44">
        <v>8.93329E-3</v>
      </c>
      <c r="AL461">
        <v>7.8894331383358885E-4</v>
      </c>
    </row>
    <row r="462" spans="1:38" x14ac:dyDescent="0.25">
      <c r="AJ462" s="27" t="s">
        <v>85</v>
      </c>
      <c r="AK462" s="44">
        <v>8.93329E-3</v>
      </c>
      <c r="AL462">
        <v>7.8894331383358885E-4</v>
      </c>
    </row>
    <row r="463" spans="1:38" x14ac:dyDescent="0.25">
      <c r="AJ463" s="4" t="s">
        <v>99</v>
      </c>
      <c r="AK463" s="44">
        <v>0.71704489000000005</v>
      </c>
      <c r="AL463">
        <v>0.24400781677652089</v>
      </c>
    </row>
    <row r="464" spans="1:38" x14ac:dyDescent="0.25">
      <c r="AJ464" s="27" t="s">
        <v>85</v>
      </c>
      <c r="AK464" s="44">
        <v>0.71704489000000005</v>
      </c>
      <c r="AL464">
        <v>0.24400781677652089</v>
      </c>
    </row>
    <row r="465" spans="36:38" x14ac:dyDescent="0.25">
      <c r="AJ465" s="3" t="s">
        <v>172</v>
      </c>
      <c r="AK465" s="44">
        <v>3.13E-3</v>
      </c>
      <c r="AL465">
        <v>0.61353960886582493</v>
      </c>
    </row>
    <row r="466" spans="36:38" x14ac:dyDescent="0.25">
      <c r="AJ466" s="4" t="s">
        <v>15</v>
      </c>
      <c r="AK466" s="44">
        <v>5.0000000000000001E-4</v>
      </c>
      <c r="AL466">
        <v>0.6109096088658249</v>
      </c>
    </row>
    <row r="467" spans="36:38" x14ac:dyDescent="0.25">
      <c r="AJ467" s="27" t="s">
        <v>85</v>
      </c>
      <c r="AK467" s="44">
        <v>5.0000000000000001E-4</v>
      </c>
      <c r="AL467">
        <v>0.6109096088658249</v>
      </c>
    </row>
    <row r="468" spans="36:38" x14ac:dyDescent="0.25">
      <c r="AJ468" s="4" t="s">
        <v>95</v>
      </c>
      <c r="AK468" s="44">
        <v>2.63E-3</v>
      </c>
      <c r="AL468">
        <v>2.63E-3</v>
      </c>
    </row>
    <row r="469" spans="36:38" x14ac:dyDescent="0.25">
      <c r="AJ469" s="27" t="s">
        <v>85</v>
      </c>
      <c r="AK469" s="44">
        <v>2.63E-3</v>
      </c>
      <c r="AL469">
        <v>2.63E-3</v>
      </c>
    </row>
    <row r="470" spans="36:38" x14ac:dyDescent="0.25">
      <c r="AJ470" s="3" t="s">
        <v>173</v>
      </c>
      <c r="AK470" s="44">
        <v>10138.885630000001</v>
      </c>
      <c r="AL470">
        <v>10138.885630000001</v>
      </c>
    </row>
    <row r="471" spans="36:38" x14ac:dyDescent="0.25">
      <c r="AJ471" s="4" t="s">
        <v>95</v>
      </c>
      <c r="AK471" s="44">
        <v>10138.885630000001</v>
      </c>
      <c r="AL471">
        <v>10138.885630000001</v>
      </c>
    </row>
    <row r="472" spans="36:38" x14ac:dyDescent="0.25">
      <c r="AJ472" s="27" t="s">
        <v>85</v>
      </c>
      <c r="AK472" s="44">
        <v>10138.885630000001</v>
      </c>
      <c r="AL472">
        <v>10138.885630000001</v>
      </c>
    </row>
    <row r="473" spans="36:38" x14ac:dyDescent="0.25">
      <c r="AJ473" s="3" t="s">
        <v>45</v>
      </c>
      <c r="AK473" s="44">
        <v>-9963717952.8686657</v>
      </c>
      <c r="AL473">
        <v>79562000.668711618</v>
      </c>
    </row>
    <row r="474" spans="36:38" x14ac:dyDescent="0.25">
      <c r="AJ474" s="4" t="s">
        <v>20</v>
      </c>
      <c r="AK474" s="44">
        <v>-1463.7902284300001</v>
      </c>
      <c r="AL474">
        <v>-145861.584095748</v>
      </c>
    </row>
    <row r="475" spans="36:38" x14ac:dyDescent="0.25">
      <c r="AJ475" s="27" t="s">
        <v>85</v>
      </c>
      <c r="AK475" s="44">
        <v>109.51263598</v>
      </c>
      <c r="AL475">
        <v>10912.55171150891</v>
      </c>
    </row>
    <row r="476" spans="36:38" x14ac:dyDescent="0.25">
      <c r="AJ476" s="27" t="s">
        <v>195</v>
      </c>
      <c r="AK476" s="44">
        <v>-1573.30286441</v>
      </c>
      <c r="AL476">
        <v>-156774.13580725691</v>
      </c>
    </row>
    <row r="477" spans="36:38" x14ac:dyDescent="0.25">
      <c r="AJ477" s="4" t="s">
        <v>113</v>
      </c>
      <c r="AK477" s="44">
        <v>0.86729455</v>
      </c>
      <c r="AL477">
        <v>33.580489683509107</v>
      </c>
    </row>
    <row r="478" spans="36:38" x14ac:dyDescent="0.25">
      <c r="AJ478" s="27" t="s">
        <v>85</v>
      </c>
      <c r="AK478" s="44">
        <v>0.86729455</v>
      </c>
      <c r="AL478">
        <v>33.580489683509107</v>
      </c>
    </row>
    <row r="479" spans="36:38" x14ac:dyDescent="0.25">
      <c r="AJ479" s="4" t="s">
        <v>14</v>
      </c>
      <c r="AK479" s="44">
        <v>512.06016428000009</v>
      </c>
      <c r="AL479">
        <v>8373907.135668112</v>
      </c>
    </row>
    <row r="480" spans="36:38" x14ac:dyDescent="0.25">
      <c r="AJ480" s="27" t="s">
        <v>85</v>
      </c>
      <c r="AK480" s="44">
        <v>512.06016428000009</v>
      </c>
      <c r="AL480">
        <v>8373907.135668112</v>
      </c>
    </row>
    <row r="481" spans="36:38" x14ac:dyDescent="0.25">
      <c r="AJ481" s="4" t="s">
        <v>22</v>
      </c>
      <c r="AK481" s="44">
        <v>6.8575999999999999E-4</v>
      </c>
      <c r="AL481">
        <v>3.9453473266980654E-3</v>
      </c>
    </row>
    <row r="482" spans="36:38" x14ac:dyDescent="0.25">
      <c r="AJ482" s="27" t="s">
        <v>85</v>
      </c>
      <c r="AK482" s="44">
        <v>6.8575999999999999E-4</v>
      </c>
      <c r="AL482">
        <v>3.9453473266980654E-3</v>
      </c>
    </row>
    <row r="483" spans="36:38" x14ac:dyDescent="0.25">
      <c r="AJ483" s="4" t="s">
        <v>23</v>
      </c>
      <c r="AK483" s="44">
        <v>147536.53602641</v>
      </c>
      <c r="AL483">
        <v>130800.92225233369</v>
      </c>
    </row>
    <row r="484" spans="36:38" x14ac:dyDescent="0.25">
      <c r="AJ484" s="27" t="s">
        <v>85</v>
      </c>
      <c r="AK484" s="44">
        <v>147536.53602641</v>
      </c>
      <c r="AL484">
        <v>130800.92225233369</v>
      </c>
    </row>
    <row r="485" spans="36:38" x14ac:dyDescent="0.25">
      <c r="AJ485" s="4" t="s">
        <v>29</v>
      </c>
      <c r="AK485" s="44">
        <v>-0.40707694999999999</v>
      </c>
      <c r="AL485">
        <v>-8.1242992961689033</v>
      </c>
    </row>
    <row r="486" spans="36:38" x14ac:dyDescent="0.25">
      <c r="AJ486" s="27" t="s">
        <v>195</v>
      </c>
      <c r="AK486" s="44">
        <v>-0.40707694999999999</v>
      </c>
      <c r="AL486">
        <v>-8.1242992961689033</v>
      </c>
    </row>
    <row r="487" spans="36:38" x14ac:dyDescent="0.25">
      <c r="AJ487" s="4" t="s">
        <v>15</v>
      </c>
      <c r="AK487" s="44">
        <v>5099.6463487399997</v>
      </c>
      <c r="AL487">
        <v>6230845.91252557</v>
      </c>
    </row>
    <row r="488" spans="36:38" x14ac:dyDescent="0.25">
      <c r="AJ488" s="27" t="s">
        <v>85</v>
      </c>
      <c r="AK488" s="44">
        <v>6364.6002509999998</v>
      </c>
      <c r="AL488">
        <v>7776390.8998514814</v>
      </c>
    </row>
    <row r="489" spans="36:38" x14ac:dyDescent="0.25">
      <c r="AJ489" s="27" t="s">
        <v>195</v>
      </c>
      <c r="AK489" s="44">
        <v>-1264.9539022599999</v>
      </c>
      <c r="AL489">
        <v>-1545544.9873259109</v>
      </c>
    </row>
    <row r="490" spans="36:38" x14ac:dyDescent="0.25">
      <c r="AJ490" s="4" t="s">
        <v>272</v>
      </c>
      <c r="AK490" s="44">
        <v>8.7929999999999993E-5</v>
      </c>
      <c r="AL490">
        <v>3.4263446535171162E-4</v>
      </c>
    </row>
    <row r="491" spans="36:38" x14ac:dyDescent="0.25">
      <c r="AJ491" s="27" t="s">
        <v>85</v>
      </c>
      <c r="AK491" s="44">
        <v>8.7929999999999993E-5</v>
      </c>
      <c r="AL491">
        <v>3.4263446535171162E-4</v>
      </c>
    </row>
    <row r="492" spans="36:38" x14ac:dyDescent="0.25">
      <c r="AJ492" s="4" t="s">
        <v>30</v>
      </c>
      <c r="AK492" s="44">
        <v>-3.6900389999999998E-2</v>
      </c>
      <c r="AL492">
        <v>-0.15844940293277221</v>
      </c>
    </row>
    <row r="493" spans="36:38" x14ac:dyDescent="0.25">
      <c r="AJ493" s="27" t="s">
        <v>195</v>
      </c>
      <c r="AK493" s="44">
        <v>-3.6900389999999998E-2</v>
      </c>
      <c r="AL493">
        <v>-0.15844940293277221</v>
      </c>
    </row>
    <row r="494" spans="36:38" x14ac:dyDescent="0.25">
      <c r="AJ494" s="4" t="s">
        <v>27</v>
      </c>
      <c r="AK494" s="44">
        <v>7.5870867500000001</v>
      </c>
      <c r="AL494">
        <v>46.072177056415278</v>
      </c>
    </row>
    <row r="495" spans="36:38" x14ac:dyDescent="0.25">
      <c r="AJ495" s="27" t="s">
        <v>85</v>
      </c>
      <c r="AK495" s="44">
        <v>7.5870867500000001</v>
      </c>
      <c r="AL495">
        <v>46.072177056415278</v>
      </c>
    </row>
    <row r="496" spans="36:38" x14ac:dyDescent="0.25">
      <c r="AJ496" s="4" t="s">
        <v>24</v>
      </c>
      <c r="AK496" s="44">
        <v>3634.9021786799999</v>
      </c>
      <c r="AL496">
        <v>208960.25380379806</v>
      </c>
    </row>
    <row r="497" spans="36:38" x14ac:dyDescent="0.25">
      <c r="AJ497" s="27" t="s">
        <v>85</v>
      </c>
      <c r="AK497" s="44">
        <v>3634.9021786799999</v>
      </c>
      <c r="AL497">
        <v>208960.25380379806</v>
      </c>
    </row>
    <row r="498" spans="36:38" x14ac:dyDescent="0.25">
      <c r="AJ498" s="4" t="s">
        <v>89</v>
      </c>
      <c r="AK498" s="44">
        <v>387813.07240811997</v>
      </c>
      <c r="AL498">
        <v>31628.319773742609</v>
      </c>
    </row>
    <row r="499" spans="36:38" x14ac:dyDescent="0.25">
      <c r="AJ499" s="27" t="s">
        <v>85</v>
      </c>
      <c r="AK499" s="44">
        <v>387813.07240811997</v>
      </c>
      <c r="AL499">
        <v>31628.319773742609</v>
      </c>
    </row>
    <row r="500" spans="36:38" x14ac:dyDescent="0.25">
      <c r="AJ500" s="4" t="s">
        <v>37</v>
      </c>
      <c r="AK500" s="44">
        <v>-10030463790.585346</v>
      </c>
      <c r="AL500">
        <v>-90558.111270937152</v>
      </c>
    </row>
    <row r="501" spans="36:38" x14ac:dyDescent="0.25">
      <c r="AJ501" s="27" t="s">
        <v>85</v>
      </c>
      <c r="AK501" s="44">
        <v>8.1457000000000003E-4</v>
      </c>
      <c r="AL501">
        <v>7.3541884241887576E-9</v>
      </c>
    </row>
    <row r="502" spans="36:38" x14ac:dyDescent="0.25">
      <c r="AJ502" s="27" t="s">
        <v>195</v>
      </c>
      <c r="AK502" s="44">
        <v>-10030463790.586161</v>
      </c>
      <c r="AL502">
        <v>-90558.111270944501</v>
      </c>
    </row>
    <row r="503" spans="36:38" x14ac:dyDescent="0.25">
      <c r="AJ503" s="4" t="s">
        <v>92</v>
      </c>
      <c r="AK503" s="44">
        <v>-66833.931200249994</v>
      </c>
      <c r="AL503">
        <v>-66843.043338537522</v>
      </c>
    </row>
    <row r="504" spans="36:38" x14ac:dyDescent="0.25">
      <c r="AJ504" s="27" t="s">
        <v>195</v>
      </c>
      <c r="AK504" s="44">
        <v>-66833.931200249994</v>
      </c>
      <c r="AL504">
        <v>-66843.043338537522</v>
      </c>
    </row>
    <row r="505" spans="36:38" x14ac:dyDescent="0.25">
      <c r="AJ505" s="4" t="s">
        <v>38</v>
      </c>
      <c r="AK505" s="44">
        <v>64941345.912050463</v>
      </c>
      <c r="AL505">
        <v>64860467.853102624</v>
      </c>
    </row>
    <row r="506" spans="36:38" x14ac:dyDescent="0.25">
      <c r="AJ506" s="27" t="s">
        <v>85</v>
      </c>
      <c r="AK506" s="44">
        <v>64966266.08846093</v>
      </c>
      <c r="AL506">
        <v>64885356.993884429</v>
      </c>
    </row>
    <row r="507" spans="36:38" x14ac:dyDescent="0.25">
      <c r="AJ507" s="27" t="s">
        <v>195</v>
      </c>
      <c r="AK507" s="44">
        <v>-24920.176410470001</v>
      </c>
      <c r="AL507">
        <v>-24889.140781805239</v>
      </c>
    </row>
    <row r="508" spans="36:38" x14ac:dyDescent="0.25">
      <c r="AJ508" s="4" t="s">
        <v>162</v>
      </c>
      <c r="AK508" s="44">
        <v>5.47</v>
      </c>
      <c r="AL508">
        <v>1.5561459982967789E-4</v>
      </c>
    </row>
    <row r="509" spans="36:38" x14ac:dyDescent="0.25">
      <c r="AJ509" s="27" t="s">
        <v>85</v>
      </c>
      <c r="AK509" s="44">
        <v>5.47</v>
      </c>
      <c r="AL509">
        <v>1.5561459982967789E-4</v>
      </c>
    </row>
    <row r="510" spans="36:38" x14ac:dyDescent="0.25">
      <c r="AJ510" s="4" t="s">
        <v>99</v>
      </c>
      <c r="AK510" s="44">
        <v>2875.9911805200004</v>
      </c>
      <c r="AL510">
        <v>978.68953368765267</v>
      </c>
    </row>
    <row r="511" spans="36:38" x14ac:dyDescent="0.25">
      <c r="AJ511" s="27" t="s">
        <v>85</v>
      </c>
      <c r="AK511" s="44">
        <v>2875.9911805200004</v>
      </c>
      <c r="AL511">
        <v>978.68953368765267</v>
      </c>
    </row>
    <row r="512" spans="36:38" x14ac:dyDescent="0.25">
      <c r="AJ512" s="4" t="s">
        <v>26</v>
      </c>
      <c r="AK512" s="44">
        <v>1325303.8365750101</v>
      </c>
      <c r="AL512">
        <v>27602.946395344909</v>
      </c>
    </row>
    <row r="513" spans="36:38" x14ac:dyDescent="0.25">
      <c r="AJ513" s="27" t="s">
        <v>85</v>
      </c>
      <c r="AK513" s="44">
        <v>1325303.8365750101</v>
      </c>
      <c r="AL513">
        <v>27602.946395344909</v>
      </c>
    </row>
    <row r="514" spans="36:38" x14ac:dyDescent="0.25">
      <c r="AJ514" s="3" t="s">
        <v>209</v>
      </c>
      <c r="AK514" s="44">
        <v>-3600208</v>
      </c>
      <c r="AL514">
        <v>-1212197.8096977568</v>
      </c>
    </row>
    <row r="515" spans="36:38" x14ac:dyDescent="0.25">
      <c r="AJ515" s="4" t="s">
        <v>89</v>
      </c>
      <c r="AK515" s="44">
        <v>-2600208</v>
      </c>
      <c r="AL515">
        <v>-212061.4696961458</v>
      </c>
    </row>
    <row r="516" spans="36:38" x14ac:dyDescent="0.25">
      <c r="AJ516" s="27" t="s">
        <v>208</v>
      </c>
      <c r="AK516" s="44">
        <v>-2600208</v>
      </c>
      <c r="AL516">
        <v>-212061.4696961458</v>
      </c>
    </row>
    <row r="517" spans="36:38" x14ac:dyDescent="0.25">
      <c r="AJ517" s="4" t="s">
        <v>92</v>
      </c>
      <c r="AK517" s="44">
        <v>-1000000</v>
      </c>
      <c r="AL517">
        <v>-1000136.340001611</v>
      </c>
    </row>
    <row r="518" spans="36:38" x14ac:dyDescent="0.25">
      <c r="AJ518" s="27" t="s">
        <v>208</v>
      </c>
      <c r="AK518" s="44">
        <v>-1000000</v>
      </c>
      <c r="AL518">
        <v>-1000136.340001611</v>
      </c>
    </row>
    <row r="519" spans="36:38" x14ac:dyDescent="0.25">
      <c r="AJ519" s="3" t="s">
        <v>176</v>
      </c>
      <c r="AK519" s="44">
        <v>0.13812404</v>
      </c>
      <c r="AL519">
        <v>0.90747768552352293</v>
      </c>
    </row>
    <row r="520" spans="36:38" x14ac:dyDescent="0.25">
      <c r="AJ520" s="4" t="s">
        <v>15</v>
      </c>
      <c r="AK520" s="44">
        <v>7.1361999999999999E-4</v>
      </c>
      <c r="AL520">
        <v>0.87191463015765991</v>
      </c>
    </row>
    <row r="521" spans="36:38" x14ac:dyDescent="0.25">
      <c r="AJ521" s="27" t="s">
        <v>85</v>
      </c>
      <c r="AK521" s="44">
        <v>7.1361999999999999E-4</v>
      </c>
      <c r="AL521">
        <v>0.87191463015765991</v>
      </c>
    </row>
    <row r="522" spans="36:38" x14ac:dyDescent="0.25">
      <c r="AJ522" s="4" t="s">
        <v>107</v>
      </c>
      <c r="AK522" s="44">
        <v>0.01</v>
      </c>
      <c r="AL522">
        <v>1.0335499999999999E-2</v>
      </c>
    </row>
    <row r="523" spans="36:38" x14ac:dyDescent="0.25">
      <c r="AJ523" s="27" t="s">
        <v>85</v>
      </c>
      <c r="AK523" s="44">
        <v>0.01</v>
      </c>
      <c r="AL523">
        <v>1.0335499999999999E-2</v>
      </c>
    </row>
    <row r="524" spans="36:38" x14ac:dyDescent="0.25">
      <c r="AJ524" s="4" t="s">
        <v>177</v>
      </c>
      <c r="AK524" s="44">
        <v>0.01</v>
      </c>
      <c r="AL524">
        <v>1.1838899999999999E-2</v>
      </c>
    </row>
    <row r="525" spans="36:38" x14ac:dyDescent="0.25">
      <c r="AJ525" s="27" t="s">
        <v>85</v>
      </c>
      <c r="AK525" s="44">
        <v>0.01</v>
      </c>
      <c r="AL525">
        <v>1.1838899999999999E-2</v>
      </c>
    </row>
    <row r="526" spans="36:38" x14ac:dyDescent="0.25">
      <c r="AJ526" s="4" t="s">
        <v>179</v>
      </c>
      <c r="AK526" s="44">
        <v>0.10983253</v>
      </c>
      <c r="AL526">
        <v>5.8121018861928813E-3</v>
      </c>
    </row>
    <row r="527" spans="36:38" x14ac:dyDescent="0.25">
      <c r="AJ527" s="27" t="s">
        <v>85</v>
      </c>
      <c r="AK527" s="44">
        <v>0.10983253</v>
      </c>
      <c r="AL527">
        <v>5.8121018861928813E-3</v>
      </c>
    </row>
    <row r="528" spans="36:38" x14ac:dyDescent="0.25">
      <c r="AJ528" s="4" t="s">
        <v>95</v>
      </c>
      <c r="AK528" s="44">
        <v>6.5778299999999998E-3</v>
      </c>
      <c r="AL528">
        <v>6.5778299999999998E-3</v>
      </c>
    </row>
    <row r="529" spans="36:38" x14ac:dyDescent="0.25">
      <c r="AJ529" s="27" t="s">
        <v>85</v>
      </c>
      <c r="AK529" s="44">
        <v>6.5778299999999998E-3</v>
      </c>
      <c r="AL529">
        <v>6.5778299999999998E-3</v>
      </c>
    </row>
    <row r="530" spans="36:38" x14ac:dyDescent="0.25">
      <c r="AJ530" s="4" t="s">
        <v>38</v>
      </c>
      <c r="AK530" s="44">
        <v>9.9996000000000004E-4</v>
      </c>
      <c r="AL530">
        <v>9.9871464817229052E-4</v>
      </c>
    </row>
    <row r="531" spans="36:38" x14ac:dyDescent="0.25">
      <c r="AJ531" s="27" t="s">
        <v>85</v>
      </c>
      <c r="AK531" s="44">
        <v>9.9996000000000004E-4</v>
      </c>
      <c r="AL531">
        <v>9.9871464817229052E-4</v>
      </c>
    </row>
    <row r="532" spans="36:38" x14ac:dyDescent="0.25">
      <c r="AJ532" s="4" t="s">
        <v>163</v>
      </c>
      <c r="AK532" s="44">
        <v>9.9999999999999995E-8</v>
      </c>
      <c r="AL532">
        <v>8.8314978449550921E-9</v>
      </c>
    </row>
    <row r="533" spans="36:38" x14ac:dyDescent="0.25">
      <c r="AJ533" s="27" t="s">
        <v>85</v>
      </c>
      <c r="AK533" s="44">
        <v>9.9999999999999995E-8</v>
      </c>
      <c r="AL533">
        <v>8.8314978449550921E-9</v>
      </c>
    </row>
    <row r="534" spans="36:38" x14ac:dyDescent="0.25">
      <c r="AJ534" s="3" t="s">
        <v>211</v>
      </c>
      <c r="AK534" s="44">
        <v>-201.17</v>
      </c>
      <c r="AL534">
        <v>-68.457432980148155</v>
      </c>
    </row>
    <row r="535" spans="36:38" x14ac:dyDescent="0.25">
      <c r="AJ535" s="4" t="s">
        <v>99</v>
      </c>
      <c r="AK535" s="44">
        <v>-201.17</v>
      </c>
      <c r="AL535">
        <v>-68.457432980148155</v>
      </c>
    </row>
    <row r="536" spans="36:38" x14ac:dyDescent="0.25">
      <c r="AJ536" s="27" t="s">
        <v>208</v>
      </c>
      <c r="AK536" s="44">
        <v>-201.17</v>
      </c>
      <c r="AL536">
        <v>-68.457432980148155</v>
      </c>
    </row>
    <row r="537" spans="36:38" x14ac:dyDescent="0.25">
      <c r="AJ537" s="3" t="s">
        <v>182</v>
      </c>
      <c r="AK537" s="44">
        <v>3189967.2936231201</v>
      </c>
      <c r="AL537">
        <v>27700.14279195312</v>
      </c>
    </row>
    <row r="538" spans="36:38" x14ac:dyDescent="0.25">
      <c r="AJ538" s="4" t="s">
        <v>181</v>
      </c>
      <c r="AK538" s="44">
        <v>3189967.2936231201</v>
      </c>
      <c r="AL538">
        <v>27700.14279195312</v>
      </c>
    </row>
    <row r="539" spans="36:38" x14ac:dyDescent="0.25">
      <c r="AJ539" s="27" t="s">
        <v>85</v>
      </c>
      <c r="AK539" s="44">
        <v>3189967.2936231201</v>
      </c>
      <c r="AL539">
        <v>27700.14279195312</v>
      </c>
    </row>
    <row r="540" spans="36:38" x14ac:dyDescent="0.25">
      <c r="AJ540" s="3" t="s">
        <v>184</v>
      </c>
      <c r="AK540" s="44">
        <v>10957624.232298901</v>
      </c>
      <c r="AL540">
        <v>2993803.983628212</v>
      </c>
    </row>
    <row r="541" spans="36:38" x14ac:dyDescent="0.25">
      <c r="AJ541" s="4" t="s">
        <v>84</v>
      </c>
      <c r="AK541" s="44">
        <v>59</v>
      </c>
      <c r="AL541">
        <v>19.477492173636382</v>
      </c>
    </row>
    <row r="542" spans="36:38" x14ac:dyDescent="0.25">
      <c r="AJ542" s="27" t="s">
        <v>85</v>
      </c>
      <c r="AK542" s="44">
        <v>59</v>
      </c>
      <c r="AL542">
        <v>19.477492173636382</v>
      </c>
    </row>
    <row r="543" spans="36:38" x14ac:dyDescent="0.25">
      <c r="AJ543" s="4" t="s">
        <v>14</v>
      </c>
      <c r="AK543" s="44">
        <v>-174.51592060999999</v>
      </c>
      <c r="AL543">
        <v>-2853922.6732049999</v>
      </c>
    </row>
    <row r="544" spans="36:38" x14ac:dyDescent="0.25">
      <c r="AJ544" s="27" t="s">
        <v>195</v>
      </c>
      <c r="AK544" s="44">
        <v>-174.51592060999999</v>
      </c>
      <c r="AL544">
        <v>-2853922.6732049999</v>
      </c>
    </row>
    <row r="545" spans="36:38" x14ac:dyDescent="0.25">
      <c r="AJ545" s="4" t="s">
        <v>15</v>
      </c>
      <c r="AK545" s="44">
        <v>-2994.3247933399998</v>
      </c>
      <c r="AL545">
        <v>-3658523.5766331628</v>
      </c>
    </row>
    <row r="546" spans="36:38" x14ac:dyDescent="0.25">
      <c r="AJ546" s="27" t="s">
        <v>195</v>
      </c>
      <c r="AK546" s="44">
        <v>-2994.3247933399998</v>
      </c>
      <c r="AL546">
        <v>-3658523.5766331628</v>
      </c>
    </row>
    <row r="547" spans="36:38" x14ac:dyDescent="0.25">
      <c r="AJ547" s="4" t="s">
        <v>272</v>
      </c>
      <c r="AK547" s="44">
        <v>1267.7570125100001</v>
      </c>
      <c r="AL547">
        <v>4940.0346432076312</v>
      </c>
    </row>
    <row r="548" spans="36:38" x14ac:dyDescent="0.25">
      <c r="AJ548" s="27" t="s">
        <v>85</v>
      </c>
      <c r="AK548" s="44">
        <v>1267.7570125100001</v>
      </c>
      <c r="AL548">
        <v>4940.0346432076312</v>
      </c>
    </row>
    <row r="549" spans="36:38" x14ac:dyDescent="0.25">
      <c r="AJ549" s="4" t="s">
        <v>38</v>
      </c>
      <c r="AK549" s="44">
        <v>9315180.2629010305</v>
      </c>
      <c r="AL549">
        <v>9303579.1220895518</v>
      </c>
    </row>
    <row r="550" spans="36:38" x14ac:dyDescent="0.25">
      <c r="AJ550" s="27" t="s">
        <v>85</v>
      </c>
      <c r="AK550" s="44">
        <v>9315180.2629010305</v>
      </c>
      <c r="AL550">
        <v>9303579.1220895518</v>
      </c>
    </row>
    <row r="551" spans="36:38" x14ac:dyDescent="0.25">
      <c r="AJ551" s="4" t="s">
        <v>185</v>
      </c>
      <c r="AK551" s="44">
        <v>1644286.05309931</v>
      </c>
      <c r="AL551">
        <v>197711.5992414417</v>
      </c>
    </row>
    <row r="552" spans="36:38" x14ac:dyDescent="0.25">
      <c r="AJ552" s="27" t="s">
        <v>85</v>
      </c>
      <c r="AK552" s="44">
        <v>1644286.05309931</v>
      </c>
      <c r="AL552">
        <v>197711.5992414417</v>
      </c>
    </row>
    <row r="553" spans="36:38" x14ac:dyDescent="0.25">
      <c r="AJ553" s="3" t="s">
        <v>278</v>
      </c>
      <c r="AK553" s="44"/>
    </row>
    <row r="554" spans="36:38" x14ac:dyDescent="0.25">
      <c r="AJ554" s="4" t="s">
        <v>278</v>
      </c>
      <c r="AK554" s="44"/>
    </row>
    <row r="555" spans="36:38" x14ac:dyDescent="0.25">
      <c r="AJ555" s="27" t="s">
        <v>278</v>
      </c>
      <c r="AK555" s="44"/>
    </row>
    <row r="556" spans="36:38" x14ac:dyDescent="0.25">
      <c r="AJ556" s="3" t="s">
        <v>56</v>
      </c>
      <c r="AK556" s="44">
        <v>180298235352.4292</v>
      </c>
      <c r="AL556">
        <v>43392573.956692718</v>
      </c>
    </row>
    <row r="557" spans="36:38" x14ac:dyDescent="0.25">
      <c r="AK557"/>
    </row>
    <row r="558" spans="36:38" x14ac:dyDescent="0.25">
      <c r="AK558"/>
    </row>
    <row r="559" spans="36:38" x14ac:dyDescent="0.25">
      <c r="AK559"/>
    </row>
    <row r="560" spans="36:38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</sheetData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8AAB-27C5-4A85-9364-A120C030EC1E}">
  <dimension ref="A1:J1822"/>
  <sheetViews>
    <sheetView zoomScale="78" zoomScaleNormal="78" workbookViewId="0">
      <selection activeCell="F6" sqref="F6"/>
    </sheetView>
  </sheetViews>
  <sheetFormatPr defaultRowHeight="15" x14ac:dyDescent="0.25"/>
  <cols>
    <col min="1" max="1" width="18.5703125" bestFit="1" customWidth="1"/>
    <col min="2" max="2" width="20.28515625" style="42" bestFit="1" customWidth="1"/>
    <col min="3" max="3" width="12.140625" bestFit="1" customWidth="1"/>
    <col min="4" max="4" width="53.140625" bestFit="1" customWidth="1"/>
    <col min="5" max="5" width="27.140625" bestFit="1" customWidth="1"/>
    <col min="6" max="6" width="11.28515625" customWidth="1"/>
    <col min="7" max="7" width="18" bestFit="1" customWidth="1"/>
    <col min="9" max="9" width="18.5703125" bestFit="1" customWidth="1"/>
    <col min="10" max="10" width="22.5703125" style="56" customWidth="1"/>
  </cols>
  <sheetData>
    <row r="1" spans="1:10" s="10" customFormat="1" x14ac:dyDescent="0.25">
      <c r="A1" s="10" t="s">
        <v>71</v>
      </c>
      <c r="B1" s="196" t="s">
        <v>72</v>
      </c>
      <c r="C1" s="10" t="s">
        <v>73</v>
      </c>
      <c r="D1" s="10" t="s">
        <v>74</v>
      </c>
      <c r="E1" s="10" t="s">
        <v>75</v>
      </c>
      <c r="F1" s="10" t="s">
        <v>76</v>
      </c>
      <c r="G1" s="10" t="s">
        <v>77</v>
      </c>
      <c r="I1" s="10" t="s">
        <v>82</v>
      </c>
      <c r="J1" s="151" t="s">
        <v>1008</v>
      </c>
    </row>
    <row r="2" spans="1:10" x14ac:dyDescent="0.25">
      <c r="A2" t="s">
        <v>83</v>
      </c>
      <c r="B2" s="42">
        <v>565.14819660000001</v>
      </c>
      <c r="D2" t="s">
        <v>116</v>
      </c>
      <c r="E2" t="s">
        <v>991</v>
      </c>
      <c r="F2" s="30">
        <v>44937</v>
      </c>
      <c r="G2" s="189">
        <v>44937.666667673613</v>
      </c>
      <c r="I2" t="str">
        <f>IF($A2="","",RIGHT($E2,LEN($E2)-SEARCH(".",$E2)))</f>
        <v>BINE</v>
      </c>
      <c r="J2" s="56">
        <f>IF($A2="","",$G2)</f>
        <v>44937.666667673613</v>
      </c>
    </row>
    <row r="3" spans="1:10" x14ac:dyDescent="0.25">
      <c r="A3" t="s">
        <v>83</v>
      </c>
      <c r="B3" s="42">
        <v>331565.88807300001</v>
      </c>
      <c r="D3" t="s">
        <v>84</v>
      </c>
      <c r="E3" t="s">
        <v>991</v>
      </c>
      <c r="F3" s="30">
        <v>44937</v>
      </c>
      <c r="G3" s="189">
        <v>44937.666667673613</v>
      </c>
      <c r="I3" t="str">
        <f t="shared" ref="I3:I66" si="0">IF($A3="","",RIGHT($E3,LEN($E3)-SEARCH(".",$E3)))</f>
        <v>BINE</v>
      </c>
      <c r="J3" s="56">
        <f t="shared" ref="J3:J66" si="1">IF($A3="","",$G3)</f>
        <v>44937.666667673613</v>
      </c>
    </row>
    <row r="4" spans="1:10" x14ac:dyDescent="0.25">
      <c r="A4" t="s">
        <v>83</v>
      </c>
      <c r="B4" s="42">
        <v>199718.09347699999</v>
      </c>
      <c r="D4" t="s">
        <v>122</v>
      </c>
      <c r="E4" t="s">
        <v>991</v>
      </c>
      <c r="F4" s="30">
        <v>44937</v>
      </c>
      <c r="G4" s="189">
        <v>44937.666667673613</v>
      </c>
      <c r="I4" t="str">
        <f t="shared" si="0"/>
        <v>BINE</v>
      </c>
      <c r="J4" s="56">
        <f t="shared" si="1"/>
        <v>44937.666667673613</v>
      </c>
    </row>
    <row r="5" spans="1:10" x14ac:dyDescent="0.25">
      <c r="A5" t="s">
        <v>83</v>
      </c>
      <c r="B5" s="42">
        <v>4.2548999999999998E-3</v>
      </c>
      <c r="D5" t="s">
        <v>35</v>
      </c>
      <c r="E5" t="s">
        <v>991</v>
      </c>
      <c r="F5" s="30">
        <v>44937</v>
      </c>
      <c r="G5" s="189">
        <v>44937.666667673613</v>
      </c>
      <c r="I5" t="str">
        <f t="shared" si="0"/>
        <v>BINE</v>
      </c>
      <c r="J5" s="56">
        <f t="shared" si="1"/>
        <v>44937.666667673613</v>
      </c>
    </row>
    <row r="6" spans="1:10" x14ac:dyDescent="0.25">
      <c r="A6" t="s">
        <v>83</v>
      </c>
      <c r="B6" s="42">
        <v>2593.0405524500002</v>
      </c>
      <c r="D6" t="s">
        <v>187</v>
      </c>
      <c r="E6" t="s">
        <v>991</v>
      </c>
      <c r="F6" s="30">
        <v>44937</v>
      </c>
      <c r="G6" s="189">
        <v>44937.666667673613</v>
      </c>
      <c r="I6" t="str">
        <f t="shared" si="0"/>
        <v>BINE</v>
      </c>
      <c r="J6" s="56">
        <f t="shared" si="1"/>
        <v>44937.666667673613</v>
      </c>
    </row>
    <row r="7" spans="1:10" x14ac:dyDescent="0.25">
      <c r="A7" t="s">
        <v>83</v>
      </c>
      <c r="B7" s="42">
        <v>87121.825610889995</v>
      </c>
      <c r="D7" t="s">
        <v>124</v>
      </c>
      <c r="E7" t="s">
        <v>991</v>
      </c>
      <c r="F7" s="30">
        <v>44937</v>
      </c>
      <c r="G7" s="189">
        <v>44937.666667673613</v>
      </c>
      <c r="I7" t="str">
        <f t="shared" si="0"/>
        <v>BINE</v>
      </c>
      <c r="J7" s="56">
        <f t="shared" si="1"/>
        <v>44937.666667673613</v>
      </c>
    </row>
    <row r="8" spans="1:10" x14ac:dyDescent="0.25">
      <c r="A8" t="s">
        <v>83</v>
      </c>
      <c r="B8" s="42">
        <v>509.13674737000002</v>
      </c>
      <c r="D8" t="s">
        <v>20</v>
      </c>
      <c r="E8" t="s">
        <v>991</v>
      </c>
      <c r="F8" s="30">
        <v>44937</v>
      </c>
      <c r="G8" s="189">
        <v>44937.666667673613</v>
      </c>
      <c r="I8" t="str">
        <f t="shared" si="0"/>
        <v>BINE</v>
      </c>
      <c r="J8" s="56">
        <f t="shared" si="1"/>
        <v>44937.666667673613</v>
      </c>
    </row>
    <row r="9" spans="1:10" x14ac:dyDescent="0.25">
      <c r="A9" t="s">
        <v>83</v>
      </c>
      <c r="B9" s="42">
        <v>38.506896650000002</v>
      </c>
      <c r="D9" t="s">
        <v>87</v>
      </c>
      <c r="E9" t="s">
        <v>991</v>
      </c>
      <c r="F9" s="30">
        <v>44937</v>
      </c>
      <c r="G9" s="189">
        <v>44937.666667673613</v>
      </c>
      <c r="I9" t="str">
        <f t="shared" si="0"/>
        <v>BINE</v>
      </c>
      <c r="J9" s="56">
        <f t="shared" si="1"/>
        <v>44937.666667673613</v>
      </c>
    </row>
    <row r="10" spans="1:10" x14ac:dyDescent="0.25">
      <c r="A10" t="s">
        <v>83</v>
      </c>
      <c r="B10" s="42">
        <v>4.9148701299999997</v>
      </c>
      <c r="D10" t="s">
        <v>14</v>
      </c>
      <c r="E10" t="s">
        <v>991</v>
      </c>
      <c r="F10" s="30">
        <v>44937</v>
      </c>
      <c r="G10" s="189">
        <v>44937.666667673613</v>
      </c>
      <c r="I10" t="str">
        <f t="shared" si="0"/>
        <v>BINE</v>
      </c>
      <c r="J10" s="56">
        <f t="shared" si="1"/>
        <v>44937.666667673613</v>
      </c>
    </row>
    <row r="11" spans="1:10" x14ac:dyDescent="0.25">
      <c r="A11" t="s">
        <v>83</v>
      </c>
      <c r="B11" s="42">
        <v>407.36654134999998</v>
      </c>
      <c r="D11" t="s">
        <v>88</v>
      </c>
      <c r="E11" t="s">
        <v>991</v>
      </c>
      <c r="F11" s="30">
        <v>44937</v>
      </c>
      <c r="G11" s="189">
        <v>44937.666667673613</v>
      </c>
      <c r="I11" t="str">
        <f t="shared" si="0"/>
        <v>BINE</v>
      </c>
      <c r="J11" s="56">
        <f t="shared" si="1"/>
        <v>44937.666667673613</v>
      </c>
    </row>
    <row r="12" spans="1:10" x14ac:dyDescent="0.25">
      <c r="A12" t="s">
        <v>83</v>
      </c>
      <c r="B12" s="42">
        <v>2006.1641766600001</v>
      </c>
      <c r="D12" t="s">
        <v>31</v>
      </c>
      <c r="E12" t="s">
        <v>991</v>
      </c>
      <c r="F12" s="30">
        <v>44937</v>
      </c>
      <c r="G12" s="189">
        <v>44937.666667673613</v>
      </c>
      <c r="I12" t="str">
        <f t="shared" si="0"/>
        <v>BINE</v>
      </c>
      <c r="J12" s="56">
        <f t="shared" si="1"/>
        <v>44937.666667673613</v>
      </c>
    </row>
    <row r="13" spans="1:10" x14ac:dyDescent="0.25">
      <c r="A13" t="s">
        <v>83</v>
      </c>
      <c r="B13" s="42">
        <v>1.5637979999999999E-2</v>
      </c>
      <c r="D13" t="s">
        <v>188</v>
      </c>
      <c r="E13" t="s">
        <v>991</v>
      </c>
      <c r="F13" s="30">
        <v>44937</v>
      </c>
      <c r="G13" s="189">
        <v>44937.666667673613</v>
      </c>
      <c r="I13" t="str">
        <f t="shared" si="0"/>
        <v>BINE</v>
      </c>
      <c r="J13" s="56">
        <f t="shared" si="1"/>
        <v>44937.666667673613</v>
      </c>
    </row>
    <row r="14" spans="1:10" x14ac:dyDescent="0.25">
      <c r="A14" t="s">
        <v>83</v>
      </c>
      <c r="B14" s="42">
        <v>897.22841947999996</v>
      </c>
      <c r="D14" t="s">
        <v>132</v>
      </c>
      <c r="E14" t="s">
        <v>991</v>
      </c>
      <c r="F14" s="30">
        <v>44937</v>
      </c>
      <c r="G14" s="189">
        <v>44937.666667673613</v>
      </c>
      <c r="I14" t="str">
        <f t="shared" si="0"/>
        <v>BINE</v>
      </c>
      <c r="J14" s="56">
        <f t="shared" si="1"/>
        <v>44937.666667673613</v>
      </c>
    </row>
    <row r="15" spans="1:10" x14ac:dyDescent="0.25">
      <c r="A15" t="s">
        <v>83</v>
      </c>
      <c r="B15" s="42">
        <v>459902.98661089002</v>
      </c>
      <c r="D15" t="s">
        <v>190</v>
      </c>
      <c r="E15" t="s">
        <v>991</v>
      </c>
      <c r="F15" s="30">
        <v>44937</v>
      </c>
      <c r="G15" s="189">
        <v>44937.666667673613</v>
      </c>
      <c r="I15" t="str">
        <f t="shared" si="0"/>
        <v>BINE</v>
      </c>
      <c r="J15" s="56">
        <f t="shared" si="1"/>
        <v>44937.666667673613</v>
      </c>
    </row>
    <row r="16" spans="1:10" x14ac:dyDescent="0.25">
      <c r="A16" t="s">
        <v>83</v>
      </c>
      <c r="B16" s="42">
        <v>4886.50891168</v>
      </c>
      <c r="D16" t="s">
        <v>22</v>
      </c>
      <c r="E16" t="s">
        <v>991</v>
      </c>
      <c r="F16" s="30">
        <v>44937</v>
      </c>
      <c r="G16" s="189">
        <v>44937.666667673613</v>
      </c>
      <c r="I16" t="str">
        <f t="shared" si="0"/>
        <v>BINE</v>
      </c>
      <c r="J16" s="56">
        <f t="shared" si="1"/>
        <v>44937.666667673613</v>
      </c>
    </row>
    <row r="17" spans="1:10" x14ac:dyDescent="0.25">
      <c r="A17" t="s">
        <v>83</v>
      </c>
      <c r="B17" s="42">
        <v>42616.186590099998</v>
      </c>
      <c r="D17" t="s">
        <v>28</v>
      </c>
      <c r="E17" t="s">
        <v>991</v>
      </c>
      <c r="F17" s="30">
        <v>44937</v>
      </c>
      <c r="G17" s="189">
        <v>44937.666667673613</v>
      </c>
      <c r="I17" t="str">
        <f t="shared" si="0"/>
        <v>BINE</v>
      </c>
      <c r="J17" s="56">
        <f t="shared" si="1"/>
        <v>44937.666667673613</v>
      </c>
    </row>
    <row r="18" spans="1:10" x14ac:dyDescent="0.25">
      <c r="A18" t="s">
        <v>83</v>
      </c>
      <c r="B18" s="42">
        <v>91884.112699999998</v>
      </c>
      <c r="D18" t="s">
        <v>23</v>
      </c>
      <c r="E18" t="s">
        <v>991</v>
      </c>
      <c r="F18" s="30">
        <v>44937</v>
      </c>
      <c r="G18" s="189">
        <v>44937.666667673613</v>
      </c>
      <c r="I18" t="str">
        <f t="shared" si="0"/>
        <v>BINE</v>
      </c>
      <c r="J18" s="56">
        <f t="shared" si="1"/>
        <v>44937.666667673613</v>
      </c>
    </row>
    <row r="19" spans="1:10" x14ac:dyDescent="0.25">
      <c r="A19" t="s">
        <v>83</v>
      </c>
      <c r="B19" s="42">
        <v>29.909700000000001</v>
      </c>
      <c r="D19" t="s">
        <v>15</v>
      </c>
      <c r="E19" t="s">
        <v>991</v>
      </c>
      <c r="F19" s="30">
        <v>44937</v>
      </c>
      <c r="G19" s="189">
        <v>44937.666667673613</v>
      </c>
      <c r="I19" t="str">
        <f t="shared" si="0"/>
        <v>BINE</v>
      </c>
      <c r="J19" s="56">
        <f t="shared" si="1"/>
        <v>44937.666667673613</v>
      </c>
    </row>
    <row r="20" spans="1:10" x14ac:dyDescent="0.25">
      <c r="A20" t="s">
        <v>83</v>
      </c>
      <c r="B20" s="42">
        <v>799428.86637064</v>
      </c>
      <c r="D20" t="s">
        <v>107</v>
      </c>
      <c r="E20" t="s">
        <v>991</v>
      </c>
      <c r="F20" s="30">
        <v>44937</v>
      </c>
      <c r="G20" s="189">
        <v>44937.666667673613</v>
      </c>
      <c r="I20" t="str">
        <f t="shared" si="0"/>
        <v>BINE</v>
      </c>
      <c r="J20" s="56">
        <f t="shared" si="1"/>
        <v>44937.666667673613</v>
      </c>
    </row>
    <row r="21" spans="1:10" x14ac:dyDescent="0.25">
      <c r="A21" t="s">
        <v>83</v>
      </c>
      <c r="B21" s="42">
        <v>0.19800000000000001</v>
      </c>
      <c r="D21" t="s">
        <v>30</v>
      </c>
      <c r="E21" t="s">
        <v>991</v>
      </c>
      <c r="F21" s="30">
        <v>44937</v>
      </c>
      <c r="G21" s="189">
        <v>44937.666667673613</v>
      </c>
      <c r="I21" t="str">
        <f t="shared" si="0"/>
        <v>BINE</v>
      </c>
      <c r="J21" s="56">
        <f t="shared" si="1"/>
        <v>44937.666667673613</v>
      </c>
    </row>
    <row r="22" spans="1:10" x14ac:dyDescent="0.25">
      <c r="A22" t="s">
        <v>83</v>
      </c>
      <c r="B22" s="42">
        <v>212154.3196095</v>
      </c>
      <c r="D22" t="s">
        <v>191</v>
      </c>
      <c r="E22" t="s">
        <v>991</v>
      </c>
      <c r="F22" s="30">
        <v>44937</v>
      </c>
      <c r="G22" s="189">
        <v>44937.666667673613</v>
      </c>
      <c r="I22" t="str">
        <f t="shared" si="0"/>
        <v>BINE</v>
      </c>
      <c r="J22" s="56">
        <f t="shared" si="1"/>
        <v>44937.666667673613</v>
      </c>
    </row>
    <row r="23" spans="1:10" x14ac:dyDescent="0.25">
      <c r="A23" t="s">
        <v>83</v>
      </c>
      <c r="B23" s="42">
        <v>175995.44699999999</v>
      </c>
      <c r="D23" t="s">
        <v>415</v>
      </c>
      <c r="E23" t="s">
        <v>991</v>
      </c>
      <c r="F23" s="30">
        <v>44937</v>
      </c>
      <c r="G23" s="189">
        <v>44937.666667673613</v>
      </c>
      <c r="I23" t="str">
        <f t="shared" si="0"/>
        <v>BINE</v>
      </c>
      <c r="J23" s="56">
        <f t="shared" si="1"/>
        <v>44937.666667673613</v>
      </c>
    </row>
    <row r="24" spans="1:10" x14ac:dyDescent="0.25">
      <c r="A24" t="s">
        <v>83</v>
      </c>
      <c r="B24" s="42">
        <v>253604.74733057999</v>
      </c>
      <c r="D24" t="s">
        <v>135</v>
      </c>
      <c r="E24" t="s">
        <v>991</v>
      </c>
      <c r="F24" s="30">
        <v>44937</v>
      </c>
      <c r="G24" s="189">
        <v>44937.666667673613</v>
      </c>
      <c r="I24" t="str">
        <f t="shared" si="0"/>
        <v>BINE</v>
      </c>
      <c r="J24" s="56">
        <f t="shared" si="1"/>
        <v>44937.666667673613</v>
      </c>
    </row>
    <row r="25" spans="1:10" x14ac:dyDescent="0.25">
      <c r="A25" t="s">
        <v>83</v>
      </c>
      <c r="B25" s="42">
        <v>6861.4950094100004</v>
      </c>
      <c r="D25" t="s">
        <v>27</v>
      </c>
      <c r="E25" t="s">
        <v>991</v>
      </c>
      <c r="F25" s="30">
        <v>44937</v>
      </c>
      <c r="G25" s="189">
        <v>44937.666667673613</v>
      </c>
      <c r="I25" t="str">
        <f t="shared" si="0"/>
        <v>BINE</v>
      </c>
      <c r="J25" s="56">
        <f t="shared" si="1"/>
        <v>44937.666667673613</v>
      </c>
    </row>
    <row r="26" spans="1:10" x14ac:dyDescent="0.25">
      <c r="A26" t="s">
        <v>83</v>
      </c>
      <c r="B26" s="42">
        <v>670.78340326</v>
      </c>
      <c r="D26" t="s">
        <v>24</v>
      </c>
      <c r="E26" t="s">
        <v>991</v>
      </c>
      <c r="F26" s="30">
        <v>44937</v>
      </c>
      <c r="G26" s="189">
        <v>44937.666667673613</v>
      </c>
      <c r="I26" t="str">
        <f t="shared" si="0"/>
        <v>BINE</v>
      </c>
      <c r="J26" s="56">
        <f t="shared" si="1"/>
        <v>44937.666667673613</v>
      </c>
    </row>
    <row r="27" spans="1:10" x14ac:dyDescent="0.25">
      <c r="A27" t="s">
        <v>83</v>
      </c>
      <c r="B27" s="42">
        <v>53181.847193989997</v>
      </c>
      <c r="D27" t="s">
        <v>192</v>
      </c>
      <c r="E27" t="s">
        <v>991</v>
      </c>
      <c r="F27" s="30">
        <v>44937</v>
      </c>
      <c r="G27" s="189">
        <v>44937.666667673613</v>
      </c>
      <c r="I27" t="str">
        <f t="shared" si="0"/>
        <v>BINE</v>
      </c>
      <c r="J27" s="56">
        <f t="shared" si="1"/>
        <v>44937.666667673613</v>
      </c>
    </row>
    <row r="28" spans="1:10" x14ac:dyDescent="0.25">
      <c r="A28" t="s">
        <v>83</v>
      </c>
      <c r="B28" s="42">
        <v>52972.316829759999</v>
      </c>
      <c r="D28" t="s">
        <v>193</v>
      </c>
      <c r="E28" t="s">
        <v>991</v>
      </c>
      <c r="F28" s="30">
        <v>44937</v>
      </c>
      <c r="G28" s="189">
        <v>44937.666667673613</v>
      </c>
      <c r="I28" t="str">
        <f t="shared" si="0"/>
        <v>BINE</v>
      </c>
      <c r="J28" s="56">
        <f t="shared" si="1"/>
        <v>44937.666667673613</v>
      </c>
    </row>
    <row r="29" spans="1:10" x14ac:dyDescent="0.25">
      <c r="A29" t="s">
        <v>83</v>
      </c>
      <c r="B29" s="42">
        <v>12.45029233</v>
      </c>
      <c r="D29" t="s">
        <v>413</v>
      </c>
      <c r="E29" t="s">
        <v>991</v>
      </c>
      <c r="F29" s="30">
        <v>44937</v>
      </c>
      <c r="G29" s="189">
        <v>44937.666667673613</v>
      </c>
      <c r="I29" t="str">
        <f t="shared" si="0"/>
        <v>BINE</v>
      </c>
      <c r="J29" s="56">
        <f t="shared" si="1"/>
        <v>44937.666667673613</v>
      </c>
    </row>
    <row r="30" spans="1:10" x14ac:dyDescent="0.25">
      <c r="A30" t="s">
        <v>83</v>
      </c>
      <c r="B30" s="42">
        <v>24234.849819300001</v>
      </c>
      <c r="D30" t="s">
        <v>150</v>
      </c>
      <c r="E30" t="s">
        <v>991</v>
      </c>
      <c r="F30" s="30">
        <v>44937</v>
      </c>
      <c r="G30" s="189">
        <v>44937.666667673613</v>
      </c>
      <c r="I30" t="str">
        <f t="shared" si="0"/>
        <v>BINE</v>
      </c>
      <c r="J30" s="56">
        <f t="shared" si="1"/>
        <v>44937.666667673613</v>
      </c>
    </row>
    <row r="31" spans="1:10" x14ac:dyDescent="0.25">
      <c r="A31" t="s">
        <v>83</v>
      </c>
      <c r="B31" s="42">
        <v>325444.75941951998</v>
      </c>
      <c r="D31" t="s">
        <v>89</v>
      </c>
      <c r="E31" t="s">
        <v>991</v>
      </c>
      <c r="F31" s="30">
        <v>44937</v>
      </c>
      <c r="G31" s="189">
        <v>44937.666667673613</v>
      </c>
      <c r="I31" t="str">
        <f t="shared" si="0"/>
        <v>BINE</v>
      </c>
      <c r="J31" s="56">
        <f t="shared" si="1"/>
        <v>44937.666667673613</v>
      </c>
    </row>
    <row r="32" spans="1:10" x14ac:dyDescent="0.25">
      <c r="A32" t="s">
        <v>83</v>
      </c>
      <c r="B32" s="42">
        <v>23570492385.880001</v>
      </c>
      <c r="D32" t="s">
        <v>37</v>
      </c>
      <c r="E32" t="s">
        <v>991</v>
      </c>
      <c r="F32" s="30">
        <v>44937</v>
      </c>
      <c r="G32" s="189">
        <v>44937.666667673613</v>
      </c>
      <c r="I32" t="str">
        <f t="shared" si="0"/>
        <v>BINE</v>
      </c>
      <c r="J32" s="56">
        <f t="shared" si="1"/>
        <v>44937.666667673613</v>
      </c>
    </row>
    <row r="33" spans="1:10" x14ac:dyDescent="0.25">
      <c r="A33" t="s">
        <v>83</v>
      </c>
      <c r="B33" s="42">
        <v>4846.3756729799998</v>
      </c>
      <c r="D33" t="s">
        <v>154</v>
      </c>
      <c r="E33" t="s">
        <v>991</v>
      </c>
      <c r="F33" s="30">
        <v>44937</v>
      </c>
      <c r="G33" s="189">
        <v>44937.666667673613</v>
      </c>
      <c r="I33" t="str">
        <f t="shared" si="0"/>
        <v>BINE</v>
      </c>
      <c r="J33" s="56">
        <f t="shared" si="1"/>
        <v>44937.666667673613</v>
      </c>
    </row>
    <row r="34" spans="1:10" x14ac:dyDescent="0.25">
      <c r="A34" t="s">
        <v>83</v>
      </c>
      <c r="B34" s="42">
        <v>21505.602943549999</v>
      </c>
      <c r="D34" t="s">
        <v>414</v>
      </c>
      <c r="E34" t="s">
        <v>991</v>
      </c>
      <c r="F34" s="30">
        <v>44937</v>
      </c>
      <c r="G34" s="189">
        <v>44937.666667673613</v>
      </c>
      <c r="I34" t="str">
        <f t="shared" si="0"/>
        <v>BINE</v>
      </c>
      <c r="J34" s="56">
        <f t="shared" si="1"/>
        <v>44937.666667673613</v>
      </c>
    </row>
    <row r="35" spans="1:10" x14ac:dyDescent="0.25">
      <c r="A35" t="s">
        <v>83</v>
      </c>
      <c r="B35" s="42">
        <v>6904.3047593900001</v>
      </c>
      <c r="D35" t="s">
        <v>159</v>
      </c>
      <c r="E35" t="s">
        <v>991</v>
      </c>
      <c r="F35" s="30">
        <v>44937</v>
      </c>
      <c r="G35" s="189">
        <v>44937.666667673613</v>
      </c>
      <c r="I35" t="str">
        <f t="shared" si="0"/>
        <v>BINE</v>
      </c>
      <c r="J35" s="56">
        <f t="shared" si="1"/>
        <v>44937.666667673613</v>
      </c>
    </row>
    <row r="36" spans="1:10" x14ac:dyDescent="0.25">
      <c r="A36" t="s">
        <v>83</v>
      </c>
      <c r="B36" s="42">
        <v>523023.96738662</v>
      </c>
      <c r="D36" t="s">
        <v>38</v>
      </c>
      <c r="E36" t="s">
        <v>991</v>
      </c>
      <c r="F36" s="30">
        <v>44937</v>
      </c>
      <c r="G36" s="189">
        <v>44937.666667673613</v>
      </c>
      <c r="I36" t="str">
        <f t="shared" si="0"/>
        <v>BINE</v>
      </c>
      <c r="J36" s="56">
        <f t="shared" si="1"/>
        <v>44937.666667673613</v>
      </c>
    </row>
    <row r="37" spans="1:10" x14ac:dyDescent="0.25">
      <c r="A37" t="s">
        <v>83</v>
      </c>
      <c r="B37" s="42">
        <v>871995.90472430002</v>
      </c>
      <c r="D37" t="s">
        <v>163</v>
      </c>
      <c r="E37" t="s">
        <v>991</v>
      </c>
      <c r="F37" s="30">
        <v>44937</v>
      </c>
      <c r="G37" s="189">
        <v>44937.666667673613</v>
      </c>
      <c r="I37" t="str">
        <f t="shared" si="0"/>
        <v>BINE</v>
      </c>
      <c r="J37" s="56">
        <f t="shared" si="1"/>
        <v>44937.666667673613</v>
      </c>
    </row>
    <row r="38" spans="1:10" x14ac:dyDescent="0.25">
      <c r="A38" t="s">
        <v>83</v>
      </c>
      <c r="B38" s="42">
        <v>30000</v>
      </c>
      <c r="D38" t="s">
        <v>99</v>
      </c>
      <c r="E38" t="s">
        <v>991</v>
      </c>
      <c r="F38" s="30">
        <v>44937</v>
      </c>
      <c r="G38" s="189">
        <v>44937.666667673613</v>
      </c>
      <c r="I38" t="str">
        <f t="shared" si="0"/>
        <v>BINE</v>
      </c>
      <c r="J38" s="56">
        <f t="shared" si="1"/>
        <v>44937.666667673613</v>
      </c>
    </row>
    <row r="39" spans="1:10" x14ac:dyDescent="0.25">
      <c r="A39" t="s">
        <v>83</v>
      </c>
      <c r="B39" s="42">
        <v>62167.228199999998</v>
      </c>
      <c r="D39" t="s">
        <v>164</v>
      </c>
      <c r="E39" t="s">
        <v>991</v>
      </c>
      <c r="F39" s="30">
        <v>44937</v>
      </c>
      <c r="G39" s="189">
        <v>44937.666667673613</v>
      </c>
      <c r="I39" t="str">
        <f t="shared" si="0"/>
        <v>BINE</v>
      </c>
      <c r="J39" s="56">
        <f t="shared" si="1"/>
        <v>44937.666667673613</v>
      </c>
    </row>
    <row r="40" spans="1:10" x14ac:dyDescent="0.25">
      <c r="A40" t="s">
        <v>83</v>
      </c>
      <c r="B40" s="42">
        <v>9.6790000000000001E-2</v>
      </c>
      <c r="D40" t="s">
        <v>171</v>
      </c>
      <c r="E40" t="s">
        <v>991</v>
      </c>
      <c r="F40" s="30">
        <v>44937</v>
      </c>
      <c r="G40" s="189">
        <v>44937.666667673613</v>
      </c>
      <c r="I40" t="str">
        <f t="shared" si="0"/>
        <v>BINE</v>
      </c>
      <c r="J40" s="56">
        <f t="shared" si="1"/>
        <v>44937.666667673613</v>
      </c>
    </row>
    <row r="41" spans="1:10" x14ac:dyDescent="0.25">
      <c r="A41" t="s">
        <v>83</v>
      </c>
      <c r="B41" s="42">
        <v>18966318.7722039</v>
      </c>
      <c r="D41" t="s">
        <v>26</v>
      </c>
      <c r="E41" t="s">
        <v>991</v>
      </c>
      <c r="F41" s="30">
        <v>44937</v>
      </c>
      <c r="G41" s="189">
        <v>44937.666667673613</v>
      </c>
      <c r="I41" t="str">
        <f t="shared" si="0"/>
        <v>BINE</v>
      </c>
      <c r="J41" s="56">
        <f t="shared" si="1"/>
        <v>44937.666667673613</v>
      </c>
    </row>
    <row r="42" spans="1:10" x14ac:dyDescent="0.25">
      <c r="A42" t="s">
        <v>12</v>
      </c>
      <c r="B42" s="42">
        <v>845.92093645</v>
      </c>
      <c r="D42" t="s">
        <v>14</v>
      </c>
      <c r="E42" t="s">
        <v>991</v>
      </c>
      <c r="F42" s="30">
        <v>44937</v>
      </c>
      <c r="G42" s="189">
        <v>44937.666927314815</v>
      </c>
      <c r="I42" t="str">
        <f t="shared" si="0"/>
        <v>BINE</v>
      </c>
      <c r="J42" s="56">
        <f t="shared" si="1"/>
        <v>44937.666927314815</v>
      </c>
    </row>
    <row r="43" spans="1:10" x14ac:dyDescent="0.25">
      <c r="A43" t="s">
        <v>12</v>
      </c>
      <c r="B43" s="42">
        <v>-18.338302779999999</v>
      </c>
      <c r="C43" t="s">
        <v>90</v>
      </c>
      <c r="D43" t="s">
        <v>14</v>
      </c>
      <c r="E43" t="s">
        <v>991</v>
      </c>
      <c r="F43" s="30">
        <v>44937</v>
      </c>
      <c r="G43" s="189">
        <v>44937.666927314815</v>
      </c>
      <c r="I43" t="str">
        <f t="shared" si="0"/>
        <v>BINE</v>
      </c>
      <c r="J43" s="56">
        <f t="shared" si="1"/>
        <v>44937.666927314815</v>
      </c>
    </row>
    <row r="44" spans="1:10" x14ac:dyDescent="0.25">
      <c r="A44" t="s">
        <v>12</v>
      </c>
      <c r="B44" s="42">
        <v>6716.9052190700004</v>
      </c>
      <c r="D44" t="s">
        <v>15</v>
      </c>
      <c r="E44" t="s">
        <v>991</v>
      </c>
      <c r="F44" s="30">
        <v>44937</v>
      </c>
      <c r="G44" s="189">
        <v>44937.666927314815</v>
      </c>
      <c r="I44" t="str">
        <f t="shared" si="0"/>
        <v>BINE</v>
      </c>
      <c r="J44" s="56">
        <f t="shared" si="1"/>
        <v>44937.666927314815</v>
      </c>
    </row>
    <row r="45" spans="1:10" x14ac:dyDescent="0.25">
      <c r="A45" t="s">
        <v>12</v>
      </c>
      <c r="B45" s="42">
        <v>-165.35606129999999</v>
      </c>
      <c r="C45" t="s">
        <v>90</v>
      </c>
      <c r="D45" t="s">
        <v>15</v>
      </c>
      <c r="E45" t="s">
        <v>991</v>
      </c>
      <c r="F45" s="30">
        <v>44937</v>
      </c>
      <c r="G45" s="189">
        <v>44937.666927314815</v>
      </c>
      <c r="I45" t="str">
        <f t="shared" si="0"/>
        <v>BINE</v>
      </c>
      <c r="J45" s="56">
        <f t="shared" si="1"/>
        <v>44937.666927314815</v>
      </c>
    </row>
    <row r="46" spans="1:10" x14ac:dyDescent="0.25">
      <c r="A46" t="s">
        <v>91</v>
      </c>
      <c r="B46" s="42">
        <v>-900</v>
      </c>
      <c r="D46" t="s">
        <v>116</v>
      </c>
      <c r="E46" t="s">
        <v>991</v>
      </c>
      <c r="F46" s="30">
        <v>44937</v>
      </c>
      <c r="G46" s="189">
        <v>44937.666671377316</v>
      </c>
      <c r="I46" t="str">
        <f t="shared" si="0"/>
        <v>BINE</v>
      </c>
      <c r="J46" s="56">
        <f t="shared" si="1"/>
        <v>44937.666671377316</v>
      </c>
    </row>
    <row r="47" spans="1:10" x14ac:dyDescent="0.25">
      <c r="A47" t="s">
        <v>91</v>
      </c>
      <c r="B47" s="42">
        <v>-450000</v>
      </c>
      <c r="D47" t="s">
        <v>84</v>
      </c>
      <c r="E47" t="s">
        <v>991</v>
      </c>
      <c r="F47" s="30">
        <v>44937</v>
      </c>
      <c r="G47" s="189">
        <v>44937.666671377316</v>
      </c>
      <c r="I47" t="str">
        <f t="shared" si="0"/>
        <v>BINE</v>
      </c>
      <c r="J47" s="56">
        <f t="shared" si="1"/>
        <v>44937.666671377316</v>
      </c>
    </row>
    <row r="48" spans="1:10" x14ac:dyDescent="0.25">
      <c r="A48" t="s">
        <v>91</v>
      </c>
      <c r="B48" s="42">
        <v>-244800</v>
      </c>
      <c r="D48" t="s">
        <v>122</v>
      </c>
      <c r="E48" t="s">
        <v>991</v>
      </c>
      <c r="F48" s="30">
        <v>44937</v>
      </c>
      <c r="G48" s="189">
        <v>44937.666671377316</v>
      </c>
      <c r="I48" t="str">
        <f t="shared" si="0"/>
        <v>BINE</v>
      </c>
      <c r="J48" s="56">
        <f t="shared" si="1"/>
        <v>44937.666671377316</v>
      </c>
    </row>
    <row r="49" spans="1:10" x14ac:dyDescent="0.25">
      <c r="A49" t="s">
        <v>91</v>
      </c>
      <c r="B49" s="42">
        <v>-6000</v>
      </c>
      <c r="D49" t="s">
        <v>187</v>
      </c>
      <c r="E49" t="s">
        <v>991</v>
      </c>
      <c r="F49" s="30">
        <v>44937</v>
      </c>
      <c r="G49" s="189">
        <v>44937.666671377316</v>
      </c>
      <c r="I49" t="str">
        <f t="shared" si="0"/>
        <v>BINE</v>
      </c>
      <c r="J49" s="56">
        <f t="shared" si="1"/>
        <v>44937.666671377316</v>
      </c>
    </row>
    <row r="50" spans="1:10" x14ac:dyDescent="0.25">
      <c r="A50" t="s">
        <v>91</v>
      </c>
      <c r="B50" s="42">
        <v>-200000</v>
      </c>
      <c r="D50" t="s">
        <v>124</v>
      </c>
      <c r="E50" t="s">
        <v>991</v>
      </c>
      <c r="F50" s="30">
        <v>44937</v>
      </c>
      <c r="G50" s="189">
        <v>44937.666671377316</v>
      </c>
      <c r="I50" t="str">
        <f t="shared" si="0"/>
        <v>BINE</v>
      </c>
      <c r="J50" s="56">
        <f t="shared" si="1"/>
        <v>44937.666671377316</v>
      </c>
    </row>
    <row r="51" spans="1:10" x14ac:dyDescent="0.25">
      <c r="A51" t="s">
        <v>91</v>
      </c>
      <c r="B51" s="42">
        <v>-90</v>
      </c>
      <c r="D51" t="s">
        <v>20</v>
      </c>
      <c r="E51" t="s">
        <v>991</v>
      </c>
      <c r="F51" s="30">
        <v>44937</v>
      </c>
      <c r="G51" s="189">
        <v>44937.666671377316</v>
      </c>
      <c r="I51" t="str">
        <f t="shared" si="0"/>
        <v>BINE</v>
      </c>
      <c r="J51" s="56">
        <f t="shared" si="1"/>
        <v>44937.666671377316</v>
      </c>
    </row>
    <row r="52" spans="1:10" x14ac:dyDescent="0.25">
      <c r="A52" t="s">
        <v>91</v>
      </c>
      <c r="B52" s="42">
        <v>2496.7888121000001</v>
      </c>
      <c r="D52" t="s">
        <v>87</v>
      </c>
      <c r="E52" t="s">
        <v>991</v>
      </c>
      <c r="F52" s="30">
        <v>44937</v>
      </c>
      <c r="G52" s="189">
        <v>44937.666671377316</v>
      </c>
      <c r="I52" t="str">
        <f t="shared" si="0"/>
        <v>BINE</v>
      </c>
      <c r="J52" s="56">
        <f t="shared" si="1"/>
        <v>44937.666671377316</v>
      </c>
    </row>
    <row r="53" spans="1:10" x14ac:dyDescent="0.25">
      <c r="A53" t="s">
        <v>91</v>
      </c>
      <c r="B53" s="42">
        <v>586.20072805999996</v>
      </c>
      <c r="D53" t="s">
        <v>14</v>
      </c>
      <c r="E53" t="s">
        <v>991</v>
      </c>
      <c r="F53" s="30">
        <v>44937</v>
      </c>
      <c r="G53" s="189">
        <v>44937.666671377316</v>
      </c>
      <c r="I53" t="str">
        <f t="shared" si="0"/>
        <v>BINE</v>
      </c>
      <c r="J53" s="56">
        <f t="shared" si="1"/>
        <v>44937.666671377316</v>
      </c>
    </row>
    <row r="54" spans="1:10" x14ac:dyDescent="0.25">
      <c r="A54" t="s">
        <v>91</v>
      </c>
      <c r="B54" s="42">
        <v>4361445.7647673003</v>
      </c>
      <c r="D54" t="s">
        <v>88</v>
      </c>
      <c r="E54" t="s">
        <v>991</v>
      </c>
      <c r="F54" s="30">
        <v>44937</v>
      </c>
      <c r="G54" s="189">
        <v>44937.666671377316</v>
      </c>
      <c r="I54" t="str">
        <f t="shared" si="0"/>
        <v>BINE</v>
      </c>
      <c r="J54" s="56">
        <f t="shared" si="1"/>
        <v>44937.666671377316</v>
      </c>
    </row>
    <row r="55" spans="1:10" x14ac:dyDescent="0.25">
      <c r="A55" t="s">
        <v>91</v>
      </c>
      <c r="B55" s="42">
        <v>-4800</v>
      </c>
      <c r="D55" t="s">
        <v>31</v>
      </c>
      <c r="E55" t="s">
        <v>991</v>
      </c>
      <c r="F55" s="30">
        <v>44937</v>
      </c>
      <c r="G55" s="189">
        <v>44937.666671377316</v>
      </c>
      <c r="I55" t="str">
        <f t="shared" si="0"/>
        <v>BINE</v>
      </c>
      <c r="J55" s="56">
        <f t="shared" si="1"/>
        <v>44937.666671377316</v>
      </c>
    </row>
    <row r="56" spans="1:10" x14ac:dyDescent="0.25">
      <c r="A56" t="s">
        <v>91</v>
      </c>
      <c r="B56" s="42">
        <v>-1000</v>
      </c>
      <c r="D56" t="s">
        <v>132</v>
      </c>
      <c r="E56" t="s">
        <v>991</v>
      </c>
      <c r="F56" s="30">
        <v>44937</v>
      </c>
      <c r="G56" s="189">
        <v>44937.666671377316</v>
      </c>
      <c r="I56" t="str">
        <f t="shared" si="0"/>
        <v>BINE</v>
      </c>
      <c r="J56" s="56">
        <f t="shared" si="1"/>
        <v>44937.666671377316</v>
      </c>
    </row>
    <row r="57" spans="1:10" x14ac:dyDescent="0.25">
      <c r="A57" t="s">
        <v>91</v>
      </c>
      <c r="B57" s="42">
        <v>-1100000</v>
      </c>
      <c r="D57" t="s">
        <v>190</v>
      </c>
      <c r="E57" t="s">
        <v>991</v>
      </c>
      <c r="F57" s="30">
        <v>44937</v>
      </c>
      <c r="G57" s="189">
        <v>44937.666671377316</v>
      </c>
      <c r="I57" t="str">
        <f t="shared" si="0"/>
        <v>BINE</v>
      </c>
      <c r="J57" s="56">
        <f t="shared" si="1"/>
        <v>44937.666671377316</v>
      </c>
    </row>
    <row r="58" spans="1:10" x14ac:dyDescent="0.25">
      <c r="A58" t="s">
        <v>91</v>
      </c>
      <c r="B58" s="42">
        <v>-10000</v>
      </c>
      <c r="D58" t="s">
        <v>22</v>
      </c>
      <c r="E58" t="s">
        <v>991</v>
      </c>
      <c r="F58" s="30">
        <v>44937</v>
      </c>
      <c r="G58" s="189">
        <v>44937.666671377316</v>
      </c>
      <c r="I58" t="str">
        <f t="shared" si="0"/>
        <v>BINE</v>
      </c>
      <c r="J58" s="56">
        <f t="shared" si="1"/>
        <v>44937.666671377316</v>
      </c>
    </row>
    <row r="59" spans="1:10" x14ac:dyDescent="0.25">
      <c r="A59" t="s">
        <v>91</v>
      </c>
      <c r="B59" s="42">
        <v>-60000</v>
      </c>
      <c r="D59" t="s">
        <v>28</v>
      </c>
      <c r="E59" t="s">
        <v>991</v>
      </c>
      <c r="F59" s="30">
        <v>44937</v>
      </c>
      <c r="G59" s="189">
        <v>44937.666671377316</v>
      </c>
      <c r="I59" t="str">
        <f t="shared" si="0"/>
        <v>BINE</v>
      </c>
      <c r="J59" s="56">
        <f t="shared" si="1"/>
        <v>44937.666671377316</v>
      </c>
    </row>
    <row r="60" spans="1:10" x14ac:dyDescent="0.25">
      <c r="A60" t="s">
        <v>91</v>
      </c>
      <c r="B60" s="42">
        <v>-118545.5</v>
      </c>
      <c r="D60" t="s">
        <v>23</v>
      </c>
      <c r="E60" t="s">
        <v>991</v>
      </c>
      <c r="F60" s="30">
        <v>44937</v>
      </c>
      <c r="G60" s="189">
        <v>44937.666671377316</v>
      </c>
      <c r="I60" t="str">
        <f t="shared" si="0"/>
        <v>BINE</v>
      </c>
      <c r="J60" s="56">
        <f t="shared" si="1"/>
        <v>44937.666671377316</v>
      </c>
    </row>
    <row r="61" spans="1:10" x14ac:dyDescent="0.25">
      <c r="A61" t="s">
        <v>91</v>
      </c>
      <c r="B61" s="42">
        <v>0.15721859999999999</v>
      </c>
      <c r="D61" t="s">
        <v>29</v>
      </c>
      <c r="E61" t="s">
        <v>991</v>
      </c>
      <c r="F61" s="30">
        <v>44937</v>
      </c>
      <c r="G61" s="189">
        <v>44937.666671377316</v>
      </c>
      <c r="I61" t="str">
        <f t="shared" si="0"/>
        <v>BINE</v>
      </c>
      <c r="J61" s="56">
        <f t="shared" si="1"/>
        <v>44937.666671377316</v>
      </c>
    </row>
    <row r="62" spans="1:10" x14ac:dyDescent="0.25">
      <c r="A62" t="s">
        <v>91</v>
      </c>
      <c r="B62" s="42">
        <v>4165.9602000000004</v>
      </c>
      <c r="D62" t="s">
        <v>15</v>
      </c>
      <c r="E62" t="s">
        <v>991</v>
      </c>
      <c r="F62" s="30">
        <v>44937</v>
      </c>
      <c r="G62" s="189">
        <v>44937.666671377316</v>
      </c>
      <c r="I62" t="str">
        <f t="shared" si="0"/>
        <v>BINE</v>
      </c>
      <c r="J62" s="56">
        <f t="shared" si="1"/>
        <v>44937.666671377316</v>
      </c>
    </row>
    <row r="63" spans="1:10" x14ac:dyDescent="0.25">
      <c r="A63" t="s">
        <v>91</v>
      </c>
      <c r="B63" s="42">
        <v>-300000</v>
      </c>
      <c r="D63" t="s">
        <v>191</v>
      </c>
      <c r="E63" t="s">
        <v>991</v>
      </c>
      <c r="F63" s="30">
        <v>44937</v>
      </c>
      <c r="G63" s="189">
        <v>44937.666671377316</v>
      </c>
      <c r="I63" t="str">
        <f t="shared" si="0"/>
        <v>BINE</v>
      </c>
      <c r="J63" s="56">
        <f t="shared" si="1"/>
        <v>44937.666671377316</v>
      </c>
    </row>
    <row r="64" spans="1:10" x14ac:dyDescent="0.25">
      <c r="A64" t="s">
        <v>91</v>
      </c>
      <c r="B64" s="42">
        <v>-240000</v>
      </c>
      <c r="D64" t="s">
        <v>415</v>
      </c>
      <c r="E64" t="s">
        <v>991</v>
      </c>
      <c r="F64" s="30">
        <v>44937</v>
      </c>
      <c r="G64" s="189">
        <v>44937.666671377316</v>
      </c>
      <c r="I64" t="str">
        <f t="shared" si="0"/>
        <v>BINE</v>
      </c>
      <c r="J64" s="56">
        <f t="shared" si="1"/>
        <v>44937.666671377316</v>
      </c>
    </row>
    <row r="65" spans="1:10" x14ac:dyDescent="0.25">
      <c r="A65" t="s">
        <v>91</v>
      </c>
      <c r="B65" s="42">
        <v>-628800</v>
      </c>
      <c r="D65" t="s">
        <v>135</v>
      </c>
      <c r="E65" t="s">
        <v>991</v>
      </c>
      <c r="F65" s="30">
        <v>44937</v>
      </c>
      <c r="G65" s="189">
        <v>44937.666671377316</v>
      </c>
      <c r="I65" t="str">
        <f t="shared" si="0"/>
        <v>BINE</v>
      </c>
      <c r="J65" s="56">
        <f t="shared" si="1"/>
        <v>44937.666671377316</v>
      </c>
    </row>
    <row r="66" spans="1:10" x14ac:dyDescent="0.25">
      <c r="A66" t="s">
        <v>91</v>
      </c>
      <c r="B66" s="42">
        <v>-21081.119999999999</v>
      </c>
      <c r="D66" t="s">
        <v>27</v>
      </c>
      <c r="E66" t="s">
        <v>991</v>
      </c>
      <c r="F66" s="30">
        <v>44937</v>
      </c>
      <c r="G66" s="189">
        <v>44937.666671377316</v>
      </c>
      <c r="I66" t="str">
        <f t="shared" si="0"/>
        <v>BINE</v>
      </c>
      <c r="J66" s="56">
        <f t="shared" si="1"/>
        <v>44937.666671377316</v>
      </c>
    </row>
    <row r="67" spans="1:10" x14ac:dyDescent="0.25">
      <c r="A67" t="s">
        <v>91</v>
      </c>
      <c r="B67" s="42">
        <v>-1659.578</v>
      </c>
      <c r="D67" t="s">
        <v>24</v>
      </c>
      <c r="E67" t="s">
        <v>991</v>
      </c>
      <c r="F67" s="30">
        <v>44937</v>
      </c>
      <c r="G67" s="189">
        <v>44937.666671377316</v>
      </c>
      <c r="I67" t="str">
        <f t="shared" ref="I67:I130" si="2">IF($A67="","",RIGHT($E67,LEN($E67)-SEARCH(".",$E67)))</f>
        <v>BINE</v>
      </c>
      <c r="J67" s="56">
        <f t="shared" ref="J67:J130" si="3">IF($A67="","",$G67)</f>
        <v>44937.666671377316</v>
      </c>
    </row>
    <row r="68" spans="1:10" x14ac:dyDescent="0.25">
      <c r="A68" t="s">
        <v>91</v>
      </c>
      <c r="B68" s="42">
        <v>-90000</v>
      </c>
      <c r="D68" t="s">
        <v>192</v>
      </c>
      <c r="E68" t="s">
        <v>991</v>
      </c>
      <c r="F68" s="30">
        <v>44937</v>
      </c>
      <c r="G68" s="189">
        <v>44937.666671377316</v>
      </c>
      <c r="I68" t="str">
        <f t="shared" si="2"/>
        <v>BINE</v>
      </c>
      <c r="J68" s="56">
        <f t="shared" si="3"/>
        <v>44937.666671377316</v>
      </c>
    </row>
    <row r="69" spans="1:10" x14ac:dyDescent="0.25">
      <c r="A69" t="s">
        <v>91</v>
      </c>
      <c r="B69" s="42">
        <v>-100000</v>
      </c>
      <c r="D69" t="s">
        <v>193</v>
      </c>
      <c r="E69" t="s">
        <v>991</v>
      </c>
      <c r="F69" s="30">
        <v>44937</v>
      </c>
      <c r="G69" s="189">
        <v>44937.666671377316</v>
      </c>
      <c r="I69" t="str">
        <f t="shared" si="2"/>
        <v>BINE</v>
      </c>
      <c r="J69" s="56">
        <f t="shared" si="3"/>
        <v>44937.666671377316</v>
      </c>
    </row>
    <row r="70" spans="1:10" x14ac:dyDescent="0.25">
      <c r="A70" t="s">
        <v>91</v>
      </c>
      <c r="B70" s="42">
        <v>-14</v>
      </c>
      <c r="D70" t="s">
        <v>413</v>
      </c>
      <c r="E70" t="s">
        <v>991</v>
      </c>
      <c r="F70" s="30">
        <v>44937</v>
      </c>
      <c r="G70" s="189">
        <v>44937.666671377316</v>
      </c>
      <c r="I70" t="str">
        <f t="shared" si="2"/>
        <v>BINE</v>
      </c>
      <c r="J70" s="56">
        <f t="shared" si="3"/>
        <v>44937.666671377316</v>
      </c>
    </row>
    <row r="71" spans="1:10" x14ac:dyDescent="0.25">
      <c r="A71" t="s">
        <v>91</v>
      </c>
      <c r="B71" s="42">
        <v>-6000000000</v>
      </c>
      <c r="D71" t="s">
        <v>37</v>
      </c>
      <c r="E71" t="s">
        <v>991</v>
      </c>
      <c r="F71" s="30">
        <v>44937</v>
      </c>
      <c r="G71" s="189">
        <v>44937.666671377316</v>
      </c>
      <c r="I71" t="str">
        <f t="shared" si="2"/>
        <v>BINE</v>
      </c>
      <c r="J71" s="56">
        <f t="shared" si="3"/>
        <v>44937.666671377316</v>
      </c>
    </row>
    <row r="72" spans="1:10" x14ac:dyDescent="0.25">
      <c r="A72" t="s">
        <v>91</v>
      </c>
      <c r="B72" s="42">
        <v>-8500</v>
      </c>
      <c r="D72" t="s">
        <v>154</v>
      </c>
      <c r="E72" t="s">
        <v>991</v>
      </c>
      <c r="F72" s="30">
        <v>44937</v>
      </c>
      <c r="G72" s="189">
        <v>44937.666671377316</v>
      </c>
      <c r="I72" t="str">
        <f t="shared" si="2"/>
        <v>BINE</v>
      </c>
      <c r="J72" s="56">
        <f t="shared" si="3"/>
        <v>44937.666671377316</v>
      </c>
    </row>
    <row r="73" spans="1:10" x14ac:dyDescent="0.25">
      <c r="A73" t="s">
        <v>91</v>
      </c>
      <c r="B73" s="42">
        <v>-43200</v>
      </c>
      <c r="D73" t="s">
        <v>414</v>
      </c>
      <c r="E73" t="s">
        <v>991</v>
      </c>
      <c r="F73" s="30">
        <v>44937</v>
      </c>
      <c r="G73" s="189">
        <v>44937.666671377316</v>
      </c>
      <c r="I73" t="str">
        <f t="shared" si="2"/>
        <v>BINE</v>
      </c>
      <c r="J73" s="56">
        <f t="shared" si="3"/>
        <v>44937.666671377316</v>
      </c>
    </row>
    <row r="74" spans="1:10" x14ac:dyDescent="0.25">
      <c r="A74" t="s">
        <v>91</v>
      </c>
      <c r="B74" s="42">
        <v>-12000</v>
      </c>
      <c r="D74" t="s">
        <v>159</v>
      </c>
      <c r="E74" t="s">
        <v>991</v>
      </c>
      <c r="F74" s="30">
        <v>44937</v>
      </c>
      <c r="G74" s="189">
        <v>44937.666671377316</v>
      </c>
      <c r="I74" t="str">
        <f t="shared" si="2"/>
        <v>BINE</v>
      </c>
      <c r="J74" s="56">
        <f t="shared" si="3"/>
        <v>44937.666671377316</v>
      </c>
    </row>
    <row r="75" spans="1:10" x14ac:dyDescent="0.25">
      <c r="A75" t="s">
        <v>91</v>
      </c>
      <c r="B75" s="42">
        <v>6914920.4233433902</v>
      </c>
      <c r="D75" t="s">
        <v>38</v>
      </c>
      <c r="E75" t="s">
        <v>991</v>
      </c>
      <c r="F75" s="30">
        <v>44937</v>
      </c>
      <c r="G75" s="189">
        <v>44937.666671377316</v>
      </c>
      <c r="I75" t="str">
        <f t="shared" si="2"/>
        <v>BINE</v>
      </c>
      <c r="J75" s="56">
        <f t="shared" si="3"/>
        <v>44937.666671377316</v>
      </c>
    </row>
    <row r="76" spans="1:10" x14ac:dyDescent="0.25">
      <c r="A76" t="s">
        <v>91</v>
      </c>
      <c r="B76" s="42">
        <v>-100</v>
      </c>
      <c r="D76" t="s">
        <v>196</v>
      </c>
      <c r="E76" t="s">
        <v>991</v>
      </c>
      <c r="F76" s="30">
        <v>44937</v>
      </c>
      <c r="G76" s="189">
        <v>44937.666671377316</v>
      </c>
      <c r="I76" t="str">
        <f t="shared" si="2"/>
        <v>BINE</v>
      </c>
      <c r="J76" s="56">
        <f t="shared" si="3"/>
        <v>44937.666671377316</v>
      </c>
    </row>
    <row r="77" spans="1:10" x14ac:dyDescent="0.25">
      <c r="A77" t="s">
        <v>91</v>
      </c>
      <c r="B77" s="42">
        <v>-1000000</v>
      </c>
      <c r="D77" t="s">
        <v>163</v>
      </c>
      <c r="E77" t="s">
        <v>991</v>
      </c>
      <c r="F77" s="30">
        <v>44937</v>
      </c>
      <c r="G77" s="189">
        <v>44937.666671377316</v>
      </c>
      <c r="I77" t="str">
        <f t="shared" si="2"/>
        <v>BINE</v>
      </c>
      <c r="J77" s="56">
        <f t="shared" si="3"/>
        <v>44937.666671377316</v>
      </c>
    </row>
    <row r="78" spans="1:10" x14ac:dyDescent="0.25">
      <c r="A78" t="s">
        <v>91</v>
      </c>
      <c r="B78" s="42">
        <v>-68160</v>
      </c>
      <c r="D78" t="s">
        <v>164</v>
      </c>
      <c r="E78" t="s">
        <v>991</v>
      </c>
      <c r="F78" s="30">
        <v>44937</v>
      </c>
      <c r="G78" s="189">
        <v>44937.666671377316</v>
      </c>
      <c r="I78" t="str">
        <f t="shared" si="2"/>
        <v>BINE</v>
      </c>
      <c r="J78" s="56">
        <f t="shared" si="3"/>
        <v>44937.666671377316</v>
      </c>
    </row>
    <row r="79" spans="1:10" x14ac:dyDescent="0.25">
      <c r="A79" t="s">
        <v>18</v>
      </c>
      <c r="B79" s="42">
        <v>48.386672320000002</v>
      </c>
      <c r="D79" t="s">
        <v>87</v>
      </c>
      <c r="E79" t="s">
        <v>991</v>
      </c>
      <c r="F79" s="30">
        <v>44937</v>
      </c>
      <c r="G79" s="189">
        <v>44937.667074733799</v>
      </c>
      <c r="I79" t="str">
        <f t="shared" si="2"/>
        <v>BINE</v>
      </c>
      <c r="J79" s="56">
        <f t="shared" si="3"/>
        <v>44937.667074733799</v>
      </c>
    </row>
    <row r="80" spans="1:10" x14ac:dyDescent="0.25">
      <c r="A80" t="s">
        <v>18</v>
      </c>
      <c r="B80" s="42">
        <v>16000004.7915495</v>
      </c>
      <c r="D80" t="s">
        <v>88</v>
      </c>
      <c r="E80" t="s">
        <v>991</v>
      </c>
      <c r="F80" s="30">
        <v>44937</v>
      </c>
      <c r="G80" s="189">
        <v>44937.667074733799</v>
      </c>
      <c r="I80" t="str">
        <f t="shared" si="2"/>
        <v>BINE</v>
      </c>
      <c r="J80" s="56">
        <f t="shared" si="3"/>
        <v>44937.667074733799</v>
      </c>
    </row>
    <row r="81" spans="1:10" x14ac:dyDescent="0.25">
      <c r="A81" t="s">
        <v>18</v>
      </c>
      <c r="B81" s="42">
        <v>11184455.038044401</v>
      </c>
      <c r="D81" t="s">
        <v>38</v>
      </c>
      <c r="E81" t="s">
        <v>991</v>
      </c>
      <c r="F81" s="30">
        <v>44937</v>
      </c>
      <c r="G81" s="189">
        <v>44937.667074733799</v>
      </c>
      <c r="I81" t="str">
        <f t="shared" si="2"/>
        <v>BINE</v>
      </c>
      <c r="J81" s="56">
        <f t="shared" si="3"/>
        <v>44937.667074733799</v>
      </c>
    </row>
    <row r="82" spans="1:10" x14ac:dyDescent="0.25">
      <c r="A82" t="s">
        <v>18</v>
      </c>
      <c r="B82" s="42">
        <v>-155125.90950678001</v>
      </c>
      <c r="C82" t="s">
        <v>90</v>
      </c>
      <c r="D82" t="s">
        <v>38</v>
      </c>
      <c r="E82" t="s">
        <v>991</v>
      </c>
      <c r="F82" s="30">
        <v>44937</v>
      </c>
      <c r="G82" s="189">
        <v>44937.667074733799</v>
      </c>
      <c r="I82" t="str">
        <f t="shared" si="2"/>
        <v>BINE</v>
      </c>
      <c r="J82" s="56">
        <f t="shared" si="3"/>
        <v>44937.667074733799</v>
      </c>
    </row>
    <row r="83" spans="1:10" x14ac:dyDescent="0.25">
      <c r="A83" t="s">
        <v>299</v>
      </c>
      <c r="B83" s="42">
        <v>7207.4441638099997</v>
      </c>
      <c r="C83" t="s">
        <v>90</v>
      </c>
      <c r="D83" t="s">
        <v>38</v>
      </c>
      <c r="E83" t="s">
        <v>991</v>
      </c>
      <c r="F83" s="30">
        <v>44937</v>
      </c>
      <c r="G83" s="189">
        <v>44937.667462500001</v>
      </c>
      <c r="I83" t="str">
        <f t="shared" si="2"/>
        <v>BINE</v>
      </c>
      <c r="J83" s="56">
        <f t="shared" si="3"/>
        <v>44937.667462500001</v>
      </c>
    </row>
    <row r="84" spans="1:10" x14ac:dyDescent="0.25">
      <c r="A84" t="s">
        <v>299</v>
      </c>
      <c r="B84" s="42">
        <v>764460.49539845996</v>
      </c>
      <c r="D84" t="s">
        <v>38</v>
      </c>
      <c r="E84" t="s">
        <v>991</v>
      </c>
      <c r="F84" s="30">
        <v>44937</v>
      </c>
      <c r="G84" s="189">
        <v>44937.667462500001</v>
      </c>
      <c r="I84" t="str">
        <f t="shared" si="2"/>
        <v>BINE</v>
      </c>
      <c r="J84" s="56">
        <f t="shared" si="3"/>
        <v>44937.667462500001</v>
      </c>
    </row>
    <row r="85" spans="1:10" x14ac:dyDescent="0.25">
      <c r="A85" t="s">
        <v>93</v>
      </c>
      <c r="B85" s="42">
        <v>1E-3</v>
      </c>
      <c r="C85" t="s">
        <v>910</v>
      </c>
      <c r="D85" t="s">
        <v>14</v>
      </c>
      <c r="E85" t="s">
        <v>1002</v>
      </c>
      <c r="F85" s="30">
        <v>44937</v>
      </c>
      <c r="G85" s="189">
        <v>44937.66909372685</v>
      </c>
      <c r="I85" t="str">
        <f t="shared" si="2"/>
        <v>BTFX</v>
      </c>
      <c r="J85" s="56">
        <f t="shared" si="3"/>
        <v>44937.66909372685</v>
      </c>
    </row>
    <row r="86" spans="1:10" x14ac:dyDescent="0.25">
      <c r="A86" t="s">
        <v>93</v>
      </c>
      <c r="B86" s="42">
        <v>7.9996000000000008E-3</v>
      </c>
      <c r="D86" t="s">
        <v>14</v>
      </c>
      <c r="E86" t="s">
        <v>1002</v>
      </c>
      <c r="F86" s="30">
        <v>44937</v>
      </c>
      <c r="G86" s="189">
        <v>44937.66909372685</v>
      </c>
      <c r="I86" t="str">
        <f t="shared" si="2"/>
        <v>BTFX</v>
      </c>
      <c r="J86" s="56">
        <f t="shared" si="3"/>
        <v>44937.66909372685</v>
      </c>
    </row>
    <row r="87" spans="1:10" x14ac:dyDescent="0.25">
      <c r="A87" t="s">
        <v>93</v>
      </c>
      <c r="B87" s="42">
        <v>1E-3</v>
      </c>
      <c r="C87" t="s">
        <v>909</v>
      </c>
      <c r="D87" t="s">
        <v>14</v>
      </c>
      <c r="E87" t="s">
        <v>1002</v>
      </c>
      <c r="F87" s="30">
        <v>44937</v>
      </c>
      <c r="G87" s="189">
        <v>44937.66909372685</v>
      </c>
      <c r="I87" t="str">
        <f t="shared" si="2"/>
        <v>BTFX</v>
      </c>
      <c r="J87" s="56">
        <f t="shared" si="3"/>
        <v>44937.66909372685</v>
      </c>
    </row>
    <row r="88" spans="1:10" x14ac:dyDescent="0.25">
      <c r="A88" t="s">
        <v>93</v>
      </c>
      <c r="B88" s="42">
        <v>0.02</v>
      </c>
      <c r="D88" t="s">
        <v>15</v>
      </c>
      <c r="E88" t="s">
        <v>1002</v>
      </c>
      <c r="F88" s="30">
        <v>44937</v>
      </c>
      <c r="G88" s="189">
        <v>44937.66909372685</v>
      </c>
      <c r="I88" t="str">
        <f t="shared" si="2"/>
        <v>BTFX</v>
      </c>
      <c r="J88" s="56">
        <f t="shared" si="3"/>
        <v>44937.66909372685</v>
      </c>
    </row>
    <row r="89" spans="1:10" x14ac:dyDescent="0.25">
      <c r="A89" t="s">
        <v>93</v>
      </c>
      <c r="B89" s="42">
        <v>0.02</v>
      </c>
      <c r="D89" t="s">
        <v>272</v>
      </c>
      <c r="E89" t="s">
        <v>1002</v>
      </c>
      <c r="F89" s="30">
        <v>44937</v>
      </c>
      <c r="G89" s="189">
        <v>44937.66909372685</v>
      </c>
      <c r="I89" t="str">
        <f t="shared" si="2"/>
        <v>BTFX</v>
      </c>
      <c r="J89" s="56">
        <f t="shared" si="3"/>
        <v>44937.66909372685</v>
      </c>
    </row>
    <row r="90" spans="1:10" x14ac:dyDescent="0.25">
      <c r="A90" t="s">
        <v>93</v>
      </c>
      <c r="B90" s="42">
        <v>2.755467E-2</v>
      </c>
      <c r="D90" t="s">
        <v>95</v>
      </c>
      <c r="E90" t="s">
        <v>1002</v>
      </c>
      <c r="F90" s="30">
        <v>44937</v>
      </c>
      <c r="G90" s="189">
        <v>44937.66909372685</v>
      </c>
      <c r="I90" t="str">
        <f t="shared" si="2"/>
        <v>BTFX</v>
      </c>
      <c r="J90" s="56">
        <f t="shared" si="3"/>
        <v>44937.66909372685</v>
      </c>
    </row>
    <row r="91" spans="1:10" x14ac:dyDescent="0.25">
      <c r="A91" t="s">
        <v>93</v>
      </c>
      <c r="B91" s="42">
        <v>29.9885932</v>
      </c>
      <c r="D91" t="s">
        <v>96</v>
      </c>
      <c r="E91" t="s">
        <v>1002</v>
      </c>
      <c r="F91" s="30">
        <v>44937</v>
      </c>
      <c r="G91" s="189">
        <v>44937.66909372685</v>
      </c>
      <c r="I91" t="str">
        <f t="shared" si="2"/>
        <v>BTFX</v>
      </c>
      <c r="J91" s="56">
        <f t="shared" si="3"/>
        <v>44937.66909372685</v>
      </c>
    </row>
    <row r="92" spans="1:10" x14ac:dyDescent="0.25">
      <c r="A92" t="s">
        <v>93</v>
      </c>
      <c r="B92" s="42">
        <v>30</v>
      </c>
      <c r="C92" t="s">
        <v>910</v>
      </c>
      <c r="D92" t="s">
        <v>96</v>
      </c>
      <c r="E92" t="s">
        <v>1002</v>
      </c>
      <c r="F92" s="30">
        <v>44937</v>
      </c>
      <c r="G92" s="189">
        <v>44937.66909372685</v>
      </c>
      <c r="I92" t="str">
        <f t="shared" si="2"/>
        <v>BTFX</v>
      </c>
      <c r="J92" s="56">
        <f t="shared" si="3"/>
        <v>44937.66909372685</v>
      </c>
    </row>
    <row r="93" spans="1:10" x14ac:dyDescent="0.25">
      <c r="A93" t="s">
        <v>93</v>
      </c>
      <c r="B93" s="42">
        <v>30</v>
      </c>
      <c r="C93" t="s">
        <v>910</v>
      </c>
      <c r="D93" t="s">
        <v>323</v>
      </c>
      <c r="E93" t="s">
        <v>1002</v>
      </c>
      <c r="F93" s="30">
        <v>44937</v>
      </c>
      <c r="G93" s="189">
        <v>44937.66909372685</v>
      </c>
      <c r="I93" t="str">
        <f t="shared" si="2"/>
        <v>BTFX</v>
      </c>
      <c r="J93" s="56">
        <f t="shared" si="3"/>
        <v>44937.66909372685</v>
      </c>
    </row>
    <row r="94" spans="1:10" x14ac:dyDescent="0.25">
      <c r="A94" t="s">
        <v>97</v>
      </c>
      <c r="B94" s="42">
        <v>0.21932823000000001</v>
      </c>
      <c r="D94" t="s">
        <v>20</v>
      </c>
      <c r="E94" t="s">
        <v>993</v>
      </c>
      <c r="F94" s="30">
        <v>44937</v>
      </c>
      <c r="G94" s="189">
        <v>44937.668868518522</v>
      </c>
      <c r="I94" t="str">
        <f t="shared" si="2"/>
        <v>BTSE</v>
      </c>
      <c r="J94" s="56">
        <f t="shared" si="3"/>
        <v>44937.668868518522</v>
      </c>
    </row>
    <row r="95" spans="1:10" x14ac:dyDescent="0.25">
      <c r="A95" t="s">
        <v>97</v>
      </c>
      <c r="B95" s="42">
        <v>5.7861299999999997E-2</v>
      </c>
      <c r="D95" t="s">
        <v>14</v>
      </c>
      <c r="E95" t="s">
        <v>993</v>
      </c>
      <c r="F95" s="30">
        <v>44937</v>
      </c>
      <c r="G95" s="189">
        <v>44937.668879398145</v>
      </c>
      <c r="I95" t="str">
        <f t="shared" si="2"/>
        <v>BTSE</v>
      </c>
      <c r="J95" s="56">
        <f t="shared" si="3"/>
        <v>44937.668879398145</v>
      </c>
    </row>
    <row r="96" spans="1:10" x14ac:dyDescent="0.25">
      <c r="A96" t="s">
        <v>97</v>
      </c>
      <c r="B96" s="42">
        <v>0.73541904000000002</v>
      </c>
      <c r="D96" t="s">
        <v>15</v>
      </c>
      <c r="E96" t="s">
        <v>993</v>
      </c>
      <c r="F96" s="30">
        <v>44937</v>
      </c>
      <c r="G96" s="189">
        <v>44937.668890277775</v>
      </c>
      <c r="I96" t="str">
        <f t="shared" si="2"/>
        <v>BTSE</v>
      </c>
      <c r="J96" s="56">
        <f t="shared" si="3"/>
        <v>44937.668890277775</v>
      </c>
    </row>
    <row r="97" spans="1:10" x14ac:dyDescent="0.25">
      <c r="A97" t="s">
        <v>97</v>
      </c>
      <c r="B97" s="42">
        <v>22277.5319929</v>
      </c>
      <c r="D97" t="s">
        <v>973</v>
      </c>
      <c r="E97" t="s">
        <v>993</v>
      </c>
      <c r="F97" s="30">
        <v>44937</v>
      </c>
      <c r="G97" s="189">
        <v>44937.668900925928</v>
      </c>
      <c r="I97" t="str">
        <f t="shared" si="2"/>
        <v>BTSE</v>
      </c>
      <c r="J97" s="56">
        <f t="shared" si="3"/>
        <v>44937.668900925928</v>
      </c>
    </row>
    <row r="98" spans="1:10" x14ac:dyDescent="0.25">
      <c r="A98" t="s">
        <v>97</v>
      </c>
      <c r="B98" s="42">
        <v>22277.5319929</v>
      </c>
      <c r="D98" t="s">
        <v>98</v>
      </c>
      <c r="E98" t="s">
        <v>993</v>
      </c>
      <c r="F98" s="30">
        <v>44937</v>
      </c>
      <c r="G98" s="189">
        <v>44937.668911805558</v>
      </c>
      <c r="I98" t="str">
        <f t="shared" si="2"/>
        <v>BTSE</v>
      </c>
      <c r="J98" s="56">
        <f t="shared" si="3"/>
        <v>44937.668911805558</v>
      </c>
    </row>
    <row r="99" spans="1:10" x14ac:dyDescent="0.25">
      <c r="A99" t="s">
        <v>97</v>
      </c>
      <c r="B99" s="42">
        <v>125335.8</v>
      </c>
      <c r="D99" t="s">
        <v>95</v>
      </c>
      <c r="E99" t="s">
        <v>993</v>
      </c>
      <c r="F99" s="30">
        <v>44937</v>
      </c>
      <c r="G99" s="189">
        <v>44937.668922800927</v>
      </c>
      <c r="I99" t="str">
        <f t="shared" si="2"/>
        <v>BTSE</v>
      </c>
      <c r="J99" s="56">
        <f t="shared" si="3"/>
        <v>44937.668922800927</v>
      </c>
    </row>
    <row r="100" spans="1:10" x14ac:dyDescent="0.25">
      <c r="A100" t="s">
        <v>97</v>
      </c>
      <c r="B100" s="42">
        <v>86647.684072849996</v>
      </c>
      <c r="D100" t="s">
        <v>99</v>
      </c>
      <c r="E100" t="s">
        <v>993</v>
      </c>
      <c r="F100" s="30">
        <v>44937</v>
      </c>
      <c r="G100" s="189">
        <v>44937.668933680558</v>
      </c>
      <c r="I100" t="str">
        <f t="shared" si="2"/>
        <v>BTSE</v>
      </c>
      <c r="J100" s="56">
        <f t="shared" si="3"/>
        <v>44937.668933680558</v>
      </c>
    </row>
    <row r="101" spans="1:10" x14ac:dyDescent="0.25">
      <c r="A101" t="s">
        <v>100</v>
      </c>
      <c r="B101" s="42">
        <v>1937.0666312200001</v>
      </c>
      <c r="D101" t="s">
        <v>14</v>
      </c>
      <c r="E101" t="s">
        <v>995</v>
      </c>
      <c r="F101" s="30">
        <v>44937</v>
      </c>
      <c r="G101" s="189">
        <v>44937.670026145832</v>
      </c>
      <c r="I101" t="str">
        <f t="shared" si="2"/>
        <v>BULL</v>
      </c>
      <c r="J101" s="56">
        <f t="shared" si="3"/>
        <v>44937.670026145832</v>
      </c>
    </row>
    <row r="102" spans="1:10" x14ac:dyDescent="0.25">
      <c r="A102" t="s">
        <v>100</v>
      </c>
      <c r="B102" s="42">
        <v>44987283.694799997</v>
      </c>
      <c r="D102" t="s">
        <v>95</v>
      </c>
      <c r="E102" t="s">
        <v>995</v>
      </c>
      <c r="F102" s="30">
        <v>44937</v>
      </c>
      <c r="G102" s="189">
        <v>44937.670026145832</v>
      </c>
      <c r="I102" t="str">
        <f t="shared" si="2"/>
        <v>BULL</v>
      </c>
      <c r="J102" s="56">
        <f t="shared" si="3"/>
        <v>44937.670026145832</v>
      </c>
    </row>
    <row r="103" spans="1:10" x14ac:dyDescent="0.25">
      <c r="A103" t="s">
        <v>102</v>
      </c>
      <c r="B103" s="42">
        <v>4853393.7273000004</v>
      </c>
      <c r="D103" t="s">
        <v>23</v>
      </c>
      <c r="E103" t="s">
        <v>995</v>
      </c>
      <c r="F103" s="30">
        <v>44937</v>
      </c>
      <c r="G103" s="189">
        <v>44937.668008877314</v>
      </c>
      <c r="I103" t="str">
        <f t="shared" si="2"/>
        <v>BULL</v>
      </c>
      <c r="J103" s="56">
        <f t="shared" si="3"/>
        <v>44937.668008877314</v>
      </c>
    </row>
    <row r="104" spans="1:10" x14ac:dyDescent="0.25">
      <c r="A104" t="s">
        <v>102</v>
      </c>
      <c r="B104" s="42">
        <v>93678.473197590007</v>
      </c>
      <c r="D104" t="s">
        <v>27</v>
      </c>
      <c r="E104" t="s">
        <v>995</v>
      </c>
      <c r="F104" s="30">
        <v>44937</v>
      </c>
      <c r="G104" s="189">
        <v>44937.668008877314</v>
      </c>
      <c r="I104" t="str">
        <f t="shared" si="2"/>
        <v>BULL</v>
      </c>
      <c r="J104" s="56">
        <f t="shared" si="3"/>
        <v>44937.668008877314</v>
      </c>
    </row>
    <row r="105" spans="1:10" x14ac:dyDescent="0.25">
      <c r="A105" t="s">
        <v>102</v>
      </c>
      <c r="B105" s="42">
        <v>7396.5581823000002</v>
      </c>
      <c r="D105" t="s">
        <v>24</v>
      </c>
      <c r="E105" t="s">
        <v>995</v>
      </c>
      <c r="F105" s="30">
        <v>44937</v>
      </c>
      <c r="G105" s="189">
        <v>44937.668008877314</v>
      </c>
      <c r="I105" t="str">
        <f t="shared" si="2"/>
        <v>BULL</v>
      </c>
      <c r="J105" s="56">
        <f t="shared" si="3"/>
        <v>44937.668008877314</v>
      </c>
    </row>
    <row r="106" spans="1:10" x14ac:dyDescent="0.25">
      <c r="A106" t="s">
        <v>102</v>
      </c>
      <c r="B106" s="42">
        <v>2898807.0008</v>
      </c>
      <c r="D106" t="s">
        <v>95</v>
      </c>
      <c r="E106" t="s">
        <v>995</v>
      </c>
      <c r="F106" s="30">
        <v>44937</v>
      </c>
      <c r="G106" s="189">
        <v>44937.668008877314</v>
      </c>
      <c r="I106" t="str">
        <f t="shared" si="2"/>
        <v>BULL</v>
      </c>
      <c r="J106" s="56">
        <f t="shared" si="3"/>
        <v>44937.668008877314</v>
      </c>
    </row>
    <row r="107" spans="1:10" x14ac:dyDescent="0.25">
      <c r="A107" t="s">
        <v>104</v>
      </c>
      <c r="B107" s="42">
        <v>8919.0013669199998</v>
      </c>
      <c r="D107" t="s">
        <v>15</v>
      </c>
      <c r="E107" t="s">
        <v>995</v>
      </c>
      <c r="F107" s="30">
        <v>44937</v>
      </c>
      <c r="G107" s="189">
        <v>44937.668036134259</v>
      </c>
      <c r="I107" t="str">
        <f t="shared" si="2"/>
        <v>BULL</v>
      </c>
      <c r="J107" s="56">
        <f t="shared" si="3"/>
        <v>44937.668036134259</v>
      </c>
    </row>
    <row r="108" spans="1:10" x14ac:dyDescent="0.25">
      <c r="A108" t="s">
        <v>104</v>
      </c>
      <c r="B108" s="42">
        <v>17566435.357999999</v>
      </c>
      <c r="D108" t="s">
        <v>95</v>
      </c>
      <c r="E108" t="s">
        <v>995</v>
      </c>
      <c r="F108" s="30">
        <v>44937</v>
      </c>
      <c r="G108" s="189">
        <v>44937.668036134259</v>
      </c>
      <c r="I108" t="str">
        <f t="shared" si="2"/>
        <v>BULL</v>
      </c>
      <c r="J108" s="56">
        <f t="shared" si="3"/>
        <v>44937.668036134259</v>
      </c>
    </row>
    <row r="109" spans="1:10" x14ac:dyDescent="0.25">
      <c r="A109" t="s">
        <v>105</v>
      </c>
      <c r="B109" s="42">
        <v>76.118079890000004</v>
      </c>
      <c r="D109" t="s">
        <v>14</v>
      </c>
      <c r="E109" t="s">
        <v>995</v>
      </c>
      <c r="F109" s="30">
        <v>44937</v>
      </c>
      <c r="G109" s="189">
        <v>44937.668063263889</v>
      </c>
      <c r="I109" t="str">
        <f t="shared" si="2"/>
        <v>BULL</v>
      </c>
      <c r="J109" s="56">
        <f t="shared" si="3"/>
        <v>44937.668063263889</v>
      </c>
    </row>
    <row r="110" spans="1:10" x14ac:dyDescent="0.25">
      <c r="A110" t="s">
        <v>105</v>
      </c>
      <c r="B110" s="42">
        <v>964.11535314000002</v>
      </c>
      <c r="D110" t="s">
        <v>15</v>
      </c>
      <c r="E110" t="s">
        <v>995</v>
      </c>
      <c r="F110" s="30">
        <v>44937</v>
      </c>
      <c r="G110" s="189">
        <v>44937.668063263889</v>
      </c>
      <c r="I110" t="str">
        <f t="shared" si="2"/>
        <v>BULL</v>
      </c>
      <c r="J110" s="56">
        <f t="shared" si="3"/>
        <v>44937.668063263889</v>
      </c>
    </row>
    <row r="111" spans="1:10" x14ac:dyDescent="0.25">
      <c r="A111" t="s">
        <v>105</v>
      </c>
      <c r="B111" s="42">
        <v>0.5</v>
      </c>
      <c r="D111" t="s">
        <v>92</v>
      </c>
      <c r="E111" t="s">
        <v>995</v>
      </c>
      <c r="F111" s="30">
        <v>44937</v>
      </c>
      <c r="G111" s="189">
        <v>44937.668063263889</v>
      </c>
      <c r="I111" t="str">
        <f t="shared" si="2"/>
        <v>BULL</v>
      </c>
      <c r="J111" s="56">
        <f t="shared" si="3"/>
        <v>44937.668063263889</v>
      </c>
    </row>
    <row r="112" spans="1:10" x14ac:dyDescent="0.25">
      <c r="A112" t="s">
        <v>410</v>
      </c>
      <c r="B112" s="42">
        <v>15758.519869</v>
      </c>
      <c r="D112" t="s">
        <v>95</v>
      </c>
      <c r="E112" t="s">
        <v>1004</v>
      </c>
      <c r="F112" s="30">
        <v>44939</v>
      </c>
      <c r="G112" s="189">
        <v>44939.310202858796</v>
      </c>
      <c r="I112" t="str">
        <f t="shared" si="2"/>
        <v>DYDX</v>
      </c>
      <c r="J112" s="56">
        <f t="shared" si="3"/>
        <v>44939.310202858796</v>
      </c>
    </row>
    <row r="113" spans="1:10" x14ac:dyDescent="0.25">
      <c r="A113" t="s">
        <v>186</v>
      </c>
      <c r="B113" s="42">
        <v>150.08189084680001</v>
      </c>
      <c r="D113" t="s">
        <v>116</v>
      </c>
      <c r="E113" t="s">
        <v>992</v>
      </c>
      <c r="F113" s="30">
        <v>44937</v>
      </c>
      <c r="G113" s="189">
        <v>44937.660435150465</v>
      </c>
      <c r="I113" t="str">
        <f t="shared" si="2"/>
        <v>FBLK</v>
      </c>
      <c r="J113" s="56">
        <f t="shared" si="3"/>
        <v>44937.660435150465</v>
      </c>
    </row>
    <row r="114" spans="1:10" x14ac:dyDescent="0.25">
      <c r="A114" t="s">
        <v>186</v>
      </c>
      <c r="B114" s="42">
        <v>22641.773882000001</v>
      </c>
      <c r="D114" t="s">
        <v>84</v>
      </c>
      <c r="E114" t="s">
        <v>992</v>
      </c>
      <c r="F114" s="30">
        <v>44937</v>
      </c>
      <c r="G114" s="189">
        <v>44937.660435150465</v>
      </c>
      <c r="I114" t="str">
        <f t="shared" si="2"/>
        <v>FBLK</v>
      </c>
      <c r="J114" s="56">
        <f t="shared" si="3"/>
        <v>44937.660435150465</v>
      </c>
    </row>
    <row r="115" spans="1:10" x14ac:dyDescent="0.25">
      <c r="A115" t="s">
        <v>186</v>
      </c>
      <c r="B115" s="42">
        <v>12552.259884999999</v>
      </c>
      <c r="D115" t="s">
        <v>122</v>
      </c>
      <c r="E115" t="s">
        <v>992</v>
      </c>
      <c r="F115" s="30">
        <v>44937</v>
      </c>
      <c r="G115" s="189">
        <v>44937.660435150465</v>
      </c>
      <c r="I115" t="str">
        <f t="shared" si="2"/>
        <v>FBLK</v>
      </c>
      <c r="J115" s="56">
        <f t="shared" si="3"/>
        <v>44937.660435150465</v>
      </c>
    </row>
    <row r="116" spans="1:10" x14ac:dyDescent="0.25">
      <c r="A116" t="s">
        <v>186</v>
      </c>
      <c r="B116" s="42">
        <v>12008527.170978</v>
      </c>
      <c r="D116" t="s">
        <v>911</v>
      </c>
      <c r="E116" t="s">
        <v>992</v>
      </c>
      <c r="F116" s="30">
        <v>44937</v>
      </c>
      <c r="G116" s="189">
        <v>44937.660435150465</v>
      </c>
      <c r="I116" t="str">
        <f t="shared" si="2"/>
        <v>FBLK</v>
      </c>
      <c r="J116" s="56">
        <f t="shared" si="3"/>
        <v>44937.660435150465</v>
      </c>
    </row>
    <row r="117" spans="1:10" x14ac:dyDescent="0.25">
      <c r="A117" t="s">
        <v>186</v>
      </c>
      <c r="B117" s="42">
        <v>179.08775599379999</v>
      </c>
      <c r="D117" t="s">
        <v>187</v>
      </c>
      <c r="E117" t="s">
        <v>992</v>
      </c>
      <c r="F117" s="30">
        <v>44937</v>
      </c>
      <c r="G117" s="189">
        <v>44937.660435150465</v>
      </c>
      <c r="I117" t="str">
        <f t="shared" si="2"/>
        <v>FBLK</v>
      </c>
      <c r="J117" s="56">
        <f t="shared" si="3"/>
        <v>44937.660435150465</v>
      </c>
    </row>
    <row r="118" spans="1:10" x14ac:dyDescent="0.25">
      <c r="A118" t="s">
        <v>186</v>
      </c>
      <c r="B118" s="42">
        <v>12234.90497353</v>
      </c>
      <c r="D118" t="s">
        <v>124</v>
      </c>
      <c r="E118" t="s">
        <v>992</v>
      </c>
      <c r="F118" s="30">
        <v>44937</v>
      </c>
      <c r="G118" s="189">
        <v>44937.660435150465</v>
      </c>
      <c r="I118" t="str">
        <f t="shared" si="2"/>
        <v>FBLK</v>
      </c>
      <c r="J118" s="56">
        <f t="shared" si="3"/>
        <v>44937.660435150465</v>
      </c>
    </row>
    <row r="119" spans="1:10" x14ac:dyDescent="0.25">
      <c r="A119" t="s">
        <v>186</v>
      </c>
      <c r="B119" s="42">
        <v>5171.2119944799997</v>
      </c>
      <c r="D119" t="s">
        <v>20</v>
      </c>
      <c r="E119" t="s">
        <v>992</v>
      </c>
      <c r="F119" s="30">
        <v>44937</v>
      </c>
      <c r="G119" s="189">
        <v>44937.660435150465</v>
      </c>
      <c r="I119" t="str">
        <f t="shared" si="2"/>
        <v>FBLK</v>
      </c>
      <c r="J119" s="56">
        <f t="shared" si="3"/>
        <v>44937.660435150465</v>
      </c>
    </row>
    <row r="120" spans="1:10" x14ac:dyDescent="0.25">
      <c r="A120" t="s">
        <v>186</v>
      </c>
      <c r="B120" s="42">
        <v>1.7651759999999999E-4</v>
      </c>
      <c r="D120" t="s">
        <v>1001</v>
      </c>
      <c r="E120" t="s">
        <v>992</v>
      </c>
      <c r="F120" s="30">
        <v>44937</v>
      </c>
      <c r="G120" s="189">
        <v>44937.660435150465</v>
      </c>
      <c r="I120" t="str">
        <f t="shared" si="2"/>
        <v>FBLK</v>
      </c>
      <c r="J120" s="56">
        <f t="shared" si="3"/>
        <v>44937.660435150465</v>
      </c>
    </row>
    <row r="121" spans="1:10" x14ac:dyDescent="0.25">
      <c r="A121" t="s">
        <v>186</v>
      </c>
      <c r="B121" s="42">
        <v>293.99617287000001</v>
      </c>
      <c r="D121" t="s">
        <v>14</v>
      </c>
      <c r="E121" t="s">
        <v>992</v>
      </c>
      <c r="F121" s="30">
        <v>44937</v>
      </c>
      <c r="G121" s="189">
        <v>44937.660435150465</v>
      </c>
      <c r="I121" t="str">
        <f t="shared" si="2"/>
        <v>FBLK</v>
      </c>
      <c r="J121" s="56">
        <f t="shared" si="3"/>
        <v>44937.660435150465</v>
      </c>
    </row>
    <row r="122" spans="1:10" x14ac:dyDescent="0.25">
      <c r="A122" t="s">
        <v>186</v>
      </c>
      <c r="B122" s="42">
        <v>3103.3033653500001</v>
      </c>
      <c r="D122" t="s">
        <v>31</v>
      </c>
      <c r="E122" t="s">
        <v>992</v>
      </c>
      <c r="F122" s="30">
        <v>44937</v>
      </c>
      <c r="G122" s="189">
        <v>44937.660435150465</v>
      </c>
      <c r="I122" t="str">
        <f t="shared" si="2"/>
        <v>FBLK</v>
      </c>
      <c r="J122" s="56">
        <f t="shared" si="3"/>
        <v>44937.660435150465</v>
      </c>
    </row>
    <row r="123" spans="1:10" x14ac:dyDescent="0.25">
      <c r="A123" t="s">
        <v>186</v>
      </c>
      <c r="B123" s="42">
        <v>9.7777784334</v>
      </c>
      <c r="D123" t="s">
        <v>188</v>
      </c>
      <c r="E123" t="s">
        <v>992</v>
      </c>
      <c r="F123" s="30">
        <v>44937</v>
      </c>
      <c r="G123" s="189">
        <v>44937.660435150465</v>
      </c>
      <c r="I123" t="str">
        <f t="shared" si="2"/>
        <v>FBLK</v>
      </c>
      <c r="J123" s="56">
        <f t="shared" si="3"/>
        <v>44937.660435150465</v>
      </c>
    </row>
    <row r="124" spans="1:10" x14ac:dyDescent="0.25">
      <c r="A124" t="s">
        <v>186</v>
      </c>
      <c r="B124" s="42">
        <v>3.0107491300000002</v>
      </c>
      <c r="D124" t="s">
        <v>132</v>
      </c>
      <c r="E124" t="s">
        <v>992</v>
      </c>
      <c r="F124" s="30">
        <v>44937</v>
      </c>
      <c r="G124" s="189">
        <v>44937.660435150465</v>
      </c>
      <c r="I124" t="str">
        <f t="shared" si="2"/>
        <v>FBLK</v>
      </c>
      <c r="J124" s="56">
        <f t="shared" si="3"/>
        <v>44937.660435150465</v>
      </c>
    </row>
    <row r="125" spans="1:10" x14ac:dyDescent="0.25">
      <c r="A125" t="s">
        <v>186</v>
      </c>
      <c r="B125" s="42">
        <v>43773.598906400002</v>
      </c>
      <c r="D125" t="s">
        <v>190</v>
      </c>
      <c r="E125" t="s">
        <v>992</v>
      </c>
      <c r="F125" s="30">
        <v>44937</v>
      </c>
      <c r="G125" s="189">
        <v>44937.660435150465</v>
      </c>
      <c r="I125" t="str">
        <f t="shared" si="2"/>
        <v>FBLK</v>
      </c>
      <c r="J125" s="56">
        <f t="shared" si="3"/>
        <v>44937.660435150465</v>
      </c>
    </row>
    <row r="126" spans="1:10" x14ac:dyDescent="0.25">
      <c r="A126" t="s">
        <v>186</v>
      </c>
      <c r="B126" s="42">
        <v>479.1824984754</v>
      </c>
      <c r="D126" t="s">
        <v>22</v>
      </c>
      <c r="E126" t="s">
        <v>992</v>
      </c>
      <c r="F126" s="30">
        <v>44937</v>
      </c>
      <c r="G126" s="189">
        <v>44937.660435150465</v>
      </c>
      <c r="I126" t="str">
        <f t="shared" si="2"/>
        <v>FBLK</v>
      </c>
      <c r="J126" s="56">
        <f t="shared" si="3"/>
        <v>44937.660435150465</v>
      </c>
    </row>
    <row r="127" spans="1:10" x14ac:dyDescent="0.25">
      <c r="A127" t="s">
        <v>186</v>
      </c>
      <c r="B127" s="42">
        <v>2329.31244242</v>
      </c>
      <c r="D127" t="s">
        <v>28</v>
      </c>
      <c r="E127" t="s">
        <v>992</v>
      </c>
      <c r="F127" s="30">
        <v>44937</v>
      </c>
      <c r="G127" s="189">
        <v>44937.660435150465</v>
      </c>
      <c r="I127" t="str">
        <f t="shared" si="2"/>
        <v>FBLK</v>
      </c>
      <c r="J127" s="56">
        <f t="shared" si="3"/>
        <v>44937.660435150465</v>
      </c>
    </row>
    <row r="128" spans="1:10" x14ac:dyDescent="0.25">
      <c r="A128" t="s">
        <v>186</v>
      </c>
      <c r="B128" s="42">
        <v>186334.70740000001</v>
      </c>
      <c r="D128" t="s">
        <v>23</v>
      </c>
      <c r="E128" t="s">
        <v>992</v>
      </c>
      <c r="F128" s="30">
        <v>44937</v>
      </c>
      <c r="G128" s="189">
        <v>44937.660435150465</v>
      </c>
      <c r="I128" t="str">
        <f t="shared" si="2"/>
        <v>FBLK</v>
      </c>
      <c r="J128" s="56">
        <f t="shared" si="3"/>
        <v>44937.660435150465</v>
      </c>
    </row>
    <row r="129" spans="1:10" x14ac:dyDescent="0.25">
      <c r="A129" t="s">
        <v>186</v>
      </c>
      <c r="B129" s="42">
        <v>98844.463872979206</v>
      </c>
      <c r="D129" t="s">
        <v>29</v>
      </c>
      <c r="E129" t="s">
        <v>992</v>
      </c>
      <c r="F129" s="30">
        <v>44937</v>
      </c>
      <c r="G129" s="189">
        <v>44937.660435150465</v>
      </c>
      <c r="I129" t="str">
        <f t="shared" si="2"/>
        <v>FBLK</v>
      </c>
      <c r="J129" s="56">
        <f t="shared" si="3"/>
        <v>44937.660435150465</v>
      </c>
    </row>
    <row r="130" spans="1:10" x14ac:dyDescent="0.25">
      <c r="A130" t="s">
        <v>186</v>
      </c>
      <c r="B130" s="42">
        <v>638.44672550229996</v>
      </c>
      <c r="D130" t="s">
        <v>15</v>
      </c>
      <c r="E130" t="s">
        <v>992</v>
      </c>
      <c r="F130" s="30">
        <v>44937</v>
      </c>
      <c r="G130" s="189">
        <v>44937.660435150465</v>
      </c>
      <c r="I130" t="str">
        <f t="shared" si="2"/>
        <v>FBLK</v>
      </c>
      <c r="J130" s="56">
        <f t="shared" si="3"/>
        <v>44937.660435150465</v>
      </c>
    </row>
    <row r="131" spans="1:10" x14ac:dyDescent="0.25">
      <c r="A131" t="s">
        <v>186</v>
      </c>
      <c r="B131" s="42">
        <v>1271.8180884257999</v>
      </c>
      <c r="D131" t="s">
        <v>272</v>
      </c>
      <c r="E131" t="s">
        <v>992</v>
      </c>
      <c r="F131" s="30">
        <v>44937</v>
      </c>
      <c r="G131" s="189">
        <v>44937.660435150465</v>
      </c>
      <c r="I131" t="str">
        <f t="shared" ref="I131:I194" si="4">IF($A131="","",RIGHT($E131,LEN($E131)-SEARCH(".",$E131)))</f>
        <v>FBLK</v>
      </c>
      <c r="J131" s="56">
        <f t="shared" ref="J131:J194" si="5">IF($A131="","",$G131)</f>
        <v>44937.660435150465</v>
      </c>
    </row>
    <row r="132" spans="1:10" x14ac:dyDescent="0.25">
      <c r="A132" t="s">
        <v>186</v>
      </c>
      <c r="B132" s="42">
        <v>235746.127034</v>
      </c>
      <c r="D132" t="s">
        <v>325</v>
      </c>
      <c r="E132" t="s">
        <v>992</v>
      </c>
      <c r="F132" s="30">
        <v>44937</v>
      </c>
      <c r="G132" s="189">
        <v>44937.660435150465</v>
      </c>
      <c r="I132" t="str">
        <f t="shared" si="4"/>
        <v>FBLK</v>
      </c>
      <c r="J132" s="56">
        <f t="shared" si="5"/>
        <v>44937.660435150465</v>
      </c>
    </row>
    <row r="133" spans="1:10" x14ac:dyDescent="0.25">
      <c r="A133" t="s">
        <v>186</v>
      </c>
      <c r="B133" s="42">
        <v>57885.461095837403</v>
      </c>
      <c r="D133" t="s">
        <v>326</v>
      </c>
      <c r="E133" t="s">
        <v>992</v>
      </c>
      <c r="F133" s="30">
        <v>44937</v>
      </c>
      <c r="G133" s="189">
        <v>44937.660435150465</v>
      </c>
      <c r="I133" t="str">
        <f t="shared" si="4"/>
        <v>FBLK</v>
      </c>
      <c r="J133" s="56">
        <f t="shared" si="5"/>
        <v>44937.660435150465</v>
      </c>
    </row>
    <row r="134" spans="1:10" x14ac:dyDescent="0.25">
      <c r="A134" t="s">
        <v>186</v>
      </c>
      <c r="B134" s="42">
        <v>2.53888889</v>
      </c>
      <c r="D134" t="s">
        <v>109</v>
      </c>
      <c r="E134" t="s">
        <v>992</v>
      </c>
      <c r="F134" s="30">
        <v>44937</v>
      </c>
      <c r="G134" s="189">
        <v>44937.660435150465</v>
      </c>
      <c r="I134" t="str">
        <f t="shared" si="4"/>
        <v>FBLK</v>
      </c>
      <c r="J134" s="56">
        <f t="shared" si="5"/>
        <v>44937.660435150465</v>
      </c>
    </row>
    <row r="135" spans="1:10" x14ac:dyDescent="0.25">
      <c r="A135" t="s">
        <v>186</v>
      </c>
      <c r="B135" s="42">
        <v>296.85191938579999</v>
      </c>
      <c r="D135" t="s">
        <v>798</v>
      </c>
      <c r="E135" t="s">
        <v>992</v>
      </c>
      <c r="F135" s="30">
        <v>44937</v>
      </c>
      <c r="G135" s="189">
        <v>44937.660435150465</v>
      </c>
      <c r="I135" t="str">
        <f t="shared" si="4"/>
        <v>FBLK</v>
      </c>
      <c r="J135" s="56">
        <f t="shared" si="5"/>
        <v>44937.660435150465</v>
      </c>
    </row>
    <row r="136" spans="1:10" x14ac:dyDescent="0.25">
      <c r="A136" t="s">
        <v>186</v>
      </c>
      <c r="B136" s="42">
        <v>13740.37771737</v>
      </c>
      <c r="D136" t="s">
        <v>415</v>
      </c>
      <c r="E136" t="s">
        <v>992</v>
      </c>
      <c r="F136" s="30">
        <v>44937</v>
      </c>
      <c r="G136" s="189">
        <v>44937.660435150465</v>
      </c>
      <c r="I136" t="str">
        <f t="shared" si="4"/>
        <v>FBLK</v>
      </c>
      <c r="J136" s="56">
        <f t="shared" si="5"/>
        <v>44937.660435150465</v>
      </c>
    </row>
    <row r="137" spans="1:10" x14ac:dyDescent="0.25">
      <c r="A137" t="s">
        <v>186</v>
      </c>
      <c r="B137" s="42">
        <v>4716.81084801</v>
      </c>
      <c r="D137" t="s">
        <v>135</v>
      </c>
      <c r="E137" t="s">
        <v>992</v>
      </c>
      <c r="F137" s="30">
        <v>44937</v>
      </c>
      <c r="G137" s="189">
        <v>44937.660435150465</v>
      </c>
      <c r="I137" t="str">
        <f t="shared" si="4"/>
        <v>FBLK</v>
      </c>
      <c r="J137" s="56">
        <f t="shared" si="5"/>
        <v>44937.660435150465</v>
      </c>
    </row>
    <row r="138" spans="1:10" x14ac:dyDescent="0.25">
      <c r="A138" t="s">
        <v>186</v>
      </c>
      <c r="B138" s="42">
        <v>9.2269842999999994E-3</v>
      </c>
      <c r="D138" t="s">
        <v>43</v>
      </c>
      <c r="E138" t="s">
        <v>992</v>
      </c>
      <c r="F138" s="30">
        <v>44937</v>
      </c>
      <c r="G138" s="189">
        <v>44937.660435150465</v>
      </c>
      <c r="I138" t="str">
        <f t="shared" si="4"/>
        <v>FBLK</v>
      </c>
      <c r="J138" s="56">
        <f t="shared" si="5"/>
        <v>44937.660435150465</v>
      </c>
    </row>
    <row r="139" spans="1:10" x14ac:dyDescent="0.25">
      <c r="A139" t="s">
        <v>186</v>
      </c>
      <c r="B139" s="42">
        <v>1291.2665841600001</v>
      </c>
      <c r="D139" t="s">
        <v>27</v>
      </c>
      <c r="E139" t="s">
        <v>992</v>
      </c>
      <c r="F139" s="30">
        <v>44937</v>
      </c>
      <c r="G139" s="189">
        <v>44937.660435150465</v>
      </c>
      <c r="I139" t="str">
        <f t="shared" si="4"/>
        <v>FBLK</v>
      </c>
      <c r="J139" s="56">
        <f t="shared" si="5"/>
        <v>44937.660435150465</v>
      </c>
    </row>
    <row r="140" spans="1:10" x14ac:dyDescent="0.25">
      <c r="A140" t="s">
        <v>186</v>
      </c>
      <c r="B140" s="42">
        <v>128.49216579</v>
      </c>
      <c r="D140" t="s">
        <v>24</v>
      </c>
      <c r="E140" t="s">
        <v>992</v>
      </c>
      <c r="F140" s="30">
        <v>44937</v>
      </c>
      <c r="G140" s="189">
        <v>44937.660435150465</v>
      </c>
      <c r="I140" t="str">
        <f t="shared" si="4"/>
        <v>FBLK</v>
      </c>
      <c r="J140" s="56">
        <f t="shared" si="5"/>
        <v>44937.660435150465</v>
      </c>
    </row>
    <row r="141" spans="1:10" x14ac:dyDescent="0.25">
      <c r="A141" t="s">
        <v>186</v>
      </c>
      <c r="B141" s="42">
        <v>798.08621639</v>
      </c>
      <c r="D141" t="s">
        <v>192</v>
      </c>
      <c r="E141" t="s">
        <v>992</v>
      </c>
      <c r="F141" s="30">
        <v>44937</v>
      </c>
      <c r="G141" s="189">
        <v>44937.660435150465</v>
      </c>
      <c r="I141" t="str">
        <f t="shared" si="4"/>
        <v>FBLK</v>
      </c>
      <c r="J141" s="56">
        <f t="shared" si="5"/>
        <v>44937.660435150465</v>
      </c>
    </row>
    <row r="142" spans="1:10" x14ac:dyDescent="0.25">
      <c r="A142" t="s">
        <v>186</v>
      </c>
      <c r="B142" s="42">
        <v>3428.9663478000002</v>
      </c>
      <c r="D142" t="s">
        <v>193</v>
      </c>
      <c r="E142" t="s">
        <v>992</v>
      </c>
      <c r="F142" s="30">
        <v>44937</v>
      </c>
      <c r="G142" s="189">
        <v>44937.660435150465</v>
      </c>
      <c r="I142" t="str">
        <f t="shared" si="4"/>
        <v>FBLK</v>
      </c>
      <c r="J142" s="56">
        <f t="shared" si="5"/>
        <v>44937.660435150465</v>
      </c>
    </row>
    <row r="143" spans="1:10" x14ac:dyDescent="0.25">
      <c r="A143" t="s">
        <v>186</v>
      </c>
      <c r="B143" s="42">
        <v>1.4836537599999999</v>
      </c>
      <c r="D143" t="s">
        <v>413</v>
      </c>
      <c r="E143" t="s">
        <v>992</v>
      </c>
      <c r="F143" s="30">
        <v>44937</v>
      </c>
      <c r="G143" s="189">
        <v>44937.660435150465</v>
      </c>
      <c r="I143" t="str">
        <f t="shared" si="4"/>
        <v>FBLK</v>
      </c>
      <c r="J143" s="56">
        <f t="shared" si="5"/>
        <v>44937.660435150465</v>
      </c>
    </row>
    <row r="144" spans="1:10" x14ac:dyDescent="0.25">
      <c r="A144" t="s">
        <v>186</v>
      </c>
      <c r="B144" s="42">
        <v>34311.93215886</v>
      </c>
      <c r="D144" t="s">
        <v>912</v>
      </c>
      <c r="E144" t="s">
        <v>992</v>
      </c>
      <c r="F144" s="30">
        <v>44937</v>
      </c>
      <c r="G144" s="189">
        <v>44937.660435150465</v>
      </c>
      <c r="I144" t="str">
        <f t="shared" si="4"/>
        <v>FBLK</v>
      </c>
      <c r="J144" s="56">
        <f t="shared" si="5"/>
        <v>44937.660435150465</v>
      </c>
    </row>
    <row r="145" spans="1:10" x14ac:dyDescent="0.25">
      <c r="A145" t="s">
        <v>186</v>
      </c>
      <c r="B145" s="42">
        <v>32302.942249520001</v>
      </c>
      <c r="D145" t="s">
        <v>998</v>
      </c>
      <c r="E145" t="s">
        <v>992</v>
      </c>
      <c r="F145" s="30">
        <v>44937</v>
      </c>
      <c r="G145" s="189">
        <v>44937.660435150465</v>
      </c>
      <c r="I145" t="str">
        <f t="shared" si="4"/>
        <v>FBLK</v>
      </c>
      <c r="J145" s="56">
        <f t="shared" si="5"/>
        <v>44937.660435150465</v>
      </c>
    </row>
    <row r="146" spans="1:10" x14ac:dyDescent="0.25">
      <c r="A146" t="s">
        <v>186</v>
      </c>
      <c r="B146" s="42">
        <v>32626.54331546</v>
      </c>
      <c r="D146" t="s">
        <v>1019</v>
      </c>
      <c r="E146" t="s">
        <v>992</v>
      </c>
      <c r="F146" s="30">
        <v>44937</v>
      </c>
      <c r="G146" s="189">
        <v>44937.660435150465</v>
      </c>
      <c r="I146" t="str">
        <f t="shared" si="4"/>
        <v>FBLK</v>
      </c>
      <c r="J146" s="56">
        <f t="shared" si="5"/>
        <v>44937.660435150465</v>
      </c>
    </row>
    <row r="147" spans="1:10" x14ac:dyDescent="0.25">
      <c r="A147" t="s">
        <v>186</v>
      </c>
      <c r="B147" s="42">
        <v>33793.379334129997</v>
      </c>
      <c r="D147" t="s">
        <v>913</v>
      </c>
      <c r="E147" t="s">
        <v>992</v>
      </c>
      <c r="F147" s="30">
        <v>44937</v>
      </c>
      <c r="G147" s="189">
        <v>44937.660435150465</v>
      </c>
      <c r="I147" t="str">
        <f t="shared" si="4"/>
        <v>FBLK</v>
      </c>
      <c r="J147" s="56">
        <f t="shared" si="5"/>
        <v>44937.660435150465</v>
      </c>
    </row>
    <row r="148" spans="1:10" x14ac:dyDescent="0.25">
      <c r="A148" t="s">
        <v>186</v>
      </c>
      <c r="B148" s="42">
        <v>33991.374100820001</v>
      </c>
      <c r="D148" t="s">
        <v>914</v>
      </c>
      <c r="E148" t="s">
        <v>992</v>
      </c>
      <c r="F148" s="30">
        <v>44937</v>
      </c>
      <c r="G148" s="189">
        <v>44937.660435150465</v>
      </c>
      <c r="I148" t="str">
        <f t="shared" si="4"/>
        <v>FBLK</v>
      </c>
      <c r="J148" s="56">
        <f t="shared" si="5"/>
        <v>44937.660435150465</v>
      </c>
    </row>
    <row r="149" spans="1:10" x14ac:dyDescent="0.25">
      <c r="A149" t="s">
        <v>186</v>
      </c>
      <c r="B149" s="42">
        <v>196525.25441796001</v>
      </c>
      <c r="D149" t="s">
        <v>915</v>
      </c>
      <c r="E149" t="s">
        <v>992</v>
      </c>
      <c r="F149" s="30">
        <v>44937</v>
      </c>
      <c r="G149" s="189">
        <v>44937.660435150465</v>
      </c>
      <c r="I149" t="str">
        <f t="shared" si="4"/>
        <v>FBLK</v>
      </c>
      <c r="J149" s="56">
        <f t="shared" si="5"/>
        <v>44937.660435150465</v>
      </c>
    </row>
    <row r="150" spans="1:10" x14ac:dyDescent="0.25">
      <c r="A150" t="s">
        <v>186</v>
      </c>
      <c r="B150" s="42">
        <v>168.05099999999999</v>
      </c>
      <c r="D150" t="s">
        <v>150</v>
      </c>
      <c r="E150" t="s">
        <v>992</v>
      </c>
      <c r="F150" s="30">
        <v>44937</v>
      </c>
      <c r="G150" s="189">
        <v>44937.660435150465</v>
      </c>
      <c r="I150" t="str">
        <f t="shared" si="4"/>
        <v>FBLK</v>
      </c>
      <c r="J150" s="56">
        <f t="shared" si="5"/>
        <v>44937.660435150465</v>
      </c>
    </row>
    <row r="151" spans="1:10" x14ac:dyDescent="0.25">
      <c r="A151" t="s">
        <v>186</v>
      </c>
      <c r="B151" s="42">
        <v>201000.92417708001</v>
      </c>
      <c r="D151" t="s">
        <v>916</v>
      </c>
      <c r="E151" t="s">
        <v>992</v>
      </c>
      <c r="F151" s="30">
        <v>44937</v>
      </c>
      <c r="G151" s="189">
        <v>44937.660435150465</v>
      </c>
      <c r="I151" t="str">
        <f t="shared" si="4"/>
        <v>FBLK</v>
      </c>
      <c r="J151" s="56">
        <f t="shared" si="5"/>
        <v>44937.660435150465</v>
      </c>
    </row>
    <row r="152" spans="1:10" x14ac:dyDescent="0.25">
      <c r="A152" t="s">
        <v>186</v>
      </c>
      <c r="B152" s="42">
        <v>100050250.667</v>
      </c>
      <c r="D152" t="s">
        <v>917</v>
      </c>
      <c r="E152" t="s">
        <v>992</v>
      </c>
      <c r="F152" s="30">
        <v>44937</v>
      </c>
      <c r="G152" s="189">
        <v>44937.660435150465</v>
      </c>
      <c r="I152" t="str">
        <f t="shared" si="4"/>
        <v>FBLK</v>
      </c>
      <c r="J152" s="56">
        <f t="shared" si="5"/>
        <v>44937.660435150465</v>
      </c>
    </row>
    <row r="153" spans="1:10" x14ac:dyDescent="0.25">
      <c r="A153" t="s">
        <v>186</v>
      </c>
      <c r="B153" s="42">
        <v>19597.425537219999</v>
      </c>
      <c r="D153" t="s">
        <v>999</v>
      </c>
      <c r="E153" t="s">
        <v>992</v>
      </c>
      <c r="F153" s="30">
        <v>44937</v>
      </c>
      <c r="G153" s="189">
        <v>44937.660435150465</v>
      </c>
      <c r="I153" t="str">
        <f t="shared" si="4"/>
        <v>FBLK</v>
      </c>
      <c r="J153" s="56">
        <f t="shared" si="5"/>
        <v>44937.660435150465</v>
      </c>
    </row>
    <row r="154" spans="1:10" x14ac:dyDescent="0.25">
      <c r="A154" t="s">
        <v>186</v>
      </c>
      <c r="B154" s="42">
        <v>29214.150499390002</v>
      </c>
      <c r="D154" t="s">
        <v>918</v>
      </c>
      <c r="E154" t="s">
        <v>992</v>
      </c>
      <c r="F154" s="30">
        <v>44937</v>
      </c>
      <c r="G154" s="189">
        <v>44937.660435150465</v>
      </c>
      <c r="I154" t="str">
        <f t="shared" si="4"/>
        <v>FBLK</v>
      </c>
      <c r="J154" s="56">
        <f t="shared" si="5"/>
        <v>44937.660435150465</v>
      </c>
    </row>
    <row r="155" spans="1:10" x14ac:dyDescent="0.25">
      <c r="A155" t="s">
        <v>186</v>
      </c>
      <c r="B155" s="42">
        <v>20213.414599259999</v>
      </c>
      <c r="D155" t="s">
        <v>919</v>
      </c>
      <c r="E155" t="s">
        <v>992</v>
      </c>
      <c r="F155" s="30">
        <v>44937</v>
      </c>
      <c r="G155" s="189">
        <v>44937.660435150465</v>
      </c>
      <c r="I155" t="str">
        <f t="shared" si="4"/>
        <v>FBLK</v>
      </c>
      <c r="J155" s="56">
        <f t="shared" si="5"/>
        <v>44937.660435150465</v>
      </c>
    </row>
    <row r="156" spans="1:10" x14ac:dyDescent="0.25">
      <c r="A156" t="s">
        <v>186</v>
      </c>
      <c r="B156" s="42">
        <v>31925.004081070001</v>
      </c>
      <c r="D156" t="s">
        <v>920</v>
      </c>
      <c r="E156" t="s">
        <v>992</v>
      </c>
      <c r="F156" s="30">
        <v>44937</v>
      </c>
      <c r="G156" s="189">
        <v>44937.660435150465</v>
      </c>
      <c r="I156" t="str">
        <f t="shared" si="4"/>
        <v>FBLK</v>
      </c>
      <c r="J156" s="56">
        <f t="shared" si="5"/>
        <v>44937.660435150465</v>
      </c>
    </row>
    <row r="157" spans="1:10" x14ac:dyDescent="0.25">
      <c r="A157" t="s">
        <v>186</v>
      </c>
      <c r="B157" s="42">
        <v>17599.94336709</v>
      </c>
      <c r="D157" t="s">
        <v>921</v>
      </c>
      <c r="E157" t="s">
        <v>992</v>
      </c>
      <c r="F157" s="30">
        <v>44937</v>
      </c>
      <c r="G157" s="189">
        <v>44937.660435150465</v>
      </c>
      <c r="I157" t="str">
        <f t="shared" si="4"/>
        <v>FBLK</v>
      </c>
      <c r="J157" s="56">
        <f t="shared" si="5"/>
        <v>44937.660435150465</v>
      </c>
    </row>
    <row r="158" spans="1:10" x14ac:dyDescent="0.25">
      <c r="A158" t="s">
        <v>186</v>
      </c>
      <c r="B158" s="42">
        <v>3032</v>
      </c>
      <c r="D158" t="s">
        <v>1007</v>
      </c>
      <c r="E158" t="s">
        <v>992</v>
      </c>
      <c r="F158" s="30">
        <v>44937</v>
      </c>
      <c r="G158" s="189">
        <v>44937.660435150465</v>
      </c>
      <c r="I158" t="str">
        <f t="shared" si="4"/>
        <v>FBLK</v>
      </c>
      <c r="J158" s="56">
        <f t="shared" si="5"/>
        <v>44937.660435150465</v>
      </c>
    </row>
    <row r="159" spans="1:10" x14ac:dyDescent="0.25">
      <c r="A159" t="s">
        <v>186</v>
      </c>
      <c r="B159" s="42">
        <v>2698</v>
      </c>
      <c r="D159" t="s">
        <v>922</v>
      </c>
      <c r="E159" t="s">
        <v>992</v>
      </c>
      <c r="F159" s="30">
        <v>44937</v>
      </c>
      <c r="G159" s="189">
        <v>44937.660435150465</v>
      </c>
      <c r="I159" t="str">
        <f t="shared" si="4"/>
        <v>FBLK</v>
      </c>
      <c r="J159" s="56">
        <f t="shared" si="5"/>
        <v>44937.660435150465</v>
      </c>
    </row>
    <row r="160" spans="1:10" x14ac:dyDescent="0.25">
      <c r="A160" t="s">
        <v>186</v>
      </c>
      <c r="B160" s="42">
        <v>2891</v>
      </c>
      <c r="D160" t="s">
        <v>923</v>
      </c>
      <c r="E160" t="s">
        <v>992</v>
      </c>
      <c r="F160" s="30">
        <v>44937</v>
      </c>
      <c r="G160" s="189">
        <v>44937.660435150465</v>
      </c>
      <c r="I160" t="str">
        <f t="shared" si="4"/>
        <v>FBLK</v>
      </c>
      <c r="J160" s="56">
        <f t="shared" si="5"/>
        <v>44937.660435150465</v>
      </c>
    </row>
    <row r="161" spans="1:10" x14ac:dyDescent="0.25">
      <c r="A161" t="s">
        <v>186</v>
      </c>
      <c r="B161" s="42">
        <v>2904</v>
      </c>
      <c r="D161" t="s">
        <v>924</v>
      </c>
      <c r="E161" t="s">
        <v>992</v>
      </c>
      <c r="F161" s="30">
        <v>44937</v>
      </c>
      <c r="G161" s="189">
        <v>44937.660435150465</v>
      </c>
      <c r="I161" t="str">
        <f t="shared" si="4"/>
        <v>FBLK</v>
      </c>
      <c r="J161" s="56">
        <f t="shared" si="5"/>
        <v>44937.660435150465</v>
      </c>
    </row>
    <row r="162" spans="1:10" x14ac:dyDescent="0.25">
      <c r="A162" t="s">
        <v>186</v>
      </c>
      <c r="B162" s="42">
        <v>9472.1338239899997</v>
      </c>
      <c r="D162" t="s">
        <v>925</v>
      </c>
      <c r="E162" t="s">
        <v>992</v>
      </c>
      <c r="F162" s="30">
        <v>44937</v>
      </c>
      <c r="G162" s="189">
        <v>44937.660435150465</v>
      </c>
      <c r="I162" t="str">
        <f t="shared" si="4"/>
        <v>FBLK</v>
      </c>
      <c r="J162" s="56">
        <f t="shared" si="5"/>
        <v>44937.660435150465</v>
      </c>
    </row>
    <row r="163" spans="1:10" x14ac:dyDescent="0.25">
      <c r="A163" t="s">
        <v>186</v>
      </c>
      <c r="B163" s="42">
        <v>5625.02729593</v>
      </c>
      <c r="D163" t="s">
        <v>311</v>
      </c>
      <c r="E163" t="s">
        <v>992</v>
      </c>
      <c r="F163" s="30">
        <v>44937</v>
      </c>
      <c r="G163" s="189">
        <v>44937.660435150465</v>
      </c>
      <c r="I163" t="str">
        <f t="shared" si="4"/>
        <v>FBLK</v>
      </c>
      <c r="J163" s="56">
        <f t="shared" si="5"/>
        <v>44937.660435150465</v>
      </c>
    </row>
    <row r="164" spans="1:10" x14ac:dyDescent="0.25">
      <c r="A164" t="s">
        <v>186</v>
      </c>
      <c r="B164" s="42">
        <v>5968</v>
      </c>
      <c r="D164" t="s">
        <v>256</v>
      </c>
      <c r="E164" t="s">
        <v>992</v>
      </c>
      <c r="F164" s="30">
        <v>44937</v>
      </c>
      <c r="G164" s="189">
        <v>44937.660435150465</v>
      </c>
      <c r="I164" t="str">
        <f t="shared" si="4"/>
        <v>FBLK</v>
      </c>
      <c r="J164" s="56">
        <f t="shared" si="5"/>
        <v>44937.660435150465</v>
      </c>
    </row>
    <row r="165" spans="1:10" x14ac:dyDescent="0.25">
      <c r="A165" t="s">
        <v>186</v>
      </c>
      <c r="B165" s="42">
        <v>4006</v>
      </c>
      <c r="D165" t="s">
        <v>926</v>
      </c>
      <c r="E165" t="s">
        <v>992</v>
      </c>
      <c r="F165" s="30">
        <v>44937</v>
      </c>
      <c r="G165" s="189">
        <v>44937.660435150465</v>
      </c>
      <c r="I165" t="str">
        <f t="shared" si="4"/>
        <v>FBLK</v>
      </c>
      <c r="J165" s="56">
        <f t="shared" si="5"/>
        <v>44937.660435150465</v>
      </c>
    </row>
    <row r="166" spans="1:10" x14ac:dyDescent="0.25">
      <c r="A166" t="s">
        <v>186</v>
      </c>
      <c r="B166" s="42">
        <v>837715.31955742999</v>
      </c>
      <c r="D166" t="s">
        <v>89</v>
      </c>
      <c r="E166" t="s">
        <v>992</v>
      </c>
      <c r="F166" s="30">
        <v>44937</v>
      </c>
      <c r="G166" s="189">
        <v>44937.660435150465</v>
      </c>
      <c r="I166" t="str">
        <f t="shared" si="4"/>
        <v>FBLK</v>
      </c>
      <c r="J166" s="56">
        <f t="shared" si="5"/>
        <v>44937.660435150465</v>
      </c>
    </row>
    <row r="167" spans="1:10" x14ac:dyDescent="0.25">
      <c r="A167" t="s">
        <v>186</v>
      </c>
      <c r="B167" s="42">
        <v>168343999455.48901</v>
      </c>
      <c r="D167" t="s">
        <v>37</v>
      </c>
      <c r="E167" t="s">
        <v>992</v>
      </c>
      <c r="F167" s="30">
        <v>44937</v>
      </c>
      <c r="G167" s="189">
        <v>44937.660435150465</v>
      </c>
      <c r="I167" t="str">
        <f t="shared" si="4"/>
        <v>FBLK</v>
      </c>
      <c r="J167" s="56">
        <f t="shared" si="5"/>
        <v>44937.660435150465</v>
      </c>
    </row>
    <row r="168" spans="1:10" x14ac:dyDescent="0.25">
      <c r="A168" t="s">
        <v>186</v>
      </c>
      <c r="B168" s="42">
        <v>822.35711387000003</v>
      </c>
      <c r="D168" t="s">
        <v>154</v>
      </c>
      <c r="E168" t="s">
        <v>992</v>
      </c>
      <c r="F168" s="30">
        <v>44937</v>
      </c>
      <c r="G168" s="189">
        <v>44937.660435150465</v>
      </c>
      <c r="I168" t="str">
        <f t="shared" si="4"/>
        <v>FBLK</v>
      </c>
      <c r="J168" s="56">
        <f t="shared" si="5"/>
        <v>44937.660435150465</v>
      </c>
    </row>
    <row r="169" spans="1:10" x14ac:dyDescent="0.25">
      <c r="A169" t="s">
        <v>186</v>
      </c>
      <c r="B169" s="42">
        <v>149.7566716</v>
      </c>
      <c r="D169" t="s">
        <v>414</v>
      </c>
      <c r="E169" t="s">
        <v>992</v>
      </c>
      <c r="F169" s="30">
        <v>44937</v>
      </c>
      <c r="G169" s="189">
        <v>44937.660435150465</v>
      </c>
      <c r="I169" t="str">
        <f t="shared" si="4"/>
        <v>FBLK</v>
      </c>
      <c r="J169" s="56">
        <f t="shared" si="5"/>
        <v>44937.660435150465</v>
      </c>
    </row>
    <row r="170" spans="1:10" x14ac:dyDescent="0.25">
      <c r="A170" t="s">
        <v>186</v>
      </c>
      <c r="B170" s="42">
        <v>137.54021624000001</v>
      </c>
      <c r="D170" t="s">
        <v>159</v>
      </c>
      <c r="E170" t="s">
        <v>992</v>
      </c>
      <c r="F170" s="30">
        <v>44937</v>
      </c>
      <c r="G170" s="189">
        <v>44937.660435150465</v>
      </c>
      <c r="I170" t="str">
        <f t="shared" si="4"/>
        <v>FBLK</v>
      </c>
      <c r="J170" s="56">
        <f t="shared" si="5"/>
        <v>44937.660435150465</v>
      </c>
    </row>
    <row r="171" spans="1:10" x14ac:dyDescent="0.25">
      <c r="A171" t="s">
        <v>186</v>
      </c>
      <c r="B171" s="42">
        <v>17251083.073406</v>
      </c>
      <c r="D171" t="s">
        <v>92</v>
      </c>
      <c r="E171" t="s">
        <v>992</v>
      </c>
      <c r="F171" s="30">
        <v>44937</v>
      </c>
      <c r="G171" s="189">
        <v>44937.660435150465</v>
      </c>
      <c r="I171" t="str">
        <f t="shared" si="4"/>
        <v>FBLK</v>
      </c>
      <c r="J171" s="56">
        <f t="shared" si="5"/>
        <v>44937.660435150465</v>
      </c>
    </row>
    <row r="172" spans="1:10" x14ac:dyDescent="0.25">
      <c r="A172" t="s">
        <v>186</v>
      </c>
      <c r="B172" s="42">
        <v>4612941.358643</v>
      </c>
      <c r="D172" t="s">
        <v>327</v>
      </c>
      <c r="E172" t="s">
        <v>992</v>
      </c>
      <c r="F172" s="30">
        <v>44937</v>
      </c>
      <c r="G172" s="189">
        <v>44937.660435150465</v>
      </c>
      <c r="I172" t="str">
        <f t="shared" si="4"/>
        <v>FBLK</v>
      </c>
      <c r="J172" s="56">
        <f t="shared" si="5"/>
        <v>44937.660435150465</v>
      </c>
    </row>
    <row r="173" spans="1:10" x14ac:dyDescent="0.25">
      <c r="A173" t="s">
        <v>186</v>
      </c>
      <c r="B173" s="42">
        <v>9990233.1296590008</v>
      </c>
      <c r="D173" t="s">
        <v>927</v>
      </c>
      <c r="E173" t="s">
        <v>992</v>
      </c>
      <c r="F173" s="30">
        <v>44937</v>
      </c>
      <c r="G173" s="189">
        <v>44937.660435150465</v>
      </c>
      <c r="I173" t="str">
        <f t="shared" si="4"/>
        <v>FBLK</v>
      </c>
      <c r="J173" s="56">
        <f t="shared" si="5"/>
        <v>44937.660435150465</v>
      </c>
    </row>
    <row r="174" spans="1:10" x14ac:dyDescent="0.25">
      <c r="A174" t="s">
        <v>186</v>
      </c>
      <c r="B174" s="42">
        <v>76.887908119499997</v>
      </c>
      <c r="D174" t="s">
        <v>928</v>
      </c>
      <c r="E174" t="s">
        <v>992</v>
      </c>
      <c r="F174" s="30">
        <v>44937</v>
      </c>
      <c r="G174" s="189">
        <v>44937.660435150465</v>
      </c>
      <c r="I174" t="str">
        <f t="shared" si="4"/>
        <v>FBLK</v>
      </c>
      <c r="J174" s="56">
        <f t="shared" si="5"/>
        <v>44937.660435150465</v>
      </c>
    </row>
    <row r="175" spans="1:10" x14ac:dyDescent="0.25">
      <c r="A175" t="s">
        <v>186</v>
      </c>
      <c r="B175" s="42">
        <v>128.58989367390001</v>
      </c>
      <c r="D175" t="s">
        <v>257</v>
      </c>
      <c r="E175" t="s">
        <v>992</v>
      </c>
      <c r="F175" s="30">
        <v>44937</v>
      </c>
      <c r="G175" s="189">
        <v>44937.660435150465</v>
      </c>
      <c r="I175" t="str">
        <f t="shared" si="4"/>
        <v>FBLK</v>
      </c>
      <c r="J175" s="56">
        <f t="shared" si="5"/>
        <v>44937.660435150465</v>
      </c>
    </row>
    <row r="176" spans="1:10" x14ac:dyDescent="0.25">
      <c r="A176" t="s">
        <v>186</v>
      </c>
      <c r="B176" s="42">
        <v>28358.945426099999</v>
      </c>
      <c r="D176" t="s">
        <v>163</v>
      </c>
      <c r="E176" t="s">
        <v>992</v>
      </c>
      <c r="F176" s="30">
        <v>44937</v>
      </c>
      <c r="G176" s="189">
        <v>44937.660435150465</v>
      </c>
      <c r="I176" t="str">
        <f t="shared" si="4"/>
        <v>FBLK</v>
      </c>
      <c r="J176" s="56">
        <f t="shared" si="5"/>
        <v>44937.660435150465</v>
      </c>
    </row>
    <row r="177" spans="1:10" x14ac:dyDescent="0.25">
      <c r="A177" t="s">
        <v>186</v>
      </c>
      <c r="B177" s="42">
        <v>283.58991600000002</v>
      </c>
      <c r="D177" t="s">
        <v>99</v>
      </c>
      <c r="E177" t="s">
        <v>992</v>
      </c>
      <c r="F177" s="30">
        <v>44937</v>
      </c>
      <c r="G177" s="189">
        <v>44937.660435150465</v>
      </c>
      <c r="I177" t="str">
        <f t="shared" si="4"/>
        <v>FBLK</v>
      </c>
      <c r="J177" s="56">
        <f t="shared" si="5"/>
        <v>44937.660435150465</v>
      </c>
    </row>
    <row r="178" spans="1:10" x14ac:dyDescent="0.25">
      <c r="A178" t="s">
        <v>186</v>
      </c>
      <c r="B178" s="42">
        <v>997.63721599999997</v>
      </c>
      <c r="D178" t="s">
        <v>164</v>
      </c>
      <c r="E178" t="s">
        <v>992</v>
      </c>
      <c r="F178" s="30">
        <v>44937</v>
      </c>
      <c r="G178" s="189">
        <v>44937.660435150465</v>
      </c>
      <c r="I178" t="str">
        <f t="shared" si="4"/>
        <v>FBLK</v>
      </c>
      <c r="J178" s="56">
        <f t="shared" si="5"/>
        <v>44937.660435150465</v>
      </c>
    </row>
    <row r="179" spans="1:10" x14ac:dyDescent="0.25">
      <c r="A179" t="s">
        <v>186</v>
      </c>
      <c r="B179" s="42">
        <v>4.1732661899999997</v>
      </c>
      <c r="D179" t="s">
        <v>171</v>
      </c>
      <c r="E179" t="s">
        <v>992</v>
      </c>
      <c r="F179" s="30">
        <v>44937</v>
      </c>
      <c r="G179" s="189">
        <v>44937.660435150465</v>
      </c>
      <c r="I179" t="str">
        <f t="shared" si="4"/>
        <v>FBLK</v>
      </c>
      <c r="J179" s="56">
        <f t="shared" si="5"/>
        <v>44937.660435150465</v>
      </c>
    </row>
    <row r="180" spans="1:10" x14ac:dyDescent="0.25">
      <c r="A180" t="s">
        <v>111</v>
      </c>
      <c r="B180" s="42">
        <v>9.6999999999999992E-9</v>
      </c>
      <c r="D180" t="s">
        <v>84</v>
      </c>
      <c r="E180" t="s">
        <v>1012</v>
      </c>
      <c r="F180" s="30">
        <v>44937</v>
      </c>
      <c r="G180" s="189">
        <v>44937.669656018516</v>
      </c>
      <c r="I180" t="str">
        <f t="shared" si="4"/>
        <v>FUB2</v>
      </c>
      <c r="J180" s="56">
        <f t="shared" si="5"/>
        <v>44937.669656018516</v>
      </c>
    </row>
    <row r="181" spans="1:10" x14ac:dyDescent="0.25">
      <c r="A181" t="s">
        <v>111</v>
      </c>
      <c r="B181" s="42">
        <v>5.02E-8</v>
      </c>
      <c r="D181" t="s">
        <v>20</v>
      </c>
      <c r="E181" t="s">
        <v>1012</v>
      </c>
      <c r="F181" s="30">
        <v>44937</v>
      </c>
      <c r="G181" s="189">
        <v>44937.669656018516</v>
      </c>
      <c r="I181" t="str">
        <f t="shared" si="4"/>
        <v>FUB2</v>
      </c>
      <c r="J181" s="56">
        <f t="shared" si="5"/>
        <v>44937.669656018516</v>
      </c>
    </row>
    <row r="182" spans="1:10" x14ac:dyDescent="0.25">
      <c r="A182" t="s">
        <v>111</v>
      </c>
      <c r="B182" s="42">
        <v>0.47315189390000001</v>
      </c>
      <c r="D182" t="s">
        <v>113</v>
      </c>
      <c r="E182" t="s">
        <v>1012</v>
      </c>
      <c r="F182" s="30">
        <v>44937</v>
      </c>
      <c r="G182" s="189">
        <v>44937.669656018516</v>
      </c>
      <c r="I182" t="str">
        <f t="shared" si="4"/>
        <v>FUB2</v>
      </c>
      <c r="J182" s="56">
        <f t="shared" si="5"/>
        <v>44937.669656018516</v>
      </c>
    </row>
    <row r="183" spans="1:10" x14ac:dyDescent="0.25">
      <c r="A183" t="s">
        <v>111</v>
      </c>
      <c r="B183" s="42">
        <v>3.8600000000000002E-8</v>
      </c>
      <c r="D183" t="s">
        <v>14</v>
      </c>
      <c r="E183" t="s">
        <v>1012</v>
      </c>
      <c r="F183" s="30">
        <v>44937</v>
      </c>
      <c r="G183" s="189">
        <v>44937.669656018516</v>
      </c>
      <c r="I183" t="str">
        <f t="shared" si="4"/>
        <v>FUB2</v>
      </c>
      <c r="J183" s="56">
        <f t="shared" si="5"/>
        <v>44937.669656018516</v>
      </c>
    </row>
    <row r="184" spans="1:10" x14ac:dyDescent="0.25">
      <c r="A184" t="s">
        <v>111</v>
      </c>
      <c r="B184" s="42">
        <v>3.1699999999999999E-8</v>
      </c>
      <c r="D184" t="s">
        <v>23</v>
      </c>
      <c r="E184" t="s">
        <v>1012</v>
      </c>
      <c r="F184" s="30">
        <v>44937</v>
      </c>
      <c r="G184" s="189">
        <v>44937.669656018516</v>
      </c>
      <c r="I184" t="str">
        <f t="shared" si="4"/>
        <v>FUB2</v>
      </c>
      <c r="J184" s="56">
        <f t="shared" si="5"/>
        <v>44937.669656018516</v>
      </c>
    </row>
    <row r="185" spans="1:10" x14ac:dyDescent="0.25">
      <c r="A185" t="s">
        <v>111</v>
      </c>
      <c r="B185" s="42">
        <v>6.1E-9</v>
      </c>
      <c r="D185" t="s">
        <v>29</v>
      </c>
      <c r="E185" t="s">
        <v>1012</v>
      </c>
      <c r="F185" s="30">
        <v>44937</v>
      </c>
      <c r="G185" s="189">
        <v>44937.669656018516</v>
      </c>
      <c r="I185" t="str">
        <f t="shared" si="4"/>
        <v>FUB2</v>
      </c>
      <c r="J185" s="56">
        <f t="shared" si="5"/>
        <v>44937.669656018516</v>
      </c>
    </row>
    <row r="186" spans="1:10" x14ac:dyDescent="0.25">
      <c r="A186" t="s">
        <v>111</v>
      </c>
      <c r="B186" s="42">
        <v>2.8600000000000001E-8</v>
      </c>
      <c r="D186" t="s">
        <v>15</v>
      </c>
      <c r="E186" t="s">
        <v>1012</v>
      </c>
      <c r="F186" s="30">
        <v>44937</v>
      </c>
      <c r="G186" s="189">
        <v>44937.669656018516</v>
      </c>
      <c r="I186" t="str">
        <f t="shared" si="4"/>
        <v>FUB2</v>
      </c>
      <c r="J186" s="56">
        <f t="shared" si="5"/>
        <v>44937.669656018516</v>
      </c>
    </row>
    <row r="187" spans="1:10" x14ac:dyDescent="0.25">
      <c r="A187" t="s">
        <v>111</v>
      </c>
      <c r="B187" s="42">
        <v>4.6999999999999999E-9</v>
      </c>
      <c r="D187" t="s">
        <v>27</v>
      </c>
      <c r="E187" t="s">
        <v>1012</v>
      </c>
      <c r="F187" s="30">
        <v>44937</v>
      </c>
      <c r="G187" s="189">
        <v>44937.669656018516</v>
      </c>
      <c r="I187" t="str">
        <f t="shared" si="4"/>
        <v>FUB2</v>
      </c>
      <c r="J187" s="56">
        <f t="shared" si="5"/>
        <v>44937.669656018516</v>
      </c>
    </row>
    <row r="188" spans="1:10" x14ac:dyDescent="0.25">
      <c r="A188" t="s">
        <v>111</v>
      </c>
      <c r="B188" s="42">
        <v>9.3000000000000006E-9</v>
      </c>
      <c r="D188" t="s">
        <v>24</v>
      </c>
      <c r="E188" t="s">
        <v>1012</v>
      </c>
      <c r="F188" s="30">
        <v>44937</v>
      </c>
      <c r="G188" s="189">
        <v>44937.669656018516</v>
      </c>
      <c r="I188" t="str">
        <f t="shared" si="4"/>
        <v>FUB2</v>
      </c>
      <c r="J188" s="56">
        <f t="shared" si="5"/>
        <v>44937.669656018516</v>
      </c>
    </row>
    <row r="189" spans="1:10" x14ac:dyDescent="0.25">
      <c r="A189" t="s">
        <v>111</v>
      </c>
      <c r="B189" s="42">
        <v>7.8999999999999996E-9</v>
      </c>
      <c r="D189" t="s">
        <v>25</v>
      </c>
      <c r="E189" t="s">
        <v>1012</v>
      </c>
      <c r="F189" s="30">
        <v>44937</v>
      </c>
      <c r="G189" s="189">
        <v>44937.669656018516</v>
      </c>
      <c r="I189" t="str">
        <f t="shared" si="4"/>
        <v>FUB2</v>
      </c>
      <c r="J189" s="56">
        <f t="shared" si="5"/>
        <v>44937.669656018516</v>
      </c>
    </row>
    <row r="190" spans="1:10" x14ac:dyDescent="0.25">
      <c r="A190" t="s">
        <v>111</v>
      </c>
      <c r="B190" s="42">
        <v>9.7899999999999997E-8</v>
      </c>
      <c r="D190" t="s">
        <v>99</v>
      </c>
      <c r="E190" t="s">
        <v>1012</v>
      </c>
      <c r="F190" s="30">
        <v>44937</v>
      </c>
      <c r="G190" s="189">
        <v>44937.669656018516</v>
      </c>
      <c r="I190" t="str">
        <f t="shared" si="4"/>
        <v>FUB2</v>
      </c>
      <c r="J190" s="56">
        <f t="shared" si="5"/>
        <v>44937.669656018516</v>
      </c>
    </row>
    <row r="191" spans="1:10" x14ac:dyDescent="0.25">
      <c r="A191" t="s">
        <v>40</v>
      </c>
      <c r="B191" s="42">
        <v>5.7406593000000001E-3</v>
      </c>
      <c r="D191" t="s">
        <v>84</v>
      </c>
      <c r="E191" t="s">
        <v>1013</v>
      </c>
      <c r="F191" s="30">
        <v>44937</v>
      </c>
      <c r="G191" s="189">
        <v>44937.669656134261</v>
      </c>
      <c r="I191" t="str">
        <f t="shared" si="4"/>
        <v>FUBI</v>
      </c>
      <c r="J191" s="56">
        <f t="shared" si="5"/>
        <v>44937.669656134261</v>
      </c>
    </row>
    <row r="192" spans="1:10" x14ac:dyDescent="0.25">
      <c r="A192" t="s">
        <v>40</v>
      </c>
      <c r="B192" s="42">
        <v>0.72885028029999999</v>
      </c>
      <c r="D192" t="s">
        <v>20</v>
      </c>
      <c r="E192" t="s">
        <v>1013</v>
      </c>
      <c r="F192" s="30">
        <v>44937</v>
      </c>
      <c r="G192" s="189">
        <v>44937.669656134261</v>
      </c>
      <c r="I192" t="str">
        <f t="shared" si="4"/>
        <v>FUBI</v>
      </c>
      <c r="J192" s="56">
        <f t="shared" si="5"/>
        <v>44937.669656134261</v>
      </c>
    </row>
    <row r="193" spans="1:10" x14ac:dyDescent="0.25">
      <c r="A193" t="s">
        <v>40</v>
      </c>
      <c r="B193" s="42">
        <v>0.11285791119999999</v>
      </c>
      <c r="D193" t="s">
        <v>113</v>
      </c>
      <c r="E193" t="s">
        <v>1013</v>
      </c>
      <c r="F193" s="30">
        <v>44937</v>
      </c>
      <c r="G193" s="189">
        <v>44937.669656134261</v>
      </c>
      <c r="I193" t="str">
        <f t="shared" si="4"/>
        <v>FUBI</v>
      </c>
      <c r="J193" s="56">
        <f t="shared" si="5"/>
        <v>44937.669656134261</v>
      </c>
    </row>
    <row r="194" spans="1:10" x14ac:dyDescent="0.25">
      <c r="A194" t="s">
        <v>40</v>
      </c>
      <c r="B194" s="42">
        <v>5.1931999999999997E-6</v>
      </c>
      <c r="D194" t="s">
        <v>14</v>
      </c>
      <c r="E194" t="s">
        <v>1013</v>
      </c>
      <c r="F194" s="30">
        <v>44937</v>
      </c>
      <c r="G194" s="189">
        <v>44937.669656134261</v>
      </c>
      <c r="I194" t="str">
        <f t="shared" si="4"/>
        <v>FUBI</v>
      </c>
      <c r="J194" s="56">
        <f t="shared" si="5"/>
        <v>44937.669656134261</v>
      </c>
    </row>
    <row r="195" spans="1:10" x14ac:dyDescent="0.25">
      <c r="A195" t="s">
        <v>40</v>
      </c>
      <c r="B195" s="42">
        <v>0.97764076359999996</v>
      </c>
      <c r="D195" t="s">
        <v>22</v>
      </c>
      <c r="E195" t="s">
        <v>1013</v>
      </c>
      <c r="F195" s="30">
        <v>44937</v>
      </c>
      <c r="G195" s="189">
        <v>44937.669656134261</v>
      </c>
      <c r="I195" t="str">
        <f t="shared" ref="I195:I258" si="6">IF($A195="","",RIGHT($E195,LEN($E195)-SEARCH(".",$E195)))</f>
        <v>FUBI</v>
      </c>
      <c r="J195" s="56">
        <f t="shared" ref="J195:J258" si="7">IF($A195="","",$G195)</f>
        <v>44937.669656134261</v>
      </c>
    </row>
    <row r="196" spans="1:10" x14ac:dyDescent="0.25">
      <c r="A196" t="s">
        <v>40</v>
      </c>
      <c r="B196" s="42">
        <v>3.7085151300000001E-2</v>
      </c>
      <c r="D196" t="s">
        <v>23</v>
      </c>
      <c r="E196" t="s">
        <v>1013</v>
      </c>
      <c r="F196" s="30">
        <v>44937</v>
      </c>
      <c r="G196" s="189">
        <v>44937.669656134261</v>
      </c>
      <c r="I196" t="str">
        <f t="shared" si="6"/>
        <v>FUBI</v>
      </c>
      <c r="J196" s="56">
        <f t="shared" si="7"/>
        <v>44937.669656134261</v>
      </c>
    </row>
    <row r="197" spans="1:10" x14ac:dyDescent="0.25">
      <c r="A197" t="s">
        <v>40</v>
      </c>
      <c r="B197" s="42">
        <v>0.70701212930000001</v>
      </c>
      <c r="D197" t="s">
        <v>29</v>
      </c>
      <c r="E197" t="s">
        <v>1013</v>
      </c>
      <c r="F197" s="30">
        <v>44937</v>
      </c>
      <c r="G197" s="189">
        <v>44937.669656134261</v>
      </c>
      <c r="I197" t="str">
        <f t="shared" si="6"/>
        <v>FUBI</v>
      </c>
      <c r="J197" s="56">
        <f t="shared" si="7"/>
        <v>44937.669656134261</v>
      </c>
    </row>
    <row r="198" spans="1:10" x14ac:dyDescent="0.25">
      <c r="A198" t="s">
        <v>40</v>
      </c>
      <c r="B198" s="42">
        <v>9.533775E-4</v>
      </c>
      <c r="D198" t="s">
        <v>15</v>
      </c>
      <c r="E198" t="s">
        <v>1013</v>
      </c>
      <c r="F198" s="30">
        <v>44937</v>
      </c>
      <c r="G198" s="189">
        <v>44937.669656134261</v>
      </c>
      <c r="I198" t="str">
        <f t="shared" si="6"/>
        <v>FUBI</v>
      </c>
      <c r="J198" s="56">
        <f t="shared" si="7"/>
        <v>44937.669656134261</v>
      </c>
    </row>
    <row r="199" spans="1:10" x14ac:dyDescent="0.25">
      <c r="A199" t="s">
        <v>40</v>
      </c>
      <c r="B199" s="42">
        <v>6.2442432399999998E-2</v>
      </c>
      <c r="D199" t="s">
        <v>27</v>
      </c>
      <c r="E199" t="s">
        <v>1013</v>
      </c>
      <c r="F199" s="30">
        <v>44937</v>
      </c>
      <c r="G199" s="189">
        <v>44937.669656134261</v>
      </c>
      <c r="I199" t="str">
        <f t="shared" si="6"/>
        <v>FUBI</v>
      </c>
      <c r="J199" s="56">
        <f t="shared" si="7"/>
        <v>44937.669656134261</v>
      </c>
    </row>
    <row r="200" spans="1:10" x14ac:dyDescent="0.25">
      <c r="A200" t="s">
        <v>40</v>
      </c>
      <c r="B200" s="42">
        <v>7.1564416123000001</v>
      </c>
      <c r="D200" t="s">
        <v>24</v>
      </c>
      <c r="E200" t="s">
        <v>1013</v>
      </c>
      <c r="F200" s="30">
        <v>44937</v>
      </c>
      <c r="G200" s="189">
        <v>44937.669656134261</v>
      </c>
      <c r="I200" t="str">
        <f t="shared" si="6"/>
        <v>FUBI</v>
      </c>
      <c r="J200" s="56">
        <f t="shared" si="7"/>
        <v>44937.669656134261</v>
      </c>
    </row>
    <row r="201" spans="1:10" x14ac:dyDescent="0.25">
      <c r="A201" t="s">
        <v>40</v>
      </c>
      <c r="B201" s="42">
        <v>0.95766241559999998</v>
      </c>
      <c r="D201" t="s">
        <v>25</v>
      </c>
      <c r="E201" t="s">
        <v>1013</v>
      </c>
      <c r="F201" s="30">
        <v>44937</v>
      </c>
      <c r="G201" s="189">
        <v>44937.669656134261</v>
      </c>
      <c r="I201" t="str">
        <f t="shared" si="6"/>
        <v>FUBI</v>
      </c>
      <c r="J201" s="56">
        <f t="shared" si="7"/>
        <v>44937.669656134261</v>
      </c>
    </row>
    <row r="202" spans="1:10" x14ac:dyDescent="0.25">
      <c r="A202" t="s">
        <v>40</v>
      </c>
      <c r="B202" s="42">
        <v>0.54364484400000002</v>
      </c>
      <c r="D202" t="s">
        <v>99</v>
      </c>
      <c r="E202" t="s">
        <v>1013</v>
      </c>
      <c r="F202" s="30">
        <v>44937</v>
      </c>
      <c r="G202" s="189">
        <v>44937.669656134261</v>
      </c>
      <c r="I202" t="str">
        <f t="shared" si="6"/>
        <v>FUBI</v>
      </c>
      <c r="J202" s="56">
        <f t="shared" si="7"/>
        <v>44937.669656134261</v>
      </c>
    </row>
    <row r="203" spans="1:10" x14ac:dyDescent="0.25">
      <c r="A203" t="s">
        <v>115</v>
      </c>
      <c r="B203" s="42">
        <v>1E-8</v>
      </c>
      <c r="C203" t="s">
        <v>409</v>
      </c>
      <c r="D203" t="s">
        <v>84</v>
      </c>
      <c r="E203" t="s">
        <v>1014</v>
      </c>
      <c r="F203" s="30">
        <v>44937</v>
      </c>
      <c r="G203" s="189">
        <v>44937.66666790509</v>
      </c>
      <c r="I203" t="str">
        <f t="shared" si="6"/>
        <v>HUB2</v>
      </c>
      <c r="J203" s="56">
        <f t="shared" si="7"/>
        <v>44937.66666790509</v>
      </c>
    </row>
    <row r="204" spans="1:10" x14ac:dyDescent="0.25">
      <c r="A204" t="s">
        <v>115</v>
      </c>
      <c r="B204" s="42">
        <v>1E-8</v>
      </c>
      <c r="C204" t="s">
        <v>409</v>
      </c>
      <c r="D204" t="s">
        <v>20</v>
      </c>
      <c r="E204" t="s">
        <v>1014</v>
      </c>
      <c r="F204" s="30">
        <v>44937</v>
      </c>
      <c r="G204" s="189">
        <v>44937.66666790509</v>
      </c>
      <c r="I204" t="str">
        <f t="shared" si="6"/>
        <v>HUB2</v>
      </c>
      <c r="J204" s="56">
        <f t="shared" si="7"/>
        <v>44937.66666790509</v>
      </c>
    </row>
    <row r="205" spans="1:10" x14ac:dyDescent="0.25">
      <c r="A205" t="s">
        <v>115</v>
      </c>
      <c r="B205" s="42">
        <v>1E-8</v>
      </c>
      <c r="C205" t="s">
        <v>409</v>
      </c>
      <c r="D205" t="s">
        <v>113</v>
      </c>
      <c r="E205" t="s">
        <v>1014</v>
      </c>
      <c r="F205" s="30">
        <v>44937</v>
      </c>
      <c r="G205" s="189">
        <v>44937.66666790509</v>
      </c>
      <c r="I205" t="str">
        <f t="shared" si="6"/>
        <v>HUB2</v>
      </c>
      <c r="J205" s="56">
        <f t="shared" si="7"/>
        <v>44937.66666790509</v>
      </c>
    </row>
    <row r="206" spans="1:10" x14ac:dyDescent="0.25">
      <c r="A206" t="s">
        <v>115</v>
      </c>
      <c r="B206" s="42">
        <v>1E-8</v>
      </c>
      <c r="C206" t="s">
        <v>409</v>
      </c>
      <c r="D206" t="s">
        <v>23</v>
      </c>
      <c r="E206" t="s">
        <v>1014</v>
      </c>
      <c r="F206" s="30">
        <v>44937</v>
      </c>
      <c r="G206" s="189">
        <v>44937.66666790509</v>
      </c>
      <c r="I206" t="str">
        <f t="shared" si="6"/>
        <v>HUB2</v>
      </c>
      <c r="J206" s="56">
        <f t="shared" si="7"/>
        <v>44937.66666790509</v>
      </c>
    </row>
    <row r="207" spans="1:10" x14ac:dyDescent="0.25">
      <c r="A207" t="s">
        <v>115</v>
      </c>
      <c r="B207" s="42">
        <v>1E-8</v>
      </c>
      <c r="C207" t="s">
        <v>409</v>
      </c>
      <c r="D207" t="s">
        <v>29</v>
      </c>
      <c r="E207" t="s">
        <v>1014</v>
      </c>
      <c r="F207" s="30">
        <v>44937</v>
      </c>
      <c r="G207" s="189">
        <v>44937.66666790509</v>
      </c>
      <c r="I207" t="str">
        <f t="shared" si="6"/>
        <v>HUB2</v>
      </c>
      <c r="J207" s="56">
        <f t="shared" si="7"/>
        <v>44937.66666790509</v>
      </c>
    </row>
    <row r="208" spans="1:10" x14ac:dyDescent="0.25">
      <c r="A208" t="s">
        <v>115</v>
      </c>
      <c r="B208" s="42">
        <v>1E-8</v>
      </c>
      <c r="C208" t="s">
        <v>409</v>
      </c>
      <c r="D208" t="s">
        <v>15</v>
      </c>
      <c r="E208" t="s">
        <v>1014</v>
      </c>
      <c r="F208" s="30">
        <v>44937</v>
      </c>
      <c r="G208" s="189">
        <v>44937.66666790509</v>
      </c>
      <c r="I208" t="str">
        <f t="shared" si="6"/>
        <v>HUB2</v>
      </c>
      <c r="J208" s="56">
        <f t="shared" si="7"/>
        <v>44937.66666790509</v>
      </c>
    </row>
    <row r="209" spans="1:10" x14ac:dyDescent="0.25">
      <c r="A209" t="s">
        <v>115</v>
      </c>
      <c r="B209" s="42">
        <v>1E-8</v>
      </c>
      <c r="C209" t="s">
        <v>409</v>
      </c>
      <c r="D209" t="s">
        <v>27</v>
      </c>
      <c r="E209" t="s">
        <v>1014</v>
      </c>
      <c r="F209" s="30">
        <v>44937</v>
      </c>
      <c r="G209" s="189">
        <v>44937.66666790509</v>
      </c>
      <c r="I209" t="str">
        <f t="shared" si="6"/>
        <v>HUB2</v>
      </c>
      <c r="J209" s="56">
        <f t="shared" si="7"/>
        <v>44937.66666790509</v>
      </c>
    </row>
    <row r="210" spans="1:10" x14ac:dyDescent="0.25">
      <c r="A210" t="s">
        <v>115</v>
      </c>
      <c r="B210" s="42">
        <v>1E-8</v>
      </c>
      <c r="C210" t="s">
        <v>409</v>
      </c>
      <c r="D210" t="s">
        <v>24</v>
      </c>
      <c r="E210" t="s">
        <v>1014</v>
      </c>
      <c r="F210" s="30">
        <v>44937</v>
      </c>
      <c r="G210" s="189">
        <v>44937.66666790509</v>
      </c>
      <c r="I210" t="str">
        <f t="shared" si="6"/>
        <v>HUB2</v>
      </c>
      <c r="J210" s="56">
        <f t="shared" si="7"/>
        <v>44937.66666790509</v>
      </c>
    </row>
    <row r="211" spans="1:10" x14ac:dyDescent="0.25">
      <c r="A211" t="s">
        <v>115</v>
      </c>
      <c r="B211" s="42">
        <v>1E-8</v>
      </c>
      <c r="C211" t="s">
        <v>409</v>
      </c>
      <c r="D211" t="s">
        <v>38</v>
      </c>
      <c r="E211" t="s">
        <v>1014</v>
      </c>
      <c r="F211" s="30">
        <v>44937</v>
      </c>
      <c r="G211" s="189">
        <v>44937.66666790509</v>
      </c>
      <c r="I211" t="str">
        <f t="shared" si="6"/>
        <v>HUB2</v>
      </c>
      <c r="J211" s="56">
        <f t="shared" si="7"/>
        <v>44937.66666790509</v>
      </c>
    </row>
    <row r="212" spans="1:10" x14ac:dyDescent="0.25">
      <c r="A212" t="s">
        <v>115</v>
      </c>
      <c r="B212" s="42">
        <v>1.698995E-2</v>
      </c>
      <c r="C212" t="s">
        <v>409</v>
      </c>
      <c r="D212" t="s">
        <v>38</v>
      </c>
      <c r="E212" t="s">
        <v>1014</v>
      </c>
      <c r="F212" s="30">
        <v>44937</v>
      </c>
      <c r="G212" s="189">
        <v>44937.66666790509</v>
      </c>
      <c r="I212" t="str">
        <f t="shared" si="6"/>
        <v>HUB2</v>
      </c>
      <c r="J212" s="56">
        <f t="shared" si="7"/>
        <v>44937.66666790509</v>
      </c>
    </row>
    <row r="213" spans="1:10" x14ac:dyDescent="0.25">
      <c r="A213" t="s">
        <v>115</v>
      </c>
      <c r="B213" s="42">
        <v>2.0453260000000001E-2</v>
      </c>
      <c r="C213" t="s">
        <v>409</v>
      </c>
      <c r="D213" t="s">
        <v>38</v>
      </c>
      <c r="E213" t="s">
        <v>1014</v>
      </c>
      <c r="F213" s="30">
        <v>44937</v>
      </c>
      <c r="G213" s="189">
        <v>44937.66666790509</v>
      </c>
      <c r="I213" t="str">
        <f t="shared" si="6"/>
        <v>HUB2</v>
      </c>
      <c r="J213" s="56">
        <f t="shared" si="7"/>
        <v>44937.66666790509</v>
      </c>
    </row>
    <row r="214" spans="1:10" x14ac:dyDescent="0.25">
      <c r="A214" t="s">
        <v>115</v>
      </c>
      <c r="B214" s="42">
        <v>0.24323531000000001</v>
      </c>
      <c r="C214" t="s">
        <v>409</v>
      </c>
      <c r="D214" t="s">
        <v>38</v>
      </c>
      <c r="E214" t="s">
        <v>1014</v>
      </c>
      <c r="F214" s="30">
        <v>44937</v>
      </c>
      <c r="G214" s="189">
        <v>44937.66666790509</v>
      </c>
      <c r="I214" t="str">
        <f t="shared" si="6"/>
        <v>HUB2</v>
      </c>
      <c r="J214" s="56">
        <f t="shared" si="7"/>
        <v>44937.66666790509</v>
      </c>
    </row>
    <row r="215" spans="1:10" x14ac:dyDescent="0.25">
      <c r="A215" t="s">
        <v>115</v>
      </c>
      <c r="B215" s="42">
        <v>0.27855855000000002</v>
      </c>
      <c r="C215" t="s">
        <v>409</v>
      </c>
      <c r="D215" t="s">
        <v>38</v>
      </c>
      <c r="E215" t="s">
        <v>1014</v>
      </c>
      <c r="F215" s="30">
        <v>44937</v>
      </c>
      <c r="G215" s="189">
        <v>44937.66666790509</v>
      </c>
      <c r="I215" t="str">
        <f t="shared" si="6"/>
        <v>HUB2</v>
      </c>
      <c r="J215" s="56">
        <f t="shared" si="7"/>
        <v>44937.66666790509</v>
      </c>
    </row>
    <row r="216" spans="1:10" x14ac:dyDescent="0.25">
      <c r="A216" t="s">
        <v>115</v>
      </c>
      <c r="B216" s="42">
        <v>0.86978191999999999</v>
      </c>
      <c r="C216" t="s">
        <v>409</v>
      </c>
      <c r="D216" t="s">
        <v>38</v>
      </c>
      <c r="E216" t="s">
        <v>1014</v>
      </c>
      <c r="F216" s="30">
        <v>44937</v>
      </c>
      <c r="G216" s="189">
        <v>44937.66666790509</v>
      </c>
      <c r="I216" t="str">
        <f t="shared" si="6"/>
        <v>HUB2</v>
      </c>
      <c r="J216" s="56">
        <f t="shared" si="7"/>
        <v>44937.66666790509</v>
      </c>
    </row>
    <row r="217" spans="1:10" x14ac:dyDescent="0.25">
      <c r="A217" t="s">
        <v>115</v>
      </c>
      <c r="B217" s="42">
        <v>8.1999999999999998E-7</v>
      </c>
      <c r="C217" t="s">
        <v>409</v>
      </c>
      <c r="D217" t="s">
        <v>38</v>
      </c>
      <c r="E217" t="s">
        <v>1014</v>
      </c>
      <c r="F217" s="30">
        <v>44937</v>
      </c>
      <c r="G217" s="189">
        <v>44937.66666790509</v>
      </c>
      <c r="I217" t="str">
        <f t="shared" si="6"/>
        <v>HUB2</v>
      </c>
      <c r="J217" s="56">
        <f t="shared" si="7"/>
        <v>44937.66666790509</v>
      </c>
    </row>
    <row r="218" spans="1:10" x14ac:dyDescent="0.25">
      <c r="A218" t="s">
        <v>115</v>
      </c>
      <c r="B218" s="42">
        <v>0.38083325000000001</v>
      </c>
      <c r="C218" t="s">
        <v>409</v>
      </c>
      <c r="D218" t="s">
        <v>38</v>
      </c>
      <c r="E218" t="s">
        <v>1014</v>
      </c>
      <c r="F218" s="30">
        <v>44937</v>
      </c>
      <c r="G218" s="189">
        <v>44937.66666790509</v>
      </c>
      <c r="I218" t="str">
        <f t="shared" si="6"/>
        <v>HUB2</v>
      </c>
      <c r="J218" s="56">
        <f t="shared" si="7"/>
        <v>44937.66666790509</v>
      </c>
    </row>
    <row r="219" spans="1:10" x14ac:dyDescent="0.25">
      <c r="A219" t="s">
        <v>115</v>
      </c>
      <c r="B219" s="42">
        <v>0.4652213</v>
      </c>
      <c r="C219" t="s">
        <v>409</v>
      </c>
      <c r="D219" t="s">
        <v>38</v>
      </c>
      <c r="E219" t="s">
        <v>1014</v>
      </c>
      <c r="F219" s="30">
        <v>44937</v>
      </c>
      <c r="G219" s="189">
        <v>44937.66666790509</v>
      </c>
      <c r="I219" t="str">
        <f t="shared" si="6"/>
        <v>HUB2</v>
      </c>
      <c r="J219" s="56">
        <f t="shared" si="7"/>
        <v>44937.66666790509</v>
      </c>
    </row>
    <row r="220" spans="1:10" x14ac:dyDescent="0.25">
      <c r="A220" t="s">
        <v>115</v>
      </c>
      <c r="B220" s="42">
        <v>6.2163969999999999E-2</v>
      </c>
      <c r="C220" t="s">
        <v>409</v>
      </c>
      <c r="D220" t="s">
        <v>38</v>
      </c>
      <c r="E220" t="s">
        <v>1014</v>
      </c>
      <c r="F220" s="30">
        <v>44937</v>
      </c>
      <c r="G220" s="189">
        <v>44937.66666790509</v>
      </c>
      <c r="I220" t="str">
        <f t="shared" si="6"/>
        <v>HUB2</v>
      </c>
      <c r="J220" s="56">
        <f t="shared" si="7"/>
        <v>44937.66666790509</v>
      </c>
    </row>
    <row r="221" spans="1:10" x14ac:dyDescent="0.25">
      <c r="A221" t="s">
        <v>115</v>
      </c>
      <c r="B221" s="42">
        <v>0.1</v>
      </c>
      <c r="C221" t="s">
        <v>409</v>
      </c>
      <c r="D221" t="s">
        <v>38</v>
      </c>
      <c r="E221" t="s">
        <v>1014</v>
      </c>
      <c r="F221" s="30">
        <v>44937</v>
      </c>
      <c r="G221" s="189">
        <v>44937.66666790509</v>
      </c>
      <c r="I221" t="str">
        <f t="shared" si="6"/>
        <v>HUB2</v>
      </c>
      <c r="J221" s="56">
        <f t="shared" si="7"/>
        <v>44937.66666790509</v>
      </c>
    </row>
    <row r="222" spans="1:10" x14ac:dyDescent="0.25">
      <c r="A222" t="s">
        <v>115</v>
      </c>
      <c r="B222" s="42">
        <v>0.82486462000000005</v>
      </c>
      <c r="C222" t="s">
        <v>409</v>
      </c>
      <c r="D222" t="s">
        <v>38</v>
      </c>
      <c r="E222" t="s">
        <v>1014</v>
      </c>
      <c r="F222" s="30">
        <v>44937</v>
      </c>
      <c r="G222" s="189">
        <v>44937.66666790509</v>
      </c>
      <c r="I222" t="str">
        <f t="shared" si="6"/>
        <v>HUB2</v>
      </c>
      <c r="J222" s="56">
        <f t="shared" si="7"/>
        <v>44937.66666790509</v>
      </c>
    </row>
    <row r="223" spans="1:10" x14ac:dyDescent="0.25">
      <c r="A223" t="s">
        <v>115</v>
      </c>
      <c r="B223" s="42">
        <v>6.4869999999999994E-5</v>
      </c>
      <c r="C223" t="s">
        <v>409</v>
      </c>
      <c r="D223" t="s">
        <v>99</v>
      </c>
      <c r="E223" t="s">
        <v>1014</v>
      </c>
      <c r="F223" s="30">
        <v>44937</v>
      </c>
      <c r="G223" s="189">
        <v>44937.66666790509</v>
      </c>
      <c r="I223" t="str">
        <f t="shared" si="6"/>
        <v>HUB2</v>
      </c>
      <c r="J223" s="56">
        <f t="shared" si="7"/>
        <v>44937.66666790509</v>
      </c>
    </row>
    <row r="224" spans="1:10" x14ac:dyDescent="0.25">
      <c r="A224" t="s">
        <v>115</v>
      </c>
      <c r="B224" s="42">
        <v>7.4209999999999996E-5</v>
      </c>
      <c r="C224" t="s">
        <v>409</v>
      </c>
      <c r="D224" t="s">
        <v>99</v>
      </c>
      <c r="E224" t="s">
        <v>1014</v>
      </c>
      <c r="F224" s="30">
        <v>44937</v>
      </c>
      <c r="G224" s="189">
        <v>44937.66666790509</v>
      </c>
      <c r="I224" t="str">
        <f t="shared" si="6"/>
        <v>HUB2</v>
      </c>
      <c r="J224" s="56">
        <f t="shared" si="7"/>
        <v>44937.66666790509</v>
      </c>
    </row>
    <row r="225" spans="1:10" x14ac:dyDescent="0.25">
      <c r="A225" t="s">
        <v>41</v>
      </c>
      <c r="B225" s="42">
        <v>0.10014646000000001</v>
      </c>
      <c r="D225" t="s">
        <v>116</v>
      </c>
      <c r="E225" t="s">
        <v>990</v>
      </c>
      <c r="F225" s="30">
        <v>44937</v>
      </c>
      <c r="G225" s="189">
        <v>44937.66965625</v>
      </c>
      <c r="I225" t="str">
        <f t="shared" si="6"/>
        <v>HUBI</v>
      </c>
      <c r="J225" s="56">
        <f t="shared" si="7"/>
        <v>44937.66965625</v>
      </c>
    </row>
    <row r="226" spans="1:10" x14ac:dyDescent="0.25">
      <c r="A226" t="s">
        <v>41</v>
      </c>
      <c r="B226" s="42">
        <v>3.2091770000000001E-4</v>
      </c>
      <c r="D226" t="s">
        <v>84</v>
      </c>
      <c r="E226" t="s">
        <v>990</v>
      </c>
      <c r="F226" s="30">
        <v>44937</v>
      </c>
      <c r="G226" s="189">
        <v>44937.66965625</v>
      </c>
      <c r="I226" t="str">
        <f t="shared" si="6"/>
        <v>HUBI</v>
      </c>
      <c r="J226" s="56">
        <f t="shared" si="7"/>
        <v>44937.66965625</v>
      </c>
    </row>
    <row r="227" spans="1:10" x14ac:dyDescent="0.25">
      <c r="A227" t="s">
        <v>41</v>
      </c>
      <c r="B227" s="42">
        <v>5.3552099999999996E-4</v>
      </c>
      <c r="D227" t="s">
        <v>20</v>
      </c>
      <c r="E227" t="s">
        <v>990</v>
      </c>
      <c r="F227" s="30">
        <v>44937</v>
      </c>
      <c r="G227" s="189">
        <v>44937.66965625</v>
      </c>
      <c r="I227" t="str">
        <f t="shared" si="6"/>
        <v>HUBI</v>
      </c>
      <c r="J227" s="56">
        <f t="shared" si="7"/>
        <v>44937.66965625</v>
      </c>
    </row>
    <row r="228" spans="1:10" x14ac:dyDescent="0.25">
      <c r="A228" t="s">
        <v>41</v>
      </c>
      <c r="B228" s="42">
        <v>3.3400000000000001E-8</v>
      </c>
      <c r="D228" t="s">
        <v>113</v>
      </c>
      <c r="E228" t="s">
        <v>990</v>
      </c>
      <c r="F228" s="30">
        <v>44937</v>
      </c>
      <c r="G228" s="189">
        <v>44937.66965625</v>
      </c>
      <c r="I228" t="str">
        <f t="shared" si="6"/>
        <v>HUBI</v>
      </c>
      <c r="J228" s="56">
        <f t="shared" si="7"/>
        <v>44937.66965625</v>
      </c>
    </row>
    <row r="229" spans="1:10" x14ac:dyDescent="0.25">
      <c r="A229" t="s">
        <v>41</v>
      </c>
      <c r="B229" s="42">
        <v>18.9576884785</v>
      </c>
      <c r="D229" t="s">
        <v>14</v>
      </c>
      <c r="E229" t="s">
        <v>990</v>
      </c>
      <c r="F229" s="30">
        <v>44937</v>
      </c>
      <c r="G229" s="189">
        <v>44937.66965625</v>
      </c>
      <c r="I229" t="str">
        <f t="shared" si="6"/>
        <v>HUBI</v>
      </c>
      <c r="J229" s="56">
        <f t="shared" si="7"/>
        <v>44937.66965625</v>
      </c>
    </row>
    <row r="230" spans="1:10" x14ac:dyDescent="0.25">
      <c r="A230" t="s">
        <v>41</v>
      </c>
      <c r="B230" s="42">
        <v>-0.52278466379999999</v>
      </c>
      <c r="C230" t="s">
        <v>90</v>
      </c>
      <c r="D230" t="s">
        <v>14</v>
      </c>
      <c r="E230" t="s">
        <v>990</v>
      </c>
      <c r="F230" s="30">
        <v>44937</v>
      </c>
      <c r="G230" s="189">
        <v>44937.66965625</v>
      </c>
      <c r="I230" t="str">
        <f t="shared" si="6"/>
        <v>HUBI</v>
      </c>
      <c r="J230" s="56">
        <f t="shared" si="7"/>
        <v>44937.66965625</v>
      </c>
    </row>
    <row r="231" spans="1:10" x14ac:dyDescent="0.25">
      <c r="A231" t="s">
        <v>41</v>
      </c>
      <c r="B231" s="42">
        <v>3.8972870000000001E-3</v>
      </c>
      <c r="D231" t="s">
        <v>22</v>
      </c>
      <c r="E231" t="s">
        <v>990</v>
      </c>
      <c r="F231" s="30">
        <v>44937</v>
      </c>
      <c r="G231" s="189">
        <v>44937.66965625</v>
      </c>
      <c r="I231" t="str">
        <f t="shared" si="6"/>
        <v>HUBI</v>
      </c>
      <c r="J231" s="56">
        <f t="shared" si="7"/>
        <v>44937.66965625</v>
      </c>
    </row>
    <row r="232" spans="1:10" x14ac:dyDescent="0.25">
      <c r="A232" t="s">
        <v>41</v>
      </c>
      <c r="B232" s="42">
        <v>0.1010306031</v>
      </c>
      <c r="D232" t="s">
        <v>29</v>
      </c>
      <c r="E232" t="s">
        <v>990</v>
      </c>
      <c r="F232" s="30">
        <v>44937</v>
      </c>
      <c r="G232" s="189">
        <v>44937.66965625</v>
      </c>
      <c r="I232" t="str">
        <f t="shared" si="6"/>
        <v>HUBI</v>
      </c>
      <c r="J232" s="56">
        <f t="shared" si="7"/>
        <v>44937.66965625</v>
      </c>
    </row>
    <row r="233" spans="1:10" x14ac:dyDescent="0.25">
      <c r="A233" t="s">
        <v>41</v>
      </c>
      <c r="B233" s="42">
        <v>147.36724370979999</v>
      </c>
      <c r="D233" t="s">
        <v>15</v>
      </c>
      <c r="E233" t="s">
        <v>990</v>
      </c>
      <c r="F233" s="30">
        <v>44937</v>
      </c>
      <c r="G233" s="189">
        <v>44937.66965625</v>
      </c>
      <c r="I233" t="str">
        <f t="shared" si="6"/>
        <v>HUBI</v>
      </c>
      <c r="J233" s="56">
        <f t="shared" si="7"/>
        <v>44937.66965625</v>
      </c>
    </row>
    <row r="234" spans="1:10" x14ac:dyDescent="0.25">
      <c r="A234" t="s">
        <v>41</v>
      </c>
      <c r="B234" s="42">
        <v>-0.63127019120000005</v>
      </c>
      <c r="C234" t="s">
        <v>90</v>
      </c>
      <c r="D234" t="s">
        <v>15</v>
      </c>
      <c r="E234" t="s">
        <v>990</v>
      </c>
      <c r="F234" s="30">
        <v>44937</v>
      </c>
      <c r="G234" s="189">
        <v>44937.66965625</v>
      </c>
      <c r="I234" t="str">
        <f t="shared" si="6"/>
        <v>HUBI</v>
      </c>
      <c r="J234" s="56">
        <f t="shared" si="7"/>
        <v>44937.66965625</v>
      </c>
    </row>
    <row r="235" spans="1:10" x14ac:dyDescent="0.25">
      <c r="A235" t="s">
        <v>41</v>
      </c>
      <c r="B235" s="42">
        <v>9.5620959999999995E-4</v>
      </c>
      <c r="D235" t="s">
        <v>27</v>
      </c>
      <c r="E235" t="s">
        <v>990</v>
      </c>
      <c r="F235" s="30">
        <v>44937</v>
      </c>
      <c r="G235" s="189">
        <v>44937.66965625</v>
      </c>
      <c r="I235" t="str">
        <f t="shared" si="6"/>
        <v>HUBI</v>
      </c>
      <c r="J235" s="56">
        <f t="shared" si="7"/>
        <v>44937.66965625</v>
      </c>
    </row>
    <row r="236" spans="1:10" x14ac:dyDescent="0.25">
      <c r="A236" t="s">
        <v>41</v>
      </c>
      <c r="B236" s="42">
        <v>2.4771052999999999E-3</v>
      </c>
      <c r="D236" t="s">
        <v>24</v>
      </c>
      <c r="E236" t="s">
        <v>990</v>
      </c>
      <c r="F236" s="30">
        <v>44937</v>
      </c>
      <c r="G236" s="189">
        <v>44937.66965625</v>
      </c>
      <c r="I236" t="str">
        <f t="shared" si="6"/>
        <v>HUBI</v>
      </c>
      <c r="J236" s="56">
        <f t="shared" si="7"/>
        <v>44937.66965625</v>
      </c>
    </row>
    <row r="237" spans="1:10" x14ac:dyDescent="0.25">
      <c r="A237" t="s">
        <v>41</v>
      </c>
      <c r="B237" s="42">
        <v>71073.205401560001</v>
      </c>
      <c r="D237" t="s">
        <v>37</v>
      </c>
      <c r="E237" t="s">
        <v>990</v>
      </c>
      <c r="F237" s="30">
        <v>44937</v>
      </c>
      <c r="G237" s="189">
        <v>44937.66965625</v>
      </c>
      <c r="I237" t="str">
        <f t="shared" si="6"/>
        <v>HUBI</v>
      </c>
      <c r="J237" s="56">
        <f t="shared" si="7"/>
        <v>44937.66965625</v>
      </c>
    </row>
    <row r="238" spans="1:10" x14ac:dyDescent="0.25">
      <c r="A238" t="s">
        <v>41</v>
      </c>
      <c r="B238" s="42">
        <v>4.8644820000000002E-4</v>
      </c>
      <c r="D238" t="s">
        <v>25</v>
      </c>
      <c r="E238" t="s">
        <v>990</v>
      </c>
      <c r="F238" s="30">
        <v>44937</v>
      </c>
      <c r="G238" s="189">
        <v>44937.66965625</v>
      </c>
      <c r="I238" t="str">
        <f t="shared" si="6"/>
        <v>HUBI</v>
      </c>
      <c r="J238" s="56">
        <f t="shared" si="7"/>
        <v>44937.66965625</v>
      </c>
    </row>
    <row r="239" spans="1:10" x14ac:dyDescent="0.25">
      <c r="A239" t="s">
        <v>41</v>
      </c>
      <c r="B239" s="42">
        <v>1.9184280000000001E-4</v>
      </c>
      <c r="D239" t="s">
        <v>99</v>
      </c>
      <c r="E239" t="s">
        <v>990</v>
      </c>
      <c r="F239" s="30">
        <v>44937</v>
      </c>
      <c r="G239" s="189">
        <v>44937.66965625</v>
      </c>
      <c r="I239" t="str">
        <f t="shared" si="6"/>
        <v>HUBI</v>
      </c>
      <c r="J239" s="56">
        <f t="shared" si="7"/>
        <v>44937.66965625</v>
      </c>
    </row>
    <row r="240" spans="1:10" x14ac:dyDescent="0.25">
      <c r="A240" t="s">
        <v>41</v>
      </c>
      <c r="B240" s="42">
        <v>2.4299999999999999E-3</v>
      </c>
      <c r="D240" t="s">
        <v>117</v>
      </c>
      <c r="E240" t="s">
        <v>990</v>
      </c>
      <c r="F240" s="30">
        <v>44937</v>
      </c>
      <c r="G240" s="189">
        <v>44937.66965625</v>
      </c>
      <c r="I240" t="str">
        <f t="shared" si="6"/>
        <v>HUBI</v>
      </c>
      <c r="J240" s="56">
        <f t="shared" si="7"/>
        <v>44937.66965625</v>
      </c>
    </row>
    <row r="241" spans="1:10" x14ac:dyDescent="0.25">
      <c r="A241" t="s">
        <v>120</v>
      </c>
      <c r="B241" s="42">
        <v>377.09760540000002</v>
      </c>
      <c r="D241" t="s">
        <v>121</v>
      </c>
      <c r="E241" t="s">
        <v>990</v>
      </c>
      <c r="F241" s="30">
        <v>44937</v>
      </c>
      <c r="G241" s="189">
        <v>44937.666669409722</v>
      </c>
      <c r="I241" t="str">
        <f t="shared" si="6"/>
        <v>HUBI</v>
      </c>
      <c r="J241" s="56">
        <f t="shared" si="7"/>
        <v>44937.666669409722</v>
      </c>
    </row>
    <row r="242" spans="1:10" x14ac:dyDescent="0.25">
      <c r="A242" t="s">
        <v>120</v>
      </c>
      <c r="B242" s="42">
        <v>1.1000000000000001E-7</v>
      </c>
      <c r="D242" t="s">
        <v>84</v>
      </c>
      <c r="E242" t="s">
        <v>990</v>
      </c>
      <c r="F242" s="30">
        <v>44937</v>
      </c>
      <c r="G242" s="189">
        <v>44937.666669409722</v>
      </c>
      <c r="I242" t="str">
        <f t="shared" si="6"/>
        <v>HUBI</v>
      </c>
      <c r="J242" s="56">
        <f t="shared" si="7"/>
        <v>44937.666669409722</v>
      </c>
    </row>
    <row r="243" spans="1:10" x14ac:dyDescent="0.25">
      <c r="A243" t="s">
        <v>120</v>
      </c>
      <c r="B243" s="42">
        <v>2.6E-7</v>
      </c>
      <c r="D243" t="s">
        <v>122</v>
      </c>
      <c r="E243" t="s">
        <v>990</v>
      </c>
      <c r="F243" s="30">
        <v>44937</v>
      </c>
      <c r="G243" s="189">
        <v>44937.666669409722</v>
      </c>
      <c r="I243" t="str">
        <f t="shared" si="6"/>
        <v>HUBI</v>
      </c>
      <c r="J243" s="56">
        <f t="shared" si="7"/>
        <v>44937.666669409722</v>
      </c>
    </row>
    <row r="244" spans="1:10" x14ac:dyDescent="0.25">
      <c r="A244" t="s">
        <v>120</v>
      </c>
      <c r="B244" s="42">
        <v>0.53247394999999997</v>
      </c>
      <c r="D244" t="s">
        <v>123</v>
      </c>
      <c r="E244" t="s">
        <v>990</v>
      </c>
      <c r="F244" s="30">
        <v>44937</v>
      </c>
      <c r="G244" s="189">
        <v>44937.666669409722</v>
      </c>
      <c r="I244" t="str">
        <f t="shared" si="6"/>
        <v>HUBI</v>
      </c>
      <c r="J244" s="56">
        <f t="shared" si="7"/>
        <v>44937.666669409722</v>
      </c>
    </row>
    <row r="245" spans="1:10" x14ac:dyDescent="0.25">
      <c r="A245" t="s">
        <v>120</v>
      </c>
      <c r="B245" s="42">
        <v>4.3657420000000002E-2</v>
      </c>
      <c r="D245" t="s">
        <v>35</v>
      </c>
      <c r="E245" t="s">
        <v>990</v>
      </c>
      <c r="F245" s="30">
        <v>44937</v>
      </c>
      <c r="G245" s="189">
        <v>44937.666669409722</v>
      </c>
      <c r="I245" t="str">
        <f t="shared" si="6"/>
        <v>HUBI</v>
      </c>
      <c r="J245" s="56">
        <f t="shared" si="7"/>
        <v>44937.666669409722</v>
      </c>
    </row>
    <row r="246" spans="1:10" x14ac:dyDescent="0.25">
      <c r="A246" t="s">
        <v>120</v>
      </c>
      <c r="B246" s="42">
        <v>1.5389969999999999E-2</v>
      </c>
      <c r="D246" t="s">
        <v>187</v>
      </c>
      <c r="E246" t="s">
        <v>990</v>
      </c>
      <c r="F246" s="30">
        <v>44937</v>
      </c>
      <c r="G246" s="189">
        <v>44937.666669409722</v>
      </c>
      <c r="I246" t="str">
        <f t="shared" si="6"/>
        <v>HUBI</v>
      </c>
      <c r="J246" s="56">
        <f t="shared" si="7"/>
        <v>44937.666669409722</v>
      </c>
    </row>
    <row r="247" spans="1:10" x14ac:dyDescent="0.25">
      <c r="A247" t="s">
        <v>120</v>
      </c>
      <c r="B247" s="42">
        <v>2.0454320000000002E-2</v>
      </c>
      <c r="D247" t="s">
        <v>124</v>
      </c>
      <c r="E247" t="s">
        <v>990</v>
      </c>
      <c r="F247" s="30">
        <v>44937</v>
      </c>
      <c r="G247" s="189">
        <v>44937.666669409722</v>
      </c>
      <c r="I247" t="str">
        <f t="shared" si="6"/>
        <v>HUBI</v>
      </c>
      <c r="J247" s="56">
        <f t="shared" si="7"/>
        <v>44937.666669409722</v>
      </c>
    </row>
    <row r="248" spans="1:10" x14ac:dyDescent="0.25">
      <c r="A248" t="s">
        <v>120</v>
      </c>
      <c r="B248" s="42">
        <v>11.731604239999999</v>
      </c>
      <c r="D248" t="s">
        <v>20</v>
      </c>
      <c r="E248" t="s">
        <v>990</v>
      </c>
      <c r="F248" s="30">
        <v>44937</v>
      </c>
      <c r="G248" s="189">
        <v>44937.666669409722</v>
      </c>
      <c r="I248" t="str">
        <f t="shared" si="6"/>
        <v>HUBI</v>
      </c>
      <c r="J248" s="56">
        <f t="shared" si="7"/>
        <v>44937.666669409722</v>
      </c>
    </row>
    <row r="249" spans="1:10" x14ac:dyDescent="0.25">
      <c r="A249" t="s">
        <v>120</v>
      </c>
      <c r="B249" s="42">
        <v>2.5033500000000001E-3</v>
      </c>
      <c r="D249" t="s">
        <v>125</v>
      </c>
      <c r="E249" t="s">
        <v>990</v>
      </c>
      <c r="F249" s="30">
        <v>44937</v>
      </c>
      <c r="G249" s="189">
        <v>44937.666669409722</v>
      </c>
      <c r="I249" t="str">
        <f t="shared" si="6"/>
        <v>HUBI</v>
      </c>
      <c r="J249" s="56">
        <f t="shared" si="7"/>
        <v>44937.666669409722</v>
      </c>
    </row>
    <row r="250" spans="1:10" x14ac:dyDescent="0.25">
      <c r="A250" t="s">
        <v>120</v>
      </c>
      <c r="B250" s="42">
        <v>115.29838952</v>
      </c>
      <c r="D250" t="s">
        <v>126</v>
      </c>
      <c r="E250" t="s">
        <v>990</v>
      </c>
      <c r="F250" s="30">
        <v>44937</v>
      </c>
      <c r="G250" s="189">
        <v>44937.666669409722</v>
      </c>
      <c r="I250" t="str">
        <f t="shared" si="6"/>
        <v>HUBI</v>
      </c>
      <c r="J250" s="56">
        <f t="shared" si="7"/>
        <v>44937.666669409722</v>
      </c>
    </row>
    <row r="251" spans="1:10" x14ac:dyDescent="0.25">
      <c r="A251" t="s">
        <v>120</v>
      </c>
      <c r="B251" s="42">
        <v>14.7502</v>
      </c>
      <c r="D251" t="s">
        <v>127</v>
      </c>
      <c r="E251" t="s">
        <v>990</v>
      </c>
      <c r="F251" s="30">
        <v>44937</v>
      </c>
      <c r="G251" s="189">
        <v>44937.666669409722</v>
      </c>
      <c r="I251" t="str">
        <f t="shared" si="6"/>
        <v>HUBI</v>
      </c>
      <c r="J251" s="56">
        <f t="shared" si="7"/>
        <v>44937.666669409722</v>
      </c>
    </row>
    <row r="252" spans="1:10" x14ac:dyDescent="0.25">
      <c r="A252" t="s">
        <v>120</v>
      </c>
      <c r="B252" s="42">
        <v>1.807E-4</v>
      </c>
      <c r="D252" t="s">
        <v>113</v>
      </c>
      <c r="E252" t="s">
        <v>990</v>
      </c>
      <c r="F252" s="30">
        <v>44937</v>
      </c>
      <c r="G252" s="189">
        <v>44937.666669409722</v>
      </c>
      <c r="I252" t="str">
        <f t="shared" si="6"/>
        <v>HUBI</v>
      </c>
      <c r="J252" s="56">
        <f t="shared" si="7"/>
        <v>44937.666669409722</v>
      </c>
    </row>
    <row r="253" spans="1:10" x14ac:dyDescent="0.25">
      <c r="A253" t="s">
        <v>120</v>
      </c>
      <c r="B253" s="42">
        <v>44.885818860000001</v>
      </c>
      <c r="D253" t="s">
        <v>14</v>
      </c>
      <c r="E253" t="s">
        <v>990</v>
      </c>
      <c r="F253" s="30">
        <v>44937</v>
      </c>
      <c r="G253" s="189">
        <v>44937.666669409722</v>
      </c>
      <c r="I253" t="str">
        <f t="shared" si="6"/>
        <v>HUBI</v>
      </c>
      <c r="J253" s="56">
        <f t="shared" si="7"/>
        <v>44937.666669409722</v>
      </c>
    </row>
    <row r="254" spans="1:10" x14ac:dyDescent="0.25">
      <c r="A254" t="s">
        <v>120</v>
      </c>
      <c r="B254" s="42">
        <v>0.33565571999999999</v>
      </c>
      <c r="D254" t="s">
        <v>128</v>
      </c>
      <c r="E254" t="s">
        <v>990</v>
      </c>
      <c r="F254" s="30">
        <v>44937</v>
      </c>
      <c r="G254" s="189">
        <v>44937.666669409722</v>
      </c>
      <c r="I254" t="str">
        <f t="shared" si="6"/>
        <v>HUBI</v>
      </c>
      <c r="J254" s="56">
        <f t="shared" si="7"/>
        <v>44937.666669409722</v>
      </c>
    </row>
    <row r="255" spans="1:10" x14ac:dyDescent="0.25">
      <c r="A255" t="s">
        <v>120</v>
      </c>
      <c r="B255" s="42">
        <v>1367501156.8785999</v>
      </c>
      <c r="D255" t="s">
        <v>129</v>
      </c>
      <c r="E255" t="s">
        <v>990</v>
      </c>
      <c r="F255" s="30">
        <v>44937</v>
      </c>
      <c r="G255" s="189">
        <v>44937.666669409722</v>
      </c>
      <c r="I255" t="str">
        <f t="shared" si="6"/>
        <v>HUBI</v>
      </c>
      <c r="J255" s="56">
        <f t="shared" si="7"/>
        <v>44937.666669409722</v>
      </c>
    </row>
    <row r="256" spans="1:10" x14ac:dyDescent="0.25">
      <c r="A256" t="s">
        <v>120</v>
      </c>
      <c r="B256" s="42">
        <v>1.7855998900000001</v>
      </c>
      <c r="D256" t="s">
        <v>130</v>
      </c>
      <c r="E256" t="s">
        <v>990</v>
      </c>
      <c r="F256" s="30">
        <v>44937</v>
      </c>
      <c r="G256" s="189">
        <v>44937.666669409722</v>
      </c>
      <c r="I256" t="str">
        <f t="shared" si="6"/>
        <v>HUBI</v>
      </c>
      <c r="J256" s="56">
        <f t="shared" si="7"/>
        <v>44937.666669409722</v>
      </c>
    </row>
    <row r="257" spans="1:10" x14ac:dyDescent="0.25">
      <c r="A257" t="s">
        <v>120</v>
      </c>
      <c r="B257" s="42">
        <v>0.30791584</v>
      </c>
      <c r="D257" t="s">
        <v>131</v>
      </c>
      <c r="E257" t="s">
        <v>990</v>
      </c>
      <c r="F257" s="30">
        <v>44937</v>
      </c>
      <c r="G257" s="189">
        <v>44937.666669409722</v>
      </c>
      <c r="I257" t="str">
        <f t="shared" si="6"/>
        <v>HUBI</v>
      </c>
      <c r="J257" s="56">
        <f t="shared" si="7"/>
        <v>44937.666669409722</v>
      </c>
    </row>
    <row r="258" spans="1:10" x14ac:dyDescent="0.25">
      <c r="A258" t="s">
        <v>120</v>
      </c>
      <c r="B258" s="42">
        <v>5.6119999999999998E-5</v>
      </c>
      <c r="D258" t="s">
        <v>132</v>
      </c>
      <c r="E258" t="s">
        <v>990</v>
      </c>
      <c r="F258" s="30">
        <v>44937</v>
      </c>
      <c r="G258" s="189">
        <v>44937.666669409722</v>
      </c>
      <c r="I258" t="str">
        <f t="shared" si="6"/>
        <v>HUBI</v>
      </c>
      <c r="J258" s="56">
        <f t="shared" si="7"/>
        <v>44937.666669409722</v>
      </c>
    </row>
    <row r="259" spans="1:10" x14ac:dyDescent="0.25">
      <c r="A259" t="s">
        <v>120</v>
      </c>
      <c r="B259" s="42">
        <v>5.9800000000000001E-4</v>
      </c>
      <c r="D259" t="s">
        <v>133</v>
      </c>
      <c r="E259" t="s">
        <v>990</v>
      </c>
      <c r="F259" s="30">
        <v>44937</v>
      </c>
      <c r="G259" s="189">
        <v>44937.666669409722</v>
      </c>
      <c r="I259" t="str">
        <f t="shared" ref="I259:I322" si="8">IF($A259="","",RIGHT($E259,LEN($E259)-SEARCH(".",$E259)))</f>
        <v>HUBI</v>
      </c>
      <c r="J259" s="56">
        <f t="shared" ref="J259:J322" si="9">IF($A259="","",$G259)</f>
        <v>44937.666669409722</v>
      </c>
    </row>
    <row r="260" spans="1:10" x14ac:dyDescent="0.25">
      <c r="A260" t="s">
        <v>120</v>
      </c>
      <c r="B260" s="42">
        <v>40066.769036849997</v>
      </c>
      <c r="D260" t="s">
        <v>22</v>
      </c>
      <c r="E260" t="s">
        <v>990</v>
      </c>
      <c r="F260" s="30">
        <v>44937</v>
      </c>
      <c r="G260" s="189">
        <v>44937.666669409722</v>
      </c>
      <c r="I260" t="str">
        <f t="shared" si="8"/>
        <v>HUBI</v>
      </c>
      <c r="J260" s="56">
        <f t="shared" si="9"/>
        <v>44937.666669409722</v>
      </c>
    </row>
    <row r="261" spans="1:10" x14ac:dyDescent="0.25">
      <c r="A261" t="s">
        <v>120</v>
      </c>
      <c r="B261" s="42">
        <v>1E-8</v>
      </c>
      <c r="D261" t="s">
        <v>28</v>
      </c>
      <c r="E261" t="s">
        <v>990</v>
      </c>
      <c r="F261" s="30">
        <v>44937</v>
      </c>
      <c r="G261" s="189">
        <v>44937.666669409722</v>
      </c>
      <c r="I261" t="str">
        <f t="shared" si="8"/>
        <v>HUBI</v>
      </c>
      <c r="J261" s="56">
        <f t="shared" si="9"/>
        <v>44937.666669409722</v>
      </c>
    </row>
    <row r="262" spans="1:10" x14ac:dyDescent="0.25">
      <c r="A262" t="s">
        <v>120</v>
      </c>
      <c r="B262" s="42">
        <v>70.35249924</v>
      </c>
      <c r="D262" t="s">
        <v>23</v>
      </c>
      <c r="E262" t="s">
        <v>990</v>
      </c>
      <c r="F262" s="30">
        <v>44937</v>
      </c>
      <c r="G262" s="189">
        <v>44937.666669409722</v>
      </c>
      <c r="I262" t="str">
        <f t="shared" si="8"/>
        <v>HUBI</v>
      </c>
      <c r="J262" s="56">
        <f t="shared" si="9"/>
        <v>44937.666669409722</v>
      </c>
    </row>
    <row r="263" spans="1:10" x14ac:dyDescent="0.25">
      <c r="A263" t="s">
        <v>120</v>
      </c>
      <c r="B263" s="42">
        <v>8848.9328020600005</v>
      </c>
      <c r="D263" t="s">
        <v>29</v>
      </c>
      <c r="E263" t="s">
        <v>990</v>
      </c>
      <c r="F263" s="30">
        <v>44937</v>
      </c>
      <c r="G263" s="189">
        <v>44937.666669409722</v>
      </c>
      <c r="I263" t="str">
        <f t="shared" si="8"/>
        <v>HUBI</v>
      </c>
      <c r="J263" s="56">
        <f t="shared" si="9"/>
        <v>44937.666669409722</v>
      </c>
    </row>
    <row r="264" spans="1:10" x14ac:dyDescent="0.25">
      <c r="A264" t="s">
        <v>120</v>
      </c>
      <c r="B264" s="42">
        <v>4100.9776247399996</v>
      </c>
      <c r="D264" t="s">
        <v>15</v>
      </c>
      <c r="E264" t="s">
        <v>990</v>
      </c>
      <c r="F264" s="30">
        <v>44937</v>
      </c>
      <c r="G264" s="189">
        <v>44937.666669409722</v>
      </c>
      <c r="I264" t="str">
        <f t="shared" si="8"/>
        <v>HUBI</v>
      </c>
      <c r="J264" s="56">
        <f t="shared" si="9"/>
        <v>44937.666669409722</v>
      </c>
    </row>
    <row r="265" spans="1:10" x14ac:dyDescent="0.25">
      <c r="A265" t="s">
        <v>120</v>
      </c>
      <c r="B265" s="42">
        <v>9823.8364263999993</v>
      </c>
      <c r="D265" t="s">
        <v>290</v>
      </c>
      <c r="E265" t="s">
        <v>990</v>
      </c>
      <c r="F265" s="30">
        <v>44937</v>
      </c>
      <c r="G265" s="189">
        <v>44937.666669409722</v>
      </c>
      <c r="I265" t="str">
        <f t="shared" si="8"/>
        <v>HUBI</v>
      </c>
      <c r="J265" s="56">
        <f t="shared" si="9"/>
        <v>44937.666669409722</v>
      </c>
    </row>
    <row r="266" spans="1:10" x14ac:dyDescent="0.25">
      <c r="A266" t="s">
        <v>120</v>
      </c>
      <c r="B266" s="42">
        <v>3460.93190667</v>
      </c>
      <c r="D266" t="s">
        <v>272</v>
      </c>
      <c r="E266" t="s">
        <v>990</v>
      </c>
      <c r="F266" s="30">
        <v>44937</v>
      </c>
      <c r="G266" s="189">
        <v>44937.666669409722</v>
      </c>
      <c r="I266" t="str">
        <f t="shared" si="8"/>
        <v>HUBI</v>
      </c>
      <c r="J266" s="56">
        <f t="shared" si="9"/>
        <v>44937.666669409722</v>
      </c>
    </row>
    <row r="267" spans="1:10" x14ac:dyDescent="0.25">
      <c r="A267" t="s">
        <v>120</v>
      </c>
      <c r="B267" s="42">
        <v>98854.041595679999</v>
      </c>
      <c r="D267" t="s">
        <v>258</v>
      </c>
      <c r="E267" t="s">
        <v>990</v>
      </c>
      <c r="F267" s="30">
        <v>44937</v>
      </c>
      <c r="G267" s="189">
        <v>44937.666669409722</v>
      </c>
      <c r="I267" t="str">
        <f t="shared" si="8"/>
        <v>HUBI</v>
      </c>
      <c r="J267" s="56">
        <f t="shared" si="9"/>
        <v>44937.666669409722</v>
      </c>
    </row>
    <row r="268" spans="1:10" x14ac:dyDescent="0.25">
      <c r="A268" t="s">
        <v>120</v>
      </c>
      <c r="B268" s="42">
        <v>1.0244641699999999</v>
      </c>
      <c r="D268" t="s">
        <v>30</v>
      </c>
      <c r="E268" t="s">
        <v>990</v>
      </c>
      <c r="F268" s="30">
        <v>44937</v>
      </c>
      <c r="G268" s="189">
        <v>44937.666669409722</v>
      </c>
      <c r="I268" t="str">
        <f t="shared" si="8"/>
        <v>HUBI</v>
      </c>
      <c r="J268" s="56">
        <f t="shared" si="9"/>
        <v>44937.666669409722</v>
      </c>
    </row>
    <row r="269" spans="1:10" x14ac:dyDescent="0.25">
      <c r="A269" t="s">
        <v>120</v>
      </c>
      <c r="B269" s="42">
        <v>1214222.2371169401</v>
      </c>
      <c r="D269" t="s">
        <v>973</v>
      </c>
      <c r="E269" t="s">
        <v>990</v>
      </c>
      <c r="F269" s="30">
        <v>44937</v>
      </c>
      <c r="G269" s="189">
        <v>44937.666669409722</v>
      </c>
      <c r="I269" t="str">
        <f t="shared" si="8"/>
        <v>HUBI</v>
      </c>
      <c r="J269" s="56">
        <f t="shared" si="9"/>
        <v>44937.666669409722</v>
      </c>
    </row>
    <row r="270" spans="1:10" x14ac:dyDescent="0.25">
      <c r="A270" t="s">
        <v>120</v>
      </c>
      <c r="B270" s="42">
        <v>0.68557060000000003</v>
      </c>
      <c r="D270" t="s">
        <v>109</v>
      </c>
      <c r="E270" t="s">
        <v>990</v>
      </c>
      <c r="F270" s="30">
        <v>44937</v>
      </c>
      <c r="G270" s="189">
        <v>44937.666669409722</v>
      </c>
      <c r="I270" t="str">
        <f t="shared" si="8"/>
        <v>HUBI</v>
      </c>
      <c r="J270" s="56">
        <f t="shared" si="9"/>
        <v>44937.666669409722</v>
      </c>
    </row>
    <row r="271" spans="1:10" x14ac:dyDescent="0.25">
      <c r="A271" t="s">
        <v>120</v>
      </c>
      <c r="B271" s="42">
        <v>54.776400000000002</v>
      </c>
      <c r="D271" t="s">
        <v>134</v>
      </c>
      <c r="E271" t="s">
        <v>990</v>
      </c>
      <c r="F271" s="30">
        <v>44937</v>
      </c>
      <c r="G271" s="189">
        <v>44937.666669409722</v>
      </c>
      <c r="I271" t="str">
        <f t="shared" si="8"/>
        <v>HUBI</v>
      </c>
      <c r="J271" s="56">
        <f t="shared" si="9"/>
        <v>44937.666669409722</v>
      </c>
    </row>
    <row r="272" spans="1:10" x14ac:dyDescent="0.25">
      <c r="A272" t="s">
        <v>120</v>
      </c>
      <c r="B272" s="42">
        <v>3.4060489999999999E-2</v>
      </c>
      <c r="D272" t="s">
        <v>135</v>
      </c>
      <c r="E272" t="s">
        <v>990</v>
      </c>
      <c r="F272" s="30">
        <v>44937</v>
      </c>
      <c r="G272" s="189">
        <v>44937.666669409722</v>
      </c>
      <c r="I272" t="str">
        <f t="shared" si="8"/>
        <v>HUBI</v>
      </c>
      <c r="J272" s="56">
        <f t="shared" si="9"/>
        <v>44937.666669409722</v>
      </c>
    </row>
    <row r="273" spans="1:10" x14ac:dyDescent="0.25">
      <c r="A273" t="s">
        <v>120</v>
      </c>
      <c r="B273" s="42">
        <v>5337.6979873099999</v>
      </c>
      <c r="D273" t="s">
        <v>136</v>
      </c>
      <c r="E273" t="s">
        <v>990</v>
      </c>
      <c r="F273" s="30">
        <v>44937</v>
      </c>
      <c r="G273" s="189">
        <v>44937.666669409722</v>
      </c>
      <c r="I273" t="str">
        <f t="shared" si="8"/>
        <v>HUBI</v>
      </c>
      <c r="J273" s="56">
        <f t="shared" si="9"/>
        <v>44937.666669409722</v>
      </c>
    </row>
    <row r="274" spans="1:10" x14ac:dyDescent="0.25">
      <c r="A274" t="s">
        <v>120</v>
      </c>
      <c r="B274" s="42">
        <v>1649.1605055099999</v>
      </c>
      <c r="D274" t="s">
        <v>137</v>
      </c>
      <c r="E274" t="s">
        <v>990</v>
      </c>
      <c r="F274" s="30">
        <v>44937</v>
      </c>
      <c r="G274" s="189">
        <v>44937.666669409722</v>
      </c>
      <c r="I274" t="str">
        <f t="shared" si="8"/>
        <v>HUBI</v>
      </c>
      <c r="J274" s="56">
        <f t="shared" si="9"/>
        <v>44937.666669409722</v>
      </c>
    </row>
    <row r="275" spans="1:10" x14ac:dyDescent="0.25">
      <c r="A275" t="s">
        <v>120</v>
      </c>
      <c r="B275" s="42">
        <v>14.785856219999999</v>
      </c>
      <c r="D275" t="s">
        <v>139</v>
      </c>
      <c r="E275" t="s">
        <v>990</v>
      </c>
      <c r="F275" s="30">
        <v>44937</v>
      </c>
      <c r="G275" s="189">
        <v>44937.666669409722</v>
      </c>
      <c r="I275" t="str">
        <f t="shared" si="8"/>
        <v>HUBI</v>
      </c>
      <c r="J275" s="56">
        <f t="shared" si="9"/>
        <v>44937.666669409722</v>
      </c>
    </row>
    <row r="276" spans="1:10" x14ac:dyDescent="0.25">
      <c r="A276" t="s">
        <v>120</v>
      </c>
      <c r="B276" s="42">
        <v>0.81765067999999996</v>
      </c>
      <c r="D276" t="s">
        <v>140</v>
      </c>
      <c r="E276" t="s">
        <v>990</v>
      </c>
      <c r="F276" s="30">
        <v>44937</v>
      </c>
      <c r="G276" s="189">
        <v>44937.666669409722</v>
      </c>
      <c r="I276" t="str">
        <f t="shared" si="8"/>
        <v>HUBI</v>
      </c>
      <c r="J276" s="56">
        <f t="shared" si="9"/>
        <v>44937.666669409722</v>
      </c>
    </row>
    <row r="277" spans="1:10" x14ac:dyDescent="0.25">
      <c r="A277" t="s">
        <v>120</v>
      </c>
      <c r="B277" s="42">
        <v>9.1121815000000002</v>
      </c>
      <c r="D277" t="s">
        <v>141</v>
      </c>
      <c r="E277" t="s">
        <v>990</v>
      </c>
      <c r="F277" s="30">
        <v>44937</v>
      </c>
      <c r="G277" s="189">
        <v>44937.666669409722</v>
      </c>
      <c r="I277" t="str">
        <f t="shared" si="8"/>
        <v>HUBI</v>
      </c>
      <c r="J277" s="56">
        <f t="shared" si="9"/>
        <v>44937.666669409722</v>
      </c>
    </row>
    <row r="278" spans="1:10" x14ac:dyDescent="0.25">
      <c r="A278" t="s">
        <v>120</v>
      </c>
      <c r="B278" s="42">
        <v>1.4966E-4</v>
      </c>
      <c r="D278" t="s">
        <v>43</v>
      </c>
      <c r="E278" t="s">
        <v>990</v>
      </c>
      <c r="F278" s="30">
        <v>44937</v>
      </c>
      <c r="G278" s="189">
        <v>44937.666669409722</v>
      </c>
      <c r="I278" t="str">
        <f t="shared" si="8"/>
        <v>HUBI</v>
      </c>
      <c r="J278" s="56">
        <f t="shared" si="9"/>
        <v>44937.666669409722</v>
      </c>
    </row>
    <row r="279" spans="1:10" x14ac:dyDescent="0.25">
      <c r="A279" t="s">
        <v>120</v>
      </c>
      <c r="B279" s="42">
        <v>0.24234807999999999</v>
      </c>
      <c r="D279" t="s">
        <v>142</v>
      </c>
      <c r="E279" t="s">
        <v>990</v>
      </c>
      <c r="F279" s="30">
        <v>44937</v>
      </c>
      <c r="G279" s="189">
        <v>44937.666669409722</v>
      </c>
      <c r="I279" t="str">
        <f t="shared" si="8"/>
        <v>HUBI</v>
      </c>
      <c r="J279" s="56">
        <f t="shared" si="9"/>
        <v>44937.666669409722</v>
      </c>
    </row>
    <row r="280" spans="1:10" x14ac:dyDescent="0.25">
      <c r="A280" t="s">
        <v>120</v>
      </c>
      <c r="B280" s="42">
        <v>1E-8</v>
      </c>
      <c r="D280" t="s">
        <v>143</v>
      </c>
      <c r="E280" t="s">
        <v>990</v>
      </c>
      <c r="F280" s="30">
        <v>44937</v>
      </c>
      <c r="G280" s="189">
        <v>44937.666669409722</v>
      </c>
      <c r="I280" t="str">
        <f t="shared" si="8"/>
        <v>HUBI</v>
      </c>
      <c r="J280" s="56">
        <f t="shared" si="9"/>
        <v>44937.666669409722</v>
      </c>
    </row>
    <row r="281" spans="1:10" x14ac:dyDescent="0.25">
      <c r="A281" t="s">
        <v>120</v>
      </c>
      <c r="B281" s="42">
        <v>529.30097855999998</v>
      </c>
      <c r="D281" t="s">
        <v>27</v>
      </c>
      <c r="E281" t="s">
        <v>990</v>
      </c>
      <c r="F281" s="30">
        <v>44937</v>
      </c>
      <c r="G281" s="189">
        <v>44937.666669409722</v>
      </c>
      <c r="I281" t="str">
        <f t="shared" si="8"/>
        <v>HUBI</v>
      </c>
      <c r="J281" s="56">
        <f t="shared" si="9"/>
        <v>44937.666669409722</v>
      </c>
    </row>
    <row r="282" spans="1:10" x14ac:dyDescent="0.25">
      <c r="A282" t="s">
        <v>120</v>
      </c>
      <c r="B282" s="42">
        <v>4.3289484800000002</v>
      </c>
      <c r="D282" t="s">
        <v>144</v>
      </c>
      <c r="E282" t="s">
        <v>990</v>
      </c>
      <c r="F282" s="30">
        <v>44937</v>
      </c>
      <c r="G282" s="189">
        <v>44937.666669409722</v>
      </c>
      <c r="I282" t="str">
        <f t="shared" si="8"/>
        <v>HUBI</v>
      </c>
      <c r="J282" s="56">
        <f t="shared" si="9"/>
        <v>44937.666669409722</v>
      </c>
    </row>
    <row r="283" spans="1:10" x14ac:dyDescent="0.25">
      <c r="A283" t="s">
        <v>120</v>
      </c>
      <c r="B283" s="42">
        <v>7719.11831145</v>
      </c>
      <c r="D283" t="s">
        <v>24</v>
      </c>
      <c r="E283" t="s">
        <v>990</v>
      </c>
      <c r="F283" s="30">
        <v>44937</v>
      </c>
      <c r="G283" s="189">
        <v>44937.666669409722</v>
      </c>
      <c r="I283" t="str">
        <f t="shared" si="8"/>
        <v>HUBI</v>
      </c>
      <c r="J283" s="56">
        <f t="shared" si="9"/>
        <v>44937.666669409722</v>
      </c>
    </row>
    <row r="284" spans="1:10" x14ac:dyDescent="0.25">
      <c r="A284" t="s">
        <v>120</v>
      </c>
      <c r="B284" s="42">
        <v>0.66495972999999997</v>
      </c>
      <c r="D284" t="s">
        <v>145</v>
      </c>
      <c r="E284" t="s">
        <v>990</v>
      </c>
      <c r="F284" s="30">
        <v>44937</v>
      </c>
      <c r="G284" s="189">
        <v>44937.666669409722</v>
      </c>
      <c r="I284" t="str">
        <f t="shared" si="8"/>
        <v>HUBI</v>
      </c>
      <c r="J284" s="56">
        <f t="shared" si="9"/>
        <v>44937.666669409722</v>
      </c>
    </row>
    <row r="285" spans="1:10" x14ac:dyDescent="0.25">
      <c r="A285" t="s">
        <v>120</v>
      </c>
      <c r="B285" s="42">
        <v>0.34</v>
      </c>
      <c r="D285" t="s">
        <v>192</v>
      </c>
      <c r="E285" t="s">
        <v>990</v>
      </c>
      <c r="F285" s="30">
        <v>44937</v>
      </c>
      <c r="G285" s="189">
        <v>44937.666669409722</v>
      </c>
      <c r="I285" t="str">
        <f t="shared" si="8"/>
        <v>HUBI</v>
      </c>
      <c r="J285" s="56">
        <f t="shared" si="9"/>
        <v>44937.666669409722</v>
      </c>
    </row>
    <row r="286" spans="1:10" x14ac:dyDescent="0.25">
      <c r="A286" t="s">
        <v>120</v>
      </c>
      <c r="B286" s="42">
        <v>0.89105878000000005</v>
      </c>
      <c r="D286" t="s">
        <v>146</v>
      </c>
      <c r="E286" t="s">
        <v>990</v>
      </c>
      <c r="F286" s="30">
        <v>44937</v>
      </c>
      <c r="G286" s="189">
        <v>44937.666669409722</v>
      </c>
      <c r="I286" t="str">
        <f t="shared" si="8"/>
        <v>HUBI</v>
      </c>
      <c r="J286" s="56">
        <f t="shared" si="9"/>
        <v>44937.666669409722</v>
      </c>
    </row>
    <row r="287" spans="1:10" x14ac:dyDescent="0.25">
      <c r="A287" t="s">
        <v>120</v>
      </c>
      <c r="B287" s="42">
        <v>40.704174029999997</v>
      </c>
      <c r="D287" t="s">
        <v>147</v>
      </c>
      <c r="E287" t="s">
        <v>990</v>
      </c>
      <c r="F287" s="30">
        <v>44937</v>
      </c>
      <c r="G287" s="189">
        <v>44937.666669409722</v>
      </c>
      <c r="I287" t="str">
        <f t="shared" si="8"/>
        <v>HUBI</v>
      </c>
      <c r="J287" s="56">
        <f t="shared" si="9"/>
        <v>44937.666669409722</v>
      </c>
    </row>
    <row r="288" spans="1:10" x14ac:dyDescent="0.25">
      <c r="A288" t="s">
        <v>120</v>
      </c>
      <c r="B288" s="42">
        <v>3049025070.2014399</v>
      </c>
      <c r="D288" t="s">
        <v>148</v>
      </c>
      <c r="E288" t="s">
        <v>990</v>
      </c>
      <c r="F288" s="30">
        <v>44937</v>
      </c>
      <c r="G288" s="189">
        <v>44937.666669409722</v>
      </c>
      <c r="I288" t="str">
        <f t="shared" si="8"/>
        <v>HUBI</v>
      </c>
      <c r="J288" s="56">
        <f t="shared" si="9"/>
        <v>44937.666669409722</v>
      </c>
    </row>
    <row r="289" spans="1:10" x14ac:dyDescent="0.25">
      <c r="A289" t="s">
        <v>120</v>
      </c>
      <c r="B289" s="42">
        <v>4.3068300000000002E-3</v>
      </c>
      <c r="D289" t="s">
        <v>149</v>
      </c>
      <c r="E289" t="s">
        <v>990</v>
      </c>
      <c r="F289" s="30">
        <v>44937</v>
      </c>
      <c r="G289" s="189">
        <v>44937.666669409722</v>
      </c>
      <c r="I289" t="str">
        <f t="shared" si="8"/>
        <v>HUBI</v>
      </c>
      <c r="J289" s="56">
        <f t="shared" si="9"/>
        <v>44937.666669409722</v>
      </c>
    </row>
    <row r="290" spans="1:10" x14ac:dyDescent="0.25">
      <c r="A290" t="s">
        <v>120</v>
      </c>
      <c r="B290" s="42">
        <v>0.34782034000000001</v>
      </c>
      <c r="D290" t="s">
        <v>151</v>
      </c>
      <c r="E290" t="s">
        <v>990</v>
      </c>
      <c r="F290" s="30">
        <v>44937</v>
      </c>
      <c r="G290" s="189">
        <v>44937.666669409722</v>
      </c>
      <c r="I290" t="str">
        <f t="shared" si="8"/>
        <v>HUBI</v>
      </c>
      <c r="J290" s="56">
        <f t="shared" si="9"/>
        <v>44937.666669409722</v>
      </c>
    </row>
    <row r="291" spans="1:10" x14ac:dyDescent="0.25">
      <c r="A291" t="s">
        <v>120</v>
      </c>
      <c r="B291" s="42">
        <v>58045.553474139997</v>
      </c>
      <c r="D291" t="s">
        <v>89</v>
      </c>
      <c r="E291" t="s">
        <v>990</v>
      </c>
      <c r="F291" s="30">
        <v>44937</v>
      </c>
      <c r="G291" s="189">
        <v>44937.666669409722</v>
      </c>
      <c r="I291" t="str">
        <f t="shared" si="8"/>
        <v>HUBI</v>
      </c>
      <c r="J291" s="56">
        <f t="shared" si="9"/>
        <v>44937.666669409722</v>
      </c>
    </row>
    <row r="292" spans="1:10" x14ac:dyDescent="0.25">
      <c r="A292" t="s">
        <v>120</v>
      </c>
      <c r="B292" s="42">
        <v>3.0962099999999998E-3</v>
      </c>
      <c r="D292" t="s">
        <v>152</v>
      </c>
      <c r="E292" t="s">
        <v>990</v>
      </c>
      <c r="F292" s="30">
        <v>44937</v>
      </c>
      <c r="G292" s="189">
        <v>44937.666669409722</v>
      </c>
      <c r="I292" t="str">
        <f t="shared" si="8"/>
        <v>HUBI</v>
      </c>
      <c r="J292" s="56">
        <f t="shared" si="9"/>
        <v>44937.666669409722</v>
      </c>
    </row>
    <row r="293" spans="1:10" x14ac:dyDescent="0.25">
      <c r="A293" t="s">
        <v>120</v>
      </c>
      <c r="B293" s="42">
        <v>2.6598900000000002E-2</v>
      </c>
      <c r="D293" t="s">
        <v>153</v>
      </c>
      <c r="E293" t="s">
        <v>990</v>
      </c>
      <c r="F293" s="30">
        <v>44937</v>
      </c>
      <c r="G293" s="189">
        <v>44937.666669409722</v>
      </c>
      <c r="I293" t="str">
        <f t="shared" si="8"/>
        <v>HUBI</v>
      </c>
      <c r="J293" s="56">
        <f t="shared" si="9"/>
        <v>44937.666669409722</v>
      </c>
    </row>
    <row r="294" spans="1:10" x14ac:dyDescent="0.25">
      <c r="A294" t="s">
        <v>120</v>
      </c>
      <c r="B294" s="42">
        <v>1214222.2371159999</v>
      </c>
      <c r="D294" t="s">
        <v>98</v>
      </c>
      <c r="E294" t="s">
        <v>990</v>
      </c>
      <c r="F294" s="30">
        <v>44937</v>
      </c>
      <c r="G294" s="189">
        <v>44937.666669409722</v>
      </c>
      <c r="I294" t="str">
        <f t="shared" si="8"/>
        <v>HUBI</v>
      </c>
      <c r="J294" s="56">
        <f t="shared" si="9"/>
        <v>44937.666669409722</v>
      </c>
    </row>
    <row r="295" spans="1:10" x14ac:dyDescent="0.25">
      <c r="A295" t="s">
        <v>120</v>
      </c>
      <c r="B295" s="42">
        <v>1884988.30453923</v>
      </c>
      <c r="D295" t="s">
        <v>37</v>
      </c>
      <c r="E295" t="s">
        <v>990</v>
      </c>
      <c r="F295" s="30">
        <v>44937</v>
      </c>
      <c r="G295" s="189">
        <v>44937.666669409722</v>
      </c>
      <c r="I295" t="str">
        <f t="shared" si="8"/>
        <v>HUBI</v>
      </c>
      <c r="J295" s="56">
        <f t="shared" si="9"/>
        <v>44937.666669409722</v>
      </c>
    </row>
    <row r="296" spans="1:10" x14ac:dyDescent="0.25">
      <c r="A296" t="s">
        <v>120</v>
      </c>
      <c r="B296" s="42">
        <v>0.14106867000000001</v>
      </c>
      <c r="D296" t="s">
        <v>154</v>
      </c>
      <c r="E296" t="s">
        <v>990</v>
      </c>
      <c r="F296" s="30">
        <v>44937</v>
      </c>
      <c r="G296" s="189">
        <v>44937.666669409722</v>
      </c>
      <c r="I296" t="str">
        <f t="shared" si="8"/>
        <v>HUBI</v>
      </c>
      <c r="J296" s="56">
        <f t="shared" si="9"/>
        <v>44937.666669409722</v>
      </c>
    </row>
    <row r="297" spans="1:10" x14ac:dyDescent="0.25">
      <c r="A297" t="s">
        <v>120</v>
      </c>
      <c r="B297" s="42">
        <v>38753.774400000002</v>
      </c>
      <c r="D297" t="s">
        <v>155</v>
      </c>
      <c r="E297" t="s">
        <v>990</v>
      </c>
      <c r="F297" s="30">
        <v>44937</v>
      </c>
      <c r="G297" s="189">
        <v>44937.666669409722</v>
      </c>
      <c r="I297" t="str">
        <f t="shared" si="8"/>
        <v>HUBI</v>
      </c>
      <c r="J297" s="56">
        <f t="shared" si="9"/>
        <v>44937.666669409722</v>
      </c>
    </row>
    <row r="298" spans="1:10" x14ac:dyDescent="0.25">
      <c r="A298" t="s">
        <v>120</v>
      </c>
      <c r="B298" s="42">
        <v>29.76350429</v>
      </c>
      <c r="D298" t="s">
        <v>156</v>
      </c>
      <c r="E298" t="s">
        <v>990</v>
      </c>
      <c r="F298" s="30">
        <v>44937</v>
      </c>
      <c r="G298" s="189">
        <v>44937.666669409722</v>
      </c>
      <c r="I298" t="str">
        <f t="shared" si="8"/>
        <v>HUBI</v>
      </c>
      <c r="J298" s="56">
        <f t="shared" si="9"/>
        <v>44937.666669409722</v>
      </c>
    </row>
    <row r="299" spans="1:10" x14ac:dyDescent="0.25">
      <c r="A299" t="s">
        <v>120</v>
      </c>
      <c r="B299" s="42">
        <v>44.266270740000003</v>
      </c>
      <c r="D299" t="s">
        <v>25</v>
      </c>
      <c r="E299" t="s">
        <v>990</v>
      </c>
      <c r="F299" s="30">
        <v>44937</v>
      </c>
      <c r="G299" s="189">
        <v>44937.666669409722</v>
      </c>
      <c r="I299" t="str">
        <f t="shared" si="8"/>
        <v>HUBI</v>
      </c>
      <c r="J299" s="56">
        <f t="shared" si="9"/>
        <v>44937.666669409722</v>
      </c>
    </row>
    <row r="300" spans="1:10" x14ac:dyDescent="0.25">
      <c r="A300" t="s">
        <v>120</v>
      </c>
      <c r="B300" s="42">
        <v>6.3152970000000003E-2</v>
      </c>
      <c r="D300" t="s">
        <v>157</v>
      </c>
      <c r="E300" t="s">
        <v>990</v>
      </c>
      <c r="F300" s="30">
        <v>44937</v>
      </c>
      <c r="G300" s="189">
        <v>44937.666669409722</v>
      </c>
      <c r="I300" t="str">
        <f t="shared" si="8"/>
        <v>HUBI</v>
      </c>
      <c r="J300" s="56">
        <f t="shared" si="9"/>
        <v>44937.666669409722</v>
      </c>
    </row>
    <row r="301" spans="1:10" x14ac:dyDescent="0.25">
      <c r="A301" t="s">
        <v>120</v>
      </c>
      <c r="B301" s="42">
        <v>20</v>
      </c>
      <c r="D301" t="s">
        <v>158</v>
      </c>
      <c r="E301" t="s">
        <v>990</v>
      </c>
      <c r="F301" s="30">
        <v>44937</v>
      </c>
      <c r="G301" s="189">
        <v>44937.666669409722</v>
      </c>
      <c r="I301" t="str">
        <f t="shared" si="8"/>
        <v>HUBI</v>
      </c>
      <c r="J301" s="56">
        <f t="shared" si="9"/>
        <v>44937.666669409722</v>
      </c>
    </row>
    <row r="302" spans="1:10" x14ac:dyDescent="0.25">
      <c r="A302" t="s">
        <v>120</v>
      </c>
      <c r="B302" s="42">
        <v>1E-8</v>
      </c>
      <c r="D302" t="s">
        <v>159</v>
      </c>
      <c r="E302" t="s">
        <v>990</v>
      </c>
      <c r="F302" s="30">
        <v>44937</v>
      </c>
      <c r="G302" s="189">
        <v>44937.666669409722</v>
      </c>
      <c r="I302" t="str">
        <f t="shared" si="8"/>
        <v>HUBI</v>
      </c>
      <c r="J302" s="56">
        <f t="shared" si="9"/>
        <v>44937.666669409722</v>
      </c>
    </row>
    <row r="303" spans="1:10" x14ac:dyDescent="0.25">
      <c r="A303" t="s">
        <v>120</v>
      </c>
      <c r="B303" s="42">
        <v>5.6000000000000004E-7</v>
      </c>
      <c r="D303" t="s">
        <v>92</v>
      </c>
      <c r="E303" t="s">
        <v>990</v>
      </c>
      <c r="F303" s="30">
        <v>44937</v>
      </c>
      <c r="G303" s="189">
        <v>44937.666669409722</v>
      </c>
      <c r="I303" t="str">
        <f t="shared" si="8"/>
        <v>HUBI</v>
      </c>
      <c r="J303" s="56">
        <f t="shared" si="9"/>
        <v>44937.666669409722</v>
      </c>
    </row>
    <row r="304" spans="1:10" x14ac:dyDescent="0.25">
      <c r="A304" t="s">
        <v>120</v>
      </c>
      <c r="B304" s="42">
        <v>0.34680431</v>
      </c>
      <c r="D304" t="s">
        <v>160</v>
      </c>
      <c r="E304" t="s">
        <v>990</v>
      </c>
      <c r="F304" s="30">
        <v>44937</v>
      </c>
      <c r="G304" s="189">
        <v>44937.666669409722</v>
      </c>
      <c r="I304" t="str">
        <f t="shared" si="8"/>
        <v>HUBI</v>
      </c>
      <c r="J304" s="56">
        <f t="shared" si="9"/>
        <v>44937.666669409722</v>
      </c>
    </row>
    <row r="305" spans="1:10" x14ac:dyDescent="0.25">
      <c r="A305" t="s">
        <v>120</v>
      </c>
      <c r="B305" s="42">
        <v>4143338.6014388101</v>
      </c>
      <c r="D305" t="s">
        <v>38</v>
      </c>
      <c r="E305" t="s">
        <v>990</v>
      </c>
      <c r="F305" s="30">
        <v>44937</v>
      </c>
      <c r="G305" s="189">
        <v>44937.666669409722</v>
      </c>
      <c r="I305" t="str">
        <f t="shared" si="8"/>
        <v>HUBI</v>
      </c>
      <c r="J305" s="56">
        <f t="shared" si="9"/>
        <v>44937.666669409722</v>
      </c>
    </row>
    <row r="306" spans="1:10" x14ac:dyDescent="0.25">
      <c r="A306" t="s">
        <v>120</v>
      </c>
      <c r="B306" s="42">
        <v>25.959481520000001</v>
      </c>
      <c r="D306" t="s">
        <v>196</v>
      </c>
      <c r="E306" t="s">
        <v>990</v>
      </c>
      <c r="F306" s="30">
        <v>44937</v>
      </c>
      <c r="G306" s="189">
        <v>44937.666669409722</v>
      </c>
      <c r="I306" t="str">
        <f t="shared" si="8"/>
        <v>HUBI</v>
      </c>
      <c r="J306" s="56">
        <f t="shared" si="9"/>
        <v>44937.666669409722</v>
      </c>
    </row>
    <row r="307" spans="1:10" x14ac:dyDescent="0.25">
      <c r="A307" t="s">
        <v>120</v>
      </c>
      <c r="B307" s="42">
        <v>0.20872535</v>
      </c>
      <c r="D307" t="s">
        <v>161</v>
      </c>
      <c r="E307" t="s">
        <v>990</v>
      </c>
      <c r="F307" s="30">
        <v>44937</v>
      </c>
      <c r="G307" s="189">
        <v>44937.666669409722</v>
      </c>
      <c r="I307" t="str">
        <f t="shared" si="8"/>
        <v>HUBI</v>
      </c>
      <c r="J307" s="56">
        <f t="shared" si="9"/>
        <v>44937.666669409722</v>
      </c>
    </row>
    <row r="308" spans="1:10" x14ac:dyDescent="0.25">
      <c r="A308" t="s">
        <v>120</v>
      </c>
      <c r="B308" s="42">
        <v>97856389.900000006</v>
      </c>
      <c r="D308" t="s">
        <v>162</v>
      </c>
      <c r="E308" t="s">
        <v>990</v>
      </c>
      <c r="F308" s="30">
        <v>44937</v>
      </c>
      <c r="G308" s="189">
        <v>44937.666669409722</v>
      </c>
      <c r="I308" t="str">
        <f t="shared" si="8"/>
        <v>HUBI</v>
      </c>
      <c r="J308" s="56">
        <f t="shared" si="9"/>
        <v>44937.666669409722</v>
      </c>
    </row>
    <row r="309" spans="1:10" x14ac:dyDescent="0.25">
      <c r="A309" t="s">
        <v>120</v>
      </c>
      <c r="B309" s="42">
        <v>0.55556267999999998</v>
      </c>
      <c r="D309" t="s">
        <v>163</v>
      </c>
      <c r="E309" t="s">
        <v>990</v>
      </c>
      <c r="F309" s="30">
        <v>44937</v>
      </c>
      <c r="G309" s="189">
        <v>44937.666669409722</v>
      </c>
      <c r="I309" t="str">
        <f t="shared" si="8"/>
        <v>HUBI</v>
      </c>
      <c r="J309" s="56">
        <f t="shared" si="9"/>
        <v>44937.666669409722</v>
      </c>
    </row>
    <row r="310" spans="1:10" x14ac:dyDescent="0.25">
      <c r="A310" t="s">
        <v>120</v>
      </c>
      <c r="B310" s="42">
        <v>1045.2618095800001</v>
      </c>
      <c r="D310" t="s">
        <v>99</v>
      </c>
      <c r="E310" t="s">
        <v>990</v>
      </c>
      <c r="F310" s="30">
        <v>44937</v>
      </c>
      <c r="G310" s="189">
        <v>44937.666669409722</v>
      </c>
      <c r="I310" t="str">
        <f t="shared" si="8"/>
        <v>HUBI</v>
      </c>
      <c r="J310" s="56">
        <f t="shared" si="9"/>
        <v>44937.666669409722</v>
      </c>
    </row>
    <row r="311" spans="1:10" x14ac:dyDescent="0.25">
      <c r="A311" t="s">
        <v>120</v>
      </c>
      <c r="B311" s="42">
        <v>3.9304560899999998</v>
      </c>
      <c r="D311" t="s">
        <v>164</v>
      </c>
      <c r="E311" t="s">
        <v>990</v>
      </c>
      <c r="F311" s="30">
        <v>44937</v>
      </c>
      <c r="G311" s="189">
        <v>44937.666669409722</v>
      </c>
      <c r="I311" t="str">
        <f t="shared" si="8"/>
        <v>HUBI</v>
      </c>
      <c r="J311" s="56">
        <f t="shared" si="9"/>
        <v>44937.666669409722</v>
      </c>
    </row>
    <row r="312" spans="1:10" x14ac:dyDescent="0.25">
      <c r="A312" t="s">
        <v>120</v>
      </c>
      <c r="B312" s="42">
        <v>1.329583E-2</v>
      </c>
      <c r="D312" t="s">
        <v>117</v>
      </c>
      <c r="E312" t="s">
        <v>990</v>
      </c>
      <c r="F312" s="30">
        <v>44937</v>
      </c>
      <c r="G312" s="189">
        <v>44937.666669409722</v>
      </c>
      <c r="I312" t="str">
        <f t="shared" si="8"/>
        <v>HUBI</v>
      </c>
      <c r="J312" s="56">
        <f t="shared" si="9"/>
        <v>44937.666669409722</v>
      </c>
    </row>
    <row r="313" spans="1:10" x14ac:dyDescent="0.25">
      <c r="A313" t="s">
        <v>120</v>
      </c>
      <c r="B313" s="42">
        <v>2.173E-4</v>
      </c>
      <c r="D313" t="s">
        <v>165</v>
      </c>
      <c r="E313" t="s">
        <v>990</v>
      </c>
      <c r="F313" s="30">
        <v>44937</v>
      </c>
      <c r="G313" s="189">
        <v>44937.666669409722</v>
      </c>
      <c r="I313" t="str">
        <f t="shared" si="8"/>
        <v>HUBI</v>
      </c>
      <c r="J313" s="56">
        <f t="shared" si="9"/>
        <v>44937.666669409722</v>
      </c>
    </row>
    <row r="314" spans="1:10" x14ac:dyDescent="0.25">
      <c r="A314" t="s">
        <v>120</v>
      </c>
      <c r="B314" s="42">
        <v>1426199.50302384</v>
      </c>
      <c r="D314" t="s">
        <v>26</v>
      </c>
      <c r="E314" t="s">
        <v>990</v>
      </c>
      <c r="F314" s="30">
        <v>44937</v>
      </c>
      <c r="G314" s="189">
        <v>44937.666669409722</v>
      </c>
      <c r="I314" t="str">
        <f t="shared" si="8"/>
        <v>HUBI</v>
      </c>
      <c r="J314" s="56">
        <f t="shared" si="9"/>
        <v>44937.666669409722</v>
      </c>
    </row>
    <row r="315" spans="1:10" x14ac:dyDescent="0.25">
      <c r="A315" t="s">
        <v>166</v>
      </c>
      <c r="B315" s="42">
        <v>1E-8</v>
      </c>
      <c r="D315" t="s">
        <v>20</v>
      </c>
      <c r="E315" t="s">
        <v>990</v>
      </c>
      <c r="F315" s="30">
        <v>44937</v>
      </c>
      <c r="G315" s="189">
        <v>44937.666669409722</v>
      </c>
      <c r="I315" t="str">
        <f t="shared" si="8"/>
        <v>HUBI</v>
      </c>
      <c r="J315" s="56">
        <f t="shared" si="9"/>
        <v>44937.666669409722</v>
      </c>
    </row>
    <row r="316" spans="1:10" x14ac:dyDescent="0.25">
      <c r="A316" t="s">
        <v>166</v>
      </c>
      <c r="B316" s="42">
        <v>1E-8</v>
      </c>
      <c r="D316" t="s">
        <v>29</v>
      </c>
      <c r="E316" t="s">
        <v>990</v>
      </c>
      <c r="F316" s="30">
        <v>44937</v>
      </c>
      <c r="G316" s="189">
        <v>44937.666669409722</v>
      </c>
      <c r="I316" t="str">
        <f t="shared" si="8"/>
        <v>HUBI</v>
      </c>
      <c r="J316" s="56">
        <f t="shared" si="9"/>
        <v>44937.666669409722</v>
      </c>
    </row>
    <row r="317" spans="1:10" x14ac:dyDescent="0.25">
      <c r="A317" t="s">
        <v>166</v>
      </c>
      <c r="B317" s="42">
        <v>1E-8</v>
      </c>
      <c r="D317" t="s">
        <v>24</v>
      </c>
      <c r="E317" t="s">
        <v>990</v>
      </c>
      <c r="F317" s="30">
        <v>44937</v>
      </c>
      <c r="G317" s="189">
        <v>44937.666669409722</v>
      </c>
      <c r="I317" t="str">
        <f t="shared" si="8"/>
        <v>HUBI</v>
      </c>
      <c r="J317" s="56">
        <f t="shared" si="9"/>
        <v>44937.666669409722</v>
      </c>
    </row>
    <row r="318" spans="1:10" x14ac:dyDescent="0.25">
      <c r="A318" t="s">
        <v>166</v>
      </c>
      <c r="B318" s="42">
        <v>1E-8</v>
      </c>
      <c r="D318" t="s">
        <v>25</v>
      </c>
      <c r="E318" t="s">
        <v>990</v>
      </c>
      <c r="F318" s="30">
        <v>44937</v>
      </c>
      <c r="G318" s="189">
        <v>44937.666669409722</v>
      </c>
      <c r="I318" t="str">
        <f t="shared" si="8"/>
        <v>HUBI</v>
      </c>
      <c r="J318" s="56">
        <f t="shared" si="9"/>
        <v>44937.666669409722</v>
      </c>
    </row>
    <row r="319" spans="1:10" x14ac:dyDescent="0.25">
      <c r="A319" t="s">
        <v>166</v>
      </c>
      <c r="B319" s="42">
        <v>0.90999770000000002</v>
      </c>
      <c r="D319" t="s">
        <v>38</v>
      </c>
      <c r="E319" t="s">
        <v>990</v>
      </c>
      <c r="F319" s="30">
        <v>44937</v>
      </c>
      <c r="G319" s="189">
        <v>44937.666669409722</v>
      </c>
      <c r="I319" t="str">
        <f t="shared" si="8"/>
        <v>HUBI</v>
      </c>
      <c r="J319" s="56">
        <f t="shared" si="9"/>
        <v>44937.666669409722</v>
      </c>
    </row>
    <row r="320" spans="1:10" x14ac:dyDescent="0.25">
      <c r="A320" t="s">
        <v>166</v>
      </c>
      <c r="B320" s="42">
        <v>7.6039999999999997E-5</v>
      </c>
      <c r="D320" t="s">
        <v>99</v>
      </c>
      <c r="E320" t="s">
        <v>990</v>
      </c>
      <c r="F320" s="30">
        <v>44937</v>
      </c>
      <c r="G320" s="189">
        <v>44937.666669409722</v>
      </c>
      <c r="I320" t="str">
        <f t="shared" si="8"/>
        <v>HUBI</v>
      </c>
      <c r="J320" s="56">
        <f t="shared" si="9"/>
        <v>44937.666669409722</v>
      </c>
    </row>
    <row r="321" spans="1:10" x14ac:dyDescent="0.25">
      <c r="A321" t="s">
        <v>167</v>
      </c>
      <c r="B321" s="42">
        <v>1.7695412699999999</v>
      </c>
      <c r="D321" t="s">
        <v>20</v>
      </c>
      <c r="E321" t="s">
        <v>994</v>
      </c>
      <c r="F321" s="30">
        <v>44937</v>
      </c>
      <c r="G321" s="189">
        <v>44937.666742245368</v>
      </c>
      <c r="I321" t="str">
        <f t="shared" si="8"/>
        <v>KRKE</v>
      </c>
      <c r="J321" s="56">
        <f t="shared" si="9"/>
        <v>44937.666742245368</v>
      </c>
    </row>
    <row r="322" spans="1:10" x14ac:dyDescent="0.25">
      <c r="A322" t="s">
        <v>167</v>
      </c>
      <c r="B322" s="42">
        <v>1.8847761800000001E-2</v>
      </c>
      <c r="D322" t="s">
        <v>14</v>
      </c>
      <c r="E322" t="s">
        <v>994</v>
      </c>
      <c r="F322" s="30">
        <v>44937</v>
      </c>
      <c r="G322" s="189">
        <v>44937.666742245368</v>
      </c>
      <c r="I322" t="str">
        <f t="shared" si="8"/>
        <v>KRKE</v>
      </c>
      <c r="J322" s="56">
        <f t="shared" si="9"/>
        <v>44937.666742245368</v>
      </c>
    </row>
    <row r="323" spans="1:10" x14ac:dyDescent="0.25">
      <c r="A323" t="s">
        <v>167</v>
      </c>
      <c r="B323" s="42">
        <v>9.9499194400000004</v>
      </c>
      <c r="D323" t="s">
        <v>23</v>
      </c>
      <c r="E323" t="s">
        <v>994</v>
      </c>
      <c r="F323" s="30">
        <v>44937</v>
      </c>
      <c r="G323" s="189">
        <v>44937.666742245368</v>
      </c>
      <c r="I323" t="str">
        <f t="shared" ref="I323:I386" si="10">IF($A323="","",RIGHT($E323,LEN($E323)-SEARCH(".",$E323)))</f>
        <v>KRKE</v>
      </c>
      <c r="J323" s="56">
        <f t="shared" ref="J323:J386" si="11">IF($A323="","",$G323)</f>
        <v>44937.666742245368</v>
      </c>
    </row>
    <row r="324" spans="1:10" x14ac:dyDescent="0.25">
      <c r="A324" t="s">
        <v>167</v>
      </c>
      <c r="B324" s="42">
        <v>704924.41960014997</v>
      </c>
      <c r="D324" t="s">
        <v>89</v>
      </c>
      <c r="E324" t="s">
        <v>994</v>
      </c>
      <c r="F324" s="30">
        <v>44937</v>
      </c>
      <c r="G324" s="189">
        <v>44937.638918321762</v>
      </c>
      <c r="I324" t="str">
        <f t="shared" si="10"/>
        <v>KRKE</v>
      </c>
      <c r="J324" s="56">
        <f t="shared" si="11"/>
        <v>44937.638918321762</v>
      </c>
    </row>
    <row r="325" spans="1:10" x14ac:dyDescent="0.25">
      <c r="A325" t="s">
        <v>167</v>
      </c>
      <c r="B325" s="42">
        <v>0.10834547999999999</v>
      </c>
      <c r="D325" t="s">
        <v>98</v>
      </c>
      <c r="E325" t="s">
        <v>994</v>
      </c>
      <c r="F325" s="30">
        <v>44937</v>
      </c>
      <c r="G325" s="189">
        <v>44937.666742245368</v>
      </c>
      <c r="I325" t="str">
        <f t="shared" si="10"/>
        <v>KRKE</v>
      </c>
      <c r="J325" s="56">
        <f t="shared" si="11"/>
        <v>44937.666742245368</v>
      </c>
    </row>
    <row r="326" spans="1:10" x14ac:dyDescent="0.25">
      <c r="A326" t="s">
        <v>167</v>
      </c>
      <c r="B326" s="42">
        <v>127892.8939</v>
      </c>
      <c r="D326" t="s">
        <v>95</v>
      </c>
      <c r="E326" t="s">
        <v>994</v>
      </c>
      <c r="F326" s="30">
        <v>44937</v>
      </c>
      <c r="G326" s="189">
        <v>44937.666742442132</v>
      </c>
      <c r="I326" t="str">
        <f t="shared" si="10"/>
        <v>KRKE</v>
      </c>
      <c r="J326" s="56">
        <f t="shared" si="11"/>
        <v>44937.666742442132</v>
      </c>
    </row>
    <row r="327" spans="1:10" x14ac:dyDescent="0.25">
      <c r="A327" t="s">
        <v>167</v>
      </c>
      <c r="B327" s="42">
        <v>1.182861E-2</v>
      </c>
      <c r="D327" t="s">
        <v>38</v>
      </c>
      <c r="E327" t="s">
        <v>994</v>
      </c>
      <c r="F327" s="30">
        <v>44937</v>
      </c>
      <c r="G327" s="189">
        <v>44937.625051388888</v>
      </c>
      <c r="I327" t="str">
        <f t="shared" si="10"/>
        <v>KRKE</v>
      </c>
      <c r="J327" s="56">
        <f t="shared" si="11"/>
        <v>44937.625051388888</v>
      </c>
    </row>
    <row r="328" spans="1:10" x14ac:dyDescent="0.25">
      <c r="A328" t="s">
        <v>172</v>
      </c>
      <c r="B328" s="42">
        <v>7.4249999999999998</v>
      </c>
      <c r="D328" t="s">
        <v>14</v>
      </c>
      <c r="E328" t="s">
        <v>1003</v>
      </c>
      <c r="F328" s="30">
        <v>44937</v>
      </c>
      <c r="G328" s="189">
        <v>44937.668757638887</v>
      </c>
      <c r="I328" t="str">
        <f t="shared" si="10"/>
        <v>LMAC</v>
      </c>
      <c r="J328" s="56">
        <f t="shared" si="11"/>
        <v>44937.668757638887</v>
      </c>
    </row>
    <row r="329" spans="1:10" x14ac:dyDescent="0.25">
      <c r="A329" t="s">
        <v>172</v>
      </c>
      <c r="B329" s="42">
        <v>5.0000000000000001E-4</v>
      </c>
      <c r="D329" t="s">
        <v>15</v>
      </c>
      <c r="E329" t="s">
        <v>1003</v>
      </c>
      <c r="F329" s="30">
        <v>44937</v>
      </c>
      <c r="G329" s="189">
        <v>44937.668757638887</v>
      </c>
      <c r="I329" t="str">
        <f t="shared" si="10"/>
        <v>LMAC</v>
      </c>
      <c r="J329" s="56">
        <f t="shared" si="11"/>
        <v>44937.668757638887</v>
      </c>
    </row>
    <row r="330" spans="1:10" x14ac:dyDescent="0.25">
      <c r="A330" t="s">
        <v>172</v>
      </c>
      <c r="B330" s="42">
        <v>914.82898999999998</v>
      </c>
      <c r="D330" t="s">
        <v>24</v>
      </c>
      <c r="E330" t="s">
        <v>1003</v>
      </c>
      <c r="F330" s="30">
        <v>44937</v>
      </c>
      <c r="G330" s="189">
        <v>44937.668757638887</v>
      </c>
      <c r="I330" t="str">
        <f t="shared" si="10"/>
        <v>LMAC</v>
      </c>
      <c r="J330" s="56">
        <f t="shared" si="11"/>
        <v>44937.668757638887</v>
      </c>
    </row>
    <row r="331" spans="1:10" x14ac:dyDescent="0.25">
      <c r="A331" t="s">
        <v>172</v>
      </c>
      <c r="B331" s="42">
        <v>2.63E-3</v>
      </c>
      <c r="D331" t="s">
        <v>95</v>
      </c>
      <c r="E331" t="s">
        <v>1003</v>
      </c>
      <c r="F331" s="30">
        <v>44937</v>
      </c>
      <c r="G331" s="189">
        <v>44937.668757638887</v>
      </c>
      <c r="I331" t="str">
        <f t="shared" si="10"/>
        <v>LMAC</v>
      </c>
      <c r="J331" s="56">
        <f t="shared" si="11"/>
        <v>44937.668757638887</v>
      </c>
    </row>
    <row r="332" spans="1:10" x14ac:dyDescent="0.25">
      <c r="A332" t="s">
        <v>172</v>
      </c>
      <c r="B332" s="42">
        <v>493543</v>
      </c>
      <c r="D332" t="s">
        <v>99</v>
      </c>
      <c r="E332" t="s">
        <v>1003</v>
      </c>
      <c r="F332" s="30">
        <v>44937</v>
      </c>
      <c r="G332" s="189">
        <v>44937.668757638887</v>
      </c>
      <c r="I332" t="str">
        <f t="shared" si="10"/>
        <v>LMAC</v>
      </c>
      <c r="J332" s="56">
        <f t="shared" si="11"/>
        <v>44937.668757638887</v>
      </c>
    </row>
    <row r="333" spans="1:10" x14ac:dyDescent="0.25">
      <c r="A333" t="s">
        <v>173</v>
      </c>
      <c r="B333" s="42">
        <v>10138.725630000001</v>
      </c>
      <c r="D333" t="s">
        <v>95</v>
      </c>
      <c r="E333" t="s">
        <v>1005</v>
      </c>
      <c r="F333" s="30">
        <v>44937</v>
      </c>
      <c r="G333" s="189">
        <v>44937.668757638887</v>
      </c>
      <c r="I333" t="str">
        <f t="shared" si="10"/>
        <v>LMAX</v>
      </c>
      <c r="J333" s="56">
        <f t="shared" si="11"/>
        <v>44937.668757638887</v>
      </c>
    </row>
    <row r="334" spans="1:10" x14ac:dyDescent="0.25">
      <c r="A334" t="s">
        <v>46</v>
      </c>
      <c r="B334" s="42">
        <v>-3.1000869804345399</v>
      </c>
      <c r="D334" t="s">
        <v>20</v>
      </c>
      <c r="E334" t="s">
        <v>996</v>
      </c>
      <c r="F334" s="30">
        <v>44937</v>
      </c>
      <c r="G334" s="189">
        <v>44937.668607233798</v>
      </c>
      <c r="I334" t="str">
        <f t="shared" si="10"/>
        <v>OKEX</v>
      </c>
      <c r="J334" s="56">
        <f t="shared" si="11"/>
        <v>44937.668607233798</v>
      </c>
    </row>
    <row r="335" spans="1:10" x14ac:dyDescent="0.25">
      <c r="A335" t="s">
        <v>46</v>
      </c>
      <c r="B335" s="42">
        <v>583.22377862795702</v>
      </c>
      <c r="D335" t="s">
        <v>14</v>
      </c>
      <c r="E335" t="s">
        <v>996</v>
      </c>
      <c r="F335" s="30">
        <v>44937</v>
      </c>
      <c r="G335" s="189">
        <v>44937.668607233798</v>
      </c>
      <c r="I335" t="str">
        <f t="shared" si="10"/>
        <v>OKEX</v>
      </c>
      <c r="J335" s="56">
        <f t="shared" si="11"/>
        <v>44937.668607233798</v>
      </c>
    </row>
    <row r="336" spans="1:10" x14ac:dyDescent="0.25">
      <c r="A336" t="s">
        <v>46</v>
      </c>
      <c r="B336" s="42">
        <v>-11.9986983082007</v>
      </c>
      <c r="C336" t="s">
        <v>90</v>
      </c>
      <c r="D336" t="s">
        <v>14</v>
      </c>
      <c r="E336" t="s">
        <v>996</v>
      </c>
      <c r="F336" s="30">
        <v>44937</v>
      </c>
      <c r="G336" s="189">
        <v>44937.668607233798</v>
      </c>
      <c r="I336" t="str">
        <f t="shared" si="10"/>
        <v>OKEX</v>
      </c>
      <c r="J336" s="56">
        <f t="shared" si="11"/>
        <v>44937.668607233798</v>
      </c>
    </row>
    <row r="337" spans="1:10" x14ac:dyDescent="0.25">
      <c r="A337" t="s">
        <v>46</v>
      </c>
      <c r="B337" s="42">
        <v>-36379.531990191201</v>
      </c>
      <c r="D337" t="s">
        <v>23</v>
      </c>
      <c r="E337" t="s">
        <v>996</v>
      </c>
      <c r="F337" s="30">
        <v>44937</v>
      </c>
      <c r="G337" s="189">
        <v>44937.668607233798</v>
      </c>
      <c r="I337" t="str">
        <f t="shared" si="10"/>
        <v>OKEX</v>
      </c>
      <c r="J337" s="56">
        <f t="shared" si="11"/>
        <v>44937.668607233798</v>
      </c>
    </row>
    <row r="338" spans="1:10" x14ac:dyDescent="0.25">
      <c r="A338" t="s">
        <v>46</v>
      </c>
      <c r="B338" s="42">
        <v>-243.191567647114</v>
      </c>
      <c r="C338" t="s">
        <v>90</v>
      </c>
      <c r="D338" t="s">
        <v>15</v>
      </c>
      <c r="E338" t="s">
        <v>996</v>
      </c>
      <c r="F338" s="30">
        <v>44937</v>
      </c>
      <c r="G338" s="189">
        <v>44937.668607233798</v>
      </c>
      <c r="I338" t="str">
        <f t="shared" si="10"/>
        <v>OKEX</v>
      </c>
      <c r="J338" s="56">
        <f t="shared" si="11"/>
        <v>44937.668607233798</v>
      </c>
    </row>
    <row r="339" spans="1:10" x14ac:dyDescent="0.25">
      <c r="A339" t="s">
        <v>46</v>
      </c>
      <c r="B339" s="42">
        <v>8916.4490418188798</v>
      </c>
      <c r="D339" t="s">
        <v>15</v>
      </c>
      <c r="E339" t="s">
        <v>996</v>
      </c>
      <c r="F339" s="30">
        <v>44937</v>
      </c>
      <c r="G339" s="189">
        <v>44937.668607233798</v>
      </c>
      <c r="I339" t="str">
        <f t="shared" si="10"/>
        <v>OKEX</v>
      </c>
      <c r="J339" s="56">
        <f t="shared" si="11"/>
        <v>44937.668607233798</v>
      </c>
    </row>
    <row r="340" spans="1:10" x14ac:dyDescent="0.25">
      <c r="A340" t="s">
        <v>46</v>
      </c>
      <c r="B340" s="42">
        <v>-3.6960239470788601E-2</v>
      </c>
      <c r="D340" t="s">
        <v>30</v>
      </c>
      <c r="E340" t="s">
        <v>996</v>
      </c>
      <c r="F340" s="30">
        <v>44937</v>
      </c>
      <c r="G340" s="189">
        <v>44937.668607233798</v>
      </c>
      <c r="I340" t="str">
        <f t="shared" si="10"/>
        <v>OKEX</v>
      </c>
      <c r="J340" s="56">
        <f t="shared" si="11"/>
        <v>44937.668607233798</v>
      </c>
    </row>
    <row r="341" spans="1:10" x14ac:dyDescent="0.25">
      <c r="A341" t="s">
        <v>46</v>
      </c>
      <c r="B341" s="42">
        <v>-330.29248286191199</v>
      </c>
      <c r="D341" t="s">
        <v>24</v>
      </c>
      <c r="E341" t="s">
        <v>996</v>
      </c>
      <c r="F341" s="30">
        <v>44937</v>
      </c>
      <c r="G341" s="189">
        <v>44937.668607233798</v>
      </c>
      <c r="I341" t="str">
        <f t="shared" si="10"/>
        <v>OKEX</v>
      </c>
      <c r="J341" s="56">
        <f t="shared" si="11"/>
        <v>44937.668607233798</v>
      </c>
    </row>
    <row r="342" spans="1:10" x14ac:dyDescent="0.25">
      <c r="A342" t="s">
        <v>46</v>
      </c>
      <c r="B342" s="42">
        <v>607691.198039921</v>
      </c>
      <c r="D342" t="s">
        <v>89</v>
      </c>
      <c r="E342" t="s">
        <v>996</v>
      </c>
      <c r="F342" s="30">
        <v>44937</v>
      </c>
      <c r="G342" s="189">
        <v>44937.668607233798</v>
      </c>
      <c r="I342" t="str">
        <f t="shared" si="10"/>
        <v>OKEX</v>
      </c>
      <c r="J342" s="56">
        <f t="shared" si="11"/>
        <v>44937.668607233798</v>
      </c>
    </row>
    <row r="343" spans="1:10" x14ac:dyDescent="0.25">
      <c r="A343" t="s">
        <v>46</v>
      </c>
      <c r="B343" s="42">
        <v>-10046732664.0452</v>
      </c>
      <c r="D343" t="s">
        <v>37</v>
      </c>
      <c r="E343" t="s">
        <v>996</v>
      </c>
      <c r="F343" s="30">
        <v>44937</v>
      </c>
      <c r="G343" s="189">
        <v>44937.668607233798</v>
      </c>
      <c r="I343" t="str">
        <f t="shared" si="10"/>
        <v>OKEX</v>
      </c>
      <c r="J343" s="56">
        <f t="shared" si="11"/>
        <v>44937.668607233798</v>
      </c>
    </row>
    <row r="344" spans="1:10" x14ac:dyDescent="0.25">
      <c r="A344" t="s">
        <v>46</v>
      </c>
      <c r="B344" s="42">
        <v>365318.65383019298</v>
      </c>
      <c r="C344" t="s">
        <v>90</v>
      </c>
      <c r="D344" t="s">
        <v>38</v>
      </c>
      <c r="E344" t="s">
        <v>996</v>
      </c>
      <c r="F344" s="30">
        <v>44937</v>
      </c>
      <c r="G344" s="189">
        <v>44937.668607233798</v>
      </c>
      <c r="I344" t="str">
        <f t="shared" si="10"/>
        <v>OKEX</v>
      </c>
      <c r="J344" s="56">
        <f t="shared" si="11"/>
        <v>44937.668607233798</v>
      </c>
    </row>
    <row r="345" spans="1:10" x14ac:dyDescent="0.25">
      <c r="A345" t="s">
        <v>46</v>
      </c>
      <c r="B345" s="42">
        <v>3626830.2206274001</v>
      </c>
      <c r="D345" t="s">
        <v>38</v>
      </c>
      <c r="E345" t="s">
        <v>996</v>
      </c>
      <c r="F345" s="30">
        <v>44937</v>
      </c>
      <c r="G345" s="189">
        <v>44937.668607233798</v>
      </c>
      <c r="I345" t="str">
        <f t="shared" si="10"/>
        <v>OKEX</v>
      </c>
      <c r="J345" s="56">
        <f t="shared" si="11"/>
        <v>44937.668607233798</v>
      </c>
    </row>
    <row r="346" spans="1:10" x14ac:dyDescent="0.25">
      <c r="A346" t="s">
        <v>46</v>
      </c>
      <c r="B346" s="42">
        <v>-2045.72899234806</v>
      </c>
      <c r="D346" t="s">
        <v>99</v>
      </c>
      <c r="E346" t="s">
        <v>996</v>
      </c>
      <c r="F346" s="30">
        <v>44937</v>
      </c>
      <c r="G346" s="189">
        <v>44937.668607233798</v>
      </c>
      <c r="I346" t="str">
        <f t="shared" si="10"/>
        <v>OKEX</v>
      </c>
      <c r="J346" s="56">
        <f t="shared" si="11"/>
        <v>44937.668607233798</v>
      </c>
    </row>
    <row r="347" spans="1:10" x14ac:dyDescent="0.25">
      <c r="A347" t="s">
        <v>46</v>
      </c>
      <c r="B347" s="42">
        <v>3424548.2799914898</v>
      </c>
      <c r="D347" t="s">
        <v>26</v>
      </c>
      <c r="E347" t="s">
        <v>996</v>
      </c>
      <c r="F347" s="30">
        <v>44937</v>
      </c>
      <c r="G347" s="189">
        <v>44937.668607233798</v>
      </c>
      <c r="I347" t="str">
        <f t="shared" si="10"/>
        <v>OKEX</v>
      </c>
      <c r="J347" s="56">
        <f t="shared" si="11"/>
        <v>44937.668607233798</v>
      </c>
    </row>
    <row r="348" spans="1:10" x14ac:dyDescent="0.25">
      <c r="A348" t="s">
        <v>174</v>
      </c>
      <c r="B348" s="42">
        <v>3.3324575999999999E-9</v>
      </c>
      <c r="C348" t="s">
        <v>72</v>
      </c>
      <c r="D348" t="s">
        <v>20</v>
      </c>
      <c r="E348" t="s">
        <v>996</v>
      </c>
      <c r="F348" s="30">
        <v>44937</v>
      </c>
      <c r="G348" s="189">
        <v>44937.666671377316</v>
      </c>
      <c r="I348" t="str">
        <f t="shared" si="10"/>
        <v>OKEX</v>
      </c>
      <c r="J348" s="56">
        <f t="shared" si="11"/>
        <v>44937.666671377316</v>
      </c>
    </row>
    <row r="349" spans="1:10" x14ac:dyDescent="0.25">
      <c r="A349" t="s">
        <v>174</v>
      </c>
      <c r="B349" s="42">
        <v>9.4549999999999994E-5</v>
      </c>
      <c r="C349" t="s">
        <v>72</v>
      </c>
      <c r="D349" t="s">
        <v>113</v>
      </c>
      <c r="E349" t="s">
        <v>996</v>
      </c>
      <c r="F349" s="30">
        <v>44937</v>
      </c>
      <c r="G349" s="189">
        <v>44937.666671377316</v>
      </c>
      <c r="I349" t="str">
        <f t="shared" si="10"/>
        <v>OKEX</v>
      </c>
      <c r="J349" s="56">
        <f t="shared" si="11"/>
        <v>44937.666671377316</v>
      </c>
    </row>
    <row r="350" spans="1:10" x14ac:dyDescent="0.25">
      <c r="A350" t="s">
        <v>174</v>
      </c>
      <c r="B350" s="42">
        <v>8.6419723E-9</v>
      </c>
      <c r="C350" t="s">
        <v>72</v>
      </c>
      <c r="D350" t="s">
        <v>22</v>
      </c>
      <c r="E350" t="s">
        <v>996</v>
      </c>
      <c r="F350" s="30">
        <v>44937</v>
      </c>
      <c r="G350" s="189">
        <v>44937.666671377316</v>
      </c>
      <c r="I350" t="str">
        <f t="shared" si="10"/>
        <v>OKEX</v>
      </c>
      <c r="J350" s="56">
        <f t="shared" si="11"/>
        <v>44937.666671377316</v>
      </c>
    </row>
    <row r="351" spans="1:10" x14ac:dyDescent="0.25">
      <c r="A351" t="s">
        <v>174</v>
      </c>
      <c r="B351" s="42">
        <v>2.7714130000000002E-9</v>
      </c>
      <c r="C351" t="s">
        <v>72</v>
      </c>
      <c r="D351" t="s">
        <v>29</v>
      </c>
      <c r="E351" t="s">
        <v>996</v>
      </c>
      <c r="F351" s="30">
        <v>44937</v>
      </c>
      <c r="G351" s="189">
        <v>44937.666671377316</v>
      </c>
      <c r="I351" t="str">
        <f t="shared" si="10"/>
        <v>OKEX</v>
      </c>
      <c r="J351" s="56">
        <f t="shared" si="11"/>
        <v>44937.666671377316</v>
      </c>
    </row>
    <row r="352" spans="1:10" x14ac:dyDescent="0.25">
      <c r="A352" t="s">
        <v>174</v>
      </c>
      <c r="B352" s="42">
        <v>8.7934414489999996E-5</v>
      </c>
      <c r="C352" t="s">
        <v>72</v>
      </c>
      <c r="D352" t="s">
        <v>272</v>
      </c>
      <c r="E352" t="s">
        <v>996</v>
      </c>
      <c r="F352" s="30">
        <v>44937</v>
      </c>
      <c r="G352" s="189">
        <v>44937.666671377316</v>
      </c>
      <c r="I352" t="str">
        <f t="shared" si="10"/>
        <v>OKEX</v>
      </c>
      <c r="J352" s="56">
        <f t="shared" si="11"/>
        <v>44937.666671377316</v>
      </c>
    </row>
    <row r="353" spans="1:10" x14ac:dyDescent="0.25">
      <c r="A353" t="s">
        <v>174</v>
      </c>
      <c r="B353" s="42">
        <v>6.8821467999999997E-9</v>
      </c>
      <c r="C353" t="s">
        <v>72</v>
      </c>
      <c r="D353" t="s">
        <v>24</v>
      </c>
      <c r="E353" t="s">
        <v>996</v>
      </c>
      <c r="F353" s="30">
        <v>44937</v>
      </c>
      <c r="G353" s="189">
        <v>44937.666671377316</v>
      </c>
      <c r="I353" t="str">
        <f t="shared" si="10"/>
        <v>OKEX</v>
      </c>
      <c r="J353" s="56">
        <f t="shared" si="11"/>
        <v>44937.666671377316</v>
      </c>
    </row>
    <row r="354" spans="1:10" x14ac:dyDescent="0.25">
      <c r="A354" t="s">
        <v>174</v>
      </c>
      <c r="B354" s="42">
        <v>8.1456625171150003E-4</v>
      </c>
      <c r="C354" t="s">
        <v>72</v>
      </c>
      <c r="D354" t="s">
        <v>37</v>
      </c>
      <c r="E354" t="s">
        <v>996</v>
      </c>
      <c r="F354" s="30">
        <v>44937</v>
      </c>
      <c r="G354" s="189">
        <v>44937.666671377316</v>
      </c>
      <c r="I354" t="str">
        <f t="shared" si="10"/>
        <v>OKEX</v>
      </c>
      <c r="J354" s="56">
        <f t="shared" si="11"/>
        <v>44937.666671377316</v>
      </c>
    </row>
    <row r="355" spans="1:10" x14ac:dyDescent="0.25">
      <c r="A355" t="s">
        <v>174</v>
      </c>
      <c r="B355" s="42">
        <v>5.1611396659999999E-7</v>
      </c>
      <c r="C355" t="s">
        <v>72</v>
      </c>
      <c r="D355" t="s">
        <v>92</v>
      </c>
      <c r="E355" t="s">
        <v>996</v>
      </c>
      <c r="F355" s="30">
        <v>44937</v>
      </c>
      <c r="G355" s="189">
        <v>44937.666671377316</v>
      </c>
      <c r="I355" t="str">
        <f t="shared" si="10"/>
        <v>OKEX</v>
      </c>
      <c r="J355" s="56">
        <f t="shared" si="11"/>
        <v>44937.666671377316</v>
      </c>
    </row>
    <row r="356" spans="1:10" x14ac:dyDescent="0.25">
      <c r="A356" t="s">
        <v>174</v>
      </c>
      <c r="B356" s="42">
        <v>5.47</v>
      </c>
      <c r="C356" t="s">
        <v>72</v>
      </c>
      <c r="D356" t="s">
        <v>162</v>
      </c>
      <c r="E356" t="s">
        <v>996</v>
      </c>
      <c r="F356" s="30">
        <v>44937</v>
      </c>
      <c r="G356" s="189">
        <v>44937.666671377316</v>
      </c>
      <c r="I356" t="str">
        <f t="shared" si="10"/>
        <v>OKEX</v>
      </c>
      <c r="J356" s="56">
        <f t="shared" si="11"/>
        <v>44937.666671377316</v>
      </c>
    </row>
    <row r="357" spans="1:10" x14ac:dyDescent="0.25">
      <c r="A357" t="s">
        <v>174</v>
      </c>
      <c r="B357" s="42">
        <v>4.4140430209999998E-7</v>
      </c>
      <c r="C357" t="s">
        <v>72</v>
      </c>
      <c r="D357" t="s">
        <v>99</v>
      </c>
      <c r="E357" t="s">
        <v>996</v>
      </c>
      <c r="F357" s="30">
        <v>44937</v>
      </c>
      <c r="G357" s="189">
        <v>44937.666671377316</v>
      </c>
      <c r="I357" t="str">
        <f t="shared" si="10"/>
        <v>OKEX</v>
      </c>
      <c r="J357" s="56">
        <f t="shared" si="11"/>
        <v>44937.666671377316</v>
      </c>
    </row>
    <row r="358" spans="1:10" x14ac:dyDescent="0.25">
      <c r="A358" t="s">
        <v>48</v>
      </c>
      <c r="B358" s="42">
        <v>2.647276654E-7</v>
      </c>
      <c r="D358" t="s">
        <v>14</v>
      </c>
      <c r="E358" t="s">
        <v>996</v>
      </c>
      <c r="F358" s="30">
        <v>44937</v>
      </c>
      <c r="G358" s="189">
        <v>44937.668673148146</v>
      </c>
      <c r="I358" t="str">
        <f t="shared" si="10"/>
        <v>OKEX</v>
      </c>
      <c r="J358" s="56">
        <f t="shared" si="11"/>
        <v>44937.668673148146</v>
      </c>
    </row>
    <row r="359" spans="1:10" x14ac:dyDescent="0.25">
      <c r="A359" t="s">
        <v>48</v>
      </c>
      <c r="B359" s="42">
        <v>6.7475689886000002E-6</v>
      </c>
      <c r="D359" t="s">
        <v>15</v>
      </c>
      <c r="E359" t="s">
        <v>996</v>
      </c>
      <c r="F359" s="30">
        <v>44937</v>
      </c>
      <c r="G359" s="189">
        <v>44937.668673148146</v>
      </c>
      <c r="I359" t="str">
        <f t="shared" si="10"/>
        <v>OKEX</v>
      </c>
      <c r="J359" s="56">
        <f t="shared" si="11"/>
        <v>44937.668673148146</v>
      </c>
    </row>
    <row r="360" spans="1:10" x14ac:dyDescent="0.25">
      <c r="A360" t="s">
        <v>48</v>
      </c>
      <c r="B360" s="42">
        <v>0.44933626032875501</v>
      </c>
      <c r="D360" t="s">
        <v>99</v>
      </c>
      <c r="E360" t="s">
        <v>996</v>
      </c>
      <c r="F360" s="30">
        <v>44937</v>
      </c>
      <c r="G360" s="189">
        <v>44937.668673148146</v>
      </c>
      <c r="I360" t="str">
        <f t="shared" si="10"/>
        <v>OKEX</v>
      </c>
      <c r="J360" s="56">
        <f t="shared" si="11"/>
        <v>44937.668673148146</v>
      </c>
    </row>
    <row r="361" spans="1:10" x14ac:dyDescent="0.25">
      <c r="A361" t="s">
        <v>50</v>
      </c>
      <c r="B361" s="42">
        <v>9.0007773026227998E-3</v>
      </c>
      <c r="D361" t="s">
        <v>38</v>
      </c>
      <c r="E361" t="s">
        <v>996</v>
      </c>
      <c r="F361" s="30">
        <v>44937</v>
      </c>
      <c r="G361" s="189">
        <v>44937.668739201392</v>
      </c>
      <c r="I361" t="str">
        <f t="shared" si="10"/>
        <v>OKEX</v>
      </c>
      <c r="J361" s="56">
        <f t="shared" si="11"/>
        <v>44937.668739201392</v>
      </c>
    </row>
    <row r="362" spans="1:10" x14ac:dyDescent="0.25">
      <c r="A362" t="s">
        <v>407</v>
      </c>
      <c r="B362" s="42">
        <v>3217.54</v>
      </c>
      <c r="D362" t="s">
        <v>95</v>
      </c>
      <c r="E362" t="s">
        <v>1006</v>
      </c>
      <c r="F362" s="30">
        <v>44937</v>
      </c>
      <c r="G362" s="189">
        <v>44937.666666666664</v>
      </c>
      <c r="I362" t="str">
        <f t="shared" si="10"/>
        <v>Silvergate Checking</v>
      </c>
      <c r="J362" s="56">
        <f t="shared" si="11"/>
        <v>44937.666666666664</v>
      </c>
    </row>
    <row r="363" spans="1:10" x14ac:dyDescent="0.25">
      <c r="A363" t="s">
        <v>408</v>
      </c>
      <c r="B363" s="42">
        <v>42244.639999999999</v>
      </c>
      <c r="D363" t="s">
        <v>107</v>
      </c>
      <c r="E363" t="s">
        <v>997</v>
      </c>
      <c r="F363" s="30">
        <v>44937</v>
      </c>
      <c r="G363" s="189">
        <v>44937.666666666664</v>
      </c>
      <c r="I363" t="str">
        <f t="shared" si="10"/>
        <v>Silvergate Network</v>
      </c>
      <c r="J363" s="56">
        <f t="shared" si="11"/>
        <v>44937.666666666664</v>
      </c>
    </row>
    <row r="364" spans="1:10" x14ac:dyDescent="0.25">
      <c r="A364" t="s">
        <v>408</v>
      </c>
      <c r="B364" s="42">
        <v>784545.3</v>
      </c>
      <c r="D364" t="s">
        <v>95</v>
      </c>
      <c r="E364" t="s">
        <v>997</v>
      </c>
      <c r="F364" s="30">
        <v>44937</v>
      </c>
      <c r="G364" s="189">
        <v>44937.666666666664</v>
      </c>
      <c r="I364" t="str">
        <f t="shared" si="10"/>
        <v>Silvergate Network</v>
      </c>
      <c r="J364" s="56">
        <f t="shared" si="11"/>
        <v>44937.666666666664</v>
      </c>
    </row>
    <row r="365" spans="1:10" x14ac:dyDescent="0.25">
      <c r="A365" t="s">
        <v>183</v>
      </c>
      <c r="B365" s="42">
        <v>80.760352080000004</v>
      </c>
      <c r="D365" t="s">
        <v>14</v>
      </c>
      <c r="E365" t="s">
        <v>1000</v>
      </c>
      <c r="F365" s="30">
        <v>44937</v>
      </c>
      <c r="G365" s="189">
        <v>44937.669491296299</v>
      </c>
      <c r="I365" t="str">
        <f t="shared" si="10"/>
        <v>WOOX</v>
      </c>
      <c r="J365" s="56">
        <f t="shared" si="11"/>
        <v>44937.669491296299</v>
      </c>
    </row>
    <row r="366" spans="1:10" x14ac:dyDescent="0.25">
      <c r="A366" t="s">
        <v>183</v>
      </c>
      <c r="B366" s="42">
        <v>585.43178266999996</v>
      </c>
      <c r="D366" t="s">
        <v>15</v>
      </c>
      <c r="E366" t="s">
        <v>1000</v>
      </c>
      <c r="F366" s="30">
        <v>44937</v>
      </c>
      <c r="G366" s="189">
        <v>44937.669491296299</v>
      </c>
      <c r="I366" t="str">
        <f t="shared" si="10"/>
        <v>WOOX</v>
      </c>
      <c r="J366" s="56">
        <f t="shared" si="11"/>
        <v>44937.669491296299</v>
      </c>
    </row>
    <row r="367" spans="1:10" x14ac:dyDescent="0.25">
      <c r="A367" t="s">
        <v>183</v>
      </c>
      <c r="B367" s="42">
        <v>754009.51596374996</v>
      </c>
      <c r="D367" t="s">
        <v>38</v>
      </c>
      <c r="E367" t="s">
        <v>1000</v>
      </c>
      <c r="F367" s="30">
        <v>44937</v>
      </c>
      <c r="G367" s="189">
        <v>44937.669491296299</v>
      </c>
      <c r="I367" t="str">
        <f t="shared" si="10"/>
        <v>WOOX</v>
      </c>
      <c r="J367" s="56">
        <f t="shared" si="11"/>
        <v>44937.669491296299</v>
      </c>
    </row>
    <row r="368" spans="1:10" x14ac:dyDescent="0.25">
      <c r="A368" t="s">
        <v>183</v>
      </c>
      <c r="B368" s="42">
        <v>1644286.05309931</v>
      </c>
      <c r="D368" t="s">
        <v>185</v>
      </c>
      <c r="E368" t="s">
        <v>1000</v>
      </c>
      <c r="F368" s="30">
        <v>44937</v>
      </c>
      <c r="G368" s="189">
        <v>44937.669491296299</v>
      </c>
      <c r="I368" t="str">
        <f t="shared" si="10"/>
        <v>WOOX</v>
      </c>
      <c r="J368" s="56">
        <f t="shared" si="11"/>
        <v>44937.669491296299</v>
      </c>
    </row>
    <row r="369" spans="9:10" x14ac:dyDescent="0.25">
      <c r="I369" t="str">
        <f t="shared" si="10"/>
        <v/>
      </c>
      <c r="J369" s="56" t="str">
        <f t="shared" si="11"/>
        <v/>
      </c>
    </row>
    <row r="370" spans="9:10" x14ac:dyDescent="0.25">
      <c r="I370" t="str">
        <f t="shared" si="10"/>
        <v/>
      </c>
      <c r="J370" s="56" t="str">
        <f t="shared" si="11"/>
        <v/>
      </c>
    </row>
    <row r="371" spans="9:10" x14ac:dyDescent="0.25">
      <c r="I371" t="str">
        <f t="shared" si="10"/>
        <v/>
      </c>
      <c r="J371" s="56" t="str">
        <f t="shared" si="11"/>
        <v/>
      </c>
    </row>
    <row r="372" spans="9:10" x14ac:dyDescent="0.25">
      <c r="I372" t="str">
        <f t="shared" si="10"/>
        <v/>
      </c>
      <c r="J372" s="56" t="str">
        <f t="shared" si="11"/>
        <v/>
      </c>
    </row>
    <row r="373" spans="9:10" x14ac:dyDescent="0.25">
      <c r="I373" t="str">
        <f t="shared" si="10"/>
        <v/>
      </c>
      <c r="J373" s="56" t="str">
        <f t="shared" si="11"/>
        <v/>
      </c>
    </row>
    <row r="374" spans="9:10" x14ac:dyDescent="0.25">
      <c r="I374" t="str">
        <f t="shared" si="10"/>
        <v/>
      </c>
      <c r="J374" s="56" t="str">
        <f t="shared" si="11"/>
        <v/>
      </c>
    </row>
    <row r="375" spans="9:10" x14ac:dyDescent="0.25">
      <c r="I375" t="str">
        <f t="shared" si="10"/>
        <v/>
      </c>
      <c r="J375" s="56" t="str">
        <f t="shared" si="11"/>
        <v/>
      </c>
    </row>
    <row r="376" spans="9:10" x14ac:dyDescent="0.25">
      <c r="I376" t="str">
        <f t="shared" si="10"/>
        <v/>
      </c>
      <c r="J376" s="56" t="str">
        <f t="shared" si="11"/>
        <v/>
      </c>
    </row>
    <row r="377" spans="9:10" x14ac:dyDescent="0.25">
      <c r="I377" t="str">
        <f t="shared" si="10"/>
        <v/>
      </c>
      <c r="J377" s="56" t="str">
        <f t="shared" si="11"/>
        <v/>
      </c>
    </row>
    <row r="378" spans="9:10" x14ac:dyDescent="0.25">
      <c r="I378" t="str">
        <f t="shared" si="10"/>
        <v/>
      </c>
      <c r="J378" s="56" t="str">
        <f t="shared" si="11"/>
        <v/>
      </c>
    </row>
    <row r="379" spans="9:10" x14ac:dyDescent="0.25">
      <c r="I379" t="str">
        <f t="shared" si="10"/>
        <v/>
      </c>
      <c r="J379" s="56" t="str">
        <f t="shared" si="11"/>
        <v/>
      </c>
    </row>
    <row r="380" spans="9:10" x14ac:dyDescent="0.25">
      <c r="I380" t="str">
        <f t="shared" si="10"/>
        <v/>
      </c>
      <c r="J380" s="56" t="str">
        <f t="shared" si="11"/>
        <v/>
      </c>
    </row>
    <row r="381" spans="9:10" x14ac:dyDescent="0.25">
      <c r="I381" t="str">
        <f t="shared" si="10"/>
        <v/>
      </c>
      <c r="J381" s="56" t="str">
        <f t="shared" si="11"/>
        <v/>
      </c>
    </row>
    <row r="382" spans="9:10" x14ac:dyDescent="0.25">
      <c r="I382" t="str">
        <f t="shared" si="10"/>
        <v/>
      </c>
      <c r="J382" s="56" t="str">
        <f t="shared" si="11"/>
        <v/>
      </c>
    </row>
    <row r="383" spans="9:10" x14ac:dyDescent="0.25">
      <c r="I383" t="str">
        <f t="shared" si="10"/>
        <v/>
      </c>
      <c r="J383" s="56" t="str">
        <f t="shared" si="11"/>
        <v/>
      </c>
    </row>
    <row r="384" spans="9:10" x14ac:dyDescent="0.25">
      <c r="I384" t="str">
        <f t="shared" si="10"/>
        <v/>
      </c>
      <c r="J384" s="56" t="str">
        <f t="shared" si="11"/>
        <v/>
      </c>
    </row>
    <row r="385" spans="9:10" x14ac:dyDescent="0.25">
      <c r="I385" t="str">
        <f t="shared" si="10"/>
        <v/>
      </c>
      <c r="J385" s="56" t="str">
        <f t="shared" si="11"/>
        <v/>
      </c>
    </row>
    <row r="386" spans="9:10" x14ac:dyDescent="0.25">
      <c r="I386" t="str">
        <f t="shared" si="10"/>
        <v/>
      </c>
      <c r="J386" s="56" t="str">
        <f t="shared" si="11"/>
        <v/>
      </c>
    </row>
    <row r="387" spans="9:10" x14ac:dyDescent="0.25">
      <c r="I387" t="str">
        <f t="shared" ref="I387:I450" si="12">IF($A387="","",RIGHT($E387,LEN($E387)-SEARCH(".",$E387)))</f>
        <v/>
      </c>
      <c r="J387" s="56" t="str">
        <f t="shared" ref="J387:J450" si="13">IF($A387="","",$G387)</f>
        <v/>
      </c>
    </row>
    <row r="388" spans="9:10" x14ac:dyDescent="0.25">
      <c r="I388" t="str">
        <f t="shared" si="12"/>
        <v/>
      </c>
      <c r="J388" s="56" t="str">
        <f t="shared" si="13"/>
        <v/>
      </c>
    </row>
    <row r="389" spans="9:10" x14ac:dyDescent="0.25">
      <c r="I389" t="str">
        <f t="shared" si="12"/>
        <v/>
      </c>
      <c r="J389" s="56" t="str">
        <f t="shared" si="13"/>
        <v/>
      </c>
    </row>
    <row r="390" spans="9:10" x14ac:dyDescent="0.25">
      <c r="I390" t="str">
        <f t="shared" si="12"/>
        <v/>
      </c>
      <c r="J390" s="56" t="str">
        <f t="shared" si="13"/>
        <v/>
      </c>
    </row>
    <row r="391" spans="9:10" x14ac:dyDescent="0.25">
      <c r="I391" t="str">
        <f t="shared" si="12"/>
        <v/>
      </c>
      <c r="J391" s="56" t="str">
        <f t="shared" si="13"/>
        <v/>
      </c>
    </row>
    <row r="392" spans="9:10" x14ac:dyDescent="0.25">
      <c r="I392" t="str">
        <f t="shared" si="12"/>
        <v/>
      </c>
      <c r="J392" s="56" t="str">
        <f t="shared" si="13"/>
        <v/>
      </c>
    </row>
    <row r="393" spans="9:10" x14ac:dyDescent="0.25">
      <c r="I393" t="str">
        <f t="shared" si="12"/>
        <v/>
      </c>
      <c r="J393" s="56" t="str">
        <f t="shared" si="13"/>
        <v/>
      </c>
    </row>
    <row r="394" spans="9:10" x14ac:dyDescent="0.25">
      <c r="I394" t="str">
        <f t="shared" si="12"/>
        <v/>
      </c>
      <c r="J394" s="56" t="str">
        <f t="shared" si="13"/>
        <v/>
      </c>
    </row>
    <row r="395" spans="9:10" x14ac:dyDescent="0.25">
      <c r="I395" t="str">
        <f t="shared" si="12"/>
        <v/>
      </c>
      <c r="J395" s="56" t="str">
        <f t="shared" si="13"/>
        <v/>
      </c>
    </row>
    <row r="396" spans="9:10" x14ac:dyDescent="0.25">
      <c r="I396" t="str">
        <f t="shared" si="12"/>
        <v/>
      </c>
      <c r="J396" s="56" t="str">
        <f t="shared" si="13"/>
        <v/>
      </c>
    </row>
    <row r="397" spans="9:10" x14ac:dyDescent="0.25">
      <c r="I397" t="str">
        <f t="shared" si="12"/>
        <v/>
      </c>
      <c r="J397" s="56" t="str">
        <f t="shared" si="13"/>
        <v/>
      </c>
    </row>
    <row r="398" spans="9:10" x14ac:dyDescent="0.25">
      <c r="I398" t="str">
        <f t="shared" si="12"/>
        <v/>
      </c>
      <c r="J398" s="56" t="str">
        <f t="shared" si="13"/>
        <v/>
      </c>
    </row>
    <row r="399" spans="9:10" x14ac:dyDescent="0.25">
      <c r="I399" t="str">
        <f t="shared" si="12"/>
        <v/>
      </c>
      <c r="J399" s="56" t="str">
        <f t="shared" si="13"/>
        <v/>
      </c>
    </row>
    <row r="400" spans="9:10" x14ac:dyDescent="0.25">
      <c r="I400" t="str">
        <f t="shared" si="12"/>
        <v/>
      </c>
      <c r="J400" s="56" t="str">
        <f t="shared" si="13"/>
        <v/>
      </c>
    </row>
    <row r="401" spans="9:10" x14ac:dyDescent="0.25">
      <c r="I401" t="str">
        <f t="shared" si="12"/>
        <v/>
      </c>
      <c r="J401" s="56" t="str">
        <f t="shared" si="13"/>
        <v/>
      </c>
    </row>
    <row r="402" spans="9:10" x14ac:dyDescent="0.25">
      <c r="I402" t="str">
        <f t="shared" si="12"/>
        <v/>
      </c>
      <c r="J402" s="56" t="str">
        <f t="shared" si="13"/>
        <v/>
      </c>
    </row>
    <row r="403" spans="9:10" x14ac:dyDescent="0.25">
      <c r="I403" t="str">
        <f t="shared" si="12"/>
        <v/>
      </c>
      <c r="J403" s="56" t="str">
        <f t="shared" si="13"/>
        <v/>
      </c>
    </row>
    <row r="404" spans="9:10" x14ac:dyDescent="0.25">
      <c r="I404" t="str">
        <f t="shared" si="12"/>
        <v/>
      </c>
      <c r="J404" s="56" t="str">
        <f t="shared" si="13"/>
        <v/>
      </c>
    </row>
    <row r="405" spans="9:10" x14ac:dyDescent="0.25">
      <c r="I405" t="str">
        <f t="shared" si="12"/>
        <v/>
      </c>
      <c r="J405" s="56" t="str">
        <f t="shared" si="13"/>
        <v/>
      </c>
    </row>
    <row r="406" spans="9:10" x14ac:dyDescent="0.25">
      <c r="I406" t="str">
        <f t="shared" si="12"/>
        <v/>
      </c>
      <c r="J406" s="56" t="str">
        <f t="shared" si="13"/>
        <v/>
      </c>
    </row>
    <row r="407" spans="9:10" x14ac:dyDescent="0.25">
      <c r="I407" t="str">
        <f t="shared" si="12"/>
        <v/>
      </c>
      <c r="J407" s="56" t="str">
        <f t="shared" si="13"/>
        <v/>
      </c>
    </row>
    <row r="408" spans="9:10" x14ac:dyDescent="0.25">
      <c r="I408" t="str">
        <f t="shared" si="12"/>
        <v/>
      </c>
      <c r="J408" s="56" t="str">
        <f t="shared" si="13"/>
        <v/>
      </c>
    </row>
    <row r="409" spans="9:10" x14ac:dyDescent="0.25">
      <c r="I409" t="str">
        <f t="shared" si="12"/>
        <v/>
      </c>
      <c r="J409" s="56" t="str">
        <f t="shared" si="13"/>
        <v/>
      </c>
    </row>
    <row r="410" spans="9:10" x14ac:dyDescent="0.25">
      <c r="I410" t="str">
        <f t="shared" si="12"/>
        <v/>
      </c>
      <c r="J410" s="56" t="str">
        <f t="shared" si="13"/>
        <v/>
      </c>
    </row>
    <row r="411" spans="9:10" x14ac:dyDescent="0.25">
      <c r="I411" t="str">
        <f t="shared" si="12"/>
        <v/>
      </c>
      <c r="J411" s="56" t="str">
        <f t="shared" si="13"/>
        <v/>
      </c>
    </row>
    <row r="412" spans="9:10" x14ac:dyDescent="0.25">
      <c r="I412" t="str">
        <f t="shared" si="12"/>
        <v/>
      </c>
      <c r="J412" s="56" t="str">
        <f t="shared" si="13"/>
        <v/>
      </c>
    </row>
    <row r="413" spans="9:10" x14ac:dyDescent="0.25">
      <c r="I413" t="str">
        <f t="shared" si="12"/>
        <v/>
      </c>
      <c r="J413" s="56" t="str">
        <f t="shared" si="13"/>
        <v/>
      </c>
    </row>
    <row r="414" spans="9:10" x14ac:dyDescent="0.25">
      <c r="I414" t="str">
        <f t="shared" si="12"/>
        <v/>
      </c>
      <c r="J414" s="56" t="str">
        <f t="shared" si="13"/>
        <v/>
      </c>
    </row>
    <row r="415" spans="9:10" x14ac:dyDescent="0.25">
      <c r="I415" t="str">
        <f t="shared" si="12"/>
        <v/>
      </c>
      <c r="J415" s="56" t="str">
        <f t="shared" si="13"/>
        <v/>
      </c>
    </row>
    <row r="416" spans="9:10" x14ac:dyDescent="0.25">
      <c r="I416" t="str">
        <f t="shared" si="12"/>
        <v/>
      </c>
      <c r="J416" s="56" t="str">
        <f t="shared" si="13"/>
        <v/>
      </c>
    </row>
    <row r="417" spans="9:10" x14ac:dyDescent="0.25">
      <c r="I417" t="str">
        <f t="shared" si="12"/>
        <v/>
      </c>
      <c r="J417" s="56" t="str">
        <f t="shared" si="13"/>
        <v/>
      </c>
    </row>
    <row r="418" spans="9:10" x14ac:dyDescent="0.25">
      <c r="I418" t="str">
        <f t="shared" si="12"/>
        <v/>
      </c>
      <c r="J418" s="56" t="str">
        <f t="shared" si="13"/>
        <v/>
      </c>
    </row>
    <row r="419" spans="9:10" x14ac:dyDescent="0.25">
      <c r="I419" t="str">
        <f t="shared" si="12"/>
        <v/>
      </c>
      <c r="J419" s="56" t="str">
        <f t="shared" si="13"/>
        <v/>
      </c>
    </row>
    <row r="420" spans="9:10" x14ac:dyDescent="0.25">
      <c r="I420" t="str">
        <f t="shared" si="12"/>
        <v/>
      </c>
      <c r="J420" s="56" t="str">
        <f t="shared" si="13"/>
        <v/>
      </c>
    </row>
    <row r="421" spans="9:10" x14ac:dyDescent="0.25">
      <c r="I421" t="str">
        <f t="shared" si="12"/>
        <v/>
      </c>
      <c r="J421" s="56" t="str">
        <f t="shared" si="13"/>
        <v/>
      </c>
    </row>
    <row r="422" spans="9:10" x14ac:dyDescent="0.25">
      <c r="I422" t="str">
        <f t="shared" si="12"/>
        <v/>
      </c>
      <c r="J422" s="56" t="str">
        <f t="shared" si="13"/>
        <v/>
      </c>
    </row>
    <row r="423" spans="9:10" x14ac:dyDescent="0.25">
      <c r="I423" t="str">
        <f t="shared" si="12"/>
        <v/>
      </c>
      <c r="J423" s="56" t="str">
        <f t="shared" si="13"/>
        <v/>
      </c>
    </row>
    <row r="424" spans="9:10" x14ac:dyDescent="0.25">
      <c r="I424" t="str">
        <f t="shared" si="12"/>
        <v/>
      </c>
      <c r="J424" s="56" t="str">
        <f t="shared" si="13"/>
        <v/>
      </c>
    </row>
    <row r="425" spans="9:10" x14ac:dyDescent="0.25">
      <c r="I425" t="str">
        <f t="shared" si="12"/>
        <v/>
      </c>
      <c r="J425" s="56" t="str">
        <f t="shared" si="13"/>
        <v/>
      </c>
    </row>
    <row r="426" spans="9:10" x14ac:dyDescent="0.25">
      <c r="I426" t="str">
        <f t="shared" si="12"/>
        <v/>
      </c>
      <c r="J426" s="56" t="str">
        <f t="shared" si="13"/>
        <v/>
      </c>
    </row>
    <row r="427" spans="9:10" x14ac:dyDescent="0.25">
      <c r="I427" t="str">
        <f t="shared" si="12"/>
        <v/>
      </c>
      <c r="J427" s="56" t="str">
        <f t="shared" si="13"/>
        <v/>
      </c>
    </row>
    <row r="428" spans="9:10" x14ac:dyDescent="0.25">
      <c r="I428" t="str">
        <f t="shared" si="12"/>
        <v/>
      </c>
      <c r="J428" s="56" t="str">
        <f t="shared" si="13"/>
        <v/>
      </c>
    </row>
    <row r="429" spans="9:10" x14ac:dyDescent="0.25">
      <c r="I429" t="str">
        <f t="shared" si="12"/>
        <v/>
      </c>
      <c r="J429" s="56" t="str">
        <f t="shared" si="13"/>
        <v/>
      </c>
    </row>
    <row r="430" spans="9:10" x14ac:dyDescent="0.25">
      <c r="I430" t="str">
        <f t="shared" si="12"/>
        <v/>
      </c>
      <c r="J430" s="56" t="str">
        <f t="shared" si="13"/>
        <v/>
      </c>
    </row>
    <row r="431" spans="9:10" x14ac:dyDescent="0.25">
      <c r="I431" t="str">
        <f t="shared" si="12"/>
        <v/>
      </c>
      <c r="J431" s="56" t="str">
        <f t="shared" si="13"/>
        <v/>
      </c>
    </row>
    <row r="432" spans="9:10" x14ac:dyDescent="0.25">
      <c r="I432" t="str">
        <f t="shared" si="12"/>
        <v/>
      </c>
      <c r="J432" s="56" t="str">
        <f t="shared" si="13"/>
        <v/>
      </c>
    </row>
    <row r="433" spans="9:10" x14ac:dyDescent="0.25">
      <c r="I433" t="str">
        <f t="shared" si="12"/>
        <v/>
      </c>
      <c r="J433" s="56" t="str">
        <f t="shared" si="13"/>
        <v/>
      </c>
    </row>
    <row r="434" spans="9:10" x14ac:dyDescent="0.25">
      <c r="I434" t="str">
        <f t="shared" si="12"/>
        <v/>
      </c>
      <c r="J434" s="56" t="str">
        <f t="shared" si="13"/>
        <v/>
      </c>
    </row>
    <row r="435" spans="9:10" x14ac:dyDescent="0.25">
      <c r="I435" t="str">
        <f t="shared" si="12"/>
        <v/>
      </c>
      <c r="J435" s="56" t="str">
        <f t="shared" si="13"/>
        <v/>
      </c>
    </row>
    <row r="436" spans="9:10" x14ac:dyDescent="0.25">
      <c r="I436" t="str">
        <f t="shared" si="12"/>
        <v/>
      </c>
      <c r="J436" s="56" t="str">
        <f t="shared" si="13"/>
        <v/>
      </c>
    </row>
    <row r="437" spans="9:10" x14ac:dyDescent="0.25">
      <c r="I437" t="str">
        <f t="shared" si="12"/>
        <v/>
      </c>
      <c r="J437" s="56" t="str">
        <f t="shared" si="13"/>
        <v/>
      </c>
    </row>
    <row r="438" spans="9:10" x14ac:dyDescent="0.25">
      <c r="I438" t="str">
        <f t="shared" si="12"/>
        <v/>
      </c>
      <c r="J438" s="56" t="str">
        <f t="shared" si="13"/>
        <v/>
      </c>
    </row>
    <row r="439" spans="9:10" x14ac:dyDescent="0.25">
      <c r="I439" t="str">
        <f t="shared" si="12"/>
        <v/>
      </c>
      <c r="J439" s="56" t="str">
        <f t="shared" si="13"/>
        <v/>
      </c>
    </row>
    <row r="440" spans="9:10" x14ac:dyDescent="0.25">
      <c r="I440" t="str">
        <f t="shared" si="12"/>
        <v/>
      </c>
      <c r="J440" s="56" t="str">
        <f t="shared" si="13"/>
        <v/>
      </c>
    </row>
    <row r="441" spans="9:10" x14ac:dyDescent="0.25">
      <c r="I441" t="str">
        <f t="shared" si="12"/>
        <v/>
      </c>
      <c r="J441" s="56" t="str">
        <f t="shared" si="13"/>
        <v/>
      </c>
    </row>
    <row r="442" spans="9:10" x14ac:dyDescent="0.25">
      <c r="I442" t="str">
        <f t="shared" si="12"/>
        <v/>
      </c>
      <c r="J442" s="56" t="str">
        <f t="shared" si="13"/>
        <v/>
      </c>
    </row>
    <row r="443" spans="9:10" x14ac:dyDescent="0.25">
      <c r="I443" t="str">
        <f t="shared" si="12"/>
        <v/>
      </c>
      <c r="J443" s="56" t="str">
        <f t="shared" si="13"/>
        <v/>
      </c>
    </row>
    <row r="444" spans="9:10" x14ac:dyDescent="0.25">
      <c r="I444" t="str">
        <f t="shared" si="12"/>
        <v/>
      </c>
      <c r="J444" s="56" t="str">
        <f t="shared" si="13"/>
        <v/>
      </c>
    </row>
    <row r="445" spans="9:10" x14ac:dyDescent="0.25">
      <c r="I445" t="str">
        <f t="shared" si="12"/>
        <v/>
      </c>
      <c r="J445" s="56" t="str">
        <f t="shared" si="13"/>
        <v/>
      </c>
    </row>
    <row r="446" spans="9:10" x14ac:dyDescent="0.25">
      <c r="I446" t="str">
        <f t="shared" si="12"/>
        <v/>
      </c>
      <c r="J446" s="56" t="str">
        <f t="shared" si="13"/>
        <v/>
      </c>
    </row>
    <row r="447" spans="9:10" x14ac:dyDescent="0.25">
      <c r="I447" t="str">
        <f t="shared" si="12"/>
        <v/>
      </c>
      <c r="J447" s="56" t="str">
        <f t="shared" si="13"/>
        <v/>
      </c>
    </row>
    <row r="448" spans="9:10" x14ac:dyDescent="0.25">
      <c r="I448" t="str">
        <f t="shared" si="12"/>
        <v/>
      </c>
      <c r="J448" s="56" t="str">
        <f t="shared" si="13"/>
        <v/>
      </c>
    </row>
    <row r="449" spans="9:10" x14ac:dyDescent="0.25">
      <c r="I449" t="str">
        <f t="shared" si="12"/>
        <v/>
      </c>
      <c r="J449" s="56" t="str">
        <f t="shared" si="13"/>
        <v/>
      </c>
    </row>
    <row r="450" spans="9:10" x14ac:dyDescent="0.25">
      <c r="I450" t="str">
        <f t="shared" si="12"/>
        <v/>
      </c>
      <c r="J450" s="56" t="str">
        <f t="shared" si="13"/>
        <v/>
      </c>
    </row>
    <row r="451" spans="9:10" x14ac:dyDescent="0.25">
      <c r="I451" t="str">
        <f t="shared" ref="I451:I514" si="14">IF($A451="","",RIGHT($E451,LEN($E451)-SEARCH(".",$E451)))</f>
        <v/>
      </c>
      <c r="J451" s="56" t="str">
        <f t="shared" ref="J451:J514" si="15">IF($A451="","",$G451)</f>
        <v/>
      </c>
    </row>
    <row r="452" spans="9:10" x14ac:dyDescent="0.25">
      <c r="I452" t="str">
        <f t="shared" si="14"/>
        <v/>
      </c>
      <c r="J452" s="56" t="str">
        <f t="shared" si="15"/>
        <v/>
      </c>
    </row>
    <row r="453" spans="9:10" x14ac:dyDescent="0.25">
      <c r="I453" t="str">
        <f t="shared" si="14"/>
        <v/>
      </c>
      <c r="J453" s="56" t="str">
        <f t="shared" si="15"/>
        <v/>
      </c>
    </row>
    <row r="454" spans="9:10" x14ac:dyDescent="0.25">
      <c r="I454" t="str">
        <f t="shared" si="14"/>
        <v/>
      </c>
      <c r="J454" s="56" t="str">
        <f t="shared" si="15"/>
        <v/>
      </c>
    </row>
    <row r="455" spans="9:10" x14ac:dyDescent="0.25">
      <c r="I455" t="str">
        <f t="shared" si="14"/>
        <v/>
      </c>
      <c r="J455" s="56" t="str">
        <f t="shared" si="15"/>
        <v/>
      </c>
    </row>
    <row r="456" spans="9:10" x14ac:dyDescent="0.25">
      <c r="I456" t="str">
        <f t="shared" si="14"/>
        <v/>
      </c>
      <c r="J456" s="56" t="str">
        <f t="shared" si="15"/>
        <v/>
      </c>
    </row>
    <row r="457" spans="9:10" x14ac:dyDescent="0.25">
      <c r="I457" t="str">
        <f t="shared" si="14"/>
        <v/>
      </c>
      <c r="J457" s="56" t="str">
        <f t="shared" si="15"/>
        <v/>
      </c>
    </row>
    <row r="458" spans="9:10" x14ac:dyDescent="0.25">
      <c r="I458" t="str">
        <f t="shared" si="14"/>
        <v/>
      </c>
      <c r="J458" s="56" t="str">
        <f t="shared" si="15"/>
        <v/>
      </c>
    </row>
    <row r="459" spans="9:10" x14ac:dyDescent="0.25">
      <c r="I459" t="str">
        <f t="shared" si="14"/>
        <v/>
      </c>
      <c r="J459" s="56" t="str">
        <f t="shared" si="15"/>
        <v/>
      </c>
    </row>
    <row r="460" spans="9:10" x14ac:dyDescent="0.25">
      <c r="I460" t="str">
        <f t="shared" si="14"/>
        <v/>
      </c>
      <c r="J460" s="56" t="str">
        <f t="shared" si="15"/>
        <v/>
      </c>
    </row>
    <row r="461" spans="9:10" x14ac:dyDescent="0.25">
      <c r="I461" t="str">
        <f t="shared" si="14"/>
        <v/>
      </c>
      <c r="J461" s="56" t="str">
        <f t="shared" si="15"/>
        <v/>
      </c>
    </row>
    <row r="462" spans="9:10" x14ac:dyDescent="0.25">
      <c r="I462" t="str">
        <f t="shared" si="14"/>
        <v/>
      </c>
      <c r="J462" s="56" t="str">
        <f t="shared" si="15"/>
        <v/>
      </c>
    </row>
    <row r="463" spans="9:10" x14ac:dyDescent="0.25">
      <c r="I463" t="str">
        <f t="shared" si="14"/>
        <v/>
      </c>
      <c r="J463" s="56" t="str">
        <f t="shared" si="15"/>
        <v/>
      </c>
    </row>
    <row r="464" spans="9:10" x14ac:dyDescent="0.25">
      <c r="I464" t="str">
        <f t="shared" si="14"/>
        <v/>
      </c>
      <c r="J464" s="56" t="str">
        <f t="shared" si="15"/>
        <v/>
      </c>
    </row>
    <row r="465" spans="9:10" x14ac:dyDescent="0.25">
      <c r="I465" t="str">
        <f t="shared" si="14"/>
        <v/>
      </c>
      <c r="J465" s="56" t="str">
        <f t="shared" si="15"/>
        <v/>
      </c>
    </row>
    <row r="466" spans="9:10" x14ac:dyDescent="0.25">
      <c r="I466" t="str">
        <f t="shared" si="14"/>
        <v/>
      </c>
      <c r="J466" s="56" t="str">
        <f t="shared" si="15"/>
        <v/>
      </c>
    </row>
    <row r="467" spans="9:10" x14ac:dyDescent="0.25">
      <c r="I467" t="str">
        <f t="shared" si="14"/>
        <v/>
      </c>
      <c r="J467" s="56" t="str">
        <f t="shared" si="15"/>
        <v/>
      </c>
    </row>
    <row r="468" spans="9:10" x14ac:dyDescent="0.25">
      <c r="I468" t="str">
        <f t="shared" si="14"/>
        <v/>
      </c>
      <c r="J468" s="56" t="str">
        <f t="shared" si="15"/>
        <v/>
      </c>
    </row>
    <row r="469" spans="9:10" x14ac:dyDescent="0.25">
      <c r="I469" t="str">
        <f t="shared" si="14"/>
        <v/>
      </c>
      <c r="J469" s="56" t="str">
        <f t="shared" si="15"/>
        <v/>
      </c>
    </row>
    <row r="470" spans="9:10" x14ac:dyDescent="0.25">
      <c r="I470" t="str">
        <f t="shared" si="14"/>
        <v/>
      </c>
      <c r="J470" s="56" t="str">
        <f t="shared" si="15"/>
        <v/>
      </c>
    </row>
    <row r="471" spans="9:10" x14ac:dyDescent="0.25">
      <c r="I471" t="str">
        <f t="shared" si="14"/>
        <v/>
      </c>
      <c r="J471" s="56" t="str">
        <f t="shared" si="15"/>
        <v/>
      </c>
    </row>
    <row r="472" spans="9:10" x14ac:dyDescent="0.25">
      <c r="I472" t="str">
        <f t="shared" si="14"/>
        <v/>
      </c>
      <c r="J472" s="56" t="str">
        <f t="shared" si="15"/>
        <v/>
      </c>
    </row>
    <row r="473" spans="9:10" x14ac:dyDescent="0.25">
      <c r="I473" t="str">
        <f t="shared" si="14"/>
        <v/>
      </c>
      <c r="J473" s="56" t="str">
        <f t="shared" si="15"/>
        <v/>
      </c>
    </row>
    <row r="474" spans="9:10" x14ac:dyDescent="0.25">
      <c r="I474" t="str">
        <f t="shared" si="14"/>
        <v/>
      </c>
      <c r="J474" s="56" t="str">
        <f t="shared" si="15"/>
        <v/>
      </c>
    </row>
    <row r="475" spans="9:10" x14ac:dyDescent="0.25">
      <c r="I475" t="str">
        <f t="shared" si="14"/>
        <v/>
      </c>
      <c r="J475" s="56" t="str">
        <f t="shared" si="15"/>
        <v/>
      </c>
    </row>
    <row r="476" spans="9:10" x14ac:dyDescent="0.25">
      <c r="I476" t="str">
        <f t="shared" si="14"/>
        <v/>
      </c>
      <c r="J476" s="56" t="str">
        <f t="shared" si="15"/>
        <v/>
      </c>
    </row>
    <row r="477" spans="9:10" x14ac:dyDescent="0.25">
      <c r="I477" t="str">
        <f t="shared" si="14"/>
        <v/>
      </c>
      <c r="J477" s="56" t="str">
        <f t="shared" si="15"/>
        <v/>
      </c>
    </row>
    <row r="478" spans="9:10" x14ac:dyDescent="0.25">
      <c r="I478" t="str">
        <f t="shared" si="14"/>
        <v/>
      </c>
      <c r="J478" s="56" t="str">
        <f t="shared" si="15"/>
        <v/>
      </c>
    </row>
    <row r="479" spans="9:10" x14ac:dyDescent="0.25">
      <c r="I479" t="str">
        <f t="shared" si="14"/>
        <v/>
      </c>
      <c r="J479" s="56" t="str">
        <f t="shared" si="15"/>
        <v/>
      </c>
    </row>
    <row r="480" spans="9:10" x14ac:dyDescent="0.25">
      <c r="I480" t="str">
        <f t="shared" si="14"/>
        <v/>
      </c>
      <c r="J480" s="56" t="str">
        <f t="shared" si="15"/>
        <v/>
      </c>
    </row>
    <row r="481" spans="9:10" x14ac:dyDescent="0.25">
      <c r="I481" t="str">
        <f t="shared" si="14"/>
        <v/>
      </c>
      <c r="J481" s="56" t="str">
        <f t="shared" si="15"/>
        <v/>
      </c>
    </row>
    <row r="482" spans="9:10" x14ac:dyDescent="0.25">
      <c r="I482" t="str">
        <f t="shared" si="14"/>
        <v/>
      </c>
      <c r="J482" s="56" t="str">
        <f t="shared" si="15"/>
        <v/>
      </c>
    </row>
    <row r="483" spans="9:10" x14ac:dyDescent="0.25">
      <c r="I483" t="str">
        <f t="shared" si="14"/>
        <v/>
      </c>
      <c r="J483" s="56" t="str">
        <f t="shared" si="15"/>
        <v/>
      </c>
    </row>
    <row r="484" spans="9:10" x14ac:dyDescent="0.25">
      <c r="I484" t="str">
        <f t="shared" si="14"/>
        <v/>
      </c>
      <c r="J484" s="56" t="str">
        <f t="shared" si="15"/>
        <v/>
      </c>
    </row>
    <row r="485" spans="9:10" x14ac:dyDescent="0.25">
      <c r="I485" t="str">
        <f t="shared" si="14"/>
        <v/>
      </c>
      <c r="J485" s="56" t="str">
        <f t="shared" si="15"/>
        <v/>
      </c>
    </row>
    <row r="486" spans="9:10" x14ac:dyDescent="0.25">
      <c r="I486" t="str">
        <f t="shared" si="14"/>
        <v/>
      </c>
      <c r="J486" s="56" t="str">
        <f t="shared" si="15"/>
        <v/>
      </c>
    </row>
    <row r="487" spans="9:10" x14ac:dyDescent="0.25">
      <c r="I487" t="str">
        <f t="shared" si="14"/>
        <v/>
      </c>
      <c r="J487" s="56" t="str">
        <f t="shared" si="15"/>
        <v/>
      </c>
    </row>
    <row r="488" spans="9:10" x14ac:dyDescent="0.25">
      <c r="I488" t="str">
        <f t="shared" si="14"/>
        <v/>
      </c>
      <c r="J488" s="56" t="str">
        <f t="shared" si="15"/>
        <v/>
      </c>
    </row>
    <row r="489" spans="9:10" x14ac:dyDescent="0.25">
      <c r="I489" t="str">
        <f t="shared" si="14"/>
        <v/>
      </c>
      <c r="J489" s="56" t="str">
        <f t="shared" si="15"/>
        <v/>
      </c>
    </row>
    <row r="490" spans="9:10" x14ac:dyDescent="0.25">
      <c r="I490" t="str">
        <f t="shared" si="14"/>
        <v/>
      </c>
      <c r="J490" s="56" t="str">
        <f t="shared" si="15"/>
        <v/>
      </c>
    </row>
    <row r="491" spans="9:10" x14ac:dyDescent="0.25">
      <c r="I491" t="str">
        <f t="shared" si="14"/>
        <v/>
      </c>
      <c r="J491" s="56" t="str">
        <f t="shared" si="15"/>
        <v/>
      </c>
    </row>
    <row r="492" spans="9:10" x14ac:dyDescent="0.25">
      <c r="I492" t="str">
        <f t="shared" si="14"/>
        <v/>
      </c>
      <c r="J492" s="56" t="str">
        <f t="shared" si="15"/>
        <v/>
      </c>
    </row>
    <row r="493" spans="9:10" x14ac:dyDescent="0.25">
      <c r="I493" t="str">
        <f t="shared" si="14"/>
        <v/>
      </c>
      <c r="J493" s="56" t="str">
        <f t="shared" si="15"/>
        <v/>
      </c>
    </row>
    <row r="494" spans="9:10" x14ac:dyDescent="0.25">
      <c r="I494" t="str">
        <f t="shared" si="14"/>
        <v/>
      </c>
      <c r="J494" s="56" t="str">
        <f t="shared" si="15"/>
        <v/>
      </c>
    </row>
    <row r="495" spans="9:10" x14ac:dyDescent="0.25">
      <c r="I495" t="str">
        <f t="shared" si="14"/>
        <v/>
      </c>
      <c r="J495" s="56" t="str">
        <f t="shared" si="15"/>
        <v/>
      </c>
    </row>
    <row r="496" spans="9:10" x14ac:dyDescent="0.25">
      <c r="I496" t="str">
        <f t="shared" si="14"/>
        <v/>
      </c>
      <c r="J496" s="56" t="str">
        <f t="shared" si="15"/>
        <v/>
      </c>
    </row>
    <row r="497" spans="9:10" x14ac:dyDescent="0.25">
      <c r="I497" t="str">
        <f t="shared" si="14"/>
        <v/>
      </c>
      <c r="J497" s="56" t="str">
        <f t="shared" si="15"/>
        <v/>
      </c>
    </row>
    <row r="498" spans="9:10" x14ac:dyDescent="0.25">
      <c r="I498" t="str">
        <f t="shared" si="14"/>
        <v/>
      </c>
      <c r="J498" s="56" t="str">
        <f t="shared" si="15"/>
        <v/>
      </c>
    </row>
    <row r="499" spans="9:10" x14ac:dyDescent="0.25">
      <c r="I499" t="str">
        <f t="shared" si="14"/>
        <v/>
      </c>
      <c r="J499" s="56" t="str">
        <f t="shared" si="15"/>
        <v/>
      </c>
    </row>
    <row r="500" spans="9:10" x14ac:dyDescent="0.25">
      <c r="I500" t="str">
        <f t="shared" si="14"/>
        <v/>
      </c>
      <c r="J500" s="56" t="str">
        <f t="shared" si="15"/>
        <v/>
      </c>
    </row>
    <row r="501" spans="9:10" x14ac:dyDescent="0.25">
      <c r="I501" t="str">
        <f t="shared" si="14"/>
        <v/>
      </c>
      <c r="J501" s="56" t="str">
        <f t="shared" si="15"/>
        <v/>
      </c>
    </row>
    <row r="502" spans="9:10" x14ac:dyDescent="0.25">
      <c r="I502" t="str">
        <f t="shared" si="14"/>
        <v/>
      </c>
      <c r="J502" s="56" t="str">
        <f t="shared" si="15"/>
        <v/>
      </c>
    </row>
    <row r="503" spans="9:10" x14ac:dyDescent="0.25">
      <c r="I503" t="str">
        <f t="shared" si="14"/>
        <v/>
      </c>
      <c r="J503" s="56" t="str">
        <f t="shared" si="15"/>
        <v/>
      </c>
    </row>
    <row r="504" spans="9:10" x14ac:dyDescent="0.25">
      <c r="I504" t="str">
        <f t="shared" si="14"/>
        <v/>
      </c>
      <c r="J504" s="56" t="str">
        <f t="shared" si="15"/>
        <v/>
      </c>
    </row>
    <row r="505" spans="9:10" x14ac:dyDescent="0.25">
      <c r="I505" t="str">
        <f t="shared" si="14"/>
        <v/>
      </c>
      <c r="J505" s="56" t="str">
        <f t="shared" si="15"/>
        <v/>
      </c>
    </row>
    <row r="506" spans="9:10" x14ac:dyDescent="0.25">
      <c r="I506" t="str">
        <f t="shared" si="14"/>
        <v/>
      </c>
      <c r="J506" s="56" t="str">
        <f t="shared" si="15"/>
        <v/>
      </c>
    </row>
    <row r="507" spans="9:10" x14ac:dyDescent="0.25">
      <c r="I507" t="str">
        <f t="shared" si="14"/>
        <v/>
      </c>
      <c r="J507" s="56" t="str">
        <f t="shared" si="15"/>
        <v/>
      </c>
    </row>
    <row r="508" spans="9:10" x14ac:dyDescent="0.25">
      <c r="I508" t="str">
        <f t="shared" si="14"/>
        <v/>
      </c>
      <c r="J508" s="56" t="str">
        <f t="shared" si="15"/>
        <v/>
      </c>
    </row>
    <row r="509" spans="9:10" x14ac:dyDescent="0.25">
      <c r="I509" t="str">
        <f t="shared" si="14"/>
        <v/>
      </c>
      <c r="J509" s="56" t="str">
        <f t="shared" si="15"/>
        <v/>
      </c>
    </row>
    <row r="510" spans="9:10" x14ac:dyDescent="0.25">
      <c r="I510" t="str">
        <f t="shared" si="14"/>
        <v/>
      </c>
      <c r="J510" s="56" t="str">
        <f t="shared" si="15"/>
        <v/>
      </c>
    </row>
    <row r="511" spans="9:10" x14ac:dyDescent="0.25">
      <c r="I511" t="str">
        <f t="shared" si="14"/>
        <v/>
      </c>
      <c r="J511" s="56" t="str">
        <f t="shared" si="15"/>
        <v/>
      </c>
    </row>
    <row r="512" spans="9:10" x14ac:dyDescent="0.25">
      <c r="I512" t="str">
        <f t="shared" si="14"/>
        <v/>
      </c>
      <c r="J512" s="56" t="str">
        <f t="shared" si="15"/>
        <v/>
      </c>
    </row>
    <row r="513" spans="9:10" x14ac:dyDescent="0.25">
      <c r="I513" t="str">
        <f t="shared" si="14"/>
        <v/>
      </c>
      <c r="J513" s="56" t="str">
        <f t="shared" si="15"/>
        <v/>
      </c>
    </row>
    <row r="514" spans="9:10" x14ac:dyDescent="0.25">
      <c r="I514" t="str">
        <f t="shared" si="14"/>
        <v/>
      </c>
      <c r="J514" s="56" t="str">
        <f t="shared" si="15"/>
        <v/>
      </c>
    </row>
    <row r="515" spans="9:10" x14ac:dyDescent="0.25">
      <c r="I515" t="str">
        <f t="shared" ref="I515:I578" si="16">IF($A515="","",RIGHT($E515,LEN($E515)-SEARCH(".",$E515)))</f>
        <v/>
      </c>
      <c r="J515" s="56" t="str">
        <f t="shared" ref="J515:J578" si="17">IF($A515="","",$G515)</f>
        <v/>
      </c>
    </row>
    <row r="516" spans="9:10" x14ac:dyDescent="0.25">
      <c r="I516" t="str">
        <f t="shared" si="16"/>
        <v/>
      </c>
      <c r="J516" s="56" t="str">
        <f t="shared" si="17"/>
        <v/>
      </c>
    </row>
    <row r="517" spans="9:10" x14ac:dyDescent="0.25">
      <c r="I517" t="str">
        <f t="shared" si="16"/>
        <v/>
      </c>
      <c r="J517" s="56" t="str">
        <f t="shared" si="17"/>
        <v/>
      </c>
    </row>
    <row r="518" spans="9:10" x14ac:dyDescent="0.25">
      <c r="I518" t="str">
        <f t="shared" si="16"/>
        <v/>
      </c>
      <c r="J518" s="56" t="str">
        <f t="shared" si="17"/>
        <v/>
      </c>
    </row>
    <row r="519" spans="9:10" x14ac:dyDescent="0.25">
      <c r="I519" t="str">
        <f t="shared" si="16"/>
        <v/>
      </c>
      <c r="J519" s="56" t="str">
        <f t="shared" si="17"/>
        <v/>
      </c>
    </row>
    <row r="520" spans="9:10" x14ac:dyDescent="0.25">
      <c r="I520" t="str">
        <f t="shared" si="16"/>
        <v/>
      </c>
      <c r="J520" s="56" t="str">
        <f t="shared" si="17"/>
        <v/>
      </c>
    </row>
    <row r="521" spans="9:10" x14ac:dyDescent="0.25">
      <c r="I521" t="str">
        <f t="shared" si="16"/>
        <v/>
      </c>
      <c r="J521" s="56" t="str">
        <f t="shared" si="17"/>
        <v/>
      </c>
    </row>
    <row r="522" spans="9:10" x14ac:dyDescent="0.25">
      <c r="I522" t="str">
        <f t="shared" si="16"/>
        <v/>
      </c>
      <c r="J522" s="56" t="str">
        <f t="shared" si="17"/>
        <v/>
      </c>
    </row>
    <row r="523" spans="9:10" x14ac:dyDescent="0.25">
      <c r="I523" t="str">
        <f t="shared" si="16"/>
        <v/>
      </c>
      <c r="J523" s="56" t="str">
        <f t="shared" si="17"/>
        <v/>
      </c>
    </row>
    <row r="524" spans="9:10" x14ac:dyDescent="0.25">
      <c r="I524" t="str">
        <f t="shared" si="16"/>
        <v/>
      </c>
      <c r="J524" s="56" t="str">
        <f t="shared" si="17"/>
        <v/>
      </c>
    </row>
    <row r="525" spans="9:10" x14ac:dyDescent="0.25">
      <c r="I525" t="str">
        <f t="shared" si="16"/>
        <v/>
      </c>
      <c r="J525" s="56" t="str">
        <f t="shared" si="17"/>
        <v/>
      </c>
    </row>
    <row r="526" spans="9:10" x14ac:dyDescent="0.25">
      <c r="I526" t="str">
        <f t="shared" si="16"/>
        <v/>
      </c>
      <c r="J526" s="56" t="str">
        <f t="shared" si="17"/>
        <v/>
      </c>
    </row>
    <row r="527" spans="9:10" x14ac:dyDescent="0.25">
      <c r="I527" t="str">
        <f t="shared" si="16"/>
        <v/>
      </c>
      <c r="J527" s="56" t="str">
        <f t="shared" si="17"/>
        <v/>
      </c>
    </row>
    <row r="528" spans="9:10" x14ac:dyDescent="0.25">
      <c r="I528" t="str">
        <f t="shared" si="16"/>
        <v/>
      </c>
      <c r="J528" s="56" t="str">
        <f t="shared" si="17"/>
        <v/>
      </c>
    </row>
    <row r="529" spans="9:10" x14ac:dyDescent="0.25">
      <c r="I529" t="str">
        <f t="shared" si="16"/>
        <v/>
      </c>
      <c r="J529" s="56" t="str">
        <f t="shared" si="17"/>
        <v/>
      </c>
    </row>
    <row r="530" spans="9:10" x14ac:dyDescent="0.25">
      <c r="I530" t="str">
        <f t="shared" si="16"/>
        <v/>
      </c>
      <c r="J530" s="56" t="str">
        <f t="shared" si="17"/>
        <v/>
      </c>
    </row>
    <row r="531" spans="9:10" x14ac:dyDescent="0.25">
      <c r="I531" t="str">
        <f t="shared" si="16"/>
        <v/>
      </c>
      <c r="J531" s="56" t="str">
        <f t="shared" si="17"/>
        <v/>
      </c>
    </row>
    <row r="532" spans="9:10" x14ac:dyDescent="0.25">
      <c r="I532" t="str">
        <f t="shared" si="16"/>
        <v/>
      </c>
      <c r="J532" s="56" t="str">
        <f t="shared" si="17"/>
        <v/>
      </c>
    </row>
    <row r="533" spans="9:10" x14ac:dyDescent="0.25">
      <c r="I533" t="str">
        <f t="shared" si="16"/>
        <v/>
      </c>
      <c r="J533" s="56" t="str">
        <f t="shared" si="17"/>
        <v/>
      </c>
    </row>
    <row r="534" spans="9:10" x14ac:dyDescent="0.25">
      <c r="I534" t="str">
        <f t="shared" si="16"/>
        <v/>
      </c>
      <c r="J534" s="56" t="str">
        <f t="shared" si="17"/>
        <v/>
      </c>
    </row>
    <row r="535" spans="9:10" x14ac:dyDescent="0.25">
      <c r="I535" t="str">
        <f t="shared" si="16"/>
        <v/>
      </c>
      <c r="J535" s="56" t="str">
        <f t="shared" si="17"/>
        <v/>
      </c>
    </row>
    <row r="536" spans="9:10" x14ac:dyDescent="0.25">
      <c r="I536" t="str">
        <f t="shared" si="16"/>
        <v/>
      </c>
      <c r="J536" s="56" t="str">
        <f t="shared" si="17"/>
        <v/>
      </c>
    </row>
    <row r="537" spans="9:10" x14ac:dyDescent="0.25">
      <c r="I537" t="str">
        <f t="shared" si="16"/>
        <v/>
      </c>
      <c r="J537" s="56" t="str">
        <f t="shared" si="17"/>
        <v/>
      </c>
    </row>
    <row r="538" spans="9:10" x14ac:dyDescent="0.25">
      <c r="I538" t="str">
        <f t="shared" si="16"/>
        <v/>
      </c>
      <c r="J538" s="56" t="str">
        <f t="shared" si="17"/>
        <v/>
      </c>
    </row>
    <row r="539" spans="9:10" x14ac:dyDescent="0.25">
      <c r="I539" t="str">
        <f t="shared" si="16"/>
        <v/>
      </c>
      <c r="J539" s="56" t="str">
        <f t="shared" si="17"/>
        <v/>
      </c>
    </row>
    <row r="540" spans="9:10" x14ac:dyDescent="0.25">
      <c r="I540" t="str">
        <f t="shared" si="16"/>
        <v/>
      </c>
      <c r="J540" s="56" t="str">
        <f t="shared" si="17"/>
        <v/>
      </c>
    </row>
    <row r="541" spans="9:10" x14ac:dyDescent="0.25">
      <c r="I541" t="str">
        <f t="shared" si="16"/>
        <v/>
      </c>
      <c r="J541" s="56" t="str">
        <f t="shared" si="17"/>
        <v/>
      </c>
    </row>
    <row r="542" spans="9:10" x14ac:dyDescent="0.25">
      <c r="I542" t="str">
        <f t="shared" si="16"/>
        <v/>
      </c>
      <c r="J542" s="56" t="str">
        <f t="shared" si="17"/>
        <v/>
      </c>
    </row>
    <row r="543" spans="9:10" x14ac:dyDescent="0.25">
      <c r="I543" t="str">
        <f t="shared" si="16"/>
        <v/>
      </c>
      <c r="J543" s="56" t="str">
        <f t="shared" si="17"/>
        <v/>
      </c>
    </row>
    <row r="544" spans="9:10" x14ac:dyDescent="0.25">
      <c r="I544" t="str">
        <f t="shared" si="16"/>
        <v/>
      </c>
      <c r="J544" s="56" t="str">
        <f t="shared" si="17"/>
        <v/>
      </c>
    </row>
    <row r="545" spans="9:10" x14ac:dyDescent="0.25">
      <c r="I545" t="str">
        <f t="shared" si="16"/>
        <v/>
      </c>
      <c r="J545" s="56" t="str">
        <f t="shared" si="17"/>
        <v/>
      </c>
    </row>
    <row r="546" spans="9:10" x14ac:dyDescent="0.25">
      <c r="I546" t="str">
        <f t="shared" si="16"/>
        <v/>
      </c>
      <c r="J546" s="56" t="str">
        <f t="shared" si="17"/>
        <v/>
      </c>
    </row>
    <row r="547" spans="9:10" x14ac:dyDescent="0.25">
      <c r="I547" t="str">
        <f t="shared" si="16"/>
        <v/>
      </c>
      <c r="J547" s="56" t="str">
        <f t="shared" si="17"/>
        <v/>
      </c>
    </row>
    <row r="548" spans="9:10" x14ac:dyDescent="0.25">
      <c r="I548" t="str">
        <f t="shared" si="16"/>
        <v/>
      </c>
      <c r="J548" s="56" t="str">
        <f t="shared" si="17"/>
        <v/>
      </c>
    </row>
    <row r="549" spans="9:10" x14ac:dyDescent="0.25">
      <c r="I549" t="str">
        <f t="shared" si="16"/>
        <v/>
      </c>
      <c r="J549" s="56" t="str">
        <f t="shared" si="17"/>
        <v/>
      </c>
    </row>
    <row r="550" spans="9:10" x14ac:dyDescent="0.25">
      <c r="I550" t="str">
        <f t="shared" si="16"/>
        <v/>
      </c>
      <c r="J550" s="56" t="str">
        <f t="shared" si="17"/>
        <v/>
      </c>
    </row>
    <row r="551" spans="9:10" x14ac:dyDescent="0.25">
      <c r="I551" t="str">
        <f t="shared" si="16"/>
        <v/>
      </c>
      <c r="J551" s="56" t="str">
        <f t="shared" si="17"/>
        <v/>
      </c>
    </row>
    <row r="552" spans="9:10" x14ac:dyDescent="0.25">
      <c r="I552" t="str">
        <f t="shared" si="16"/>
        <v/>
      </c>
      <c r="J552" s="56" t="str">
        <f t="shared" si="17"/>
        <v/>
      </c>
    </row>
    <row r="553" spans="9:10" x14ac:dyDescent="0.25">
      <c r="I553" t="str">
        <f t="shared" si="16"/>
        <v/>
      </c>
      <c r="J553" s="56" t="str">
        <f t="shared" si="17"/>
        <v/>
      </c>
    </row>
    <row r="554" spans="9:10" x14ac:dyDescent="0.25">
      <c r="I554" t="str">
        <f t="shared" si="16"/>
        <v/>
      </c>
      <c r="J554" s="56" t="str">
        <f t="shared" si="17"/>
        <v/>
      </c>
    </row>
    <row r="555" spans="9:10" x14ac:dyDescent="0.25">
      <c r="I555" t="str">
        <f t="shared" si="16"/>
        <v/>
      </c>
      <c r="J555" s="56" t="str">
        <f t="shared" si="17"/>
        <v/>
      </c>
    </row>
    <row r="556" spans="9:10" x14ac:dyDescent="0.25">
      <c r="I556" t="str">
        <f t="shared" si="16"/>
        <v/>
      </c>
      <c r="J556" s="56" t="str">
        <f t="shared" si="17"/>
        <v/>
      </c>
    </row>
    <row r="557" spans="9:10" x14ac:dyDescent="0.25">
      <c r="I557" t="str">
        <f t="shared" si="16"/>
        <v/>
      </c>
      <c r="J557" s="56" t="str">
        <f t="shared" si="17"/>
        <v/>
      </c>
    </row>
    <row r="558" spans="9:10" x14ac:dyDescent="0.25">
      <c r="I558" t="str">
        <f t="shared" si="16"/>
        <v/>
      </c>
      <c r="J558" s="56" t="str">
        <f t="shared" si="17"/>
        <v/>
      </c>
    </row>
    <row r="559" spans="9:10" x14ac:dyDescent="0.25">
      <c r="I559" t="str">
        <f t="shared" si="16"/>
        <v/>
      </c>
      <c r="J559" s="56" t="str">
        <f t="shared" si="17"/>
        <v/>
      </c>
    </row>
    <row r="560" spans="9:10" x14ac:dyDescent="0.25">
      <c r="I560" t="str">
        <f t="shared" si="16"/>
        <v/>
      </c>
      <c r="J560" s="56" t="str">
        <f t="shared" si="17"/>
        <v/>
      </c>
    </row>
    <row r="561" spans="9:10" x14ac:dyDescent="0.25">
      <c r="I561" t="str">
        <f t="shared" si="16"/>
        <v/>
      </c>
      <c r="J561" s="56" t="str">
        <f t="shared" si="17"/>
        <v/>
      </c>
    </row>
    <row r="562" spans="9:10" x14ac:dyDescent="0.25">
      <c r="I562" t="str">
        <f t="shared" si="16"/>
        <v/>
      </c>
      <c r="J562" s="56" t="str">
        <f t="shared" si="17"/>
        <v/>
      </c>
    </row>
    <row r="563" spans="9:10" x14ac:dyDescent="0.25">
      <c r="I563" t="str">
        <f t="shared" si="16"/>
        <v/>
      </c>
      <c r="J563" s="56" t="str">
        <f t="shared" si="17"/>
        <v/>
      </c>
    </row>
    <row r="564" spans="9:10" x14ac:dyDescent="0.25">
      <c r="I564" t="str">
        <f t="shared" si="16"/>
        <v/>
      </c>
      <c r="J564" s="56" t="str">
        <f t="shared" si="17"/>
        <v/>
      </c>
    </row>
    <row r="565" spans="9:10" x14ac:dyDescent="0.25">
      <c r="I565" t="str">
        <f t="shared" si="16"/>
        <v/>
      </c>
      <c r="J565" s="56" t="str">
        <f t="shared" si="17"/>
        <v/>
      </c>
    </row>
    <row r="566" spans="9:10" x14ac:dyDescent="0.25">
      <c r="I566" t="str">
        <f t="shared" si="16"/>
        <v/>
      </c>
      <c r="J566" s="56" t="str">
        <f t="shared" si="17"/>
        <v/>
      </c>
    </row>
    <row r="567" spans="9:10" x14ac:dyDescent="0.25">
      <c r="I567" t="str">
        <f t="shared" si="16"/>
        <v/>
      </c>
      <c r="J567" s="56" t="str">
        <f t="shared" si="17"/>
        <v/>
      </c>
    </row>
    <row r="568" spans="9:10" x14ac:dyDescent="0.25">
      <c r="I568" t="str">
        <f t="shared" si="16"/>
        <v/>
      </c>
      <c r="J568" s="56" t="str">
        <f t="shared" si="17"/>
        <v/>
      </c>
    </row>
    <row r="569" spans="9:10" x14ac:dyDescent="0.25">
      <c r="I569" t="str">
        <f t="shared" si="16"/>
        <v/>
      </c>
      <c r="J569" s="56" t="str">
        <f t="shared" si="17"/>
        <v/>
      </c>
    </row>
    <row r="570" spans="9:10" x14ac:dyDescent="0.25">
      <c r="I570" t="str">
        <f t="shared" si="16"/>
        <v/>
      </c>
      <c r="J570" s="56" t="str">
        <f t="shared" si="17"/>
        <v/>
      </c>
    </row>
    <row r="571" spans="9:10" x14ac:dyDescent="0.25">
      <c r="I571" t="str">
        <f t="shared" si="16"/>
        <v/>
      </c>
      <c r="J571" s="56" t="str">
        <f t="shared" si="17"/>
        <v/>
      </c>
    </row>
    <row r="572" spans="9:10" x14ac:dyDescent="0.25">
      <c r="I572" t="str">
        <f t="shared" si="16"/>
        <v/>
      </c>
      <c r="J572" s="56" t="str">
        <f t="shared" si="17"/>
        <v/>
      </c>
    </row>
    <row r="573" spans="9:10" x14ac:dyDescent="0.25">
      <c r="I573" t="str">
        <f t="shared" si="16"/>
        <v/>
      </c>
      <c r="J573" s="56" t="str">
        <f t="shared" si="17"/>
        <v/>
      </c>
    </row>
    <row r="574" spans="9:10" x14ac:dyDescent="0.25">
      <c r="I574" t="str">
        <f t="shared" si="16"/>
        <v/>
      </c>
      <c r="J574" s="56" t="str">
        <f t="shared" si="17"/>
        <v/>
      </c>
    </row>
    <row r="575" spans="9:10" x14ac:dyDescent="0.25">
      <c r="I575" t="str">
        <f t="shared" si="16"/>
        <v/>
      </c>
      <c r="J575" s="56" t="str">
        <f t="shared" si="17"/>
        <v/>
      </c>
    </row>
    <row r="576" spans="9:10" x14ac:dyDescent="0.25">
      <c r="I576" t="str">
        <f t="shared" si="16"/>
        <v/>
      </c>
      <c r="J576" s="56" t="str">
        <f t="shared" si="17"/>
        <v/>
      </c>
    </row>
    <row r="577" spans="9:10" x14ac:dyDescent="0.25">
      <c r="I577" t="str">
        <f t="shared" si="16"/>
        <v/>
      </c>
      <c r="J577" s="56" t="str">
        <f t="shared" si="17"/>
        <v/>
      </c>
    </row>
    <row r="578" spans="9:10" x14ac:dyDescent="0.25">
      <c r="I578" t="str">
        <f t="shared" si="16"/>
        <v/>
      </c>
      <c r="J578" s="56" t="str">
        <f t="shared" si="17"/>
        <v/>
      </c>
    </row>
    <row r="579" spans="9:10" x14ac:dyDescent="0.25">
      <c r="I579" t="str">
        <f t="shared" ref="I579:I642" si="18">IF($A579="","",RIGHT($E579,LEN($E579)-SEARCH(".",$E579)))</f>
        <v/>
      </c>
      <c r="J579" s="56" t="str">
        <f t="shared" ref="J579:J642" si="19">IF($A579="","",$G579)</f>
        <v/>
      </c>
    </row>
    <row r="580" spans="9:10" x14ac:dyDescent="0.25">
      <c r="I580" t="str">
        <f t="shared" si="18"/>
        <v/>
      </c>
      <c r="J580" s="56" t="str">
        <f t="shared" si="19"/>
        <v/>
      </c>
    </row>
    <row r="581" spans="9:10" x14ac:dyDescent="0.25">
      <c r="I581" t="str">
        <f t="shared" si="18"/>
        <v/>
      </c>
      <c r="J581" s="56" t="str">
        <f t="shared" si="19"/>
        <v/>
      </c>
    </row>
    <row r="582" spans="9:10" x14ac:dyDescent="0.25">
      <c r="I582" t="str">
        <f t="shared" si="18"/>
        <v/>
      </c>
      <c r="J582" s="56" t="str">
        <f t="shared" si="19"/>
        <v/>
      </c>
    </row>
    <row r="583" spans="9:10" x14ac:dyDescent="0.25">
      <c r="I583" t="str">
        <f t="shared" si="18"/>
        <v/>
      </c>
      <c r="J583" s="56" t="str">
        <f t="shared" si="19"/>
        <v/>
      </c>
    </row>
    <row r="584" spans="9:10" x14ac:dyDescent="0.25">
      <c r="I584" t="str">
        <f t="shared" si="18"/>
        <v/>
      </c>
      <c r="J584" s="56" t="str">
        <f t="shared" si="19"/>
        <v/>
      </c>
    </row>
    <row r="585" spans="9:10" x14ac:dyDescent="0.25">
      <c r="I585" t="str">
        <f t="shared" si="18"/>
        <v/>
      </c>
      <c r="J585" s="56" t="str">
        <f t="shared" si="19"/>
        <v/>
      </c>
    </row>
    <row r="586" spans="9:10" x14ac:dyDescent="0.25">
      <c r="I586" t="str">
        <f t="shared" si="18"/>
        <v/>
      </c>
      <c r="J586" s="56" t="str">
        <f t="shared" si="19"/>
        <v/>
      </c>
    </row>
    <row r="587" spans="9:10" x14ac:dyDescent="0.25">
      <c r="I587" t="str">
        <f t="shared" si="18"/>
        <v/>
      </c>
      <c r="J587" s="56" t="str">
        <f t="shared" si="19"/>
        <v/>
      </c>
    </row>
    <row r="588" spans="9:10" x14ac:dyDescent="0.25">
      <c r="I588" t="str">
        <f t="shared" si="18"/>
        <v/>
      </c>
      <c r="J588" s="56" t="str">
        <f t="shared" si="19"/>
        <v/>
      </c>
    </row>
    <row r="589" spans="9:10" x14ac:dyDescent="0.25">
      <c r="I589" t="str">
        <f t="shared" si="18"/>
        <v/>
      </c>
      <c r="J589" s="56" t="str">
        <f t="shared" si="19"/>
        <v/>
      </c>
    </row>
    <row r="590" spans="9:10" x14ac:dyDescent="0.25">
      <c r="I590" t="str">
        <f t="shared" si="18"/>
        <v/>
      </c>
      <c r="J590" s="56" t="str">
        <f t="shared" si="19"/>
        <v/>
      </c>
    </row>
    <row r="591" spans="9:10" x14ac:dyDescent="0.25">
      <c r="I591" t="str">
        <f t="shared" si="18"/>
        <v/>
      </c>
      <c r="J591" s="56" t="str">
        <f t="shared" si="19"/>
        <v/>
      </c>
    </row>
    <row r="592" spans="9:10" x14ac:dyDescent="0.25">
      <c r="I592" t="str">
        <f t="shared" si="18"/>
        <v/>
      </c>
      <c r="J592" s="56" t="str">
        <f t="shared" si="19"/>
        <v/>
      </c>
    </row>
    <row r="593" spans="9:10" x14ac:dyDescent="0.25">
      <c r="I593" t="str">
        <f t="shared" si="18"/>
        <v/>
      </c>
      <c r="J593" s="56" t="str">
        <f t="shared" si="19"/>
        <v/>
      </c>
    </row>
    <row r="594" spans="9:10" x14ac:dyDescent="0.25">
      <c r="I594" t="str">
        <f t="shared" si="18"/>
        <v/>
      </c>
      <c r="J594" s="56" t="str">
        <f t="shared" si="19"/>
        <v/>
      </c>
    </row>
    <row r="595" spans="9:10" x14ac:dyDescent="0.25">
      <c r="I595" t="str">
        <f t="shared" si="18"/>
        <v/>
      </c>
      <c r="J595" s="56" t="str">
        <f t="shared" si="19"/>
        <v/>
      </c>
    </row>
    <row r="596" spans="9:10" x14ac:dyDescent="0.25">
      <c r="I596" t="str">
        <f t="shared" si="18"/>
        <v/>
      </c>
      <c r="J596" s="56" t="str">
        <f t="shared" si="19"/>
        <v/>
      </c>
    </row>
    <row r="597" spans="9:10" x14ac:dyDescent="0.25">
      <c r="I597" t="str">
        <f t="shared" si="18"/>
        <v/>
      </c>
      <c r="J597" s="56" t="str">
        <f t="shared" si="19"/>
        <v/>
      </c>
    </row>
    <row r="598" spans="9:10" x14ac:dyDescent="0.25">
      <c r="I598" t="str">
        <f t="shared" si="18"/>
        <v/>
      </c>
      <c r="J598" s="56" t="str">
        <f t="shared" si="19"/>
        <v/>
      </c>
    </row>
    <row r="599" spans="9:10" x14ac:dyDescent="0.25">
      <c r="I599" t="str">
        <f t="shared" si="18"/>
        <v/>
      </c>
      <c r="J599" s="56" t="str">
        <f t="shared" si="19"/>
        <v/>
      </c>
    </row>
    <row r="600" spans="9:10" x14ac:dyDescent="0.25">
      <c r="I600" t="str">
        <f t="shared" si="18"/>
        <v/>
      </c>
      <c r="J600" s="56" t="str">
        <f t="shared" si="19"/>
        <v/>
      </c>
    </row>
    <row r="601" spans="9:10" x14ac:dyDescent="0.25">
      <c r="I601" t="str">
        <f t="shared" si="18"/>
        <v/>
      </c>
      <c r="J601" s="56" t="str">
        <f t="shared" si="19"/>
        <v/>
      </c>
    </row>
    <row r="602" spans="9:10" x14ac:dyDescent="0.25">
      <c r="I602" t="str">
        <f t="shared" si="18"/>
        <v/>
      </c>
      <c r="J602" s="56" t="str">
        <f t="shared" si="19"/>
        <v/>
      </c>
    </row>
    <row r="603" spans="9:10" x14ac:dyDescent="0.25">
      <c r="I603" t="str">
        <f t="shared" si="18"/>
        <v/>
      </c>
      <c r="J603" s="56" t="str">
        <f t="shared" si="19"/>
        <v/>
      </c>
    </row>
    <row r="604" spans="9:10" x14ac:dyDescent="0.25">
      <c r="I604" t="str">
        <f t="shared" si="18"/>
        <v/>
      </c>
      <c r="J604" s="56" t="str">
        <f t="shared" si="19"/>
        <v/>
      </c>
    </row>
    <row r="605" spans="9:10" x14ac:dyDescent="0.25">
      <c r="I605" t="str">
        <f t="shared" si="18"/>
        <v/>
      </c>
      <c r="J605" s="56" t="str">
        <f t="shared" si="19"/>
        <v/>
      </c>
    </row>
    <row r="606" spans="9:10" x14ac:dyDescent="0.25">
      <c r="I606" t="str">
        <f t="shared" si="18"/>
        <v/>
      </c>
      <c r="J606" s="56" t="str">
        <f t="shared" si="19"/>
        <v/>
      </c>
    </row>
    <row r="607" spans="9:10" x14ac:dyDescent="0.25">
      <c r="I607" t="str">
        <f t="shared" si="18"/>
        <v/>
      </c>
      <c r="J607" s="56" t="str">
        <f t="shared" si="19"/>
        <v/>
      </c>
    </row>
    <row r="608" spans="9:10" x14ac:dyDescent="0.25">
      <c r="I608" t="str">
        <f t="shared" si="18"/>
        <v/>
      </c>
      <c r="J608" s="56" t="str">
        <f t="shared" si="19"/>
        <v/>
      </c>
    </row>
    <row r="609" spans="9:10" x14ac:dyDescent="0.25">
      <c r="I609" t="str">
        <f t="shared" si="18"/>
        <v/>
      </c>
      <c r="J609" s="56" t="str">
        <f t="shared" si="19"/>
        <v/>
      </c>
    </row>
    <row r="610" spans="9:10" x14ac:dyDescent="0.25">
      <c r="I610" t="str">
        <f t="shared" si="18"/>
        <v/>
      </c>
      <c r="J610" s="56" t="str">
        <f t="shared" si="19"/>
        <v/>
      </c>
    </row>
    <row r="611" spans="9:10" x14ac:dyDescent="0.25">
      <c r="I611" t="str">
        <f t="shared" si="18"/>
        <v/>
      </c>
      <c r="J611" s="56" t="str">
        <f t="shared" si="19"/>
        <v/>
      </c>
    </row>
    <row r="612" spans="9:10" x14ac:dyDescent="0.25">
      <c r="I612" t="str">
        <f t="shared" si="18"/>
        <v/>
      </c>
      <c r="J612" s="56" t="str">
        <f t="shared" si="19"/>
        <v/>
      </c>
    </row>
    <row r="613" spans="9:10" x14ac:dyDescent="0.25">
      <c r="I613" t="str">
        <f t="shared" si="18"/>
        <v/>
      </c>
      <c r="J613" s="56" t="str">
        <f t="shared" si="19"/>
        <v/>
      </c>
    </row>
    <row r="614" spans="9:10" x14ac:dyDescent="0.25">
      <c r="I614" t="str">
        <f t="shared" si="18"/>
        <v/>
      </c>
      <c r="J614" s="56" t="str">
        <f t="shared" si="19"/>
        <v/>
      </c>
    </row>
    <row r="615" spans="9:10" x14ac:dyDescent="0.25">
      <c r="I615" t="str">
        <f t="shared" si="18"/>
        <v/>
      </c>
      <c r="J615" s="56" t="str">
        <f t="shared" si="19"/>
        <v/>
      </c>
    </row>
    <row r="616" spans="9:10" x14ac:dyDescent="0.25">
      <c r="I616" t="str">
        <f t="shared" si="18"/>
        <v/>
      </c>
      <c r="J616" s="56" t="str">
        <f t="shared" si="19"/>
        <v/>
      </c>
    </row>
    <row r="617" spans="9:10" x14ac:dyDescent="0.25">
      <c r="I617" t="str">
        <f t="shared" si="18"/>
        <v/>
      </c>
      <c r="J617" s="56" t="str">
        <f t="shared" si="19"/>
        <v/>
      </c>
    </row>
    <row r="618" spans="9:10" x14ac:dyDescent="0.25">
      <c r="I618" t="str">
        <f t="shared" si="18"/>
        <v/>
      </c>
      <c r="J618" s="56" t="str">
        <f t="shared" si="19"/>
        <v/>
      </c>
    </row>
    <row r="619" spans="9:10" x14ac:dyDescent="0.25">
      <c r="I619" t="str">
        <f t="shared" si="18"/>
        <v/>
      </c>
      <c r="J619" s="56" t="str">
        <f t="shared" si="19"/>
        <v/>
      </c>
    </row>
    <row r="620" spans="9:10" x14ac:dyDescent="0.25">
      <c r="I620" t="str">
        <f t="shared" si="18"/>
        <v/>
      </c>
      <c r="J620" s="56" t="str">
        <f t="shared" si="19"/>
        <v/>
      </c>
    </row>
    <row r="621" spans="9:10" x14ac:dyDescent="0.25">
      <c r="I621" t="str">
        <f t="shared" si="18"/>
        <v/>
      </c>
      <c r="J621" s="56" t="str">
        <f t="shared" si="19"/>
        <v/>
      </c>
    </row>
    <row r="622" spans="9:10" x14ac:dyDescent="0.25">
      <c r="I622" t="str">
        <f t="shared" si="18"/>
        <v/>
      </c>
      <c r="J622" s="56" t="str">
        <f t="shared" si="19"/>
        <v/>
      </c>
    </row>
    <row r="623" spans="9:10" x14ac:dyDescent="0.25">
      <c r="I623" t="str">
        <f t="shared" si="18"/>
        <v/>
      </c>
      <c r="J623" s="56" t="str">
        <f t="shared" si="19"/>
        <v/>
      </c>
    </row>
    <row r="624" spans="9:10" x14ac:dyDescent="0.25">
      <c r="I624" t="str">
        <f t="shared" si="18"/>
        <v/>
      </c>
      <c r="J624" s="56" t="str">
        <f t="shared" si="19"/>
        <v/>
      </c>
    </row>
    <row r="625" spans="9:10" x14ac:dyDescent="0.25">
      <c r="I625" t="str">
        <f t="shared" si="18"/>
        <v/>
      </c>
      <c r="J625" s="56" t="str">
        <f t="shared" si="19"/>
        <v/>
      </c>
    </row>
    <row r="626" spans="9:10" x14ac:dyDescent="0.25">
      <c r="I626" t="str">
        <f t="shared" si="18"/>
        <v/>
      </c>
      <c r="J626" s="56" t="str">
        <f t="shared" si="19"/>
        <v/>
      </c>
    </row>
    <row r="627" spans="9:10" x14ac:dyDescent="0.25">
      <c r="I627" t="str">
        <f t="shared" si="18"/>
        <v/>
      </c>
      <c r="J627" s="56" t="str">
        <f t="shared" si="19"/>
        <v/>
      </c>
    </row>
    <row r="628" spans="9:10" x14ac:dyDescent="0.25">
      <c r="I628" t="str">
        <f t="shared" si="18"/>
        <v/>
      </c>
      <c r="J628" s="56" t="str">
        <f t="shared" si="19"/>
        <v/>
      </c>
    </row>
    <row r="629" spans="9:10" x14ac:dyDescent="0.25">
      <c r="I629" t="str">
        <f t="shared" si="18"/>
        <v/>
      </c>
      <c r="J629" s="56" t="str">
        <f t="shared" si="19"/>
        <v/>
      </c>
    </row>
    <row r="630" spans="9:10" x14ac:dyDescent="0.25">
      <c r="I630" t="str">
        <f t="shared" si="18"/>
        <v/>
      </c>
      <c r="J630" s="56" t="str">
        <f t="shared" si="19"/>
        <v/>
      </c>
    </row>
    <row r="631" spans="9:10" x14ac:dyDescent="0.25">
      <c r="I631" t="str">
        <f t="shared" si="18"/>
        <v/>
      </c>
      <c r="J631" s="56" t="str">
        <f t="shared" si="19"/>
        <v/>
      </c>
    </row>
    <row r="632" spans="9:10" x14ac:dyDescent="0.25">
      <c r="I632" t="str">
        <f t="shared" si="18"/>
        <v/>
      </c>
      <c r="J632" s="56" t="str">
        <f t="shared" si="19"/>
        <v/>
      </c>
    </row>
    <row r="633" spans="9:10" x14ac:dyDescent="0.25">
      <c r="I633" t="str">
        <f t="shared" si="18"/>
        <v/>
      </c>
      <c r="J633" s="56" t="str">
        <f t="shared" si="19"/>
        <v/>
      </c>
    </row>
    <row r="634" spans="9:10" x14ac:dyDescent="0.25">
      <c r="I634" t="str">
        <f t="shared" si="18"/>
        <v/>
      </c>
      <c r="J634" s="56" t="str">
        <f t="shared" si="19"/>
        <v/>
      </c>
    </row>
    <row r="635" spans="9:10" x14ac:dyDescent="0.25">
      <c r="I635" t="str">
        <f t="shared" si="18"/>
        <v/>
      </c>
      <c r="J635" s="56" t="str">
        <f t="shared" si="19"/>
        <v/>
      </c>
    </row>
    <row r="636" spans="9:10" x14ac:dyDescent="0.25">
      <c r="I636" t="str">
        <f t="shared" si="18"/>
        <v/>
      </c>
      <c r="J636" s="56" t="str">
        <f t="shared" si="19"/>
        <v/>
      </c>
    </row>
    <row r="637" spans="9:10" x14ac:dyDescent="0.25">
      <c r="I637" t="str">
        <f t="shared" si="18"/>
        <v/>
      </c>
      <c r="J637" s="56" t="str">
        <f t="shared" si="19"/>
        <v/>
      </c>
    </row>
    <row r="638" spans="9:10" x14ac:dyDescent="0.25">
      <c r="I638" t="str">
        <f t="shared" si="18"/>
        <v/>
      </c>
      <c r="J638" s="56" t="str">
        <f t="shared" si="19"/>
        <v/>
      </c>
    </row>
    <row r="639" spans="9:10" x14ac:dyDescent="0.25">
      <c r="I639" t="str">
        <f t="shared" si="18"/>
        <v/>
      </c>
      <c r="J639" s="56" t="str">
        <f t="shared" si="19"/>
        <v/>
      </c>
    </row>
    <row r="640" spans="9:10" x14ac:dyDescent="0.25">
      <c r="I640" t="str">
        <f t="shared" si="18"/>
        <v/>
      </c>
      <c r="J640" s="56" t="str">
        <f t="shared" si="19"/>
        <v/>
      </c>
    </row>
    <row r="641" spans="9:10" x14ac:dyDescent="0.25">
      <c r="I641" t="str">
        <f t="shared" si="18"/>
        <v/>
      </c>
      <c r="J641" s="56" t="str">
        <f t="shared" si="19"/>
        <v/>
      </c>
    </row>
    <row r="642" spans="9:10" x14ac:dyDescent="0.25">
      <c r="I642" t="str">
        <f t="shared" si="18"/>
        <v/>
      </c>
      <c r="J642" s="56" t="str">
        <f t="shared" si="19"/>
        <v/>
      </c>
    </row>
    <row r="643" spans="9:10" x14ac:dyDescent="0.25">
      <c r="I643" t="str">
        <f t="shared" ref="I643:I706" si="20">IF($A643="","",RIGHT($E643,LEN($E643)-SEARCH(".",$E643)))</f>
        <v/>
      </c>
      <c r="J643" s="56" t="str">
        <f t="shared" ref="J643:J706" si="21">IF($A643="","",$G643)</f>
        <v/>
      </c>
    </row>
    <row r="644" spans="9:10" x14ac:dyDescent="0.25">
      <c r="I644" t="str">
        <f t="shared" si="20"/>
        <v/>
      </c>
      <c r="J644" s="56" t="str">
        <f t="shared" si="21"/>
        <v/>
      </c>
    </row>
    <row r="645" spans="9:10" x14ac:dyDescent="0.25">
      <c r="I645" t="str">
        <f t="shared" si="20"/>
        <v/>
      </c>
      <c r="J645" s="56" t="str">
        <f t="shared" si="21"/>
        <v/>
      </c>
    </row>
    <row r="646" spans="9:10" x14ac:dyDescent="0.25">
      <c r="I646" t="str">
        <f t="shared" si="20"/>
        <v/>
      </c>
      <c r="J646" s="56" t="str">
        <f t="shared" si="21"/>
        <v/>
      </c>
    </row>
    <row r="647" spans="9:10" x14ac:dyDescent="0.25">
      <c r="I647" t="str">
        <f t="shared" si="20"/>
        <v/>
      </c>
      <c r="J647" s="56" t="str">
        <f t="shared" si="21"/>
        <v/>
      </c>
    </row>
    <row r="648" spans="9:10" x14ac:dyDescent="0.25">
      <c r="I648" t="str">
        <f t="shared" si="20"/>
        <v/>
      </c>
      <c r="J648" s="56" t="str">
        <f t="shared" si="21"/>
        <v/>
      </c>
    </row>
    <row r="649" spans="9:10" x14ac:dyDescent="0.25">
      <c r="I649" t="str">
        <f t="shared" si="20"/>
        <v/>
      </c>
      <c r="J649" s="56" t="str">
        <f t="shared" si="21"/>
        <v/>
      </c>
    </row>
    <row r="650" spans="9:10" x14ac:dyDescent="0.25">
      <c r="I650" t="str">
        <f t="shared" si="20"/>
        <v/>
      </c>
      <c r="J650" s="56" t="str">
        <f t="shared" si="21"/>
        <v/>
      </c>
    </row>
    <row r="651" spans="9:10" x14ac:dyDescent="0.25">
      <c r="I651" t="str">
        <f t="shared" si="20"/>
        <v/>
      </c>
      <c r="J651" s="56" t="str">
        <f t="shared" si="21"/>
        <v/>
      </c>
    </row>
    <row r="652" spans="9:10" x14ac:dyDescent="0.25">
      <c r="I652" t="str">
        <f t="shared" si="20"/>
        <v/>
      </c>
      <c r="J652" s="56" t="str">
        <f t="shared" si="21"/>
        <v/>
      </c>
    </row>
    <row r="653" spans="9:10" x14ac:dyDescent="0.25">
      <c r="I653" t="str">
        <f t="shared" si="20"/>
        <v/>
      </c>
      <c r="J653" s="56" t="str">
        <f t="shared" si="21"/>
        <v/>
      </c>
    </row>
    <row r="654" spans="9:10" x14ac:dyDescent="0.25">
      <c r="I654" t="str">
        <f t="shared" si="20"/>
        <v/>
      </c>
      <c r="J654" s="56" t="str">
        <f t="shared" si="21"/>
        <v/>
      </c>
    </row>
    <row r="655" spans="9:10" x14ac:dyDescent="0.25">
      <c r="I655" t="str">
        <f t="shared" si="20"/>
        <v/>
      </c>
      <c r="J655" s="56" t="str">
        <f t="shared" si="21"/>
        <v/>
      </c>
    </row>
    <row r="656" spans="9:10" x14ac:dyDescent="0.25">
      <c r="I656" t="str">
        <f t="shared" si="20"/>
        <v/>
      </c>
      <c r="J656" s="56" t="str">
        <f t="shared" si="21"/>
        <v/>
      </c>
    </row>
    <row r="657" spans="9:10" x14ac:dyDescent="0.25">
      <c r="I657" t="str">
        <f t="shared" si="20"/>
        <v/>
      </c>
      <c r="J657" s="56" t="str">
        <f t="shared" si="21"/>
        <v/>
      </c>
    </row>
    <row r="658" spans="9:10" x14ac:dyDescent="0.25">
      <c r="I658" t="str">
        <f t="shared" si="20"/>
        <v/>
      </c>
      <c r="J658" s="56" t="str">
        <f t="shared" si="21"/>
        <v/>
      </c>
    </row>
    <row r="659" spans="9:10" x14ac:dyDescent="0.25">
      <c r="I659" t="str">
        <f t="shared" si="20"/>
        <v/>
      </c>
      <c r="J659" s="56" t="str">
        <f t="shared" si="21"/>
        <v/>
      </c>
    </row>
    <row r="660" spans="9:10" x14ac:dyDescent="0.25">
      <c r="I660" t="str">
        <f t="shared" si="20"/>
        <v/>
      </c>
      <c r="J660" s="56" t="str">
        <f t="shared" si="21"/>
        <v/>
      </c>
    </row>
    <row r="661" spans="9:10" x14ac:dyDescent="0.25">
      <c r="I661" t="str">
        <f t="shared" si="20"/>
        <v/>
      </c>
      <c r="J661" s="56" t="str">
        <f t="shared" si="21"/>
        <v/>
      </c>
    </row>
    <row r="662" spans="9:10" x14ac:dyDescent="0.25">
      <c r="I662" t="str">
        <f t="shared" si="20"/>
        <v/>
      </c>
      <c r="J662" s="56" t="str">
        <f t="shared" si="21"/>
        <v/>
      </c>
    </row>
    <row r="663" spans="9:10" x14ac:dyDescent="0.25">
      <c r="I663" t="str">
        <f t="shared" si="20"/>
        <v/>
      </c>
      <c r="J663" s="56" t="str">
        <f t="shared" si="21"/>
        <v/>
      </c>
    </row>
    <row r="664" spans="9:10" x14ac:dyDescent="0.25">
      <c r="I664" t="str">
        <f t="shared" si="20"/>
        <v/>
      </c>
      <c r="J664" s="56" t="str">
        <f t="shared" si="21"/>
        <v/>
      </c>
    </row>
    <row r="665" spans="9:10" x14ac:dyDescent="0.25">
      <c r="I665" t="str">
        <f t="shared" si="20"/>
        <v/>
      </c>
      <c r="J665" s="56" t="str">
        <f t="shared" si="21"/>
        <v/>
      </c>
    </row>
    <row r="666" spans="9:10" x14ac:dyDescent="0.25">
      <c r="I666" t="str">
        <f t="shared" si="20"/>
        <v/>
      </c>
      <c r="J666" s="56" t="str">
        <f t="shared" si="21"/>
        <v/>
      </c>
    </row>
    <row r="667" spans="9:10" x14ac:dyDescent="0.25">
      <c r="I667" t="str">
        <f t="shared" si="20"/>
        <v/>
      </c>
      <c r="J667" s="56" t="str">
        <f t="shared" si="21"/>
        <v/>
      </c>
    </row>
    <row r="668" spans="9:10" x14ac:dyDescent="0.25">
      <c r="I668" t="str">
        <f t="shared" si="20"/>
        <v/>
      </c>
      <c r="J668" s="56" t="str">
        <f t="shared" si="21"/>
        <v/>
      </c>
    </row>
    <row r="669" spans="9:10" x14ac:dyDescent="0.25">
      <c r="I669" t="str">
        <f t="shared" si="20"/>
        <v/>
      </c>
      <c r="J669" s="56" t="str">
        <f t="shared" si="21"/>
        <v/>
      </c>
    </row>
    <row r="670" spans="9:10" x14ac:dyDescent="0.25">
      <c r="I670" t="str">
        <f t="shared" si="20"/>
        <v/>
      </c>
      <c r="J670" s="56" t="str">
        <f t="shared" si="21"/>
        <v/>
      </c>
    </row>
    <row r="671" spans="9:10" x14ac:dyDescent="0.25">
      <c r="I671" t="str">
        <f t="shared" si="20"/>
        <v/>
      </c>
      <c r="J671" s="56" t="str">
        <f t="shared" si="21"/>
        <v/>
      </c>
    </row>
    <row r="672" spans="9:10" x14ac:dyDescent="0.25">
      <c r="I672" t="str">
        <f t="shared" si="20"/>
        <v/>
      </c>
      <c r="J672" s="56" t="str">
        <f t="shared" si="21"/>
        <v/>
      </c>
    </row>
    <row r="673" spans="9:10" x14ac:dyDescent="0.25">
      <c r="I673" t="str">
        <f t="shared" si="20"/>
        <v/>
      </c>
      <c r="J673" s="56" t="str">
        <f t="shared" si="21"/>
        <v/>
      </c>
    </row>
    <row r="674" spans="9:10" x14ac:dyDescent="0.25">
      <c r="I674" t="str">
        <f t="shared" si="20"/>
        <v/>
      </c>
      <c r="J674" s="56" t="str">
        <f t="shared" si="21"/>
        <v/>
      </c>
    </row>
    <row r="675" spans="9:10" x14ac:dyDescent="0.25">
      <c r="I675" t="str">
        <f t="shared" si="20"/>
        <v/>
      </c>
      <c r="J675" s="56" t="str">
        <f t="shared" si="21"/>
        <v/>
      </c>
    </row>
    <row r="676" spans="9:10" x14ac:dyDescent="0.25">
      <c r="I676" t="str">
        <f t="shared" si="20"/>
        <v/>
      </c>
      <c r="J676" s="56" t="str">
        <f t="shared" si="21"/>
        <v/>
      </c>
    </row>
    <row r="677" spans="9:10" x14ac:dyDescent="0.25">
      <c r="I677" t="str">
        <f t="shared" si="20"/>
        <v/>
      </c>
      <c r="J677" s="56" t="str">
        <f t="shared" si="21"/>
        <v/>
      </c>
    </row>
    <row r="678" spans="9:10" x14ac:dyDescent="0.25">
      <c r="I678" t="str">
        <f t="shared" si="20"/>
        <v/>
      </c>
      <c r="J678" s="56" t="str">
        <f t="shared" si="21"/>
        <v/>
      </c>
    </row>
    <row r="679" spans="9:10" x14ac:dyDescent="0.25">
      <c r="I679" t="str">
        <f t="shared" si="20"/>
        <v/>
      </c>
      <c r="J679" s="56" t="str">
        <f t="shared" si="21"/>
        <v/>
      </c>
    </row>
    <row r="680" spans="9:10" x14ac:dyDescent="0.25">
      <c r="I680" t="str">
        <f t="shared" si="20"/>
        <v/>
      </c>
      <c r="J680" s="56" t="str">
        <f t="shared" si="21"/>
        <v/>
      </c>
    </row>
    <row r="681" spans="9:10" x14ac:dyDescent="0.25">
      <c r="I681" t="str">
        <f t="shared" si="20"/>
        <v/>
      </c>
      <c r="J681" s="56" t="str">
        <f t="shared" si="21"/>
        <v/>
      </c>
    </row>
    <row r="682" spans="9:10" x14ac:dyDescent="0.25">
      <c r="I682" t="str">
        <f t="shared" si="20"/>
        <v/>
      </c>
      <c r="J682" s="56" t="str">
        <f t="shared" si="21"/>
        <v/>
      </c>
    </row>
    <row r="683" spans="9:10" x14ac:dyDescent="0.25">
      <c r="I683" t="str">
        <f t="shared" si="20"/>
        <v/>
      </c>
      <c r="J683" s="56" t="str">
        <f t="shared" si="21"/>
        <v/>
      </c>
    </row>
    <row r="684" spans="9:10" x14ac:dyDescent="0.25">
      <c r="I684" t="str">
        <f t="shared" si="20"/>
        <v/>
      </c>
      <c r="J684" s="56" t="str">
        <f t="shared" si="21"/>
        <v/>
      </c>
    </row>
    <row r="685" spans="9:10" x14ac:dyDescent="0.25">
      <c r="I685" t="str">
        <f t="shared" si="20"/>
        <v/>
      </c>
      <c r="J685" s="56" t="str">
        <f t="shared" si="21"/>
        <v/>
      </c>
    </row>
    <row r="686" spans="9:10" x14ac:dyDescent="0.25">
      <c r="I686" t="str">
        <f t="shared" si="20"/>
        <v/>
      </c>
      <c r="J686" s="56" t="str">
        <f t="shared" si="21"/>
        <v/>
      </c>
    </row>
    <row r="687" spans="9:10" x14ac:dyDescent="0.25">
      <c r="I687" t="str">
        <f t="shared" si="20"/>
        <v/>
      </c>
      <c r="J687" s="56" t="str">
        <f t="shared" si="21"/>
        <v/>
      </c>
    </row>
    <row r="688" spans="9:10" x14ac:dyDescent="0.25">
      <c r="I688" t="str">
        <f t="shared" si="20"/>
        <v/>
      </c>
      <c r="J688" s="56" t="str">
        <f t="shared" si="21"/>
        <v/>
      </c>
    </row>
    <row r="689" spans="9:10" x14ac:dyDescent="0.25">
      <c r="I689" t="str">
        <f t="shared" si="20"/>
        <v/>
      </c>
      <c r="J689" s="56" t="str">
        <f t="shared" si="21"/>
        <v/>
      </c>
    </row>
    <row r="690" spans="9:10" x14ac:dyDescent="0.25">
      <c r="I690" t="str">
        <f t="shared" si="20"/>
        <v/>
      </c>
      <c r="J690" s="56" t="str">
        <f t="shared" si="21"/>
        <v/>
      </c>
    </row>
    <row r="691" spans="9:10" x14ac:dyDescent="0.25">
      <c r="I691" t="str">
        <f t="shared" si="20"/>
        <v/>
      </c>
      <c r="J691" s="56" t="str">
        <f t="shared" si="21"/>
        <v/>
      </c>
    </row>
    <row r="692" spans="9:10" x14ac:dyDescent="0.25">
      <c r="I692" t="str">
        <f t="shared" si="20"/>
        <v/>
      </c>
      <c r="J692" s="56" t="str">
        <f t="shared" si="21"/>
        <v/>
      </c>
    </row>
    <row r="693" spans="9:10" x14ac:dyDescent="0.25">
      <c r="I693" t="str">
        <f t="shared" si="20"/>
        <v/>
      </c>
      <c r="J693" s="56" t="str">
        <f t="shared" si="21"/>
        <v/>
      </c>
    </row>
    <row r="694" spans="9:10" x14ac:dyDescent="0.25">
      <c r="I694" t="str">
        <f t="shared" si="20"/>
        <v/>
      </c>
      <c r="J694" s="56" t="str">
        <f t="shared" si="21"/>
        <v/>
      </c>
    </row>
    <row r="695" spans="9:10" x14ac:dyDescent="0.25">
      <c r="I695" t="str">
        <f t="shared" si="20"/>
        <v/>
      </c>
      <c r="J695" s="56" t="str">
        <f t="shared" si="21"/>
        <v/>
      </c>
    </row>
    <row r="696" spans="9:10" x14ac:dyDescent="0.25">
      <c r="I696" t="str">
        <f t="shared" si="20"/>
        <v/>
      </c>
      <c r="J696" s="56" t="str">
        <f t="shared" si="21"/>
        <v/>
      </c>
    </row>
    <row r="697" spans="9:10" x14ac:dyDescent="0.25">
      <c r="I697" t="str">
        <f t="shared" si="20"/>
        <v/>
      </c>
      <c r="J697" s="56" t="str">
        <f t="shared" si="21"/>
        <v/>
      </c>
    </row>
    <row r="698" spans="9:10" x14ac:dyDescent="0.25">
      <c r="I698" t="str">
        <f t="shared" si="20"/>
        <v/>
      </c>
      <c r="J698" s="56" t="str">
        <f t="shared" si="21"/>
        <v/>
      </c>
    </row>
    <row r="699" spans="9:10" x14ac:dyDescent="0.25">
      <c r="I699" t="str">
        <f t="shared" si="20"/>
        <v/>
      </c>
      <c r="J699" s="56" t="str">
        <f t="shared" si="21"/>
        <v/>
      </c>
    </row>
    <row r="700" spans="9:10" x14ac:dyDescent="0.25">
      <c r="I700" t="str">
        <f t="shared" si="20"/>
        <v/>
      </c>
      <c r="J700" s="56" t="str">
        <f t="shared" si="21"/>
        <v/>
      </c>
    </row>
    <row r="701" spans="9:10" x14ac:dyDescent="0.25">
      <c r="I701" t="str">
        <f t="shared" si="20"/>
        <v/>
      </c>
      <c r="J701" s="56" t="str">
        <f t="shared" si="21"/>
        <v/>
      </c>
    </row>
    <row r="702" spans="9:10" x14ac:dyDescent="0.25">
      <c r="I702" t="str">
        <f t="shared" si="20"/>
        <v/>
      </c>
      <c r="J702" s="56" t="str">
        <f t="shared" si="21"/>
        <v/>
      </c>
    </row>
    <row r="703" spans="9:10" x14ac:dyDescent="0.25">
      <c r="I703" t="str">
        <f t="shared" si="20"/>
        <v/>
      </c>
      <c r="J703" s="56" t="str">
        <f t="shared" si="21"/>
        <v/>
      </c>
    </row>
    <row r="704" spans="9:10" x14ac:dyDescent="0.25">
      <c r="I704" t="str">
        <f t="shared" si="20"/>
        <v/>
      </c>
      <c r="J704" s="56" t="str">
        <f t="shared" si="21"/>
        <v/>
      </c>
    </row>
    <row r="705" spans="9:10" x14ac:dyDescent="0.25">
      <c r="I705" t="str">
        <f t="shared" si="20"/>
        <v/>
      </c>
      <c r="J705" s="56" t="str">
        <f t="shared" si="21"/>
        <v/>
      </c>
    </row>
    <row r="706" spans="9:10" x14ac:dyDescent="0.25">
      <c r="I706" t="str">
        <f t="shared" si="20"/>
        <v/>
      </c>
      <c r="J706" s="56" t="str">
        <f t="shared" si="21"/>
        <v/>
      </c>
    </row>
    <row r="707" spans="9:10" x14ac:dyDescent="0.25">
      <c r="I707" t="str">
        <f t="shared" ref="I707:I770" si="22">IF($A707="","",RIGHT($E707,LEN($E707)-SEARCH(".",$E707)))</f>
        <v/>
      </c>
      <c r="J707" s="56" t="str">
        <f t="shared" ref="J707:J770" si="23">IF($A707="","",$G707)</f>
        <v/>
      </c>
    </row>
    <row r="708" spans="9:10" x14ac:dyDescent="0.25">
      <c r="I708" t="str">
        <f t="shared" si="22"/>
        <v/>
      </c>
      <c r="J708" s="56" t="str">
        <f t="shared" si="23"/>
        <v/>
      </c>
    </row>
    <row r="709" spans="9:10" x14ac:dyDescent="0.25">
      <c r="I709" t="str">
        <f t="shared" si="22"/>
        <v/>
      </c>
      <c r="J709" s="56" t="str">
        <f t="shared" si="23"/>
        <v/>
      </c>
    </row>
    <row r="710" spans="9:10" x14ac:dyDescent="0.25">
      <c r="I710" t="str">
        <f t="shared" si="22"/>
        <v/>
      </c>
      <c r="J710" s="56" t="str">
        <f t="shared" si="23"/>
        <v/>
      </c>
    </row>
    <row r="711" spans="9:10" x14ac:dyDescent="0.25">
      <c r="I711" t="str">
        <f t="shared" si="22"/>
        <v/>
      </c>
      <c r="J711" s="56" t="str">
        <f t="shared" si="23"/>
        <v/>
      </c>
    </row>
    <row r="712" spans="9:10" x14ac:dyDescent="0.25">
      <c r="I712" t="str">
        <f t="shared" si="22"/>
        <v/>
      </c>
      <c r="J712" s="56" t="str">
        <f t="shared" si="23"/>
        <v/>
      </c>
    </row>
    <row r="713" spans="9:10" x14ac:dyDescent="0.25">
      <c r="I713" t="str">
        <f t="shared" si="22"/>
        <v/>
      </c>
      <c r="J713" s="56" t="str">
        <f t="shared" si="23"/>
        <v/>
      </c>
    </row>
    <row r="714" spans="9:10" x14ac:dyDescent="0.25">
      <c r="I714" t="str">
        <f t="shared" si="22"/>
        <v/>
      </c>
      <c r="J714" s="56" t="str">
        <f t="shared" si="23"/>
        <v/>
      </c>
    </row>
    <row r="715" spans="9:10" x14ac:dyDescent="0.25">
      <c r="I715" t="str">
        <f t="shared" si="22"/>
        <v/>
      </c>
      <c r="J715" s="56" t="str">
        <f t="shared" si="23"/>
        <v/>
      </c>
    </row>
    <row r="716" spans="9:10" x14ac:dyDescent="0.25">
      <c r="I716" t="str">
        <f t="shared" si="22"/>
        <v/>
      </c>
      <c r="J716" s="56" t="str">
        <f t="shared" si="23"/>
        <v/>
      </c>
    </row>
    <row r="717" spans="9:10" x14ac:dyDescent="0.25">
      <c r="I717" t="str">
        <f t="shared" si="22"/>
        <v/>
      </c>
      <c r="J717" s="56" t="str">
        <f t="shared" si="23"/>
        <v/>
      </c>
    </row>
    <row r="718" spans="9:10" x14ac:dyDescent="0.25">
      <c r="I718" t="str">
        <f t="shared" si="22"/>
        <v/>
      </c>
      <c r="J718" s="56" t="str">
        <f t="shared" si="23"/>
        <v/>
      </c>
    </row>
    <row r="719" spans="9:10" x14ac:dyDescent="0.25">
      <c r="I719" t="str">
        <f t="shared" si="22"/>
        <v/>
      </c>
      <c r="J719" s="56" t="str">
        <f t="shared" si="23"/>
        <v/>
      </c>
    </row>
    <row r="720" spans="9:10" x14ac:dyDescent="0.25">
      <c r="I720" t="str">
        <f t="shared" si="22"/>
        <v/>
      </c>
      <c r="J720" s="56" t="str">
        <f t="shared" si="23"/>
        <v/>
      </c>
    </row>
    <row r="721" spans="9:10" x14ac:dyDescent="0.25">
      <c r="I721" t="str">
        <f t="shared" si="22"/>
        <v/>
      </c>
      <c r="J721" s="56" t="str">
        <f t="shared" si="23"/>
        <v/>
      </c>
    </row>
    <row r="722" spans="9:10" x14ac:dyDescent="0.25">
      <c r="I722" t="str">
        <f t="shared" si="22"/>
        <v/>
      </c>
      <c r="J722" s="56" t="str">
        <f t="shared" si="23"/>
        <v/>
      </c>
    </row>
    <row r="723" spans="9:10" x14ac:dyDescent="0.25">
      <c r="I723" t="str">
        <f t="shared" si="22"/>
        <v/>
      </c>
      <c r="J723" s="56" t="str">
        <f t="shared" si="23"/>
        <v/>
      </c>
    </row>
    <row r="724" spans="9:10" x14ac:dyDescent="0.25">
      <c r="I724" t="str">
        <f t="shared" si="22"/>
        <v/>
      </c>
      <c r="J724" s="56" t="str">
        <f t="shared" si="23"/>
        <v/>
      </c>
    </row>
    <row r="725" spans="9:10" x14ac:dyDescent="0.25">
      <c r="I725" t="str">
        <f t="shared" si="22"/>
        <v/>
      </c>
      <c r="J725" s="56" t="str">
        <f t="shared" si="23"/>
        <v/>
      </c>
    </row>
    <row r="726" spans="9:10" x14ac:dyDescent="0.25">
      <c r="I726" t="str">
        <f t="shared" si="22"/>
        <v/>
      </c>
      <c r="J726" s="56" t="str">
        <f t="shared" si="23"/>
        <v/>
      </c>
    </row>
    <row r="727" spans="9:10" x14ac:dyDescent="0.25">
      <c r="I727" t="str">
        <f t="shared" si="22"/>
        <v/>
      </c>
      <c r="J727" s="56" t="str">
        <f t="shared" si="23"/>
        <v/>
      </c>
    </row>
    <row r="728" spans="9:10" x14ac:dyDescent="0.25">
      <c r="I728" t="str">
        <f t="shared" si="22"/>
        <v/>
      </c>
      <c r="J728" s="56" t="str">
        <f t="shared" si="23"/>
        <v/>
      </c>
    </row>
    <row r="729" spans="9:10" x14ac:dyDescent="0.25">
      <c r="I729" t="str">
        <f t="shared" si="22"/>
        <v/>
      </c>
      <c r="J729" s="56" t="str">
        <f t="shared" si="23"/>
        <v/>
      </c>
    </row>
    <row r="730" spans="9:10" x14ac:dyDescent="0.25">
      <c r="I730" t="str">
        <f t="shared" si="22"/>
        <v/>
      </c>
      <c r="J730" s="56" t="str">
        <f t="shared" si="23"/>
        <v/>
      </c>
    </row>
    <row r="731" spans="9:10" x14ac:dyDescent="0.25">
      <c r="I731" t="str">
        <f t="shared" si="22"/>
        <v/>
      </c>
      <c r="J731" s="56" t="str">
        <f t="shared" si="23"/>
        <v/>
      </c>
    </row>
    <row r="732" spans="9:10" x14ac:dyDescent="0.25">
      <c r="I732" t="str">
        <f t="shared" si="22"/>
        <v/>
      </c>
      <c r="J732" s="56" t="str">
        <f t="shared" si="23"/>
        <v/>
      </c>
    </row>
    <row r="733" spans="9:10" x14ac:dyDescent="0.25">
      <c r="I733" t="str">
        <f t="shared" si="22"/>
        <v/>
      </c>
      <c r="J733" s="56" t="str">
        <f t="shared" si="23"/>
        <v/>
      </c>
    </row>
    <row r="734" spans="9:10" x14ac:dyDescent="0.25">
      <c r="I734" t="str">
        <f t="shared" si="22"/>
        <v/>
      </c>
      <c r="J734" s="56" t="str">
        <f t="shared" si="23"/>
        <v/>
      </c>
    </row>
    <row r="735" spans="9:10" x14ac:dyDescent="0.25">
      <c r="I735" t="str">
        <f t="shared" si="22"/>
        <v/>
      </c>
      <c r="J735" s="56" t="str">
        <f t="shared" si="23"/>
        <v/>
      </c>
    </row>
    <row r="736" spans="9:10" x14ac:dyDescent="0.25">
      <c r="I736" t="str">
        <f t="shared" si="22"/>
        <v/>
      </c>
      <c r="J736" s="56" t="str">
        <f t="shared" si="23"/>
        <v/>
      </c>
    </row>
    <row r="737" spans="9:10" x14ac:dyDescent="0.25">
      <c r="I737" t="str">
        <f t="shared" si="22"/>
        <v/>
      </c>
      <c r="J737" s="56" t="str">
        <f t="shared" si="23"/>
        <v/>
      </c>
    </row>
    <row r="738" spans="9:10" x14ac:dyDescent="0.25">
      <c r="I738" t="str">
        <f t="shared" si="22"/>
        <v/>
      </c>
      <c r="J738" s="56" t="str">
        <f t="shared" si="23"/>
        <v/>
      </c>
    </row>
    <row r="739" spans="9:10" x14ac:dyDescent="0.25">
      <c r="I739" t="str">
        <f t="shared" si="22"/>
        <v/>
      </c>
      <c r="J739" s="56" t="str">
        <f t="shared" si="23"/>
        <v/>
      </c>
    </row>
    <row r="740" spans="9:10" x14ac:dyDescent="0.25">
      <c r="I740" t="str">
        <f t="shared" si="22"/>
        <v/>
      </c>
      <c r="J740" s="56" t="str">
        <f t="shared" si="23"/>
        <v/>
      </c>
    </row>
    <row r="741" spans="9:10" x14ac:dyDescent="0.25">
      <c r="I741" t="str">
        <f t="shared" si="22"/>
        <v/>
      </c>
      <c r="J741" s="56" t="str">
        <f t="shared" si="23"/>
        <v/>
      </c>
    </row>
    <row r="742" spans="9:10" x14ac:dyDescent="0.25">
      <c r="I742" t="str">
        <f t="shared" si="22"/>
        <v/>
      </c>
      <c r="J742" s="56" t="str">
        <f t="shared" si="23"/>
        <v/>
      </c>
    </row>
    <row r="743" spans="9:10" x14ac:dyDescent="0.25">
      <c r="I743" t="str">
        <f t="shared" si="22"/>
        <v/>
      </c>
      <c r="J743" s="56" t="str">
        <f t="shared" si="23"/>
        <v/>
      </c>
    </row>
    <row r="744" spans="9:10" x14ac:dyDescent="0.25">
      <c r="I744" t="str">
        <f t="shared" si="22"/>
        <v/>
      </c>
      <c r="J744" s="56" t="str">
        <f t="shared" si="23"/>
        <v/>
      </c>
    </row>
    <row r="745" spans="9:10" x14ac:dyDescent="0.25">
      <c r="I745" t="str">
        <f t="shared" si="22"/>
        <v/>
      </c>
      <c r="J745" s="56" t="str">
        <f t="shared" si="23"/>
        <v/>
      </c>
    </row>
    <row r="746" spans="9:10" x14ac:dyDescent="0.25">
      <c r="I746" t="str">
        <f t="shared" si="22"/>
        <v/>
      </c>
      <c r="J746" s="56" t="str">
        <f t="shared" si="23"/>
        <v/>
      </c>
    </row>
    <row r="747" spans="9:10" x14ac:dyDescent="0.25">
      <c r="I747" t="str">
        <f t="shared" si="22"/>
        <v/>
      </c>
      <c r="J747" s="56" t="str">
        <f t="shared" si="23"/>
        <v/>
      </c>
    </row>
    <row r="748" spans="9:10" x14ac:dyDescent="0.25">
      <c r="I748" t="str">
        <f t="shared" si="22"/>
        <v/>
      </c>
      <c r="J748" s="56" t="str">
        <f t="shared" si="23"/>
        <v/>
      </c>
    </row>
    <row r="749" spans="9:10" x14ac:dyDescent="0.25">
      <c r="I749" t="str">
        <f t="shared" si="22"/>
        <v/>
      </c>
      <c r="J749" s="56" t="str">
        <f t="shared" si="23"/>
        <v/>
      </c>
    </row>
    <row r="750" spans="9:10" x14ac:dyDescent="0.25">
      <c r="I750" t="str">
        <f t="shared" si="22"/>
        <v/>
      </c>
      <c r="J750" s="56" t="str">
        <f t="shared" si="23"/>
        <v/>
      </c>
    </row>
    <row r="751" spans="9:10" x14ac:dyDescent="0.25">
      <c r="I751" t="str">
        <f t="shared" si="22"/>
        <v/>
      </c>
      <c r="J751" s="56" t="str">
        <f t="shared" si="23"/>
        <v/>
      </c>
    </row>
    <row r="752" spans="9:10" x14ac:dyDescent="0.25">
      <c r="I752" t="str">
        <f t="shared" si="22"/>
        <v/>
      </c>
      <c r="J752" s="56" t="str">
        <f t="shared" si="23"/>
        <v/>
      </c>
    </row>
    <row r="753" spans="9:10" x14ac:dyDescent="0.25">
      <c r="I753" t="str">
        <f t="shared" si="22"/>
        <v/>
      </c>
      <c r="J753" s="56" t="str">
        <f t="shared" si="23"/>
        <v/>
      </c>
    </row>
    <row r="754" spans="9:10" x14ac:dyDescent="0.25">
      <c r="I754" t="str">
        <f t="shared" si="22"/>
        <v/>
      </c>
      <c r="J754" s="56" t="str">
        <f t="shared" si="23"/>
        <v/>
      </c>
    </row>
    <row r="755" spans="9:10" x14ac:dyDescent="0.25">
      <c r="I755" t="str">
        <f t="shared" si="22"/>
        <v/>
      </c>
      <c r="J755" s="56" t="str">
        <f t="shared" si="23"/>
        <v/>
      </c>
    </row>
    <row r="756" spans="9:10" x14ac:dyDescent="0.25">
      <c r="I756" t="str">
        <f t="shared" si="22"/>
        <v/>
      </c>
      <c r="J756" s="56" t="str">
        <f t="shared" si="23"/>
        <v/>
      </c>
    </row>
    <row r="757" spans="9:10" x14ac:dyDescent="0.25">
      <c r="I757" t="str">
        <f t="shared" si="22"/>
        <v/>
      </c>
      <c r="J757" s="56" t="str">
        <f t="shared" si="23"/>
        <v/>
      </c>
    </row>
    <row r="758" spans="9:10" x14ac:dyDescent="0.25">
      <c r="I758" t="str">
        <f t="shared" si="22"/>
        <v/>
      </c>
      <c r="J758" s="56" t="str">
        <f t="shared" si="23"/>
        <v/>
      </c>
    </row>
    <row r="759" spans="9:10" x14ac:dyDescent="0.25">
      <c r="I759" t="str">
        <f t="shared" si="22"/>
        <v/>
      </c>
      <c r="J759" s="56" t="str">
        <f t="shared" si="23"/>
        <v/>
      </c>
    </row>
    <row r="760" spans="9:10" x14ac:dyDescent="0.25">
      <c r="I760" t="str">
        <f t="shared" si="22"/>
        <v/>
      </c>
      <c r="J760" s="56" t="str">
        <f t="shared" si="23"/>
        <v/>
      </c>
    </row>
    <row r="761" spans="9:10" x14ac:dyDescent="0.25">
      <c r="I761" t="str">
        <f t="shared" si="22"/>
        <v/>
      </c>
      <c r="J761" s="56" t="str">
        <f t="shared" si="23"/>
        <v/>
      </c>
    </row>
    <row r="762" spans="9:10" x14ac:dyDescent="0.25">
      <c r="I762" t="str">
        <f t="shared" si="22"/>
        <v/>
      </c>
      <c r="J762" s="56" t="str">
        <f t="shared" si="23"/>
        <v/>
      </c>
    </row>
    <row r="763" spans="9:10" x14ac:dyDescent="0.25">
      <c r="I763" t="str">
        <f t="shared" si="22"/>
        <v/>
      </c>
      <c r="J763" s="56" t="str">
        <f t="shared" si="23"/>
        <v/>
      </c>
    </row>
    <row r="764" spans="9:10" x14ac:dyDescent="0.25">
      <c r="I764" t="str">
        <f t="shared" si="22"/>
        <v/>
      </c>
      <c r="J764" s="56" t="str">
        <f t="shared" si="23"/>
        <v/>
      </c>
    </row>
    <row r="765" spans="9:10" x14ac:dyDescent="0.25">
      <c r="I765" t="str">
        <f t="shared" si="22"/>
        <v/>
      </c>
      <c r="J765" s="56" t="str">
        <f t="shared" si="23"/>
        <v/>
      </c>
    </row>
    <row r="766" spans="9:10" x14ac:dyDescent="0.25">
      <c r="I766" t="str">
        <f t="shared" si="22"/>
        <v/>
      </c>
      <c r="J766" s="56" t="str">
        <f t="shared" si="23"/>
        <v/>
      </c>
    </row>
    <row r="767" spans="9:10" x14ac:dyDescent="0.25">
      <c r="I767" t="str">
        <f t="shared" si="22"/>
        <v/>
      </c>
      <c r="J767" s="56" t="str">
        <f t="shared" si="23"/>
        <v/>
      </c>
    </row>
    <row r="768" spans="9:10" x14ac:dyDescent="0.25">
      <c r="I768" t="str">
        <f t="shared" si="22"/>
        <v/>
      </c>
      <c r="J768" s="56" t="str">
        <f t="shared" si="23"/>
        <v/>
      </c>
    </row>
    <row r="769" spans="9:10" x14ac:dyDescent="0.25">
      <c r="I769" t="str">
        <f t="shared" si="22"/>
        <v/>
      </c>
      <c r="J769" s="56" t="str">
        <f t="shared" si="23"/>
        <v/>
      </c>
    </row>
    <row r="770" spans="9:10" x14ac:dyDescent="0.25">
      <c r="I770" t="str">
        <f t="shared" si="22"/>
        <v/>
      </c>
      <c r="J770" s="56" t="str">
        <f t="shared" si="23"/>
        <v/>
      </c>
    </row>
    <row r="771" spans="9:10" x14ac:dyDescent="0.25">
      <c r="I771" t="str">
        <f t="shared" ref="I771:I834" si="24">IF($A771="","",RIGHT($E771,LEN($E771)-SEARCH(".",$E771)))</f>
        <v/>
      </c>
      <c r="J771" s="56" t="str">
        <f t="shared" ref="J771:J834" si="25">IF($A771="","",$G771)</f>
        <v/>
      </c>
    </row>
    <row r="772" spans="9:10" x14ac:dyDescent="0.25">
      <c r="I772" t="str">
        <f t="shared" si="24"/>
        <v/>
      </c>
      <c r="J772" s="56" t="str">
        <f t="shared" si="25"/>
        <v/>
      </c>
    </row>
    <row r="773" spans="9:10" x14ac:dyDescent="0.25">
      <c r="I773" t="str">
        <f t="shared" si="24"/>
        <v/>
      </c>
      <c r="J773" s="56" t="str">
        <f t="shared" si="25"/>
        <v/>
      </c>
    </row>
    <row r="774" spans="9:10" x14ac:dyDescent="0.25">
      <c r="I774" t="str">
        <f t="shared" si="24"/>
        <v/>
      </c>
      <c r="J774" s="56" t="str">
        <f t="shared" si="25"/>
        <v/>
      </c>
    </row>
    <row r="775" spans="9:10" x14ac:dyDescent="0.25">
      <c r="I775" t="str">
        <f t="shared" si="24"/>
        <v/>
      </c>
      <c r="J775" s="56" t="str">
        <f t="shared" si="25"/>
        <v/>
      </c>
    </row>
    <row r="776" spans="9:10" x14ac:dyDescent="0.25">
      <c r="I776" t="str">
        <f t="shared" si="24"/>
        <v/>
      </c>
      <c r="J776" s="56" t="str">
        <f t="shared" si="25"/>
        <v/>
      </c>
    </row>
    <row r="777" spans="9:10" x14ac:dyDescent="0.25">
      <c r="I777" t="str">
        <f t="shared" si="24"/>
        <v/>
      </c>
      <c r="J777" s="56" t="str">
        <f t="shared" si="25"/>
        <v/>
      </c>
    </row>
    <row r="778" spans="9:10" x14ac:dyDescent="0.25">
      <c r="I778" t="str">
        <f t="shared" si="24"/>
        <v/>
      </c>
      <c r="J778" s="56" t="str">
        <f t="shared" si="25"/>
        <v/>
      </c>
    </row>
    <row r="779" spans="9:10" x14ac:dyDescent="0.25">
      <c r="I779" t="str">
        <f t="shared" si="24"/>
        <v/>
      </c>
      <c r="J779" s="56" t="str">
        <f t="shared" si="25"/>
        <v/>
      </c>
    </row>
    <row r="780" spans="9:10" x14ac:dyDescent="0.25">
      <c r="I780" t="str">
        <f t="shared" si="24"/>
        <v/>
      </c>
      <c r="J780" s="56" t="str">
        <f t="shared" si="25"/>
        <v/>
      </c>
    </row>
    <row r="781" spans="9:10" x14ac:dyDescent="0.25">
      <c r="I781" t="str">
        <f t="shared" si="24"/>
        <v/>
      </c>
      <c r="J781" s="56" t="str">
        <f t="shared" si="25"/>
        <v/>
      </c>
    </row>
    <row r="782" spans="9:10" x14ac:dyDescent="0.25">
      <c r="I782" t="str">
        <f t="shared" si="24"/>
        <v/>
      </c>
      <c r="J782" s="56" t="str">
        <f t="shared" si="25"/>
        <v/>
      </c>
    </row>
    <row r="783" spans="9:10" x14ac:dyDescent="0.25">
      <c r="I783" t="str">
        <f t="shared" si="24"/>
        <v/>
      </c>
      <c r="J783" s="56" t="str">
        <f t="shared" si="25"/>
        <v/>
      </c>
    </row>
    <row r="784" spans="9:10" x14ac:dyDescent="0.25">
      <c r="I784" t="str">
        <f t="shared" si="24"/>
        <v/>
      </c>
      <c r="J784" s="56" t="str">
        <f t="shared" si="25"/>
        <v/>
      </c>
    </row>
    <row r="785" spans="9:10" x14ac:dyDescent="0.25">
      <c r="I785" t="str">
        <f t="shared" si="24"/>
        <v/>
      </c>
      <c r="J785" s="56" t="str">
        <f t="shared" si="25"/>
        <v/>
      </c>
    </row>
    <row r="786" spans="9:10" x14ac:dyDescent="0.25">
      <c r="I786" t="str">
        <f t="shared" si="24"/>
        <v/>
      </c>
      <c r="J786" s="56" t="str">
        <f t="shared" si="25"/>
        <v/>
      </c>
    </row>
    <row r="787" spans="9:10" x14ac:dyDescent="0.25">
      <c r="I787" t="str">
        <f t="shared" si="24"/>
        <v/>
      </c>
      <c r="J787" s="56" t="str">
        <f t="shared" si="25"/>
        <v/>
      </c>
    </row>
    <row r="788" spans="9:10" x14ac:dyDescent="0.25">
      <c r="I788" t="str">
        <f t="shared" si="24"/>
        <v/>
      </c>
      <c r="J788" s="56" t="str">
        <f t="shared" si="25"/>
        <v/>
      </c>
    </row>
    <row r="789" spans="9:10" x14ac:dyDescent="0.25">
      <c r="I789" t="str">
        <f t="shared" si="24"/>
        <v/>
      </c>
      <c r="J789" s="56" t="str">
        <f t="shared" si="25"/>
        <v/>
      </c>
    </row>
    <row r="790" spans="9:10" x14ac:dyDescent="0.25">
      <c r="I790" t="str">
        <f t="shared" si="24"/>
        <v/>
      </c>
      <c r="J790" s="56" t="str">
        <f t="shared" si="25"/>
        <v/>
      </c>
    </row>
    <row r="791" spans="9:10" x14ac:dyDescent="0.25">
      <c r="I791" t="str">
        <f t="shared" si="24"/>
        <v/>
      </c>
      <c r="J791" s="56" t="str">
        <f t="shared" si="25"/>
        <v/>
      </c>
    </row>
    <row r="792" spans="9:10" x14ac:dyDescent="0.25">
      <c r="I792" t="str">
        <f t="shared" si="24"/>
        <v/>
      </c>
      <c r="J792" s="56" t="str">
        <f t="shared" si="25"/>
        <v/>
      </c>
    </row>
    <row r="793" spans="9:10" x14ac:dyDescent="0.25">
      <c r="I793" t="str">
        <f t="shared" si="24"/>
        <v/>
      </c>
      <c r="J793" s="56" t="str">
        <f t="shared" si="25"/>
        <v/>
      </c>
    </row>
    <row r="794" spans="9:10" x14ac:dyDescent="0.25">
      <c r="I794" t="str">
        <f t="shared" si="24"/>
        <v/>
      </c>
      <c r="J794" s="56" t="str">
        <f t="shared" si="25"/>
        <v/>
      </c>
    </row>
    <row r="795" spans="9:10" x14ac:dyDescent="0.25">
      <c r="I795" t="str">
        <f t="shared" si="24"/>
        <v/>
      </c>
      <c r="J795" s="56" t="str">
        <f t="shared" si="25"/>
        <v/>
      </c>
    </row>
    <row r="796" spans="9:10" x14ac:dyDescent="0.25">
      <c r="I796" t="str">
        <f t="shared" si="24"/>
        <v/>
      </c>
      <c r="J796" s="56" t="str">
        <f t="shared" si="25"/>
        <v/>
      </c>
    </row>
    <row r="797" spans="9:10" x14ac:dyDescent="0.25">
      <c r="I797" t="str">
        <f t="shared" si="24"/>
        <v/>
      </c>
      <c r="J797" s="56" t="str">
        <f t="shared" si="25"/>
        <v/>
      </c>
    </row>
    <row r="798" spans="9:10" x14ac:dyDescent="0.25">
      <c r="I798" t="str">
        <f t="shared" si="24"/>
        <v/>
      </c>
      <c r="J798" s="56" t="str">
        <f t="shared" si="25"/>
        <v/>
      </c>
    </row>
    <row r="799" spans="9:10" x14ac:dyDescent="0.25">
      <c r="I799" t="str">
        <f t="shared" si="24"/>
        <v/>
      </c>
      <c r="J799" s="56" t="str">
        <f t="shared" si="25"/>
        <v/>
      </c>
    </row>
    <row r="800" spans="9:10" x14ac:dyDescent="0.25">
      <c r="I800" t="str">
        <f t="shared" si="24"/>
        <v/>
      </c>
      <c r="J800" s="56" t="str">
        <f t="shared" si="25"/>
        <v/>
      </c>
    </row>
    <row r="801" spans="9:10" x14ac:dyDescent="0.25">
      <c r="I801" t="str">
        <f t="shared" si="24"/>
        <v/>
      </c>
      <c r="J801" s="56" t="str">
        <f t="shared" si="25"/>
        <v/>
      </c>
    </row>
    <row r="802" spans="9:10" x14ac:dyDescent="0.25">
      <c r="I802" t="str">
        <f t="shared" si="24"/>
        <v/>
      </c>
      <c r="J802" s="56" t="str">
        <f t="shared" si="25"/>
        <v/>
      </c>
    </row>
    <row r="803" spans="9:10" x14ac:dyDescent="0.25">
      <c r="I803" t="str">
        <f t="shared" si="24"/>
        <v/>
      </c>
      <c r="J803" s="56" t="str">
        <f t="shared" si="25"/>
        <v/>
      </c>
    </row>
    <row r="804" spans="9:10" x14ac:dyDescent="0.25">
      <c r="I804" t="str">
        <f t="shared" si="24"/>
        <v/>
      </c>
      <c r="J804" s="56" t="str">
        <f t="shared" si="25"/>
        <v/>
      </c>
    </row>
    <row r="805" spans="9:10" x14ac:dyDescent="0.25">
      <c r="I805" t="str">
        <f t="shared" si="24"/>
        <v/>
      </c>
      <c r="J805" s="56" t="str">
        <f t="shared" si="25"/>
        <v/>
      </c>
    </row>
    <row r="806" spans="9:10" x14ac:dyDescent="0.25">
      <c r="I806" t="str">
        <f t="shared" si="24"/>
        <v/>
      </c>
      <c r="J806" s="56" t="str">
        <f t="shared" si="25"/>
        <v/>
      </c>
    </row>
    <row r="807" spans="9:10" x14ac:dyDescent="0.25">
      <c r="I807" t="str">
        <f t="shared" si="24"/>
        <v/>
      </c>
      <c r="J807" s="56" t="str">
        <f t="shared" si="25"/>
        <v/>
      </c>
    </row>
    <row r="808" spans="9:10" x14ac:dyDescent="0.25">
      <c r="I808" t="str">
        <f t="shared" si="24"/>
        <v/>
      </c>
      <c r="J808" s="56" t="str">
        <f t="shared" si="25"/>
        <v/>
      </c>
    </row>
    <row r="809" spans="9:10" x14ac:dyDescent="0.25">
      <c r="I809" t="str">
        <f t="shared" si="24"/>
        <v/>
      </c>
      <c r="J809" s="56" t="str">
        <f t="shared" si="25"/>
        <v/>
      </c>
    </row>
    <row r="810" spans="9:10" x14ac:dyDescent="0.25">
      <c r="I810" t="str">
        <f t="shared" si="24"/>
        <v/>
      </c>
      <c r="J810" s="56" t="str">
        <f t="shared" si="25"/>
        <v/>
      </c>
    </row>
    <row r="811" spans="9:10" x14ac:dyDescent="0.25">
      <c r="I811" t="str">
        <f t="shared" si="24"/>
        <v/>
      </c>
      <c r="J811" s="56" t="str">
        <f t="shared" si="25"/>
        <v/>
      </c>
    </row>
    <row r="812" spans="9:10" x14ac:dyDescent="0.25">
      <c r="I812" t="str">
        <f t="shared" si="24"/>
        <v/>
      </c>
      <c r="J812" s="56" t="str">
        <f t="shared" si="25"/>
        <v/>
      </c>
    </row>
    <row r="813" spans="9:10" x14ac:dyDescent="0.25">
      <c r="I813" t="str">
        <f t="shared" si="24"/>
        <v/>
      </c>
      <c r="J813" s="56" t="str">
        <f t="shared" si="25"/>
        <v/>
      </c>
    </row>
    <row r="814" spans="9:10" x14ac:dyDescent="0.25">
      <c r="I814" t="str">
        <f t="shared" si="24"/>
        <v/>
      </c>
      <c r="J814" s="56" t="str">
        <f t="shared" si="25"/>
        <v/>
      </c>
    </row>
    <row r="815" spans="9:10" x14ac:dyDescent="0.25">
      <c r="I815" t="str">
        <f t="shared" si="24"/>
        <v/>
      </c>
      <c r="J815" s="56" t="str">
        <f t="shared" si="25"/>
        <v/>
      </c>
    </row>
    <row r="816" spans="9:10" x14ac:dyDescent="0.25">
      <c r="I816" t="str">
        <f t="shared" si="24"/>
        <v/>
      </c>
      <c r="J816" s="56" t="str">
        <f t="shared" si="25"/>
        <v/>
      </c>
    </row>
    <row r="817" spans="9:10" x14ac:dyDescent="0.25">
      <c r="I817" t="str">
        <f t="shared" si="24"/>
        <v/>
      </c>
      <c r="J817" s="56" t="str">
        <f t="shared" si="25"/>
        <v/>
      </c>
    </row>
    <row r="818" spans="9:10" x14ac:dyDescent="0.25">
      <c r="I818" t="str">
        <f t="shared" si="24"/>
        <v/>
      </c>
      <c r="J818" s="56" t="str">
        <f t="shared" si="25"/>
        <v/>
      </c>
    </row>
    <row r="819" spans="9:10" x14ac:dyDescent="0.25">
      <c r="I819" t="str">
        <f t="shared" si="24"/>
        <v/>
      </c>
      <c r="J819" s="56" t="str">
        <f t="shared" si="25"/>
        <v/>
      </c>
    </row>
    <row r="820" spans="9:10" x14ac:dyDescent="0.25">
      <c r="I820" t="str">
        <f t="shared" si="24"/>
        <v/>
      </c>
      <c r="J820" s="56" t="str">
        <f t="shared" si="25"/>
        <v/>
      </c>
    </row>
    <row r="821" spans="9:10" x14ac:dyDescent="0.25">
      <c r="I821" t="str">
        <f t="shared" si="24"/>
        <v/>
      </c>
      <c r="J821" s="56" t="str">
        <f t="shared" si="25"/>
        <v/>
      </c>
    </row>
    <row r="822" spans="9:10" x14ac:dyDescent="0.25">
      <c r="I822" t="str">
        <f t="shared" si="24"/>
        <v/>
      </c>
      <c r="J822" s="56" t="str">
        <f t="shared" si="25"/>
        <v/>
      </c>
    </row>
    <row r="823" spans="9:10" x14ac:dyDescent="0.25">
      <c r="I823" t="str">
        <f t="shared" si="24"/>
        <v/>
      </c>
      <c r="J823" s="56" t="str">
        <f t="shared" si="25"/>
        <v/>
      </c>
    </row>
    <row r="824" spans="9:10" x14ac:dyDescent="0.25">
      <c r="I824" t="str">
        <f t="shared" si="24"/>
        <v/>
      </c>
      <c r="J824" s="56" t="str">
        <f t="shared" si="25"/>
        <v/>
      </c>
    </row>
    <row r="825" spans="9:10" x14ac:dyDescent="0.25">
      <c r="I825" t="str">
        <f t="shared" si="24"/>
        <v/>
      </c>
      <c r="J825" s="56" t="str">
        <f t="shared" si="25"/>
        <v/>
      </c>
    </row>
    <row r="826" spans="9:10" x14ac:dyDescent="0.25">
      <c r="I826" t="str">
        <f t="shared" si="24"/>
        <v/>
      </c>
      <c r="J826" s="56" t="str">
        <f t="shared" si="25"/>
        <v/>
      </c>
    </row>
    <row r="827" spans="9:10" x14ac:dyDescent="0.25">
      <c r="I827" t="str">
        <f t="shared" si="24"/>
        <v/>
      </c>
      <c r="J827" s="56" t="str">
        <f t="shared" si="25"/>
        <v/>
      </c>
    </row>
    <row r="828" spans="9:10" x14ac:dyDescent="0.25">
      <c r="I828" t="str">
        <f t="shared" si="24"/>
        <v/>
      </c>
      <c r="J828" s="56" t="str">
        <f t="shared" si="25"/>
        <v/>
      </c>
    </row>
    <row r="829" spans="9:10" x14ac:dyDescent="0.25">
      <c r="I829" t="str">
        <f t="shared" si="24"/>
        <v/>
      </c>
      <c r="J829" s="56" t="str">
        <f t="shared" si="25"/>
        <v/>
      </c>
    </row>
    <row r="830" spans="9:10" x14ac:dyDescent="0.25">
      <c r="I830" t="str">
        <f t="shared" si="24"/>
        <v/>
      </c>
      <c r="J830" s="56" t="str">
        <f t="shared" si="25"/>
        <v/>
      </c>
    </row>
    <row r="831" spans="9:10" x14ac:dyDescent="0.25">
      <c r="I831" t="str">
        <f t="shared" si="24"/>
        <v/>
      </c>
      <c r="J831" s="56" t="str">
        <f t="shared" si="25"/>
        <v/>
      </c>
    </row>
    <row r="832" spans="9:10" x14ac:dyDescent="0.25">
      <c r="I832" t="str">
        <f t="shared" si="24"/>
        <v/>
      </c>
      <c r="J832" s="56" t="str">
        <f t="shared" si="25"/>
        <v/>
      </c>
    </row>
    <row r="833" spans="9:10" x14ac:dyDescent="0.25">
      <c r="I833" t="str">
        <f t="shared" si="24"/>
        <v/>
      </c>
      <c r="J833" s="56" t="str">
        <f t="shared" si="25"/>
        <v/>
      </c>
    </row>
    <row r="834" spans="9:10" x14ac:dyDescent="0.25">
      <c r="I834" t="str">
        <f t="shared" si="24"/>
        <v/>
      </c>
      <c r="J834" s="56" t="str">
        <f t="shared" si="25"/>
        <v/>
      </c>
    </row>
    <row r="835" spans="9:10" x14ac:dyDescent="0.25">
      <c r="I835" t="str">
        <f t="shared" ref="I835:I898" si="26">IF($A835="","",RIGHT($E835,LEN($E835)-SEARCH(".",$E835)))</f>
        <v/>
      </c>
      <c r="J835" s="56" t="str">
        <f t="shared" ref="J835:J898" si="27">IF($A835="","",$G835)</f>
        <v/>
      </c>
    </row>
    <row r="836" spans="9:10" x14ac:dyDescent="0.25">
      <c r="I836" t="str">
        <f t="shared" si="26"/>
        <v/>
      </c>
      <c r="J836" s="56" t="str">
        <f t="shared" si="27"/>
        <v/>
      </c>
    </row>
    <row r="837" spans="9:10" x14ac:dyDescent="0.25">
      <c r="I837" t="str">
        <f t="shared" si="26"/>
        <v/>
      </c>
      <c r="J837" s="56" t="str">
        <f t="shared" si="27"/>
        <v/>
      </c>
    </row>
    <row r="838" spans="9:10" x14ac:dyDescent="0.25">
      <c r="I838" t="str">
        <f t="shared" si="26"/>
        <v/>
      </c>
      <c r="J838" s="56" t="str">
        <f t="shared" si="27"/>
        <v/>
      </c>
    </row>
    <row r="839" spans="9:10" x14ac:dyDescent="0.25">
      <c r="I839" t="str">
        <f t="shared" si="26"/>
        <v/>
      </c>
      <c r="J839" s="56" t="str">
        <f t="shared" si="27"/>
        <v/>
      </c>
    </row>
    <row r="840" spans="9:10" x14ac:dyDescent="0.25">
      <c r="I840" t="str">
        <f t="shared" si="26"/>
        <v/>
      </c>
      <c r="J840" s="56" t="str">
        <f t="shared" si="27"/>
        <v/>
      </c>
    </row>
    <row r="841" spans="9:10" x14ac:dyDescent="0.25">
      <c r="I841" t="str">
        <f t="shared" si="26"/>
        <v/>
      </c>
      <c r="J841" s="56" t="str">
        <f t="shared" si="27"/>
        <v/>
      </c>
    </row>
    <row r="842" spans="9:10" x14ac:dyDescent="0.25">
      <c r="I842" t="str">
        <f t="shared" si="26"/>
        <v/>
      </c>
      <c r="J842" s="56" t="str">
        <f t="shared" si="27"/>
        <v/>
      </c>
    </row>
    <row r="843" spans="9:10" x14ac:dyDescent="0.25">
      <c r="I843" t="str">
        <f t="shared" si="26"/>
        <v/>
      </c>
      <c r="J843" s="56" t="str">
        <f t="shared" si="27"/>
        <v/>
      </c>
    </row>
    <row r="844" spans="9:10" x14ac:dyDescent="0.25">
      <c r="I844" t="str">
        <f t="shared" si="26"/>
        <v/>
      </c>
      <c r="J844" s="56" t="str">
        <f t="shared" si="27"/>
        <v/>
      </c>
    </row>
    <row r="845" spans="9:10" x14ac:dyDescent="0.25">
      <c r="I845" t="str">
        <f t="shared" si="26"/>
        <v/>
      </c>
      <c r="J845" s="56" t="str">
        <f t="shared" si="27"/>
        <v/>
      </c>
    </row>
    <row r="846" spans="9:10" x14ac:dyDescent="0.25">
      <c r="I846" t="str">
        <f t="shared" si="26"/>
        <v/>
      </c>
      <c r="J846" s="56" t="str">
        <f t="shared" si="27"/>
        <v/>
      </c>
    </row>
    <row r="847" spans="9:10" x14ac:dyDescent="0.25">
      <c r="I847" t="str">
        <f t="shared" si="26"/>
        <v/>
      </c>
      <c r="J847" s="56" t="str">
        <f t="shared" si="27"/>
        <v/>
      </c>
    </row>
    <row r="848" spans="9:10" x14ac:dyDescent="0.25">
      <c r="I848" t="str">
        <f t="shared" si="26"/>
        <v/>
      </c>
      <c r="J848" s="56" t="str">
        <f t="shared" si="27"/>
        <v/>
      </c>
    </row>
    <row r="849" spans="9:10" x14ac:dyDescent="0.25">
      <c r="I849" t="str">
        <f t="shared" si="26"/>
        <v/>
      </c>
      <c r="J849" s="56" t="str">
        <f t="shared" si="27"/>
        <v/>
      </c>
    </row>
    <row r="850" spans="9:10" x14ac:dyDescent="0.25">
      <c r="I850" t="str">
        <f t="shared" si="26"/>
        <v/>
      </c>
      <c r="J850" s="56" t="str">
        <f t="shared" si="27"/>
        <v/>
      </c>
    </row>
    <row r="851" spans="9:10" x14ac:dyDescent="0.25">
      <c r="I851" t="str">
        <f t="shared" si="26"/>
        <v/>
      </c>
      <c r="J851" s="56" t="str">
        <f t="shared" si="27"/>
        <v/>
      </c>
    </row>
    <row r="852" spans="9:10" x14ac:dyDescent="0.25">
      <c r="I852" t="str">
        <f t="shared" si="26"/>
        <v/>
      </c>
      <c r="J852" s="56" t="str">
        <f t="shared" si="27"/>
        <v/>
      </c>
    </row>
    <row r="853" spans="9:10" x14ac:dyDescent="0.25">
      <c r="I853" t="str">
        <f t="shared" si="26"/>
        <v/>
      </c>
      <c r="J853" s="56" t="str">
        <f t="shared" si="27"/>
        <v/>
      </c>
    </row>
    <row r="854" spans="9:10" x14ac:dyDescent="0.25">
      <c r="I854" t="str">
        <f t="shared" si="26"/>
        <v/>
      </c>
      <c r="J854" s="56" t="str">
        <f t="shared" si="27"/>
        <v/>
      </c>
    </row>
    <row r="855" spans="9:10" x14ac:dyDescent="0.25">
      <c r="I855" t="str">
        <f t="shared" si="26"/>
        <v/>
      </c>
      <c r="J855" s="56" t="str">
        <f t="shared" si="27"/>
        <v/>
      </c>
    </row>
    <row r="856" spans="9:10" x14ac:dyDescent="0.25">
      <c r="I856" t="str">
        <f t="shared" si="26"/>
        <v/>
      </c>
      <c r="J856" s="56" t="str">
        <f t="shared" si="27"/>
        <v/>
      </c>
    </row>
    <row r="857" spans="9:10" x14ac:dyDescent="0.25">
      <c r="I857" t="str">
        <f t="shared" si="26"/>
        <v/>
      </c>
      <c r="J857" s="56" t="str">
        <f t="shared" si="27"/>
        <v/>
      </c>
    </row>
    <row r="858" spans="9:10" x14ac:dyDescent="0.25">
      <c r="I858" t="str">
        <f t="shared" si="26"/>
        <v/>
      </c>
      <c r="J858" s="56" t="str">
        <f t="shared" si="27"/>
        <v/>
      </c>
    </row>
    <row r="859" spans="9:10" x14ac:dyDescent="0.25">
      <c r="I859" t="str">
        <f t="shared" si="26"/>
        <v/>
      </c>
      <c r="J859" s="56" t="str">
        <f t="shared" si="27"/>
        <v/>
      </c>
    </row>
    <row r="860" spans="9:10" x14ac:dyDescent="0.25">
      <c r="I860" t="str">
        <f t="shared" si="26"/>
        <v/>
      </c>
      <c r="J860" s="56" t="str">
        <f t="shared" si="27"/>
        <v/>
      </c>
    </row>
    <row r="861" spans="9:10" x14ac:dyDescent="0.25">
      <c r="I861" t="str">
        <f t="shared" si="26"/>
        <v/>
      </c>
      <c r="J861" s="56" t="str">
        <f t="shared" si="27"/>
        <v/>
      </c>
    </row>
    <row r="862" spans="9:10" x14ac:dyDescent="0.25">
      <c r="I862" t="str">
        <f t="shared" si="26"/>
        <v/>
      </c>
      <c r="J862" s="56" t="str">
        <f t="shared" si="27"/>
        <v/>
      </c>
    </row>
    <row r="863" spans="9:10" x14ac:dyDescent="0.25">
      <c r="I863" t="str">
        <f t="shared" si="26"/>
        <v/>
      </c>
      <c r="J863" s="56" t="str">
        <f t="shared" si="27"/>
        <v/>
      </c>
    </row>
    <row r="864" spans="9:10" x14ac:dyDescent="0.25">
      <c r="I864" t="str">
        <f t="shared" si="26"/>
        <v/>
      </c>
      <c r="J864" s="56" t="str">
        <f t="shared" si="27"/>
        <v/>
      </c>
    </row>
    <row r="865" spans="9:10" x14ac:dyDescent="0.25">
      <c r="I865" t="str">
        <f t="shared" si="26"/>
        <v/>
      </c>
      <c r="J865" s="56" t="str">
        <f t="shared" si="27"/>
        <v/>
      </c>
    </row>
    <row r="866" spans="9:10" x14ac:dyDescent="0.25">
      <c r="I866" t="str">
        <f t="shared" si="26"/>
        <v/>
      </c>
      <c r="J866" s="56" t="str">
        <f t="shared" si="27"/>
        <v/>
      </c>
    </row>
    <row r="867" spans="9:10" x14ac:dyDescent="0.25">
      <c r="I867" t="str">
        <f t="shared" si="26"/>
        <v/>
      </c>
      <c r="J867" s="56" t="str">
        <f t="shared" si="27"/>
        <v/>
      </c>
    </row>
    <row r="868" spans="9:10" x14ac:dyDescent="0.25">
      <c r="I868" t="str">
        <f t="shared" si="26"/>
        <v/>
      </c>
      <c r="J868" s="56" t="str">
        <f t="shared" si="27"/>
        <v/>
      </c>
    </row>
    <row r="869" spans="9:10" x14ac:dyDescent="0.25">
      <c r="I869" t="str">
        <f t="shared" si="26"/>
        <v/>
      </c>
      <c r="J869" s="56" t="str">
        <f t="shared" si="27"/>
        <v/>
      </c>
    </row>
    <row r="870" spans="9:10" x14ac:dyDescent="0.25">
      <c r="I870" t="str">
        <f t="shared" si="26"/>
        <v/>
      </c>
      <c r="J870" s="56" t="str">
        <f t="shared" si="27"/>
        <v/>
      </c>
    </row>
    <row r="871" spans="9:10" x14ac:dyDescent="0.25">
      <c r="I871" t="str">
        <f t="shared" si="26"/>
        <v/>
      </c>
      <c r="J871" s="56" t="str">
        <f t="shared" si="27"/>
        <v/>
      </c>
    </row>
    <row r="872" spans="9:10" x14ac:dyDescent="0.25">
      <c r="I872" t="str">
        <f t="shared" si="26"/>
        <v/>
      </c>
      <c r="J872" s="56" t="str">
        <f t="shared" si="27"/>
        <v/>
      </c>
    </row>
    <row r="873" spans="9:10" x14ac:dyDescent="0.25">
      <c r="I873" t="str">
        <f t="shared" si="26"/>
        <v/>
      </c>
      <c r="J873" s="56" t="str">
        <f t="shared" si="27"/>
        <v/>
      </c>
    </row>
    <row r="874" spans="9:10" x14ac:dyDescent="0.25">
      <c r="I874" t="str">
        <f t="shared" si="26"/>
        <v/>
      </c>
      <c r="J874" s="56" t="str">
        <f t="shared" si="27"/>
        <v/>
      </c>
    </row>
    <row r="875" spans="9:10" x14ac:dyDescent="0.25">
      <c r="I875" t="str">
        <f t="shared" si="26"/>
        <v/>
      </c>
      <c r="J875" s="56" t="str">
        <f t="shared" si="27"/>
        <v/>
      </c>
    </row>
    <row r="876" spans="9:10" x14ac:dyDescent="0.25">
      <c r="I876" t="str">
        <f t="shared" si="26"/>
        <v/>
      </c>
      <c r="J876" s="56" t="str">
        <f t="shared" si="27"/>
        <v/>
      </c>
    </row>
    <row r="877" spans="9:10" x14ac:dyDescent="0.25">
      <c r="I877" t="str">
        <f t="shared" si="26"/>
        <v/>
      </c>
      <c r="J877" s="56" t="str">
        <f t="shared" si="27"/>
        <v/>
      </c>
    </row>
    <row r="878" spans="9:10" x14ac:dyDescent="0.25">
      <c r="I878" t="str">
        <f t="shared" si="26"/>
        <v/>
      </c>
      <c r="J878" s="56" t="str">
        <f t="shared" si="27"/>
        <v/>
      </c>
    </row>
    <row r="879" spans="9:10" x14ac:dyDescent="0.25">
      <c r="I879" t="str">
        <f t="shared" si="26"/>
        <v/>
      </c>
      <c r="J879" s="56" t="str">
        <f t="shared" si="27"/>
        <v/>
      </c>
    </row>
    <row r="880" spans="9:10" x14ac:dyDescent="0.25">
      <c r="I880" t="str">
        <f t="shared" si="26"/>
        <v/>
      </c>
      <c r="J880" s="56" t="str">
        <f t="shared" si="27"/>
        <v/>
      </c>
    </row>
    <row r="881" spans="9:10" x14ac:dyDescent="0.25">
      <c r="I881" t="str">
        <f t="shared" si="26"/>
        <v/>
      </c>
      <c r="J881" s="56" t="str">
        <f t="shared" si="27"/>
        <v/>
      </c>
    </row>
    <row r="882" spans="9:10" x14ac:dyDescent="0.25">
      <c r="I882" t="str">
        <f t="shared" si="26"/>
        <v/>
      </c>
      <c r="J882" s="56" t="str">
        <f t="shared" si="27"/>
        <v/>
      </c>
    </row>
    <row r="883" spans="9:10" x14ac:dyDescent="0.25">
      <c r="I883" t="str">
        <f t="shared" si="26"/>
        <v/>
      </c>
      <c r="J883" s="56" t="str">
        <f t="shared" si="27"/>
        <v/>
      </c>
    </row>
    <row r="884" spans="9:10" x14ac:dyDescent="0.25">
      <c r="I884" t="str">
        <f t="shared" si="26"/>
        <v/>
      </c>
      <c r="J884" s="56" t="str">
        <f t="shared" si="27"/>
        <v/>
      </c>
    </row>
    <row r="885" spans="9:10" x14ac:dyDescent="0.25">
      <c r="I885" t="str">
        <f t="shared" si="26"/>
        <v/>
      </c>
      <c r="J885" s="56" t="str">
        <f t="shared" si="27"/>
        <v/>
      </c>
    </row>
    <row r="886" spans="9:10" x14ac:dyDescent="0.25">
      <c r="I886" t="str">
        <f t="shared" si="26"/>
        <v/>
      </c>
      <c r="J886" s="56" t="str">
        <f t="shared" si="27"/>
        <v/>
      </c>
    </row>
    <row r="887" spans="9:10" x14ac:dyDescent="0.25">
      <c r="I887" t="str">
        <f t="shared" si="26"/>
        <v/>
      </c>
      <c r="J887" s="56" t="str">
        <f t="shared" si="27"/>
        <v/>
      </c>
    </row>
    <row r="888" spans="9:10" x14ac:dyDescent="0.25">
      <c r="I888" t="str">
        <f t="shared" si="26"/>
        <v/>
      </c>
      <c r="J888" s="56" t="str">
        <f t="shared" si="27"/>
        <v/>
      </c>
    </row>
    <row r="889" spans="9:10" x14ac:dyDescent="0.25">
      <c r="I889" t="str">
        <f t="shared" si="26"/>
        <v/>
      </c>
      <c r="J889" s="56" t="str">
        <f t="shared" si="27"/>
        <v/>
      </c>
    </row>
    <row r="890" spans="9:10" x14ac:dyDescent="0.25">
      <c r="I890" t="str">
        <f t="shared" si="26"/>
        <v/>
      </c>
      <c r="J890" s="56" t="str">
        <f t="shared" si="27"/>
        <v/>
      </c>
    </row>
    <row r="891" spans="9:10" x14ac:dyDescent="0.25">
      <c r="I891" t="str">
        <f t="shared" si="26"/>
        <v/>
      </c>
      <c r="J891" s="56" t="str">
        <f t="shared" si="27"/>
        <v/>
      </c>
    </row>
    <row r="892" spans="9:10" x14ac:dyDescent="0.25">
      <c r="I892" t="str">
        <f t="shared" si="26"/>
        <v/>
      </c>
      <c r="J892" s="56" t="str">
        <f t="shared" si="27"/>
        <v/>
      </c>
    </row>
    <row r="893" spans="9:10" x14ac:dyDescent="0.25">
      <c r="I893" t="str">
        <f t="shared" si="26"/>
        <v/>
      </c>
      <c r="J893" s="56" t="str">
        <f t="shared" si="27"/>
        <v/>
      </c>
    </row>
    <row r="894" spans="9:10" x14ac:dyDescent="0.25">
      <c r="I894" t="str">
        <f t="shared" si="26"/>
        <v/>
      </c>
      <c r="J894" s="56" t="str">
        <f t="shared" si="27"/>
        <v/>
      </c>
    </row>
    <row r="895" spans="9:10" x14ac:dyDescent="0.25">
      <c r="I895" t="str">
        <f t="shared" si="26"/>
        <v/>
      </c>
      <c r="J895" s="56" t="str">
        <f t="shared" si="27"/>
        <v/>
      </c>
    </row>
    <row r="896" spans="9:10" x14ac:dyDescent="0.25">
      <c r="I896" t="str">
        <f t="shared" si="26"/>
        <v/>
      </c>
      <c r="J896" s="56" t="str">
        <f t="shared" si="27"/>
        <v/>
      </c>
    </row>
    <row r="897" spans="9:10" x14ac:dyDescent="0.25">
      <c r="I897" t="str">
        <f t="shared" si="26"/>
        <v/>
      </c>
      <c r="J897" s="56" t="str">
        <f t="shared" si="27"/>
        <v/>
      </c>
    </row>
    <row r="898" spans="9:10" x14ac:dyDescent="0.25">
      <c r="I898" t="str">
        <f t="shared" si="26"/>
        <v/>
      </c>
      <c r="J898" s="56" t="str">
        <f t="shared" si="27"/>
        <v/>
      </c>
    </row>
    <row r="899" spans="9:10" x14ac:dyDescent="0.25">
      <c r="I899" t="str">
        <f t="shared" ref="I899:I962" si="28">IF($A899="","",RIGHT($E899,LEN($E899)-SEARCH(".",$E899)))</f>
        <v/>
      </c>
      <c r="J899" s="56" t="str">
        <f t="shared" ref="J899:J962" si="29">IF($A899="","",$G899)</f>
        <v/>
      </c>
    </row>
    <row r="900" spans="9:10" x14ac:dyDescent="0.25">
      <c r="I900" t="str">
        <f t="shared" si="28"/>
        <v/>
      </c>
      <c r="J900" s="56" t="str">
        <f t="shared" si="29"/>
        <v/>
      </c>
    </row>
    <row r="901" spans="9:10" x14ac:dyDescent="0.25">
      <c r="I901" t="str">
        <f t="shared" si="28"/>
        <v/>
      </c>
      <c r="J901" s="56" t="str">
        <f t="shared" si="29"/>
        <v/>
      </c>
    </row>
    <row r="902" spans="9:10" x14ac:dyDescent="0.25">
      <c r="I902" t="str">
        <f t="shared" si="28"/>
        <v/>
      </c>
      <c r="J902" s="56" t="str">
        <f t="shared" si="29"/>
        <v/>
      </c>
    </row>
    <row r="903" spans="9:10" x14ac:dyDescent="0.25">
      <c r="I903" t="str">
        <f t="shared" si="28"/>
        <v/>
      </c>
      <c r="J903" s="56" t="str">
        <f t="shared" si="29"/>
        <v/>
      </c>
    </row>
    <row r="904" spans="9:10" x14ac:dyDescent="0.25">
      <c r="I904" t="str">
        <f t="shared" si="28"/>
        <v/>
      </c>
      <c r="J904" s="56" t="str">
        <f t="shared" si="29"/>
        <v/>
      </c>
    </row>
    <row r="905" spans="9:10" x14ac:dyDescent="0.25">
      <c r="I905" t="str">
        <f t="shared" si="28"/>
        <v/>
      </c>
      <c r="J905" s="56" t="str">
        <f t="shared" si="29"/>
        <v/>
      </c>
    </row>
    <row r="906" spans="9:10" x14ac:dyDescent="0.25">
      <c r="I906" t="str">
        <f t="shared" si="28"/>
        <v/>
      </c>
      <c r="J906" s="56" t="str">
        <f t="shared" si="29"/>
        <v/>
      </c>
    </row>
    <row r="907" spans="9:10" x14ac:dyDescent="0.25">
      <c r="I907" t="str">
        <f t="shared" si="28"/>
        <v/>
      </c>
      <c r="J907" s="56" t="str">
        <f t="shared" si="29"/>
        <v/>
      </c>
    </row>
    <row r="908" spans="9:10" x14ac:dyDescent="0.25">
      <c r="I908" t="str">
        <f t="shared" si="28"/>
        <v/>
      </c>
      <c r="J908" s="56" t="str">
        <f t="shared" si="29"/>
        <v/>
      </c>
    </row>
    <row r="909" spans="9:10" x14ac:dyDescent="0.25">
      <c r="I909" t="str">
        <f t="shared" si="28"/>
        <v/>
      </c>
      <c r="J909" s="56" t="str">
        <f t="shared" si="29"/>
        <v/>
      </c>
    </row>
    <row r="910" spans="9:10" x14ac:dyDescent="0.25">
      <c r="I910" t="str">
        <f t="shared" si="28"/>
        <v/>
      </c>
      <c r="J910" s="56" t="str">
        <f t="shared" si="29"/>
        <v/>
      </c>
    </row>
    <row r="911" spans="9:10" x14ac:dyDescent="0.25">
      <c r="I911" t="str">
        <f t="shared" si="28"/>
        <v/>
      </c>
      <c r="J911" s="56" t="str">
        <f t="shared" si="29"/>
        <v/>
      </c>
    </row>
    <row r="912" spans="9:10" x14ac:dyDescent="0.25">
      <c r="I912" t="str">
        <f t="shared" si="28"/>
        <v/>
      </c>
      <c r="J912" s="56" t="str">
        <f t="shared" si="29"/>
        <v/>
      </c>
    </row>
    <row r="913" spans="9:10" x14ac:dyDescent="0.25">
      <c r="I913" t="str">
        <f t="shared" si="28"/>
        <v/>
      </c>
      <c r="J913" s="56" t="str">
        <f t="shared" si="29"/>
        <v/>
      </c>
    </row>
    <row r="914" spans="9:10" x14ac:dyDescent="0.25">
      <c r="I914" t="str">
        <f t="shared" si="28"/>
        <v/>
      </c>
      <c r="J914" s="56" t="str">
        <f t="shared" si="29"/>
        <v/>
      </c>
    </row>
    <row r="915" spans="9:10" x14ac:dyDescent="0.25">
      <c r="I915" t="str">
        <f t="shared" si="28"/>
        <v/>
      </c>
      <c r="J915" s="56" t="str">
        <f t="shared" si="29"/>
        <v/>
      </c>
    </row>
    <row r="916" spans="9:10" x14ac:dyDescent="0.25">
      <c r="I916" t="str">
        <f t="shared" si="28"/>
        <v/>
      </c>
      <c r="J916" s="56" t="str">
        <f t="shared" si="29"/>
        <v/>
      </c>
    </row>
    <row r="917" spans="9:10" x14ac:dyDescent="0.25">
      <c r="I917" t="str">
        <f t="shared" si="28"/>
        <v/>
      </c>
      <c r="J917" s="56" t="str">
        <f t="shared" si="29"/>
        <v/>
      </c>
    </row>
    <row r="918" spans="9:10" x14ac:dyDescent="0.25">
      <c r="I918" t="str">
        <f t="shared" si="28"/>
        <v/>
      </c>
      <c r="J918" s="56" t="str">
        <f t="shared" si="29"/>
        <v/>
      </c>
    </row>
    <row r="919" spans="9:10" x14ac:dyDescent="0.25">
      <c r="I919" t="str">
        <f t="shared" si="28"/>
        <v/>
      </c>
      <c r="J919" s="56" t="str">
        <f t="shared" si="29"/>
        <v/>
      </c>
    </row>
    <row r="920" spans="9:10" x14ac:dyDescent="0.25">
      <c r="I920" t="str">
        <f t="shared" si="28"/>
        <v/>
      </c>
      <c r="J920" s="56" t="str">
        <f t="shared" si="29"/>
        <v/>
      </c>
    </row>
    <row r="921" spans="9:10" x14ac:dyDescent="0.25">
      <c r="I921" t="str">
        <f t="shared" si="28"/>
        <v/>
      </c>
      <c r="J921" s="56" t="str">
        <f t="shared" si="29"/>
        <v/>
      </c>
    </row>
    <row r="922" spans="9:10" x14ac:dyDescent="0.25">
      <c r="I922" t="str">
        <f t="shared" si="28"/>
        <v/>
      </c>
      <c r="J922" s="56" t="str">
        <f t="shared" si="29"/>
        <v/>
      </c>
    </row>
    <row r="923" spans="9:10" x14ac:dyDescent="0.25">
      <c r="I923" t="str">
        <f t="shared" si="28"/>
        <v/>
      </c>
      <c r="J923" s="56" t="str">
        <f t="shared" si="29"/>
        <v/>
      </c>
    </row>
    <row r="924" spans="9:10" x14ac:dyDescent="0.25">
      <c r="I924" t="str">
        <f t="shared" si="28"/>
        <v/>
      </c>
      <c r="J924" s="56" t="str">
        <f t="shared" si="29"/>
        <v/>
      </c>
    </row>
    <row r="925" spans="9:10" x14ac:dyDescent="0.25">
      <c r="I925" t="str">
        <f t="shared" si="28"/>
        <v/>
      </c>
      <c r="J925" s="56" t="str">
        <f t="shared" si="29"/>
        <v/>
      </c>
    </row>
    <row r="926" spans="9:10" x14ac:dyDescent="0.25">
      <c r="I926" t="str">
        <f t="shared" si="28"/>
        <v/>
      </c>
      <c r="J926" s="56" t="str">
        <f t="shared" si="29"/>
        <v/>
      </c>
    </row>
    <row r="927" spans="9:10" x14ac:dyDescent="0.25">
      <c r="I927" t="str">
        <f t="shared" si="28"/>
        <v/>
      </c>
      <c r="J927" s="56" t="str">
        <f t="shared" si="29"/>
        <v/>
      </c>
    </row>
    <row r="928" spans="9:10" x14ac:dyDescent="0.25">
      <c r="I928" t="str">
        <f t="shared" si="28"/>
        <v/>
      </c>
      <c r="J928" s="56" t="str">
        <f t="shared" si="29"/>
        <v/>
      </c>
    </row>
    <row r="929" spans="9:10" x14ac:dyDescent="0.25">
      <c r="I929" t="str">
        <f t="shared" si="28"/>
        <v/>
      </c>
      <c r="J929" s="56" t="str">
        <f t="shared" si="29"/>
        <v/>
      </c>
    </row>
    <row r="930" spans="9:10" x14ac:dyDescent="0.25">
      <c r="I930" t="str">
        <f t="shared" si="28"/>
        <v/>
      </c>
      <c r="J930" s="56" t="str">
        <f t="shared" si="29"/>
        <v/>
      </c>
    </row>
    <row r="931" spans="9:10" x14ac:dyDescent="0.25">
      <c r="I931" t="str">
        <f t="shared" si="28"/>
        <v/>
      </c>
      <c r="J931" s="56" t="str">
        <f t="shared" si="29"/>
        <v/>
      </c>
    </row>
    <row r="932" spans="9:10" x14ac:dyDescent="0.25">
      <c r="I932" t="str">
        <f t="shared" si="28"/>
        <v/>
      </c>
      <c r="J932" s="56" t="str">
        <f t="shared" si="29"/>
        <v/>
      </c>
    </row>
    <row r="933" spans="9:10" x14ac:dyDescent="0.25">
      <c r="I933" t="str">
        <f t="shared" si="28"/>
        <v/>
      </c>
      <c r="J933" s="56" t="str">
        <f t="shared" si="29"/>
        <v/>
      </c>
    </row>
    <row r="934" spans="9:10" x14ac:dyDescent="0.25">
      <c r="I934" t="str">
        <f t="shared" si="28"/>
        <v/>
      </c>
      <c r="J934" s="56" t="str">
        <f t="shared" si="29"/>
        <v/>
      </c>
    </row>
    <row r="935" spans="9:10" x14ac:dyDescent="0.25">
      <c r="I935" t="str">
        <f t="shared" si="28"/>
        <v/>
      </c>
      <c r="J935" s="56" t="str">
        <f t="shared" si="29"/>
        <v/>
      </c>
    </row>
    <row r="936" spans="9:10" x14ac:dyDescent="0.25">
      <c r="I936" t="str">
        <f t="shared" si="28"/>
        <v/>
      </c>
      <c r="J936" s="56" t="str">
        <f t="shared" si="29"/>
        <v/>
      </c>
    </row>
    <row r="937" spans="9:10" x14ac:dyDescent="0.25">
      <c r="I937" t="str">
        <f t="shared" si="28"/>
        <v/>
      </c>
      <c r="J937" s="56" t="str">
        <f t="shared" si="29"/>
        <v/>
      </c>
    </row>
    <row r="938" spans="9:10" x14ac:dyDescent="0.25">
      <c r="I938" t="str">
        <f t="shared" si="28"/>
        <v/>
      </c>
      <c r="J938" s="56" t="str">
        <f t="shared" si="29"/>
        <v/>
      </c>
    </row>
    <row r="939" spans="9:10" x14ac:dyDescent="0.25">
      <c r="I939" t="str">
        <f t="shared" si="28"/>
        <v/>
      </c>
      <c r="J939" s="56" t="str">
        <f t="shared" si="29"/>
        <v/>
      </c>
    </row>
    <row r="940" spans="9:10" x14ac:dyDescent="0.25">
      <c r="I940" t="str">
        <f t="shared" si="28"/>
        <v/>
      </c>
      <c r="J940" s="56" t="str">
        <f t="shared" si="29"/>
        <v/>
      </c>
    </row>
    <row r="941" spans="9:10" x14ac:dyDescent="0.25">
      <c r="I941" t="str">
        <f t="shared" si="28"/>
        <v/>
      </c>
      <c r="J941" s="56" t="str">
        <f t="shared" si="29"/>
        <v/>
      </c>
    </row>
    <row r="942" spans="9:10" x14ac:dyDescent="0.25">
      <c r="I942" t="str">
        <f t="shared" si="28"/>
        <v/>
      </c>
      <c r="J942" s="56" t="str">
        <f t="shared" si="29"/>
        <v/>
      </c>
    </row>
    <row r="943" spans="9:10" x14ac:dyDescent="0.25">
      <c r="I943" t="str">
        <f t="shared" si="28"/>
        <v/>
      </c>
      <c r="J943" s="56" t="str">
        <f t="shared" si="29"/>
        <v/>
      </c>
    </row>
    <row r="944" spans="9:10" x14ac:dyDescent="0.25">
      <c r="I944" t="str">
        <f t="shared" si="28"/>
        <v/>
      </c>
      <c r="J944" s="56" t="str">
        <f t="shared" si="29"/>
        <v/>
      </c>
    </row>
    <row r="945" spans="9:10" x14ac:dyDescent="0.25">
      <c r="I945" t="str">
        <f t="shared" si="28"/>
        <v/>
      </c>
      <c r="J945" s="56" t="str">
        <f t="shared" si="29"/>
        <v/>
      </c>
    </row>
    <row r="946" spans="9:10" x14ac:dyDescent="0.25">
      <c r="I946" t="str">
        <f t="shared" si="28"/>
        <v/>
      </c>
      <c r="J946" s="56" t="str">
        <f t="shared" si="29"/>
        <v/>
      </c>
    </row>
    <row r="947" spans="9:10" x14ac:dyDescent="0.25">
      <c r="I947" t="str">
        <f t="shared" si="28"/>
        <v/>
      </c>
      <c r="J947" s="56" t="str">
        <f t="shared" si="29"/>
        <v/>
      </c>
    </row>
    <row r="948" spans="9:10" x14ac:dyDescent="0.25">
      <c r="I948" t="str">
        <f t="shared" si="28"/>
        <v/>
      </c>
      <c r="J948" s="56" t="str">
        <f t="shared" si="29"/>
        <v/>
      </c>
    </row>
    <row r="949" spans="9:10" x14ac:dyDescent="0.25">
      <c r="I949" t="str">
        <f t="shared" si="28"/>
        <v/>
      </c>
      <c r="J949" s="56" t="str">
        <f t="shared" si="29"/>
        <v/>
      </c>
    </row>
    <row r="950" spans="9:10" x14ac:dyDescent="0.25">
      <c r="I950" t="str">
        <f t="shared" si="28"/>
        <v/>
      </c>
      <c r="J950" s="56" t="str">
        <f t="shared" si="29"/>
        <v/>
      </c>
    </row>
    <row r="951" spans="9:10" x14ac:dyDescent="0.25">
      <c r="I951" t="str">
        <f t="shared" si="28"/>
        <v/>
      </c>
      <c r="J951" s="56" t="str">
        <f t="shared" si="29"/>
        <v/>
      </c>
    </row>
    <row r="952" spans="9:10" x14ac:dyDescent="0.25">
      <c r="I952" t="str">
        <f t="shared" si="28"/>
        <v/>
      </c>
      <c r="J952" s="56" t="str">
        <f t="shared" si="29"/>
        <v/>
      </c>
    </row>
    <row r="953" spans="9:10" x14ac:dyDescent="0.25">
      <c r="I953" t="str">
        <f t="shared" si="28"/>
        <v/>
      </c>
      <c r="J953" s="56" t="str">
        <f t="shared" si="29"/>
        <v/>
      </c>
    </row>
    <row r="954" spans="9:10" x14ac:dyDescent="0.25">
      <c r="I954" t="str">
        <f t="shared" si="28"/>
        <v/>
      </c>
      <c r="J954" s="56" t="str">
        <f t="shared" si="29"/>
        <v/>
      </c>
    </row>
    <row r="955" spans="9:10" x14ac:dyDescent="0.25">
      <c r="I955" t="str">
        <f t="shared" si="28"/>
        <v/>
      </c>
      <c r="J955" s="56" t="str">
        <f t="shared" si="29"/>
        <v/>
      </c>
    </row>
    <row r="956" spans="9:10" x14ac:dyDescent="0.25">
      <c r="I956" t="str">
        <f t="shared" si="28"/>
        <v/>
      </c>
      <c r="J956" s="56" t="str">
        <f t="shared" si="29"/>
        <v/>
      </c>
    </row>
    <row r="957" spans="9:10" x14ac:dyDescent="0.25">
      <c r="I957" t="str">
        <f t="shared" si="28"/>
        <v/>
      </c>
      <c r="J957" s="56" t="str">
        <f t="shared" si="29"/>
        <v/>
      </c>
    </row>
    <row r="958" spans="9:10" x14ac:dyDescent="0.25">
      <c r="I958" t="str">
        <f t="shared" si="28"/>
        <v/>
      </c>
      <c r="J958" s="56" t="str">
        <f t="shared" si="29"/>
        <v/>
      </c>
    </row>
    <row r="959" spans="9:10" x14ac:dyDescent="0.25">
      <c r="I959" t="str">
        <f t="shared" si="28"/>
        <v/>
      </c>
      <c r="J959" s="56" t="str">
        <f t="shared" si="29"/>
        <v/>
      </c>
    </row>
    <row r="960" spans="9:10" x14ac:dyDescent="0.25">
      <c r="I960" t="str">
        <f t="shared" si="28"/>
        <v/>
      </c>
      <c r="J960" s="56" t="str">
        <f t="shared" si="29"/>
        <v/>
      </c>
    </row>
    <row r="961" spans="9:10" x14ac:dyDescent="0.25">
      <c r="I961" t="str">
        <f t="shared" si="28"/>
        <v/>
      </c>
      <c r="J961" s="56" t="str">
        <f t="shared" si="29"/>
        <v/>
      </c>
    </row>
    <row r="962" spans="9:10" x14ac:dyDescent="0.25">
      <c r="I962" t="str">
        <f t="shared" si="28"/>
        <v/>
      </c>
      <c r="J962" s="56" t="str">
        <f t="shared" si="29"/>
        <v/>
      </c>
    </row>
    <row r="963" spans="9:10" x14ac:dyDescent="0.25">
      <c r="I963" t="str">
        <f t="shared" ref="I963:I1026" si="30">IF($A963="","",RIGHT($E963,LEN($E963)-SEARCH(".",$E963)))</f>
        <v/>
      </c>
      <c r="J963" s="56" t="str">
        <f t="shared" ref="J963:J1026" si="31">IF($A963="","",$G963)</f>
        <v/>
      </c>
    </row>
    <row r="964" spans="9:10" x14ac:dyDescent="0.25">
      <c r="I964" t="str">
        <f t="shared" si="30"/>
        <v/>
      </c>
      <c r="J964" s="56" t="str">
        <f t="shared" si="31"/>
        <v/>
      </c>
    </row>
    <row r="965" spans="9:10" x14ac:dyDescent="0.25">
      <c r="I965" t="str">
        <f t="shared" si="30"/>
        <v/>
      </c>
      <c r="J965" s="56" t="str">
        <f t="shared" si="31"/>
        <v/>
      </c>
    </row>
    <row r="966" spans="9:10" x14ac:dyDescent="0.25">
      <c r="I966" t="str">
        <f t="shared" si="30"/>
        <v/>
      </c>
      <c r="J966" s="56" t="str">
        <f t="shared" si="31"/>
        <v/>
      </c>
    </row>
    <row r="967" spans="9:10" x14ac:dyDescent="0.25">
      <c r="I967" t="str">
        <f t="shared" si="30"/>
        <v/>
      </c>
      <c r="J967" s="56" t="str">
        <f t="shared" si="31"/>
        <v/>
      </c>
    </row>
    <row r="968" spans="9:10" x14ac:dyDescent="0.25">
      <c r="I968" t="str">
        <f t="shared" si="30"/>
        <v/>
      </c>
      <c r="J968" s="56" t="str">
        <f t="shared" si="31"/>
        <v/>
      </c>
    </row>
    <row r="969" spans="9:10" x14ac:dyDescent="0.25">
      <c r="I969" t="str">
        <f t="shared" si="30"/>
        <v/>
      </c>
      <c r="J969" s="56" t="str">
        <f t="shared" si="31"/>
        <v/>
      </c>
    </row>
    <row r="970" spans="9:10" x14ac:dyDescent="0.25">
      <c r="I970" t="str">
        <f t="shared" si="30"/>
        <v/>
      </c>
      <c r="J970" s="56" t="str">
        <f t="shared" si="31"/>
        <v/>
      </c>
    </row>
    <row r="971" spans="9:10" x14ac:dyDescent="0.25">
      <c r="I971" t="str">
        <f t="shared" si="30"/>
        <v/>
      </c>
      <c r="J971" s="56" t="str">
        <f t="shared" si="31"/>
        <v/>
      </c>
    </row>
    <row r="972" spans="9:10" x14ac:dyDescent="0.25">
      <c r="I972" t="str">
        <f t="shared" si="30"/>
        <v/>
      </c>
      <c r="J972" s="56" t="str">
        <f t="shared" si="31"/>
        <v/>
      </c>
    </row>
    <row r="973" spans="9:10" x14ac:dyDescent="0.25">
      <c r="I973" t="str">
        <f t="shared" si="30"/>
        <v/>
      </c>
      <c r="J973" s="56" t="str">
        <f t="shared" si="31"/>
        <v/>
      </c>
    </row>
    <row r="974" spans="9:10" x14ac:dyDescent="0.25">
      <c r="I974" t="str">
        <f t="shared" si="30"/>
        <v/>
      </c>
      <c r="J974" s="56" t="str">
        <f t="shared" si="31"/>
        <v/>
      </c>
    </row>
    <row r="975" spans="9:10" x14ac:dyDescent="0.25">
      <c r="I975" t="str">
        <f t="shared" si="30"/>
        <v/>
      </c>
      <c r="J975" s="56" t="str">
        <f t="shared" si="31"/>
        <v/>
      </c>
    </row>
    <row r="976" spans="9:10" x14ac:dyDescent="0.25">
      <c r="I976" t="str">
        <f t="shared" si="30"/>
        <v/>
      </c>
      <c r="J976" s="56" t="str">
        <f t="shared" si="31"/>
        <v/>
      </c>
    </row>
    <row r="977" spans="9:10" x14ac:dyDescent="0.25">
      <c r="I977" t="str">
        <f t="shared" si="30"/>
        <v/>
      </c>
      <c r="J977" s="56" t="str">
        <f t="shared" si="31"/>
        <v/>
      </c>
    </row>
    <row r="978" spans="9:10" x14ac:dyDescent="0.25">
      <c r="I978" t="str">
        <f t="shared" si="30"/>
        <v/>
      </c>
      <c r="J978" s="56" t="str">
        <f t="shared" si="31"/>
        <v/>
      </c>
    </row>
    <row r="979" spans="9:10" x14ac:dyDescent="0.25">
      <c r="I979" t="str">
        <f t="shared" si="30"/>
        <v/>
      </c>
      <c r="J979" s="56" t="str">
        <f t="shared" si="31"/>
        <v/>
      </c>
    </row>
    <row r="980" spans="9:10" x14ac:dyDescent="0.25">
      <c r="I980" t="str">
        <f t="shared" si="30"/>
        <v/>
      </c>
      <c r="J980" s="56" t="str">
        <f t="shared" si="31"/>
        <v/>
      </c>
    </row>
    <row r="981" spans="9:10" x14ac:dyDescent="0.25">
      <c r="I981" t="str">
        <f t="shared" si="30"/>
        <v/>
      </c>
      <c r="J981" s="56" t="str">
        <f t="shared" si="31"/>
        <v/>
      </c>
    </row>
    <row r="982" spans="9:10" x14ac:dyDescent="0.25">
      <c r="I982" t="str">
        <f t="shared" si="30"/>
        <v/>
      </c>
      <c r="J982" s="56" t="str">
        <f t="shared" si="31"/>
        <v/>
      </c>
    </row>
    <row r="983" spans="9:10" x14ac:dyDescent="0.25">
      <c r="I983" t="str">
        <f t="shared" si="30"/>
        <v/>
      </c>
      <c r="J983" s="56" t="str">
        <f t="shared" si="31"/>
        <v/>
      </c>
    </row>
    <row r="984" spans="9:10" x14ac:dyDescent="0.25">
      <c r="I984" t="str">
        <f t="shared" si="30"/>
        <v/>
      </c>
      <c r="J984" s="56" t="str">
        <f t="shared" si="31"/>
        <v/>
      </c>
    </row>
    <row r="985" spans="9:10" x14ac:dyDescent="0.25">
      <c r="I985" t="str">
        <f t="shared" si="30"/>
        <v/>
      </c>
      <c r="J985" s="56" t="str">
        <f t="shared" si="31"/>
        <v/>
      </c>
    </row>
    <row r="986" spans="9:10" x14ac:dyDescent="0.25">
      <c r="I986" t="str">
        <f t="shared" si="30"/>
        <v/>
      </c>
      <c r="J986" s="56" t="str">
        <f t="shared" si="31"/>
        <v/>
      </c>
    </row>
    <row r="987" spans="9:10" x14ac:dyDescent="0.25">
      <c r="I987" t="str">
        <f t="shared" si="30"/>
        <v/>
      </c>
      <c r="J987" s="56" t="str">
        <f t="shared" si="31"/>
        <v/>
      </c>
    </row>
    <row r="988" spans="9:10" x14ac:dyDescent="0.25">
      <c r="I988" t="str">
        <f t="shared" si="30"/>
        <v/>
      </c>
      <c r="J988" s="56" t="str">
        <f t="shared" si="31"/>
        <v/>
      </c>
    </row>
    <row r="989" spans="9:10" x14ac:dyDescent="0.25">
      <c r="I989" t="str">
        <f t="shared" si="30"/>
        <v/>
      </c>
      <c r="J989" s="56" t="str">
        <f t="shared" si="31"/>
        <v/>
      </c>
    </row>
    <row r="990" spans="9:10" x14ac:dyDescent="0.25">
      <c r="I990" t="str">
        <f t="shared" si="30"/>
        <v/>
      </c>
      <c r="J990" s="56" t="str">
        <f t="shared" si="31"/>
        <v/>
      </c>
    </row>
    <row r="991" spans="9:10" x14ac:dyDescent="0.25">
      <c r="I991" t="str">
        <f t="shared" si="30"/>
        <v/>
      </c>
      <c r="J991" s="56" t="str">
        <f t="shared" si="31"/>
        <v/>
      </c>
    </row>
    <row r="992" spans="9:10" x14ac:dyDescent="0.25">
      <c r="I992" t="str">
        <f t="shared" si="30"/>
        <v/>
      </c>
      <c r="J992" s="56" t="str">
        <f t="shared" si="31"/>
        <v/>
      </c>
    </row>
    <row r="993" spans="9:10" x14ac:dyDescent="0.25">
      <c r="I993" t="str">
        <f t="shared" si="30"/>
        <v/>
      </c>
      <c r="J993" s="56" t="str">
        <f t="shared" si="31"/>
        <v/>
      </c>
    </row>
    <row r="994" spans="9:10" x14ac:dyDescent="0.25">
      <c r="I994" t="str">
        <f t="shared" si="30"/>
        <v/>
      </c>
      <c r="J994" s="56" t="str">
        <f t="shared" si="31"/>
        <v/>
      </c>
    </row>
    <row r="995" spans="9:10" x14ac:dyDescent="0.25">
      <c r="I995" t="str">
        <f t="shared" si="30"/>
        <v/>
      </c>
      <c r="J995" s="56" t="str">
        <f t="shared" si="31"/>
        <v/>
      </c>
    </row>
    <row r="996" spans="9:10" x14ac:dyDescent="0.25">
      <c r="I996" t="str">
        <f t="shared" si="30"/>
        <v/>
      </c>
      <c r="J996" s="56" t="str">
        <f t="shared" si="31"/>
        <v/>
      </c>
    </row>
    <row r="997" spans="9:10" x14ac:dyDescent="0.25">
      <c r="I997" t="str">
        <f t="shared" si="30"/>
        <v/>
      </c>
      <c r="J997" s="56" t="str">
        <f t="shared" si="31"/>
        <v/>
      </c>
    </row>
    <row r="998" spans="9:10" x14ac:dyDescent="0.25">
      <c r="I998" t="str">
        <f t="shared" si="30"/>
        <v/>
      </c>
      <c r="J998" s="56" t="str">
        <f t="shared" si="31"/>
        <v/>
      </c>
    </row>
    <row r="999" spans="9:10" x14ac:dyDescent="0.25">
      <c r="I999" t="str">
        <f t="shared" si="30"/>
        <v/>
      </c>
      <c r="J999" s="56" t="str">
        <f t="shared" si="31"/>
        <v/>
      </c>
    </row>
    <row r="1000" spans="9:10" x14ac:dyDescent="0.25">
      <c r="I1000" t="str">
        <f t="shared" si="30"/>
        <v/>
      </c>
      <c r="J1000" s="56" t="str">
        <f t="shared" si="31"/>
        <v/>
      </c>
    </row>
    <row r="1001" spans="9:10" x14ac:dyDescent="0.25">
      <c r="I1001" t="str">
        <f t="shared" si="30"/>
        <v/>
      </c>
      <c r="J1001" s="56" t="str">
        <f t="shared" si="31"/>
        <v/>
      </c>
    </row>
    <row r="1002" spans="9:10" x14ac:dyDescent="0.25">
      <c r="I1002" t="str">
        <f t="shared" si="30"/>
        <v/>
      </c>
      <c r="J1002" s="56" t="str">
        <f t="shared" si="31"/>
        <v/>
      </c>
    </row>
    <row r="1003" spans="9:10" x14ac:dyDescent="0.25">
      <c r="I1003" t="str">
        <f t="shared" si="30"/>
        <v/>
      </c>
      <c r="J1003" s="56" t="str">
        <f t="shared" si="31"/>
        <v/>
      </c>
    </row>
    <row r="1004" spans="9:10" x14ac:dyDescent="0.25">
      <c r="I1004" t="str">
        <f t="shared" si="30"/>
        <v/>
      </c>
      <c r="J1004" s="56" t="str">
        <f t="shared" si="31"/>
        <v/>
      </c>
    </row>
    <row r="1005" spans="9:10" x14ac:dyDescent="0.25">
      <c r="I1005" t="str">
        <f t="shared" si="30"/>
        <v/>
      </c>
      <c r="J1005" s="56" t="str">
        <f t="shared" si="31"/>
        <v/>
      </c>
    </row>
    <row r="1006" spans="9:10" x14ac:dyDescent="0.25">
      <c r="I1006" t="str">
        <f t="shared" si="30"/>
        <v/>
      </c>
      <c r="J1006" s="56" t="str">
        <f t="shared" si="31"/>
        <v/>
      </c>
    </row>
    <row r="1007" spans="9:10" x14ac:dyDescent="0.25">
      <c r="I1007" t="str">
        <f t="shared" si="30"/>
        <v/>
      </c>
      <c r="J1007" s="56" t="str">
        <f t="shared" si="31"/>
        <v/>
      </c>
    </row>
    <row r="1008" spans="9:10" x14ac:dyDescent="0.25">
      <c r="I1008" t="str">
        <f t="shared" si="30"/>
        <v/>
      </c>
      <c r="J1008" s="56" t="str">
        <f t="shared" si="31"/>
        <v/>
      </c>
    </row>
    <row r="1009" spans="9:10" x14ac:dyDescent="0.25">
      <c r="I1009" t="str">
        <f t="shared" si="30"/>
        <v/>
      </c>
      <c r="J1009" s="56" t="str">
        <f t="shared" si="31"/>
        <v/>
      </c>
    </row>
    <row r="1010" spans="9:10" x14ac:dyDescent="0.25">
      <c r="I1010" t="str">
        <f t="shared" si="30"/>
        <v/>
      </c>
      <c r="J1010" s="56" t="str">
        <f t="shared" si="31"/>
        <v/>
      </c>
    </row>
    <row r="1011" spans="9:10" x14ac:dyDescent="0.25">
      <c r="I1011" t="str">
        <f t="shared" si="30"/>
        <v/>
      </c>
      <c r="J1011" s="56" t="str">
        <f t="shared" si="31"/>
        <v/>
      </c>
    </row>
    <row r="1012" spans="9:10" x14ac:dyDescent="0.25">
      <c r="I1012" t="str">
        <f t="shared" si="30"/>
        <v/>
      </c>
      <c r="J1012" s="56" t="str">
        <f t="shared" si="31"/>
        <v/>
      </c>
    </row>
    <row r="1013" spans="9:10" x14ac:dyDescent="0.25">
      <c r="I1013" t="str">
        <f t="shared" si="30"/>
        <v/>
      </c>
      <c r="J1013" s="56" t="str">
        <f t="shared" si="31"/>
        <v/>
      </c>
    </row>
    <row r="1014" spans="9:10" x14ac:dyDescent="0.25">
      <c r="I1014" t="str">
        <f t="shared" si="30"/>
        <v/>
      </c>
      <c r="J1014" s="56" t="str">
        <f t="shared" si="31"/>
        <v/>
      </c>
    </row>
    <row r="1015" spans="9:10" x14ac:dyDescent="0.25">
      <c r="I1015" t="str">
        <f t="shared" si="30"/>
        <v/>
      </c>
      <c r="J1015" s="56" t="str">
        <f t="shared" si="31"/>
        <v/>
      </c>
    </row>
    <row r="1016" spans="9:10" x14ac:dyDescent="0.25">
      <c r="I1016" t="str">
        <f t="shared" si="30"/>
        <v/>
      </c>
      <c r="J1016" s="56" t="str">
        <f t="shared" si="31"/>
        <v/>
      </c>
    </row>
    <row r="1017" spans="9:10" x14ac:dyDescent="0.25">
      <c r="I1017" t="str">
        <f t="shared" si="30"/>
        <v/>
      </c>
      <c r="J1017" s="56" t="str">
        <f t="shared" si="31"/>
        <v/>
      </c>
    </row>
    <row r="1018" spans="9:10" x14ac:dyDescent="0.25">
      <c r="I1018" t="str">
        <f t="shared" si="30"/>
        <v/>
      </c>
      <c r="J1018" s="56" t="str">
        <f t="shared" si="31"/>
        <v/>
      </c>
    </row>
    <row r="1019" spans="9:10" x14ac:dyDescent="0.25">
      <c r="I1019" t="str">
        <f t="shared" si="30"/>
        <v/>
      </c>
      <c r="J1019" s="56" t="str">
        <f t="shared" si="31"/>
        <v/>
      </c>
    </row>
    <row r="1020" spans="9:10" x14ac:dyDescent="0.25">
      <c r="I1020" t="str">
        <f t="shared" si="30"/>
        <v/>
      </c>
      <c r="J1020" s="56" t="str">
        <f t="shared" si="31"/>
        <v/>
      </c>
    </row>
    <row r="1021" spans="9:10" x14ac:dyDescent="0.25">
      <c r="I1021" t="str">
        <f t="shared" si="30"/>
        <v/>
      </c>
      <c r="J1021" s="56" t="str">
        <f t="shared" si="31"/>
        <v/>
      </c>
    </row>
    <row r="1022" spans="9:10" x14ac:dyDescent="0.25">
      <c r="I1022" t="str">
        <f t="shared" si="30"/>
        <v/>
      </c>
      <c r="J1022" s="56" t="str">
        <f t="shared" si="31"/>
        <v/>
      </c>
    </row>
    <row r="1023" spans="9:10" x14ac:dyDescent="0.25">
      <c r="I1023" t="str">
        <f t="shared" si="30"/>
        <v/>
      </c>
      <c r="J1023" s="56" t="str">
        <f t="shared" si="31"/>
        <v/>
      </c>
    </row>
    <row r="1024" spans="9:10" x14ac:dyDescent="0.25">
      <c r="I1024" t="str">
        <f t="shared" si="30"/>
        <v/>
      </c>
      <c r="J1024" s="56" t="str">
        <f t="shared" si="31"/>
        <v/>
      </c>
    </row>
    <row r="1025" spans="9:10" x14ac:dyDescent="0.25">
      <c r="I1025" t="str">
        <f t="shared" si="30"/>
        <v/>
      </c>
      <c r="J1025" s="56" t="str">
        <f t="shared" si="31"/>
        <v/>
      </c>
    </row>
    <row r="1026" spans="9:10" x14ac:dyDescent="0.25">
      <c r="I1026" t="str">
        <f t="shared" si="30"/>
        <v/>
      </c>
      <c r="J1026" s="56" t="str">
        <f t="shared" si="31"/>
        <v/>
      </c>
    </row>
    <row r="1027" spans="9:10" x14ac:dyDescent="0.25">
      <c r="I1027" t="str">
        <f t="shared" ref="I1027:I1090" si="32">IF($A1027="","",RIGHT($E1027,LEN($E1027)-SEARCH(".",$E1027)))</f>
        <v/>
      </c>
      <c r="J1027" s="56" t="str">
        <f t="shared" ref="J1027:J1090" si="33">IF($A1027="","",$G1027)</f>
        <v/>
      </c>
    </row>
    <row r="1028" spans="9:10" x14ac:dyDescent="0.25">
      <c r="I1028" t="str">
        <f t="shared" si="32"/>
        <v/>
      </c>
      <c r="J1028" s="56" t="str">
        <f t="shared" si="33"/>
        <v/>
      </c>
    </row>
    <row r="1029" spans="9:10" x14ac:dyDescent="0.25">
      <c r="I1029" t="str">
        <f t="shared" si="32"/>
        <v/>
      </c>
      <c r="J1029" s="56" t="str">
        <f t="shared" si="33"/>
        <v/>
      </c>
    </row>
    <row r="1030" spans="9:10" x14ac:dyDescent="0.25">
      <c r="I1030" t="str">
        <f t="shared" si="32"/>
        <v/>
      </c>
      <c r="J1030" s="56" t="str">
        <f t="shared" si="33"/>
        <v/>
      </c>
    </row>
    <row r="1031" spans="9:10" x14ac:dyDescent="0.25">
      <c r="I1031" t="str">
        <f t="shared" si="32"/>
        <v/>
      </c>
      <c r="J1031" s="56" t="str">
        <f t="shared" si="33"/>
        <v/>
      </c>
    </row>
    <row r="1032" spans="9:10" x14ac:dyDescent="0.25">
      <c r="I1032" t="str">
        <f t="shared" si="32"/>
        <v/>
      </c>
      <c r="J1032" s="56" t="str">
        <f t="shared" si="33"/>
        <v/>
      </c>
    </row>
    <row r="1033" spans="9:10" x14ac:dyDescent="0.25">
      <c r="I1033" t="str">
        <f t="shared" si="32"/>
        <v/>
      </c>
      <c r="J1033" s="56" t="str">
        <f t="shared" si="33"/>
        <v/>
      </c>
    </row>
    <row r="1034" spans="9:10" x14ac:dyDescent="0.25">
      <c r="I1034" t="str">
        <f t="shared" si="32"/>
        <v/>
      </c>
      <c r="J1034" s="56" t="str">
        <f t="shared" si="33"/>
        <v/>
      </c>
    </row>
    <row r="1035" spans="9:10" x14ac:dyDescent="0.25">
      <c r="I1035" t="str">
        <f t="shared" si="32"/>
        <v/>
      </c>
      <c r="J1035" s="56" t="str">
        <f t="shared" si="33"/>
        <v/>
      </c>
    </row>
    <row r="1036" spans="9:10" x14ac:dyDescent="0.25">
      <c r="I1036" t="str">
        <f t="shared" si="32"/>
        <v/>
      </c>
      <c r="J1036" s="56" t="str">
        <f t="shared" si="33"/>
        <v/>
      </c>
    </row>
    <row r="1037" spans="9:10" x14ac:dyDescent="0.25">
      <c r="I1037" t="str">
        <f t="shared" si="32"/>
        <v/>
      </c>
      <c r="J1037" s="56" t="str">
        <f t="shared" si="33"/>
        <v/>
      </c>
    </row>
    <row r="1038" spans="9:10" x14ac:dyDescent="0.25">
      <c r="I1038" t="str">
        <f t="shared" si="32"/>
        <v/>
      </c>
      <c r="J1038" s="56" t="str">
        <f t="shared" si="33"/>
        <v/>
      </c>
    </row>
    <row r="1039" spans="9:10" x14ac:dyDescent="0.25">
      <c r="I1039" t="str">
        <f t="shared" si="32"/>
        <v/>
      </c>
      <c r="J1039" s="56" t="str">
        <f t="shared" si="33"/>
        <v/>
      </c>
    </row>
    <row r="1040" spans="9:10" x14ac:dyDescent="0.25">
      <c r="I1040" t="str">
        <f t="shared" si="32"/>
        <v/>
      </c>
      <c r="J1040" s="56" t="str">
        <f t="shared" si="33"/>
        <v/>
      </c>
    </row>
    <row r="1041" spans="9:10" x14ac:dyDescent="0.25">
      <c r="I1041" t="str">
        <f t="shared" si="32"/>
        <v/>
      </c>
      <c r="J1041" s="56" t="str">
        <f t="shared" si="33"/>
        <v/>
      </c>
    </row>
    <row r="1042" spans="9:10" x14ac:dyDescent="0.25">
      <c r="I1042" t="str">
        <f t="shared" si="32"/>
        <v/>
      </c>
      <c r="J1042" s="56" t="str">
        <f t="shared" si="33"/>
        <v/>
      </c>
    </row>
    <row r="1043" spans="9:10" x14ac:dyDescent="0.25">
      <c r="I1043" t="str">
        <f t="shared" si="32"/>
        <v/>
      </c>
      <c r="J1043" s="56" t="str">
        <f t="shared" si="33"/>
        <v/>
      </c>
    </row>
    <row r="1044" spans="9:10" x14ac:dyDescent="0.25">
      <c r="I1044" t="str">
        <f t="shared" si="32"/>
        <v/>
      </c>
      <c r="J1044" s="56" t="str">
        <f t="shared" si="33"/>
        <v/>
      </c>
    </row>
    <row r="1045" spans="9:10" x14ac:dyDescent="0.25">
      <c r="I1045" t="str">
        <f t="shared" si="32"/>
        <v/>
      </c>
      <c r="J1045" s="56" t="str">
        <f t="shared" si="33"/>
        <v/>
      </c>
    </row>
    <row r="1046" spans="9:10" x14ac:dyDescent="0.25">
      <c r="I1046" t="str">
        <f t="shared" si="32"/>
        <v/>
      </c>
      <c r="J1046" s="56" t="str">
        <f t="shared" si="33"/>
        <v/>
      </c>
    </row>
    <row r="1047" spans="9:10" x14ac:dyDescent="0.25">
      <c r="I1047" t="str">
        <f t="shared" si="32"/>
        <v/>
      </c>
      <c r="J1047" s="56" t="str">
        <f t="shared" si="33"/>
        <v/>
      </c>
    </row>
    <row r="1048" spans="9:10" x14ac:dyDescent="0.25">
      <c r="I1048" t="str">
        <f t="shared" si="32"/>
        <v/>
      </c>
      <c r="J1048" s="56" t="str">
        <f t="shared" si="33"/>
        <v/>
      </c>
    </row>
    <row r="1049" spans="9:10" x14ac:dyDescent="0.25">
      <c r="I1049" t="str">
        <f t="shared" si="32"/>
        <v/>
      </c>
      <c r="J1049" s="56" t="str">
        <f t="shared" si="33"/>
        <v/>
      </c>
    </row>
    <row r="1050" spans="9:10" x14ac:dyDescent="0.25">
      <c r="I1050" t="str">
        <f t="shared" si="32"/>
        <v/>
      </c>
      <c r="J1050" s="56" t="str">
        <f t="shared" si="33"/>
        <v/>
      </c>
    </row>
    <row r="1051" spans="9:10" x14ac:dyDescent="0.25">
      <c r="I1051" t="str">
        <f t="shared" si="32"/>
        <v/>
      </c>
      <c r="J1051" s="56" t="str">
        <f t="shared" si="33"/>
        <v/>
      </c>
    </row>
    <row r="1052" spans="9:10" x14ac:dyDescent="0.25">
      <c r="I1052" t="str">
        <f t="shared" si="32"/>
        <v/>
      </c>
      <c r="J1052" s="56" t="str">
        <f t="shared" si="33"/>
        <v/>
      </c>
    </row>
    <row r="1053" spans="9:10" x14ac:dyDescent="0.25">
      <c r="I1053" t="str">
        <f t="shared" si="32"/>
        <v/>
      </c>
      <c r="J1053" s="56" t="str">
        <f t="shared" si="33"/>
        <v/>
      </c>
    </row>
    <row r="1054" spans="9:10" x14ac:dyDescent="0.25">
      <c r="I1054" t="str">
        <f t="shared" si="32"/>
        <v/>
      </c>
      <c r="J1054" s="56" t="str">
        <f t="shared" si="33"/>
        <v/>
      </c>
    </row>
    <row r="1055" spans="9:10" x14ac:dyDescent="0.25">
      <c r="I1055" t="str">
        <f t="shared" si="32"/>
        <v/>
      </c>
      <c r="J1055" s="56" t="str">
        <f t="shared" si="33"/>
        <v/>
      </c>
    </row>
    <row r="1056" spans="9:10" x14ac:dyDescent="0.25">
      <c r="I1056" t="str">
        <f t="shared" si="32"/>
        <v/>
      </c>
      <c r="J1056" s="56" t="str">
        <f t="shared" si="33"/>
        <v/>
      </c>
    </row>
    <row r="1057" spans="9:10" x14ac:dyDescent="0.25">
      <c r="I1057" t="str">
        <f t="shared" si="32"/>
        <v/>
      </c>
      <c r="J1057" s="56" t="str">
        <f t="shared" si="33"/>
        <v/>
      </c>
    </row>
    <row r="1058" spans="9:10" x14ac:dyDescent="0.25">
      <c r="I1058" t="str">
        <f t="shared" si="32"/>
        <v/>
      </c>
      <c r="J1058" s="56" t="str">
        <f t="shared" si="33"/>
        <v/>
      </c>
    </row>
    <row r="1059" spans="9:10" x14ac:dyDescent="0.25">
      <c r="I1059" t="str">
        <f t="shared" si="32"/>
        <v/>
      </c>
      <c r="J1059" s="56" t="str">
        <f t="shared" si="33"/>
        <v/>
      </c>
    </row>
    <row r="1060" spans="9:10" x14ac:dyDescent="0.25">
      <c r="I1060" t="str">
        <f t="shared" si="32"/>
        <v/>
      </c>
      <c r="J1060" s="56" t="str">
        <f t="shared" si="33"/>
        <v/>
      </c>
    </row>
    <row r="1061" spans="9:10" x14ac:dyDescent="0.25">
      <c r="I1061" t="str">
        <f t="shared" si="32"/>
        <v/>
      </c>
      <c r="J1061" s="56" t="str">
        <f t="shared" si="33"/>
        <v/>
      </c>
    </row>
    <row r="1062" spans="9:10" x14ac:dyDescent="0.25">
      <c r="I1062" t="str">
        <f t="shared" si="32"/>
        <v/>
      </c>
      <c r="J1062" s="56" t="str">
        <f t="shared" si="33"/>
        <v/>
      </c>
    </row>
    <row r="1063" spans="9:10" x14ac:dyDescent="0.25">
      <c r="I1063" t="str">
        <f t="shared" si="32"/>
        <v/>
      </c>
      <c r="J1063" s="56" t="str">
        <f t="shared" si="33"/>
        <v/>
      </c>
    </row>
    <row r="1064" spans="9:10" x14ac:dyDescent="0.25">
      <c r="I1064" t="str">
        <f t="shared" si="32"/>
        <v/>
      </c>
      <c r="J1064" s="56" t="str">
        <f t="shared" si="33"/>
        <v/>
      </c>
    </row>
    <row r="1065" spans="9:10" x14ac:dyDescent="0.25">
      <c r="I1065" t="str">
        <f t="shared" si="32"/>
        <v/>
      </c>
      <c r="J1065" s="56" t="str">
        <f t="shared" si="33"/>
        <v/>
      </c>
    </row>
    <row r="1066" spans="9:10" x14ac:dyDescent="0.25">
      <c r="I1066" t="str">
        <f t="shared" si="32"/>
        <v/>
      </c>
      <c r="J1066" s="56" t="str">
        <f t="shared" si="33"/>
        <v/>
      </c>
    </row>
    <row r="1067" spans="9:10" x14ac:dyDescent="0.25">
      <c r="I1067" t="str">
        <f t="shared" si="32"/>
        <v/>
      </c>
      <c r="J1067" s="56" t="str">
        <f t="shared" si="33"/>
        <v/>
      </c>
    </row>
    <row r="1068" spans="9:10" x14ac:dyDescent="0.25">
      <c r="I1068" t="str">
        <f t="shared" si="32"/>
        <v/>
      </c>
      <c r="J1068" s="56" t="str">
        <f t="shared" si="33"/>
        <v/>
      </c>
    </row>
    <row r="1069" spans="9:10" x14ac:dyDescent="0.25">
      <c r="I1069" t="str">
        <f t="shared" si="32"/>
        <v/>
      </c>
      <c r="J1069" s="56" t="str">
        <f t="shared" si="33"/>
        <v/>
      </c>
    </row>
    <row r="1070" spans="9:10" x14ac:dyDescent="0.25">
      <c r="I1070" t="str">
        <f t="shared" si="32"/>
        <v/>
      </c>
      <c r="J1070" s="56" t="str">
        <f t="shared" si="33"/>
        <v/>
      </c>
    </row>
    <row r="1071" spans="9:10" x14ac:dyDescent="0.25">
      <c r="I1071" t="str">
        <f t="shared" si="32"/>
        <v/>
      </c>
      <c r="J1071" s="56" t="str">
        <f t="shared" si="33"/>
        <v/>
      </c>
    </row>
    <row r="1072" spans="9:10" x14ac:dyDescent="0.25">
      <c r="I1072" t="str">
        <f t="shared" si="32"/>
        <v/>
      </c>
      <c r="J1072" s="56" t="str">
        <f t="shared" si="33"/>
        <v/>
      </c>
    </row>
    <row r="1073" spans="9:10" x14ac:dyDescent="0.25">
      <c r="I1073" t="str">
        <f t="shared" si="32"/>
        <v/>
      </c>
      <c r="J1073" s="56" t="str">
        <f t="shared" si="33"/>
        <v/>
      </c>
    </row>
    <row r="1074" spans="9:10" x14ac:dyDescent="0.25">
      <c r="I1074" t="str">
        <f t="shared" si="32"/>
        <v/>
      </c>
      <c r="J1074" s="56" t="str">
        <f t="shared" si="33"/>
        <v/>
      </c>
    </row>
    <row r="1075" spans="9:10" x14ac:dyDescent="0.25">
      <c r="I1075" t="str">
        <f t="shared" si="32"/>
        <v/>
      </c>
      <c r="J1075" s="56" t="str">
        <f t="shared" si="33"/>
        <v/>
      </c>
    </row>
    <row r="1076" spans="9:10" x14ac:dyDescent="0.25">
      <c r="I1076" t="str">
        <f t="shared" si="32"/>
        <v/>
      </c>
      <c r="J1076" s="56" t="str">
        <f t="shared" si="33"/>
        <v/>
      </c>
    </row>
    <row r="1077" spans="9:10" x14ac:dyDescent="0.25">
      <c r="I1077" t="str">
        <f t="shared" si="32"/>
        <v/>
      </c>
      <c r="J1077" s="56" t="str">
        <f t="shared" si="33"/>
        <v/>
      </c>
    </row>
    <row r="1078" spans="9:10" x14ac:dyDescent="0.25">
      <c r="I1078" t="str">
        <f t="shared" si="32"/>
        <v/>
      </c>
      <c r="J1078" s="56" t="str">
        <f t="shared" si="33"/>
        <v/>
      </c>
    </row>
    <row r="1079" spans="9:10" x14ac:dyDescent="0.25">
      <c r="I1079" t="str">
        <f t="shared" si="32"/>
        <v/>
      </c>
      <c r="J1079" s="56" t="str">
        <f t="shared" si="33"/>
        <v/>
      </c>
    </row>
    <row r="1080" spans="9:10" x14ac:dyDescent="0.25">
      <c r="I1080" t="str">
        <f t="shared" si="32"/>
        <v/>
      </c>
      <c r="J1080" s="56" t="str">
        <f t="shared" si="33"/>
        <v/>
      </c>
    </row>
    <row r="1081" spans="9:10" x14ac:dyDescent="0.25">
      <c r="I1081" t="str">
        <f t="shared" si="32"/>
        <v/>
      </c>
      <c r="J1081" s="56" t="str">
        <f t="shared" si="33"/>
        <v/>
      </c>
    </row>
    <row r="1082" spans="9:10" x14ac:dyDescent="0.25">
      <c r="I1082" t="str">
        <f t="shared" si="32"/>
        <v/>
      </c>
      <c r="J1082" s="56" t="str">
        <f t="shared" si="33"/>
        <v/>
      </c>
    </row>
    <row r="1083" spans="9:10" x14ac:dyDescent="0.25">
      <c r="I1083" t="str">
        <f t="shared" si="32"/>
        <v/>
      </c>
      <c r="J1083" s="56" t="str">
        <f t="shared" si="33"/>
        <v/>
      </c>
    </row>
    <row r="1084" spans="9:10" x14ac:dyDescent="0.25">
      <c r="I1084" t="str">
        <f t="shared" si="32"/>
        <v/>
      </c>
      <c r="J1084" s="56" t="str">
        <f t="shared" si="33"/>
        <v/>
      </c>
    </row>
    <row r="1085" spans="9:10" x14ac:dyDescent="0.25">
      <c r="I1085" t="str">
        <f t="shared" si="32"/>
        <v/>
      </c>
      <c r="J1085" s="56" t="str">
        <f t="shared" si="33"/>
        <v/>
      </c>
    </row>
    <row r="1086" spans="9:10" x14ac:dyDescent="0.25">
      <c r="I1086" t="str">
        <f t="shared" si="32"/>
        <v/>
      </c>
      <c r="J1086" s="56" t="str">
        <f t="shared" si="33"/>
        <v/>
      </c>
    </row>
    <row r="1087" spans="9:10" x14ac:dyDescent="0.25">
      <c r="I1087" t="str">
        <f t="shared" si="32"/>
        <v/>
      </c>
      <c r="J1087" s="56" t="str">
        <f t="shared" si="33"/>
        <v/>
      </c>
    </row>
    <row r="1088" spans="9:10" x14ac:dyDescent="0.25">
      <c r="I1088" t="str">
        <f t="shared" si="32"/>
        <v/>
      </c>
      <c r="J1088" s="56" t="str">
        <f t="shared" si="33"/>
        <v/>
      </c>
    </row>
    <row r="1089" spans="9:10" x14ac:dyDescent="0.25">
      <c r="I1089" t="str">
        <f t="shared" si="32"/>
        <v/>
      </c>
      <c r="J1089" s="56" t="str">
        <f t="shared" si="33"/>
        <v/>
      </c>
    </row>
    <row r="1090" spans="9:10" x14ac:dyDescent="0.25">
      <c r="I1090" t="str">
        <f t="shared" si="32"/>
        <v/>
      </c>
      <c r="J1090" s="56" t="str">
        <f t="shared" si="33"/>
        <v/>
      </c>
    </row>
    <row r="1091" spans="9:10" x14ac:dyDescent="0.25">
      <c r="I1091" t="str">
        <f t="shared" ref="I1091:I1154" si="34">IF($A1091="","",RIGHT($E1091,LEN($E1091)-SEARCH(".",$E1091)))</f>
        <v/>
      </c>
      <c r="J1091" s="56" t="str">
        <f t="shared" ref="J1091:J1154" si="35">IF($A1091="","",$G1091)</f>
        <v/>
      </c>
    </row>
    <row r="1092" spans="9:10" x14ac:dyDescent="0.25">
      <c r="I1092" t="str">
        <f t="shared" si="34"/>
        <v/>
      </c>
      <c r="J1092" s="56" t="str">
        <f t="shared" si="35"/>
        <v/>
      </c>
    </row>
    <row r="1093" spans="9:10" x14ac:dyDescent="0.25">
      <c r="I1093" t="str">
        <f t="shared" si="34"/>
        <v/>
      </c>
      <c r="J1093" s="56" t="str">
        <f t="shared" si="35"/>
        <v/>
      </c>
    </row>
    <row r="1094" spans="9:10" x14ac:dyDescent="0.25">
      <c r="I1094" t="str">
        <f t="shared" si="34"/>
        <v/>
      </c>
      <c r="J1094" s="56" t="str">
        <f t="shared" si="35"/>
        <v/>
      </c>
    </row>
    <row r="1095" spans="9:10" x14ac:dyDescent="0.25">
      <c r="I1095" t="str">
        <f t="shared" si="34"/>
        <v/>
      </c>
      <c r="J1095" s="56" t="str">
        <f t="shared" si="35"/>
        <v/>
      </c>
    </row>
    <row r="1096" spans="9:10" x14ac:dyDescent="0.25">
      <c r="I1096" t="str">
        <f t="shared" si="34"/>
        <v/>
      </c>
      <c r="J1096" s="56" t="str">
        <f t="shared" si="35"/>
        <v/>
      </c>
    </row>
    <row r="1097" spans="9:10" x14ac:dyDescent="0.25">
      <c r="I1097" t="str">
        <f t="shared" si="34"/>
        <v/>
      </c>
      <c r="J1097" s="56" t="str">
        <f t="shared" si="35"/>
        <v/>
      </c>
    </row>
    <row r="1098" spans="9:10" x14ac:dyDescent="0.25">
      <c r="I1098" t="str">
        <f t="shared" si="34"/>
        <v/>
      </c>
      <c r="J1098" s="56" t="str">
        <f t="shared" si="35"/>
        <v/>
      </c>
    </row>
    <row r="1099" spans="9:10" x14ac:dyDescent="0.25">
      <c r="I1099" t="str">
        <f t="shared" si="34"/>
        <v/>
      </c>
      <c r="J1099" s="56" t="str">
        <f t="shared" si="35"/>
        <v/>
      </c>
    </row>
    <row r="1100" spans="9:10" x14ac:dyDescent="0.25">
      <c r="I1100" t="str">
        <f t="shared" si="34"/>
        <v/>
      </c>
      <c r="J1100" s="56" t="str">
        <f t="shared" si="35"/>
        <v/>
      </c>
    </row>
    <row r="1101" spans="9:10" x14ac:dyDescent="0.25">
      <c r="I1101" t="str">
        <f t="shared" si="34"/>
        <v/>
      </c>
      <c r="J1101" s="56" t="str">
        <f t="shared" si="35"/>
        <v/>
      </c>
    </row>
    <row r="1102" spans="9:10" x14ac:dyDescent="0.25">
      <c r="I1102" t="str">
        <f t="shared" si="34"/>
        <v/>
      </c>
      <c r="J1102" s="56" t="str">
        <f t="shared" si="35"/>
        <v/>
      </c>
    </row>
    <row r="1103" spans="9:10" x14ac:dyDescent="0.25">
      <c r="I1103" t="str">
        <f t="shared" si="34"/>
        <v/>
      </c>
      <c r="J1103" s="56" t="str">
        <f t="shared" si="35"/>
        <v/>
      </c>
    </row>
    <row r="1104" spans="9:10" x14ac:dyDescent="0.25">
      <c r="I1104" t="str">
        <f t="shared" si="34"/>
        <v/>
      </c>
      <c r="J1104" s="56" t="str">
        <f t="shared" si="35"/>
        <v/>
      </c>
    </row>
    <row r="1105" spans="9:10" x14ac:dyDescent="0.25">
      <c r="I1105" t="str">
        <f t="shared" si="34"/>
        <v/>
      </c>
      <c r="J1105" s="56" t="str">
        <f t="shared" si="35"/>
        <v/>
      </c>
    </row>
    <row r="1106" spans="9:10" x14ac:dyDescent="0.25">
      <c r="I1106" t="str">
        <f t="shared" si="34"/>
        <v/>
      </c>
      <c r="J1106" s="56" t="str">
        <f t="shared" si="35"/>
        <v/>
      </c>
    </row>
    <row r="1107" spans="9:10" x14ac:dyDescent="0.25">
      <c r="I1107" t="str">
        <f t="shared" si="34"/>
        <v/>
      </c>
      <c r="J1107" s="56" t="str">
        <f t="shared" si="35"/>
        <v/>
      </c>
    </row>
    <row r="1108" spans="9:10" x14ac:dyDescent="0.25">
      <c r="I1108" t="str">
        <f t="shared" si="34"/>
        <v/>
      </c>
      <c r="J1108" s="56" t="str">
        <f t="shared" si="35"/>
        <v/>
      </c>
    </row>
    <row r="1109" spans="9:10" x14ac:dyDescent="0.25">
      <c r="I1109" t="str">
        <f t="shared" si="34"/>
        <v/>
      </c>
      <c r="J1109" s="56" t="str">
        <f t="shared" si="35"/>
        <v/>
      </c>
    </row>
    <row r="1110" spans="9:10" x14ac:dyDescent="0.25">
      <c r="I1110" t="str">
        <f t="shared" si="34"/>
        <v/>
      </c>
      <c r="J1110" s="56" t="str">
        <f t="shared" si="35"/>
        <v/>
      </c>
    </row>
    <row r="1111" spans="9:10" x14ac:dyDescent="0.25">
      <c r="I1111" t="str">
        <f t="shared" si="34"/>
        <v/>
      </c>
      <c r="J1111" s="56" t="str">
        <f t="shared" si="35"/>
        <v/>
      </c>
    </row>
    <row r="1112" spans="9:10" x14ac:dyDescent="0.25">
      <c r="I1112" t="str">
        <f t="shared" si="34"/>
        <v/>
      </c>
      <c r="J1112" s="56" t="str">
        <f t="shared" si="35"/>
        <v/>
      </c>
    </row>
    <row r="1113" spans="9:10" x14ac:dyDescent="0.25">
      <c r="I1113" t="str">
        <f t="shared" si="34"/>
        <v/>
      </c>
      <c r="J1113" s="56" t="str">
        <f t="shared" si="35"/>
        <v/>
      </c>
    </row>
    <row r="1114" spans="9:10" x14ac:dyDescent="0.25">
      <c r="I1114" t="str">
        <f t="shared" si="34"/>
        <v/>
      </c>
      <c r="J1114" s="56" t="str">
        <f t="shared" si="35"/>
        <v/>
      </c>
    </row>
    <row r="1115" spans="9:10" x14ac:dyDescent="0.25">
      <c r="I1115" t="str">
        <f t="shared" si="34"/>
        <v/>
      </c>
      <c r="J1115" s="56" t="str">
        <f t="shared" si="35"/>
        <v/>
      </c>
    </row>
    <row r="1116" spans="9:10" x14ac:dyDescent="0.25">
      <c r="I1116" t="str">
        <f t="shared" si="34"/>
        <v/>
      </c>
      <c r="J1116" s="56" t="str">
        <f t="shared" si="35"/>
        <v/>
      </c>
    </row>
    <row r="1117" spans="9:10" x14ac:dyDescent="0.25">
      <c r="I1117" t="str">
        <f t="shared" si="34"/>
        <v/>
      </c>
      <c r="J1117" s="56" t="str">
        <f t="shared" si="35"/>
        <v/>
      </c>
    </row>
    <row r="1118" spans="9:10" x14ac:dyDescent="0.25">
      <c r="I1118" t="str">
        <f t="shared" si="34"/>
        <v/>
      </c>
      <c r="J1118" s="56" t="str">
        <f t="shared" si="35"/>
        <v/>
      </c>
    </row>
    <row r="1119" spans="9:10" x14ac:dyDescent="0.25">
      <c r="I1119" t="str">
        <f t="shared" si="34"/>
        <v/>
      </c>
      <c r="J1119" s="56" t="str">
        <f t="shared" si="35"/>
        <v/>
      </c>
    </row>
    <row r="1120" spans="9:10" x14ac:dyDescent="0.25">
      <c r="I1120" t="str">
        <f t="shared" si="34"/>
        <v/>
      </c>
      <c r="J1120" s="56" t="str">
        <f t="shared" si="35"/>
        <v/>
      </c>
    </row>
    <row r="1121" spans="9:10" x14ac:dyDescent="0.25">
      <c r="I1121" t="str">
        <f t="shared" si="34"/>
        <v/>
      </c>
      <c r="J1121" s="56" t="str">
        <f t="shared" si="35"/>
        <v/>
      </c>
    </row>
    <row r="1122" spans="9:10" x14ac:dyDescent="0.25">
      <c r="I1122" t="str">
        <f t="shared" si="34"/>
        <v/>
      </c>
      <c r="J1122" s="56" t="str">
        <f t="shared" si="35"/>
        <v/>
      </c>
    </row>
    <row r="1123" spans="9:10" x14ac:dyDescent="0.25">
      <c r="I1123" t="str">
        <f t="shared" si="34"/>
        <v/>
      </c>
      <c r="J1123" s="56" t="str">
        <f t="shared" si="35"/>
        <v/>
      </c>
    </row>
    <row r="1124" spans="9:10" x14ac:dyDescent="0.25">
      <c r="I1124" t="str">
        <f t="shared" si="34"/>
        <v/>
      </c>
      <c r="J1124" s="56" t="str">
        <f t="shared" si="35"/>
        <v/>
      </c>
    </row>
    <row r="1125" spans="9:10" x14ac:dyDescent="0.25">
      <c r="I1125" t="str">
        <f t="shared" si="34"/>
        <v/>
      </c>
      <c r="J1125" s="56" t="str">
        <f t="shared" si="35"/>
        <v/>
      </c>
    </row>
    <row r="1126" spans="9:10" x14ac:dyDescent="0.25">
      <c r="I1126" t="str">
        <f t="shared" si="34"/>
        <v/>
      </c>
      <c r="J1126" s="56" t="str">
        <f t="shared" si="35"/>
        <v/>
      </c>
    </row>
    <row r="1127" spans="9:10" x14ac:dyDescent="0.25">
      <c r="I1127" t="str">
        <f t="shared" si="34"/>
        <v/>
      </c>
      <c r="J1127" s="56" t="str">
        <f t="shared" si="35"/>
        <v/>
      </c>
    </row>
    <row r="1128" spans="9:10" x14ac:dyDescent="0.25">
      <c r="I1128" t="str">
        <f t="shared" si="34"/>
        <v/>
      </c>
      <c r="J1128" s="56" t="str">
        <f t="shared" si="35"/>
        <v/>
      </c>
    </row>
    <row r="1129" spans="9:10" x14ac:dyDescent="0.25">
      <c r="I1129" t="str">
        <f t="shared" si="34"/>
        <v/>
      </c>
      <c r="J1129" s="56" t="str">
        <f t="shared" si="35"/>
        <v/>
      </c>
    </row>
    <row r="1130" spans="9:10" x14ac:dyDescent="0.25">
      <c r="I1130" t="str">
        <f t="shared" si="34"/>
        <v/>
      </c>
      <c r="J1130" s="56" t="str">
        <f t="shared" si="35"/>
        <v/>
      </c>
    </row>
    <row r="1131" spans="9:10" x14ac:dyDescent="0.25">
      <c r="I1131" t="str">
        <f t="shared" si="34"/>
        <v/>
      </c>
      <c r="J1131" s="56" t="str">
        <f t="shared" si="35"/>
        <v/>
      </c>
    </row>
    <row r="1132" spans="9:10" x14ac:dyDescent="0.25">
      <c r="I1132" t="str">
        <f t="shared" si="34"/>
        <v/>
      </c>
      <c r="J1132" s="56" t="str">
        <f t="shared" si="35"/>
        <v/>
      </c>
    </row>
    <row r="1133" spans="9:10" x14ac:dyDescent="0.25">
      <c r="I1133" t="str">
        <f t="shared" si="34"/>
        <v/>
      </c>
      <c r="J1133" s="56" t="str">
        <f t="shared" si="35"/>
        <v/>
      </c>
    </row>
    <row r="1134" spans="9:10" x14ac:dyDescent="0.25">
      <c r="I1134" t="str">
        <f t="shared" si="34"/>
        <v/>
      </c>
      <c r="J1134" s="56" t="str">
        <f t="shared" si="35"/>
        <v/>
      </c>
    </row>
    <row r="1135" spans="9:10" x14ac:dyDescent="0.25">
      <c r="I1135" t="str">
        <f t="shared" si="34"/>
        <v/>
      </c>
      <c r="J1135" s="56" t="str">
        <f t="shared" si="35"/>
        <v/>
      </c>
    </row>
    <row r="1136" spans="9:10" x14ac:dyDescent="0.25">
      <c r="I1136" t="str">
        <f t="shared" si="34"/>
        <v/>
      </c>
      <c r="J1136" s="56" t="str">
        <f t="shared" si="35"/>
        <v/>
      </c>
    </row>
    <row r="1137" spans="9:10" x14ac:dyDescent="0.25">
      <c r="I1137" t="str">
        <f t="shared" si="34"/>
        <v/>
      </c>
      <c r="J1137" s="56" t="str">
        <f t="shared" si="35"/>
        <v/>
      </c>
    </row>
    <row r="1138" spans="9:10" x14ac:dyDescent="0.25">
      <c r="I1138" t="str">
        <f t="shared" si="34"/>
        <v/>
      </c>
      <c r="J1138" s="56" t="str">
        <f t="shared" si="35"/>
        <v/>
      </c>
    </row>
    <row r="1139" spans="9:10" x14ac:dyDescent="0.25">
      <c r="I1139" t="str">
        <f t="shared" si="34"/>
        <v/>
      </c>
      <c r="J1139" s="56" t="str">
        <f t="shared" si="35"/>
        <v/>
      </c>
    </row>
    <row r="1140" spans="9:10" x14ac:dyDescent="0.25">
      <c r="I1140" t="str">
        <f t="shared" si="34"/>
        <v/>
      </c>
      <c r="J1140" s="56" t="str">
        <f t="shared" si="35"/>
        <v/>
      </c>
    </row>
    <row r="1141" spans="9:10" x14ac:dyDescent="0.25">
      <c r="I1141" t="str">
        <f t="shared" si="34"/>
        <v/>
      </c>
      <c r="J1141" s="56" t="str">
        <f t="shared" si="35"/>
        <v/>
      </c>
    </row>
    <row r="1142" spans="9:10" x14ac:dyDescent="0.25">
      <c r="I1142" t="str">
        <f t="shared" si="34"/>
        <v/>
      </c>
      <c r="J1142" s="56" t="str">
        <f t="shared" si="35"/>
        <v/>
      </c>
    </row>
    <row r="1143" spans="9:10" x14ac:dyDescent="0.25">
      <c r="I1143" t="str">
        <f t="shared" si="34"/>
        <v/>
      </c>
      <c r="J1143" s="56" t="str">
        <f t="shared" si="35"/>
        <v/>
      </c>
    </row>
    <row r="1144" spans="9:10" x14ac:dyDescent="0.25">
      <c r="I1144" t="str">
        <f t="shared" si="34"/>
        <v/>
      </c>
      <c r="J1144" s="56" t="str">
        <f t="shared" si="35"/>
        <v/>
      </c>
    </row>
    <row r="1145" spans="9:10" x14ac:dyDescent="0.25">
      <c r="I1145" t="str">
        <f t="shared" si="34"/>
        <v/>
      </c>
      <c r="J1145" s="56" t="str">
        <f t="shared" si="35"/>
        <v/>
      </c>
    </row>
    <row r="1146" spans="9:10" x14ac:dyDescent="0.25">
      <c r="I1146" t="str">
        <f t="shared" si="34"/>
        <v/>
      </c>
      <c r="J1146" s="56" t="str">
        <f t="shared" si="35"/>
        <v/>
      </c>
    </row>
    <row r="1147" spans="9:10" x14ac:dyDescent="0.25">
      <c r="I1147" t="str">
        <f t="shared" si="34"/>
        <v/>
      </c>
      <c r="J1147" s="56" t="str">
        <f t="shared" si="35"/>
        <v/>
      </c>
    </row>
    <row r="1148" spans="9:10" x14ac:dyDescent="0.25">
      <c r="I1148" t="str">
        <f t="shared" si="34"/>
        <v/>
      </c>
      <c r="J1148" s="56" t="str">
        <f t="shared" si="35"/>
        <v/>
      </c>
    </row>
    <row r="1149" spans="9:10" x14ac:dyDescent="0.25">
      <c r="I1149" t="str">
        <f t="shared" si="34"/>
        <v/>
      </c>
      <c r="J1149" s="56" t="str">
        <f t="shared" si="35"/>
        <v/>
      </c>
    </row>
    <row r="1150" spans="9:10" x14ac:dyDescent="0.25">
      <c r="I1150" t="str">
        <f t="shared" si="34"/>
        <v/>
      </c>
      <c r="J1150" s="56" t="str">
        <f t="shared" si="35"/>
        <v/>
      </c>
    </row>
    <row r="1151" spans="9:10" x14ac:dyDescent="0.25">
      <c r="I1151" t="str">
        <f t="shared" si="34"/>
        <v/>
      </c>
      <c r="J1151" s="56" t="str">
        <f t="shared" si="35"/>
        <v/>
      </c>
    </row>
    <row r="1152" spans="9:10" x14ac:dyDescent="0.25">
      <c r="I1152" t="str">
        <f t="shared" si="34"/>
        <v/>
      </c>
      <c r="J1152" s="56" t="str">
        <f t="shared" si="35"/>
        <v/>
      </c>
    </row>
    <row r="1153" spans="9:10" x14ac:dyDescent="0.25">
      <c r="I1153" t="str">
        <f t="shared" si="34"/>
        <v/>
      </c>
      <c r="J1153" s="56" t="str">
        <f t="shared" si="35"/>
        <v/>
      </c>
    </row>
    <row r="1154" spans="9:10" x14ac:dyDescent="0.25">
      <c r="I1154" t="str">
        <f t="shared" si="34"/>
        <v/>
      </c>
      <c r="J1154" s="56" t="str">
        <f t="shared" si="35"/>
        <v/>
      </c>
    </row>
    <row r="1155" spans="9:10" x14ac:dyDescent="0.25">
      <c r="I1155" t="str">
        <f t="shared" ref="I1155:I1218" si="36">IF($A1155="","",RIGHT($E1155,LEN($E1155)-SEARCH(".",$E1155)))</f>
        <v/>
      </c>
      <c r="J1155" s="56" t="str">
        <f t="shared" ref="J1155:J1218" si="37">IF($A1155="","",$G1155)</f>
        <v/>
      </c>
    </row>
    <row r="1156" spans="9:10" x14ac:dyDescent="0.25">
      <c r="I1156" t="str">
        <f t="shared" si="36"/>
        <v/>
      </c>
      <c r="J1156" s="56" t="str">
        <f t="shared" si="37"/>
        <v/>
      </c>
    </row>
    <row r="1157" spans="9:10" x14ac:dyDescent="0.25">
      <c r="I1157" t="str">
        <f t="shared" si="36"/>
        <v/>
      </c>
      <c r="J1157" s="56" t="str">
        <f t="shared" si="37"/>
        <v/>
      </c>
    </row>
    <row r="1158" spans="9:10" x14ac:dyDescent="0.25">
      <c r="I1158" t="str">
        <f t="shared" si="36"/>
        <v/>
      </c>
      <c r="J1158" s="56" t="str">
        <f t="shared" si="37"/>
        <v/>
      </c>
    </row>
    <row r="1159" spans="9:10" x14ac:dyDescent="0.25">
      <c r="I1159" t="str">
        <f t="shared" si="36"/>
        <v/>
      </c>
      <c r="J1159" s="56" t="str">
        <f t="shared" si="37"/>
        <v/>
      </c>
    </row>
    <row r="1160" spans="9:10" x14ac:dyDescent="0.25">
      <c r="I1160" t="str">
        <f t="shared" si="36"/>
        <v/>
      </c>
      <c r="J1160" s="56" t="str">
        <f t="shared" si="37"/>
        <v/>
      </c>
    </row>
    <row r="1161" spans="9:10" x14ac:dyDescent="0.25">
      <c r="I1161" t="str">
        <f t="shared" si="36"/>
        <v/>
      </c>
      <c r="J1161" s="56" t="str">
        <f t="shared" si="37"/>
        <v/>
      </c>
    </row>
    <row r="1162" spans="9:10" x14ac:dyDescent="0.25">
      <c r="I1162" t="str">
        <f t="shared" si="36"/>
        <v/>
      </c>
      <c r="J1162" s="56" t="str">
        <f t="shared" si="37"/>
        <v/>
      </c>
    </row>
    <row r="1163" spans="9:10" x14ac:dyDescent="0.25">
      <c r="I1163" t="str">
        <f t="shared" si="36"/>
        <v/>
      </c>
      <c r="J1163" s="56" t="str">
        <f t="shared" si="37"/>
        <v/>
      </c>
    </row>
    <row r="1164" spans="9:10" x14ac:dyDescent="0.25">
      <c r="I1164" t="str">
        <f t="shared" si="36"/>
        <v/>
      </c>
      <c r="J1164" s="56" t="str">
        <f t="shared" si="37"/>
        <v/>
      </c>
    </row>
    <row r="1165" spans="9:10" x14ac:dyDescent="0.25">
      <c r="I1165" t="str">
        <f t="shared" si="36"/>
        <v/>
      </c>
      <c r="J1165" s="56" t="str">
        <f t="shared" si="37"/>
        <v/>
      </c>
    </row>
    <row r="1166" spans="9:10" x14ac:dyDescent="0.25">
      <c r="I1166" t="str">
        <f t="shared" si="36"/>
        <v/>
      </c>
      <c r="J1166" s="56" t="str">
        <f t="shared" si="37"/>
        <v/>
      </c>
    </row>
    <row r="1167" spans="9:10" x14ac:dyDescent="0.25">
      <c r="I1167" t="str">
        <f t="shared" si="36"/>
        <v/>
      </c>
      <c r="J1167" s="56" t="str">
        <f t="shared" si="37"/>
        <v/>
      </c>
    </row>
    <row r="1168" spans="9:10" x14ac:dyDescent="0.25">
      <c r="I1168" t="str">
        <f t="shared" si="36"/>
        <v/>
      </c>
      <c r="J1168" s="56" t="str">
        <f t="shared" si="37"/>
        <v/>
      </c>
    </row>
    <row r="1169" spans="9:10" x14ac:dyDescent="0.25">
      <c r="I1169" t="str">
        <f t="shared" si="36"/>
        <v/>
      </c>
      <c r="J1169" s="56" t="str">
        <f t="shared" si="37"/>
        <v/>
      </c>
    </row>
    <row r="1170" spans="9:10" x14ac:dyDescent="0.25">
      <c r="I1170" t="str">
        <f t="shared" si="36"/>
        <v/>
      </c>
      <c r="J1170" s="56" t="str">
        <f t="shared" si="37"/>
        <v/>
      </c>
    </row>
    <row r="1171" spans="9:10" x14ac:dyDescent="0.25">
      <c r="I1171" t="str">
        <f t="shared" si="36"/>
        <v/>
      </c>
      <c r="J1171" s="56" t="str">
        <f t="shared" si="37"/>
        <v/>
      </c>
    </row>
    <row r="1172" spans="9:10" x14ac:dyDescent="0.25">
      <c r="I1172" t="str">
        <f t="shared" si="36"/>
        <v/>
      </c>
      <c r="J1172" s="56" t="str">
        <f t="shared" si="37"/>
        <v/>
      </c>
    </row>
    <row r="1173" spans="9:10" x14ac:dyDescent="0.25">
      <c r="I1173" t="str">
        <f t="shared" si="36"/>
        <v/>
      </c>
      <c r="J1173" s="56" t="str">
        <f t="shared" si="37"/>
        <v/>
      </c>
    </row>
    <row r="1174" spans="9:10" x14ac:dyDescent="0.25">
      <c r="I1174" t="str">
        <f t="shared" si="36"/>
        <v/>
      </c>
      <c r="J1174" s="56" t="str">
        <f t="shared" si="37"/>
        <v/>
      </c>
    </row>
    <row r="1175" spans="9:10" x14ac:dyDescent="0.25">
      <c r="I1175" t="str">
        <f t="shared" si="36"/>
        <v/>
      </c>
      <c r="J1175" s="56" t="str">
        <f t="shared" si="37"/>
        <v/>
      </c>
    </row>
    <row r="1176" spans="9:10" x14ac:dyDescent="0.25">
      <c r="I1176" t="str">
        <f t="shared" si="36"/>
        <v/>
      </c>
      <c r="J1176" s="56" t="str">
        <f t="shared" si="37"/>
        <v/>
      </c>
    </row>
    <row r="1177" spans="9:10" x14ac:dyDescent="0.25">
      <c r="I1177" t="str">
        <f t="shared" si="36"/>
        <v/>
      </c>
      <c r="J1177" s="56" t="str">
        <f t="shared" si="37"/>
        <v/>
      </c>
    </row>
    <row r="1178" spans="9:10" x14ac:dyDescent="0.25">
      <c r="I1178" t="str">
        <f t="shared" si="36"/>
        <v/>
      </c>
      <c r="J1178" s="56" t="str">
        <f t="shared" si="37"/>
        <v/>
      </c>
    </row>
    <row r="1179" spans="9:10" x14ac:dyDescent="0.25">
      <c r="I1179" t="str">
        <f t="shared" si="36"/>
        <v/>
      </c>
      <c r="J1179" s="56" t="str">
        <f t="shared" si="37"/>
        <v/>
      </c>
    </row>
    <row r="1180" spans="9:10" x14ac:dyDescent="0.25">
      <c r="I1180" t="str">
        <f t="shared" si="36"/>
        <v/>
      </c>
      <c r="J1180" s="56" t="str">
        <f t="shared" si="37"/>
        <v/>
      </c>
    </row>
    <row r="1181" spans="9:10" x14ac:dyDescent="0.25">
      <c r="I1181" t="str">
        <f t="shared" si="36"/>
        <v/>
      </c>
      <c r="J1181" s="56" t="str">
        <f t="shared" si="37"/>
        <v/>
      </c>
    </row>
    <row r="1182" spans="9:10" x14ac:dyDescent="0.25">
      <c r="I1182" t="str">
        <f t="shared" si="36"/>
        <v/>
      </c>
      <c r="J1182" s="56" t="str">
        <f t="shared" si="37"/>
        <v/>
      </c>
    </row>
    <row r="1183" spans="9:10" x14ac:dyDescent="0.25">
      <c r="I1183" t="str">
        <f t="shared" si="36"/>
        <v/>
      </c>
      <c r="J1183" s="56" t="str">
        <f t="shared" si="37"/>
        <v/>
      </c>
    </row>
    <row r="1184" spans="9:10" x14ac:dyDescent="0.25">
      <c r="I1184" t="str">
        <f t="shared" si="36"/>
        <v/>
      </c>
      <c r="J1184" s="56" t="str">
        <f t="shared" si="37"/>
        <v/>
      </c>
    </row>
    <row r="1185" spans="9:10" x14ac:dyDescent="0.25">
      <c r="I1185" t="str">
        <f t="shared" si="36"/>
        <v/>
      </c>
      <c r="J1185" s="56" t="str">
        <f t="shared" si="37"/>
        <v/>
      </c>
    </row>
    <row r="1186" spans="9:10" x14ac:dyDescent="0.25">
      <c r="I1186" t="str">
        <f t="shared" si="36"/>
        <v/>
      </c>
      <c r="J1186" s="56" t="str">
        <f t="shared" si="37"/>
        <v/>
      </c>
    </row>
    <row r="1187" spans="9:10" x14ac:dyDescent="0.25">
      <c r="I1187" t="str">
        <f t="shared" si="36"/>
        <v/>
      </c>
      <c r="J1187" s="56" t="str">
        <f t="shared" si="37"/>
        <v/>
      </c>
    </row>
    <row r="1188" spans="9:10" x14ac:dyDescent="0.25">
      <c r="I1188" t="str">
        <f t="shared" si="36"/>
        <v/>
      </c>
      <c r="J1188" s="56" t="str">
        <f t="shared" si="37"/>
        <v/>
      </c>
    </row>
    <row r="1189" spans="9:10" x14ac:dyDescent="0.25">
      <c r="I1189" t="str">
        <f t="shared" si="36"/>
        <v/>
      </c>
      <c r="J1189" s="56" t="str">
        <f t="shared" si="37"/>
        <v/>
      </c>
    </row>
    <row r="1190" spans="9:10" x14ac:dyDescent="0.25">
      <c r="I1190" t="str">
        <f t="shared" si="36"/>
        <v/>
      </c>
      <c r="J1190" s="56" t="str">
        <f t="shared" si="37"/>
        <v/>
      </c>
    </row>
    <row r="1191" spans="9:10" x14ac:dyDescent="0.25">
      <c r="I1191" t="str">
        <f t="shared" si="36"/>
        <v/>
      </c>
      <c r="J1191" s="56" t="str">
        <f t="shared" si="37"/>
        <v/>
      </c>
    </row>
    <row r="1192" spans="9:10" x14ac:dyDescent="0.25">
      <c r="I1192" t="str">
        <f t="shared" si="36"/>
        <v/>
      </c>
      <c r="J1192" s="56" t="str">
        <f t="shared" si="37"/>
        <v/>
      </c>
    </row>
    <row r="1193" spans="9:10" x14ac:dyDescent="0.25">
      <c r="I1193" t="str">
        <f t="shared" si="36"/>
        <v/>
      </c>
      <c r="J1193" s="56" t="str">
        <f t="shared" si="37"/>
        <v/>
      </c>
    </row>
    <row r="1194" spans="9:10" x14ac:dyDescent="0.25">
      <c r="I1194" t="str">
        <f t="shared" si="36"/>
        <v/>
      </c>
      <c r="J1194" s="56" t="str">
        <f t="shared" si="37"/>
        <v/>
      </c>
    </row>
    <row r="1195" spans="9:10" x14ac:dyDescent="0.25">
      <c r="I1195" t="str">
        <f t="shared" si="36"/>
        <v/>
      </c>
      <c r="J1195" s="56" t="str">
        <f t="shared" si="37"/>
        <v/>
      </c>
    </row>
    <row r="1196" spans="9:10" x14ac:dyDescent="0.25">
      <c r="I1196" t="str">
        <f t="shared" si="36"/>
        <v/>
      </c>
      <c r="J1196" s="56" t="str">
        <f t="shared" si="37"/>
        <v/>
      </c>
    </row>
    <row r="1197" spans="9:10" x14ac:dyDescent="0.25">
      <c r="I1197" t="str">
        <f t="shared" si="36"/>
        <v/>
      </c>
      <c r="J1197" s="56" t="str">
        <f t="shared" si="37"/>
        <v/>
      </c>
    </row>
    <row r="1198" spans="9:10" x14ac:dyDescent="0.25">
      <c r="I1198" t="str">
        <f t="shared" si="36"/>
        <v/>
      </c>
      <c r="J1198" s="56" t="str">
        <f t="shared" si="37"/>
        <v/>
      </c>
    </row>
    <row r="1199" spans="9:10" x14ac:dyDescent="0.25">
      <c r="I1199" t="str">
        <f t="shared" si="36"/>
        <v/>
      </c>
      <c r="J1199" s="56" t="str">
        <f t="shared" si="37"/>
        <v/>
      </c>
    </row>
    <row r="1200" spans="9:10" x14ac:dyDescent="0.25">
      <c r="I1200" t="str">
        <f t="shared" si="36"/>
        <v/>
      </c>
      <c r="J1200" s="56" t="str">
        <f t="shared" si="37"/>
        <v/>
      </c>
    </row>
    <row r="1201" spans="9:10" x14ac:dyDescent="0.25">
      <c r="I1201" t="str">
        <f t="shared" si="36"/>
        <v/>
      </c>
      <c r="J1201" s="56" t="str">
        <f t="shared" si="37"/>
        <v/>
      </c>
    </row>
    <row r="1202" spans="9:10" x14ac:dyDescent="0.25">
      <c r="I1202" t="str">
        <f t="shared" si="36"/>
        <v/>
      </c>
      <c r="J1202" s="56" t="str">
        <f t="shared" si="37"/>
        <v/>
      </c>
    </row>
    <row r="1203" spans="9:10" x14ac:dyDescent="0.25">
      <c r="I1203" t="str">
        <f t="shared" si="36"/>
        <v/>
      </c>
      <c r="J1203" s="56" t="str">
        <f t="shared" si="37"/>
        <v/>
      </c>
    </row>
    <row r="1204" spans="9:10" x14ac:dyDescent="0.25">
      <c r="I1204" t="str">
        <f t="shared" si="36"/>
        <v/>
      </c>
      <c r="J1204" s="56" t="str">
        <f t="shared" si="37"/>
        <v/>
      </c>
    </row>
    <row r="1205" spans="9:10" x14ac:dyDescent="0.25">
      <c r="I1205" t="str">
        <f t="shared" si="36"/>
        <v/>
      </c>
      <c r="J1205" s="56" t="str">
        <f t="shared" si="37"/>
        <v/>
      </c>
    </row>
    <row r="1206" spans="9:10" x14ac:dyDescent="0.25">
      <c r="I1206" t="str">
        <f t="shared" si="36"/>
        <v/>
      </c>
      <c r="J1206" s="56" t="str">
        <f t="shared" si="37"/>
        <v/>
      </c>
    </row>
    <row r="1207" spans="9:10" x14ac:dyDescent="0.25">
      <c r="I1207" t="str">
        <f t="shared" si="36"/>
        <v/>
      </c>
      <c r="J1207" s="56" t="str">
        <f t="shared" si="37"/>
        <v/>
      </c>
    </row>
    <row r="1208" spans="9:10" x14ac:dyDescent="0.25">
      <c r="I1208" t="str">
        <f t="shared" si="36"/>
        <v/>
      </c>
      <c r="J1208" s="56" t="str">
        <f t="shared" si="37"/>
        <v/>
      </c>
    </row>
    <row r="1209" spans="9:10" x14ac:dyDescent="0.25">
      <c r="I1209" t="str">
        <f t="shared" si="36"/>
        <v/>
      </c>
      <c r="J1209" s="56" t="str">
        <f t="shared" si="37"/>
        <v/>
      </c>
    </row>
    <row r="1210" spans="9:10" x14ac:dyDescent="0.25">
      <c r="I1210" t="str">
        <f t="shared" si="36"/>
        <v/>
      </c>
      <c r="J1210" s="56" t="str">
        <f t="shared" si="37"/>
        <v/>
      </c>
    </row>
    <row r="1211" spans="9:10" x14ac:dyDescent="0.25">
      <c r="I1211" t="str">
        <f t="shared" si="36"/>
        <v/>
      </c>
      <c r="J1211" s="56" t="str">
        <f t="shared" si="37"/>
        <v/>
      </c>
    </row>
    <row r="1212" spans="9:10" x14ac:dyDescent="0.25">
      <c r="I1212" t="str">
        <f t="shared" si="36"/>
        <v/>
      </c>
      <c r="J1212" s="56" t="str">
        <f t="shared" si="37"/>
        <v/>
      </c>
    </row>
    <row r="1213" spans="9:10" x14ac:dyDescent="0.25">
      <c r="I1213" t="str">
        <f t="shared" si="36"/>
        <v/>
      </c>
      <c r="J1213" s="56" t="str">
        <f t="shared" si="37"/>
        <v/>
      </c>
    </row>
    <row r="1214" spans="9:10" x14ac:dyDescent="0.25">
      <c r="I1214" t="str">
        <f t="shared" si="36"/>
        <v/>
      </c>
      <c r="J1214" s="56" t="str">
        <f t="shared" si="37"/>
        <v/>
      </c>
    </row>
    <row r="1215" spans="9:10" x14ac:dyDescent="0.25">
      <c r="I1215" t="str">
        <f t="shared" si="36"/>
        <v/>
      </c>
      <c r="J1215" s="56" t="str">
        <f t="shared" si="37"/>
        <v/>
      </c>
    </row>
    <row r="1216" spans="9:10" x14ac:dyDescent="0.25">
      <c r="I1216" t="str">
        <f t="shared" si="36"/>
        <v/>
      </c>
      <c r="J1216" s="56" t="str">
        <f t="shared" si="37"/>
        <v/>
      </c>
    </row>
    <row r="1217" spans="9:10" x14ac:dyDescent="0.25">
      <c r="I1217" t="str">
        <f t="shared" si="36"/>
        <v/>
      </c>
      <c r="J1217" s="56" t="str">
        <f t="shared" si="37"/>
        <v/>
      </c>
    </row>
    <row r="1218" spans="9:10" x14ac:dyDescent="0.25">
      <c r="I1218" t="str">
        <f t="shared" si="36"/>
        <v/>
      </c>
      <c r="J1218" s="56" t="str">
        <f t="shared" si="37"/>
        <v/>
      </c>
    </row>
    <row r="1219" spans="9:10" x14ac:dyDescent="0.25">
      <c r="I1219" t="str">
        <f t="shared" ref="I1219:I1282" si="38">IF($A1219="","",RIGHT($E1219,LEN($E1219)-SEARCH(".",$E1219)))</f>
        <v/>
      </c>
      <c r="J1219" s="56" t="str">
        <f t="shared" ref="J1219:J1282" si="39">IF($A1219="","",$G1219)</f>
        <v/>
      </c>
    </row>
    <row r="1220" spans="9:10" x14ac:dyDescent="0.25">
      <c r="I1220" t="str">
        <f t="shared" si="38"/>
        <v/>
      </c>
      <c r="J1220" s="56" t="str">
        <f t="shared" si="39"/>
        <v/>
      </c>
    </row>
    <row r="1221" spans="9:10" x14ac:dyDescent="0.25">
      <c r="I1221" t="str">
        <f t="shared" si="38"/>
        <v/>
      </c>
      <c r="J1221" s="56" t="str">
        <f t="shared" si="39"/>
        <v/>
      </c>
    </row>
    <row r="1222" spans="9:10" x14ac:dyDescent="0.25">
      <c r="I1222" t="str">
        <f t="shared" si="38"/>
        <v/>
      </c>
      <c r="J1222" s="56" t="str">
        <f t="shared" si="39"/>
        <v/>
      </c>
    </row>
    <row r="1223" spans="9:10" x14ac:dyDescent="0.25">
      <c r="I1223" t="str">
        <f t="shared" si="38"/>
        <v/>
      </c>
      <c r="J1223" s="56" t="str">
        <f t="shared" si="39"/>
        <v/>
      </c>
    </row>
    <row r="1224" spans="9:10" x14ac:dyDescent="0.25">
      <c r="I1224" t="str">
        <f t="shared" si="38"/>
        <v/>
      </c>
      <c r="J1224" s="56" t="str">
        <f t="shared" si="39"/>
        <v/>
      </c>
    </row>
    <row r="1225" spans="9:10" x14ac:dyDescent="0.25">
      <c r="I1225" t="str">
        <f t="shared" si="38"/>
        <v/>
      </c>
      <c r="J1225" s="56" t="str">
        <f t="shared" si="39"/>
        <v/>
      </c>
    </row>
    <row r="1226" spans="9:10" x14ac:dyDescent="0.25">
      <c r="I1226" t="str">
        <f t="shared" si="38"/>
        <v/>
      </c>
      <c r="J1226" s="56" t="str">
        <f t="shared" si="39"/>
        <v/>
      </c>
    </row>
    <row r="1227" spans="9:10" x14ac:dyDescent="0.25">
      <c r="I1227" t="str">
        <f t="shared" si="38"/>
        <v/>
      </c>
      <c r="J1227" s="56" t="str">
        <f t="shared" si="39"/>
        <v/>
      </c>
    </row>
    <row r="1228" spans="9:10" x14ac:dyDescent="0.25">
      <c r="I1228" t="str">
        <f t="shared" si="38"/>
        <v/>
      </c>
      <c r="J1228" s="56" t="str">
        <f t="shared" si="39"/>
        <v/>
      </c>
    </row>
    <row r="1229" spans="9:10" x14ac:dyDescent="0.25">
      <c r="I1229" t="str">
        <f t="shared" si="38"/>
        <v/>
      </c>
      <c r="J1229" s="56" t="str">
        <f t="shared" si="39"/>
        <v/>
      </c>
    </row>
    <row r="1230" spans="9:10" x14ac:dyDescent="0.25">
      <c r="I1230" t="str">
        <f t="shared" si="38"/>
        <v/>
      </c>
      <c r="J1230" s="56" t="str">
        <f t="shared" si="39"/>
        <v/>
      </c>
    </row>
    <row r="1231" spans="9:10" x14ac:dyDescent="0.25">
      <c r="I1231" t="str">
        <f t="shared" si="38"/>
        <v/>
      </c>
      <c r="J1231" s="56" t="str">
        <f t="shared" si="39"/>
        <v/>
      </c>
    </row>
    <row r="1232" spans="9:10" x14ac:dyDescent="0.25">
      <c r="I1232" t="str">
        <f t="shared" si="38"/>
        <v/>
      </c>
      <c r="J1232" s="56" t="str">
        <f t="shared" si="39"/>
        <v/>
      </c>
    </row>
    <row r="1233" spans="9:10" x14ac:dyDescent="0.25">
      <c r="I1233" t="str">
        <f t="shared" si="38"/>
        <v/>
      </c>
      <c r="J1233" s="56" t="str">
        <f t="shared" si="39"/>
        <v/>
      </c>
    </row>
    <row r="1234" spans="9:10" x14ac:dyDescent="0.25">
      <c r="I1234" t="str">
        <f t="shared" si="38"/>
        <v/>
      </c>
      <c r="J1234" s="56" t="str">
        <f t="shared" si="39"/>
        <v/>
      </c>
    </row>
    <row r="1235" spans="9:10" x14ac:dyDescent="0.25">
      <c r="I1235" t="str">
        <f t="shared" si="38"/>
        <v/>
      </c>
      <c r="J1235" s="56" t="str">
        <f t="shared" si="39"/>
        <v/>
      </c>
    </row>
    <row r="1236" spans="9:10" x14ac:dyDescent="0.25">
      <c r="I1236" t="str">
        <f t="shared" si="38"/>
        <v/>
      </c>
      <c r="J1236" s="56" t="str">
        <f t="shared" si="39"/>
        <v/>
      </c>
    </row>
    <row r="1237" spans="9:10" x14ac:dyDescent="0.25">
      <c r="I1237" t="str">
        <f t="shared" si="38"/>
        <v/>
      </c>
      <c r="J1237" s="56" t="str">
        <f t="shared" si="39"/>
        <v/>
      </c>
    </row>
    <row r="1238" spans="9:10" x14ac:dyDescent="0.25">
      <c r="I1238" t="str">
        <f t="shared" si="38"/>
        <v/>
      </c>
      <c r="J1238" s="56" t="str">
        <f t="shared" si="39"/>
        <v/>
      </c>
    </row>
    <row r="1239" spans="9:10" x14ac:dyDescent="0.25">
      <c r="I1239" t="str">
        <f t="shared" si="38"/>
        <v/>
      </c>
      <c r="J1239" s="56" t="str">
        <f t="shared" si="39"/>
        <v/>
      </c>
    </row>
    <row r="1240" spans="9:10" x14ac:dyDescent="0.25">
      <c r="I1240" t="str">
        <f t="shared" si="38"/>
        <v/>
      </c>
      <c r="J1240" s="56" t="str">
        <f t="shared" si="39"/>
        <v/>
      </c>
    </row>
    <row r="1241" spans="9:10" x14ac:dyDescent="0.25">
      <c r="I1241" t="str">
        <f t="shared" si="38"/>
        <v/>
      </c>
      <c r="J1241" s="56" t="str">
        <f t="shared" si="39"/>
        <v/>
      </c>
    </row>
    <row r="1242" spans="9:10" x14ac:dyDescent="0.25">
      <c r="I1242" t="str">
        <f t="shared" si="38"/>
        <v/>
      </c>
      <c r="J1242" s="56" t="str">
        <f t="shared" si="39"/>
        <v/>
      </c>
    </row>
    <row r="1243" spans="9:10" x14ac:dyDescent="0.25">
      <c r="I1243" t="str">
        <f t="shared" si="38"/>
        <v/>
      </c>
      <c r="J1243" s="56" t="str">
        <f t="shared" si="39"/>
        <v/>
      </c>
    </row>
    <row r="1244" spans="9:10" x14ac:dyDescent="0.25">
      <c r="I1244" t="str">
        <f t="shared" si="38"/>
        <v/>
      </c>
      <c r="J1244" s="56" t="str">
        <f t="shared" si="39"/>
        <v/>
      </c>
    </row>
    <row r="1245" spans="9:10" x14ac:dyDescent="0.25">
      <c r="I1245" t="str">
        <f t="shared" si="38"/>
        <v/>
      </c>
      <c r="J1245" s="56" t="str">
        <f t="shared" si="39"/>
        <v/>
      </c>
    </row>
    <row r="1246" spans="9:10" x14ac:dyDescent="0.25">
      <c r="I1246" t="str">
        <f t="shared" si="38"/>
        <v/>
      </c>
      <c r="J1246" s="56" t="str">
        <f t="shared" si="39"/>
        <v/>
      </c>
    </row>
    <row r="1247" spans="9:10" x14ac:dyDescent="0.25">
      <c r="I1247" t="str">
        <f t="shared" si="38"/>
        <v/>
      </c>
      <c r="J1247" s="56" t="str">
        <f t="shared" si="39"/>
        <v/>
      </c>
    </row>
    <row r="1248" spans="9:10" x14ac:dyDescent="0.25">
      <c r="I1248" t="str">
        <f t="shared" si="38"/>
        <v/>
      </c>
      <c r="J1248" s="56" t="str">
        <f t="shared" si="39"/>
        <v/>
      </c>
    </row>
    <row r="1249" spans="9:10" x14ac:dyDescent="0.25">
      <c r="I1249" t="str">
        <f t="shared" si="38"/>
        <v/>
      </c>
      <c r="J1249" s="56" t="str">
        <f t="shared" si="39"/>
        <v/>
      </c>
    </row>
    <row r="1250" spans="9:10" x14ac:dyDescent="0.25">
      <c r="I1250" t="str">
        <f t="shared" si="38"/>
        <v/>
      </c>
      <c r="J1250" s="56" t="str">
        <f t="shared" si="39"/>
        <v/>
      </c>
    </row>
    <row r="1251" spans="9:10" x14ac:dyDescent="0.25">
      <c r="I1251" t="str">
        <f t="shared" si="38"/>
        <v/>
      </c>
      <c r="J1251" s="56" t="str">
        <f t="shared" si="39"/>
        <v/>
      </c>
    </row>
    <row r="1252" spans="9:10" x14ac:dyDescent="0.25">
      <c r="I1252" t="str">
        <f t="shared" si="38"/>
        <v/>
      </c>
      <c r="J1252" s="56" t="str">
        <f t="shared" si="39"/>
        <v/>
      </c>
    </row>
    <row r="1253" spans="9:10" x14ac:dyDescent="0.25">
      <c r="I1253" t="str">
        <f t="shared" si="38"/>
        <v/>
      </c>
      <c r="J1253" s="56" t="str">
        <f t="shared" si="39"/>
        <v/>
      </c>
    </row>
    <row r="1254" spans="9:10" x14ac:dyDescent="0.25">
      <c r="I1254" t="str">
        <f t="shared" si="38"/>
        <v/>
      </c>
      <c r="J1254" s="56" t="str">
        <f t="shared" si="39"/>
        <v/>
      </c>
    </row>
    <row r="1255" spans="9:10" x14ac:dyDescent="0.25">
      <c r="I1255" t="str">
        <f t="shared" si="38"/>
        <v/>
      </c>
      <c r="J1255" s="56" t="str">
        <f t="shared" si="39"/>
        <v/>
      </c>
    </row>
    <row r="1256" spans="9:10" x14ac:dyDescent="0.25">
      <c r="I1256" t="str">
        <f t="shared" si="38"/>
        <v/>
      </c>
      <c r="J1256" s="56" t="str">
        <f t="shared" si="39"/>
        <v/>
      </c>
    </row>
    <row r="1257" spans="9:10" x14ac:dyDescent="0.25">
      <c r="I1257" t="str">
        <f t="shared" si="38"/>
        <v/>
      </c>
      <c r="J1257" s="56" t="str">
        <f t="shared" si="39"/>
        <v/>
      </c>
    </row>
    <row r="1258" spans="9:10" x14ac:dyDescent="0.25">
      <c r="I1258" t="str">
        <f t="shared" si="38"/>
        <v/>
      </c>
      <c r="J1258" s="56" t="str">
        <f t="shared" si="39"/>
        <v/>
      </c>
    </row>
    <row r="1259" spans="9:10" x14ac:dyDescent="0.25">
      <c r="I1259" t="str">
        <f t="shared" si="38"/>
        <v/>
      </c>
      <c r="J1259" s="56" t="str">
        <f t="shared" si="39"/>
        <v/>
      </c>
    </row>
    <row r="1260" spans="9:10" x14ac:dyDescent="0.25">
      <c r="I1260" t="str">
        <f t="shared" si="38"/>
        <v/>
      </c>
      <c r="J1260" s="56" t="str">
        <f t="shared" si="39"/>
        <v/>
      </c>
    </row>
    <row r="1261" spans="9:10" x14ac:dyDescent="0.25">
      <c r="I1261" t="str">
        <f t="shared" si="38"/>
        <v/>
      </c>
      <c r="J1261" s="56" t="str">
        <f t="shared" si="39"/>
        <v/>
      </c>
    </row>
    <row r="1262" spans="9:10" x14ac:dyDescent="0.25">
      <c r="I1262" t="str">
        <f t="shared" si="38"/>
        <v/>
      </c>
      <c r="J1262" s="56" t="str">
        <f t="shared" si="39"/>
        <v/>
      </c>
    </row>
    <row r="1263" spans="9:10" x14ac:dyDescent="0.25">
      <c r="I1263" t="str">
        <f t="shared" si="38"/>
        <v/>
      </c>
      <c r="J1263" s="56" t="str">
        <f t="shared" si="39"/>
        <v/>
      </c>
    </row>
    <row r="1264" spans="9:10" x14ac:dyDescent="0.25">
      <c r="I1264" t="str">
        <f t="shared" si="38"/>
        <v/>
      </c>
      <c r="J1264" s="56" t="str">
        <f t="shared" si="39"/>
        <v/>
      </c>
    </row>
    <row r="1265" spans="9:10" x14ac:dyDescent="0.25">
      <c r="I1265" t="str">
        <f t="shared" si="38"/>
        <v/>
      </c>
      <c r="J1265" s="56" t="str">
        <f t="shared" si="39"/>
        <v/>
      </c>
    </row>
    <row r="1266" spans="9:10" x14ac:dyDescent="0.25">
      <c r="I1266" t="str">
        <f t="shared" si="38"/>
        <v/>
      </c>
      <c r="J1266" s="56" t="str">
        <f t="shared" si="39"/>
        <v/>
      </c>
    </row>
    <row r="1267" spans="9:10" x14ac:dyDescent="0.25">
      <c r="I1267" t="str">
        <f t="shared" si="38"/>
        <v/>
      </c>
      <c r="J1267" s="56" t="str">
        <f t="shared" si="39"/>
        <v/>
      </c>
    </row>
    <row r="1268" spans="9:10" x14ac:dyDescent="0.25">
      <c r="I1268" t="str">
        <f t="shared" si="38"/>
        <v/>
      </c>
      <c r="J1268" s="56" t="str">
        <f t="shared" si="39"/>
        <v/>
      </c>
    </row>
    <row r="1269" spans="9:10" x14ac:dyDescent="0.25">
      <c r="I1269" t="str">
        <f t="shared" si="38"/>
        <v/>
      </c>
      <c r="J1269" s="56" t="str">
        <f t="shared" si="39"/>
        <v/>
      </c>
    </row>
    <row r="1270" spans="9:10" x14ac:dyDescent="0.25">
      <c r="I1270" t="str">
        <f t="shared" si="38"/>
        <v/>
      </c>
      <c r="J1270" s="56" t="str">
        <f t="shared" si="39"/>
        <v/>
      </c>
    </row>
    <row r="1271" spans="9:10" x14ac:dyDescent="0.25">
      <c r="I1271" t="str">
        <f t="shared" si="38"/>
        <v/>
      </c>
      <c r="J1271" s="56" t="str">
        <f t="shared" si="39"/>
        <v/>
      </c>
    </row>
    <row r="1272" spans="9:10" x14ac:dyDescent="0.25">
      <c r="I1272" t="str">
        <f t="shared" si="38"/>
        <v/>
      </c>
      <c r="J1272" s="56" t="str">
        <f t="shared" si="39"/>
        <v/>
      </c>
    </row>
    <row r="1273" spans="9:10" x14ac:dyDescent="0.25">
      <c r="I1273" t="str">
        <f t="shared" si="38"/>
        <v/>
      </c>
      <c r="J1273" s="56" t="str">
        <f t="shared" si="39"/>
        <v/>
      </c>
    </row>
    <row r="1274" spans="9:10" x14ac:dyDescent="0.25">
      <c r="I1274" t="str">
        <f t="shared" si="38"/>
        <v/>
      </c>
      <c r="J1274" s="56" t="str">
        <f t="shared" si="39"/>
        <v/>
      </c>
    </row>
    <row r="1275" spans="9:10" x14ac:dyDescent="0.25">
      <c r="I1275" t="str">
        <f t="shared" si="38"/>
        <v/>
      </c>
      <c r="J1275" s="56" t="str">
        <f t="shared" si="39"/>
        <v/>
      </c>
    </row>
    <row r="1276" spans="9:10" x14ac:dyDescent="0.25">
      <c r="I1276" t="str">
        <f t="shared" si="38"/>
        <v/>
      </c>
      <c r="J1276" s="56" t="str">
        <f t="shared" si="39"/>
        <v/>
      </c>
    </row>
    <row r="1277" spans="9:10" x14ac:dyDescent="0.25">
      <c r="I1277" t="str">
        <f t="shared" si="38"/>
        <v/>
      </c>
      <c r="J1277" s="56" t="str">
        <f t="shared" si="39"/>
        <v/>
      </c>
    </row>
    <row r="1278" spans="9:10" x14ac:dyDescent="0.25">
      <c r="I1278" t="str">
        <f t="shared" si="38"/>
        <v/>
      </c>
      <c r="J1278" s="56" t="str">
        <f t="shared" si="39"/>
        <v/>
      </c>
    </row>
    <row r="1279" spans="9:10" x14ac:dyDescent="0.25">
      <c r="I1279" t="str">
        <f t="shared" si="38"/>
        <v/>
      </c>
      <c r="J1279" s="56" t="str">
        <f t="shared" si="39"/>
        <v/>
      </c>
    </row>
    <row r="1280" spans="9:10" x14ac:dyDescent="0.25">
      <c r="I1280" t="str">
        <f t="shared" si="38"/>
        <v/>
      </c>
      <c r="J1280" s="56" t="str">
        <f t="shared" si="39"/>
        <v/>
      </c>
    </row>
    <row r="1281" spans="9:10" x14ac:dyDescent="0.25">
      <c r="I1281" t="str">
        <f t="shared" si="38"/>
        <v/>
      </c>
      <c r="J1281" s="56" t="str">
        <f t="shared" si="39"/>
        <v/>
      </c>
    </row>
    <row r="1282" spans="9:10" x14ac:dyDescent="0.25">
      <c r="I1282" t="str">
        <f t="shared" si="38"/>
        <v/>
      </c>
      <c r="J1282" s="56" t="str">
        <f t="shared" si="39"/>
        <v/>
      </c>
    </row>
    <row r="1283" spans="9:10" x14ac:dyDescent="0.25">
      <c r="I1283" t="str">
        <f t="shared" ref="I1283:I1346" si="40">IF($A1283="","",RIGHT($E1283,LEN($E1283)-SEARCH(".",$E1283)))</f>
        <v/>
      </c>
      <c r="J1283" s="56" t="str">
        <f t="shared" ref="J1283:J1346" si="41">IF($A1283="","",$G1283)</f>
        <v/>
      </c>
    </row>
    <row r="1284" spans="9:10" x14ac:dyDescent="0.25">
      <c r="I1284" t="str">
        <f t="shared" si="40"/>
        <v/>
      </c>
      <c r="J1284" s="56" t="str">
        <f t="shared" si="41"/>
        <v/>
      </c>
    </row>
    <row r="1285" spans="9:10" x14ac:dyDescent="0.25">
      <c r="I1285" t="str">
        <f t="shared" si="40"/>
        <v/>
      </c>
      <c r="J1285" s="56" t="str">
        <f t="shared" si="41"/>
        <v/>
      </c>
    </row>
    <row r="1286" spans="9:10" x14ac:dyDescent="0.25">
      <c r="I1286" t="str">
        <f t="shared" si="40"/>
        <v/>
      </c>
      <c r="J1286" s="56" t="str">
        <f t="shared" si="41"/>
        <v/>
      </c>
    </row>
    <row r="1287" spans="9:10" x14ac:dyDescent="0.25">
      <c r="I1287" t="str">
        <f t="shared" si="40"/>
        <v/>
      </c>
      <c r="J1287" s="56" t="str">
        <f t="shared" si="41"/>
        <v/>
      </c>
    </row>
    <row r="1288" spans="9:10" x14ac:dyDescent="0.25">
      <c r="I1288" t="str">
        <f t="shared" si="40"/>
        <v/>
      </c>
      <c r="J1288" s="56" t="str">
        <f t="shared" si="41"/>
        <v/>
      </c>
    </row>
    <row r="1289" spans="9:10" x14ac:dyDescent="0.25">
      <c r="I1289" t="str">
        <f t="shared" si="40"/>
        <v/>
      </c>
      <c r="J1289" s="56" t="str">
        <f t="shared" si="41"/>
        <v/>
      </c>
    </row>
    <row r="1290" spans="9:10" x14ac:dyDescent="0.25">
      <c r="I1290" t="str">
        <f t="shared" si="40"/>
        <v/>
      </c>
      <c r="J1290" s="56" t="str">
        <f t="shared" si="41"/>
        <v/>
      </c>
    </row>
    <row r="1291" spans="9:10" x14ac:dyDescent="0.25">
      <c r="I1291" t="str">
        <f t="shared" si="40"/>
        <v/>
      </c>
      <c r="J1291" s="56" t="str">
        <f t="shared" si="41"/>
        <v/>
      </c>
    </row>
    <row r="1292" spans="9:10" x14ac:dyDescent="0.25">
      <c r="I1292" t="str">
        <f t="shared" si="40"/>
        <v/>
      </c>
      <c r="J1292" s="56" t="str">
        <f t="shared" si="41"/>
        <v/>
      </c>
    </row>
    <row r="1293" spans="9:10" x14ac:dyDescent="0.25">
      <c r="I1293" t="str">
        <f t="shared" si="40"/>
        <v/>
      </c>
      <c r="J1293" s="56" t="str">
        <f t="shared" si="41"/>
        <v/>
      </c>
    </row>
    <row r="1294" spans="9:10" x14ac:dyDescent="0.25">
      <c r="I1294" t="str">
        <f t="shared" si="40"/>
        <v/>
      </c>
      <c r="J1294" s="56" t="str">
        <f t="shared" si="41"/>
        <v/>
      </c>
    </row>
    <row r="1295" spans="9:10" x14ac:dyDescent="0.25">
      <c r="I1295" t="str">
        <f t="shared" si="40"/>
        <v/>
      </c>
      <c r="J1295" s="56" t="str">
        <f t="shared" si="41"/>
        <v/>
      </c>
    </row>
    <row r="1296" spans="9:10" x14ac:dyDescent="0.25">
      <c r="I1296" t="str">
        <f t="shared" si="40"/>
        <v/>
      </c>
      <c r="J1296" s="56" t="str">
        <f t="shared" si="41"/>
        <v/>
      </c>
    </row>
    <row r="1297" spans="9:10" x14ac:dyDescent="0.25">
      <c r="I1297" t="str">
        <f t="shared" si="40"/>
        <v/>
      </c>
      <c r="J1297" s="56" t="str">
        <f t="shared" si="41"/>
        <v/>
      </c>
    </row>
    <row r="1298" spans="9:10" x14ac:dyDescent="0.25">
      <c r="I1298" t="str">
        <f t="shared" si="40"/>
        <v/>
      </c>
      <c r="J1298" s="56" t="str">
        <f t="shared" si="41"/>
        <v/>
      </c>
    </row>
    <row r="1299" spans="9:10" x14ac:dyDescent="0.25">
      <c r="I1299" t="str">
        <f t="shared" si="40"/>
        <v/>
      </c>
      <c r="J1299" s="56" t="str">
        <f t="shared" si="41"/>
        <v/>
      </c>
    </row>
    <row r="1300" spans="9:10" x14ac:dyDescent="0.25">
      <c r="I1300" t="str">
        <f t="shared" si="40"/>
        <v/>
      </c>
      <c r="J1300" s="56" t="str">
        <f t="shared" si="41"/>
        <v/>
      </c>
    </row>
    <row r="1301" spans="9:10" x14ac:dyDescent="0.25">
      <c r="I1301" t="str">
        <f t="shared" si="40"/>
        <v/>
      </c>
      <c r="J1301" s="56" t="str">
        <f t="shared" si="41"/>
        <v/>
      </c>
    </row>
    <row r="1302" spans="9:10" x14ac:dyDescent="0.25">
      <c r="I1302" t="str">
        <f t="shared" si="40"/>
        <v/>
      </c>
      <c r="J1302" s="56" t="str">
        <f t="shared" si="41"/>
        <v/>
      </c>
    </row>
    <row r="1303" spans="9:10" x14ac:dyDescent="0.25">
      <c r="I1303" t="str">
        <f t="shared" si="40"/>
        <v/>
      </c>
      <c r="J1303" s="56" t="str">
        <f t="shared" si="41"/>
        <v/>
      </c>
    </row>
    <row r="1304" spans="9:10" x14ac:dyDescent="0.25">
      <c r="I1304" t="str">
        <f t="shared" si="40"/>
        <v/>
      </c>
      <c r="J1304" s="56" t="str">
        <f t="shared" si="41"/>
        <v/>
      </c>
    </row>
    <row r="1305" spans="9:10" x14ac:dyDescent="0.25">
      <c r="I1305" t="str">
        <f t="shared" si="40"/>
        <v/>
      </c>
      <c r="J1305" s="56" t="str">
        <f t="shared" si="41"/>
        <v/>
      </c>
    </row>
    <row r="1306" spans="9:10" x14ac:dyDescent="0.25">
      <c r="I1306" t="str">
        <f t="shared" si="40"/>
        <v/>
      </c>
      <c r="J1306" s="56" t="str">
        <f t="shared" si="41"/>
        <v/>
      </c>
    </row>
    <row r="1307" spans="9:10" x14ac:dyDescent="0.25">
      <c r="I1307" t="str">
        <f t="shared" si="40"/>
        <v/>
      </c>
      <c r="J1307" s="56" t="str">
        <f t="shared" si="41"/>
        <v/>
      </c>
    </row>
    <row r="1308" spans="9:10" x14ac:dyDescent="0.25">
      <c r="I1308" t="str">
        <f t="shared" si="40"/>
        <v/>
      </c>
      <c r="J1308" s="56" t="str">
        <f t="shared" si="41"/>
        <v/>
      </c>
    </row>
    <row r="1309" spans="9:10" x14ac:dyDescent="0.25">
      <c r="I1309" t="str">
        <f t="shared" si="40"/>
        <v/>
      </c>
      <c r="J1309" s="56" t="str">
        <f t="shared" si="41"/>
        <v/>
      </c>
    </row>
    <row r="1310" spans="9:10" x14ac:dyDescent="0.25">
      <c r="I1310" t="str">
        <f t="shared" si="40"/>
        <v/>
      </c>
      <c r="J1310" s="56" t="str">
        <f t="shared" si="41"/>
        <v/>
      </c>
    </row>
    <row r="1311" spans="9:10" x14ac:dyDescent="0.25">
      <c r="I1311" t="str">
        <f t="shared" si="40"/>
        <v/>
      </c>
      <c r="J1311" s="56" t="str">
        <f t="shared" si="41"/>
        <v/>
      </c>
    </row>
    <row r="1312" spans="9:10" x14ac:dyDescent="0.25">
      <c r="I1312" t="str">
        <f t="shared" si="40"/>
        <v/>
      </c>
      <c r="J1312" s="56" t="str">
        <f t="shared" si="41"/>
        <v/>
      </c>
    </row>
    <row r="1313" spans="9:10" x14ac:dyDescent="0.25">
      <c r="I1313" t="str">
        <f t="shared" si="40"/>
        <v/>
      </c>
      <c r="J1313" s="56" t="str">
        <f t="shared" si="41"/>
        <v/>
      </c>
    </row>
    <row r="1314" spans="9:10" x14ac:dyDescent="0.25">
      <c r="I1314" t="str">
        <f t="shared" si="40"/>
        <v/>
      </c>
      <c r="J1314" s="56" t="str">
        <f t="shared" si="41"/>
        <v/>
      </c>
    </row>
    <row r="1315" spans="9:10" x14ac:dyDescent="0.25">
      <c r="I1315" t="str">
        <f t="shared" si="40"/>
        <v/>
      </c>
      <c r="J1315" s="56" t="str">
        <f t="shared" si="41"/>
        <v/>
      </c>
    </row>
    <row r="1316" spans="9:10" x14ac:dyDescent="0.25">
      <c r="I1316" t="str">
        <f t="shared" si="40"/>
        <v/>
      </c>
      <c r="J1316" s="56" t="str">
        <f t="shared" si="41"/>
        <v/>
      </c>
    </row>
    <row r="1317" spans="9:10" x14ac:dyDescent="0.25">
      <c r="I1317" t="str">
        <f t="shared" si="40"/>
        <v/>
      </c>
      <c r="J1317" s="56" t="str">
        <f t="shared" si="41"/>
        <v/>
      </c>
    </row>
    <row r="1318" spans="9:10" x14ac:dyDescent="0.25">
      <c r="I1318" t="str">
        <f t="shared" si="40"/>
        <v/>
      </c>
      <c r="J1318" s="56" t="str">
        <f t="shared" si="41"/>
        <v/>
      </c>
    </row>
    <row r="1319" spans="9:10" x14ac:dyDescent="0.25">
      <c r="I1319" t="str">
        <f t="shared" si="40"/>
        <v/>
      </c>
      <c r="J1319" s="56" t="str">
        <f t="shared" si="41"/>
        <v/>
      </c>
    </row>
    <row r="1320" spans="9:10" x14ac:dyDescent="0.25">
      <c r="I1320" t="str">
        <f t="shared" si="40"/>
        <v/>
      </c>
      <c r="J1320" s="56" t="str">
        <f t="shared" si="41"/>
        <v/>
      </c>
    </row>
    <row r="1321" spans="9:10" x14ac:dyDescent="0.25">
      <c r="I1321" t="str">
        <f t="shared" si="40"/>
        <v/>
      </c>
      <c r="J1321" s="56" t="str">
        <f t="shared" si="41"/>
        <v/>
      </c>
    </row>
    <row r="1322" spans="9:10" x14ac:dyDescent="0.25">
      <c r="I1322" t="str">
        <f t="shared" si="40"/>
        <v/>
      </c>
      <c r="J1322" s="56" t="str">
        <f t="shared" si="41"/>
        <v/>
      </c>
    </row>
    <row r="1323" spans="9:10" x14ac:dyDescent="0.25">
      <c r="I1323" t="str">
        <f t="shared" si="40"/>
        <v/>
      </c>
      <c r="J1323" s="56" t="str">
        <f t="shared" si="41"/>
        <v/>
      </c>
    </row>
    <row r="1324" spans="9:10" x14ac:dyDescent="0.25">
      <c r="I1324" t="str">
        <f t="shared" si="40"/>
        <v/>
      </c>
      <c r="J1324" s="56" t="str">
        <f t="shared" si="41"/>
        <v/>
      </c>
    </row>
    <row r="1325" spans="9:10" x14ac:dyDescent="0.25">
      <c r="I1325" t="str">
        <f t="shared" si="40"/>
        <v/>
      </c>
      <c r="J1325" s="56" t="str">
        <f t="shared" si="41"/>
        <v/>
      </c>
    </row>
    <row r="1326" spans="9:10" x14ac:dyDescent="0.25">
      <c r="I1326" t="str">
        <f t="shared" si="40"/>
        <v/>
      </c>
      <c r="J1326" s="56" t="str">
        <f t="shared" si="41"/>
        <v/>
      </c>
    </row>
    <row r="1327" spans="9:10" x14ac:dyDescent="0.25">
      <c r="I1327" t="str">
        <f t="shared" si="40"/>
        <v/>
      </c>
      <c r="J1327" s="56" t="str">
        <f t="shared" si="41"/>
        <v/>
      </c>
    </row>
    <row r="1328" spans="9:10" x14ac:dyDescent="0.25">
      <c r="I1328" t="str">
        <f t="shared" si="40"/>
        <v/>
      </c>
      <c r="J1328" s="56" t="str">
        <f t="shared" si="41"/>
        <v/>
      </c>
    </row>
    <row r="1329" spans="9:10" x14ac:dyDescent="0.25">
      <c r="I1329" t="str">
        <f t="shared" si="40"/>
        <v/>
      </c>
      <c r="J1329" s="56" t="str">
        <f t="shared" si="41"/>
        <v/>
      </c>
    </row>
    <row r="1330" spans="9:10" x14ac:dyDescent="0.25">
      <c r="I1330" t="str">
        <f t="shared" si="40"/>
        <v/>
      </c>
      <c r="J1330" s="56" t="str">
        <f t="shared" si="41"/>
        <v/>
      </c>
    </row>
    <row r="1331" spans="9:10" x14ac:dyDescent="0.25">
      <c r="I1331" t="str">
        <f t="shared" si="40"/>
        <v/>
      </c>
      <c r="J1331" s="56" t="str">
        <f t="shared" si="41"/>
        <v/>
      </c>
    </row>
    <row r="1332" spans="9:10" x14ac:dyDescent="0.25">
      <c r="I1332" t="str">
        <f t="shared" si="40"/>
        <v/>
      </c>
      <c r="J1332" s="56" t="str">
        <f t="shared" si="41"/>
        <v/>
      </c>
    </row>
    <row r="1333" spans="9:10" x14ac:dyDescent="0.25">
      <c r="I1333" t="str">
        <f t="shared" si="40"/>
        <v/>
      </c>
      <c r="J1333" s="56" t="str">
        <f t="shared" si="41"/>
        <v/>
      </c>
    </row>
    <row r="1334" spans="9:10" x14ac:dyDescent="0.25">
      <c r="I1334" t="str">
        <f t="shared" si="40"/>
        <v/>
      </c>
      <c r="J1334" s="56" t="str">
        <f t="shared" si="41"/>
        <v/>
      </c>
    </row>
    <row r="1335" spans="9:10" x14ac:dyDescent="0.25">
      <c r="I1335" t="str">
        <f t="shared" si="40"/>
        <v/>
      </c>
      <c r="J1335" s="56" t="str">
        <f t="shared" si="41"/>
        <v/>
      </c>
    </row>
    <row r="1336" spans="9:10" x14ac:dyDescent="0.25">
      <c r="I1336" t="str">
        <f t="shared" si="40"/>
        <v/>
      </c>
      <c r="J1336" s="56" t="str">
        <f t="shared" si="41"/>
        <v/>
      </c>
    </row>
    <row r="1337" spans="9:10" x14ac:dyDescent="0.25">
      <c r="I1337" t="str">
        <f t="shared" si="40"/>
        <v/>
      </c>
      <c r="J1337" s="56" t="str">
        <f t="shared" si="41"/>
        <v/>
      </c>
    </row>
    <row r="1338" spans="9:10" x14ac:dyDescent="0.25">
      <c r="I1338" t="str">
        <f t="shared" si="40"/>
        <v/>
      </c>
      <c r="J1338" s="56" t="str">
        <f t="shared" si="41"/>
        <v/>
      </c>
    </row>
    <row r="1339" spans="9:10" x14ac:dyDescent="0.25">
      <c r="I1339" t="str">
        <f t="shared" si="40"/>
        <v/>
      </c>
      <c r="J1339" s="56" t="str">
        <f t="shared" si="41"/>
        <v/>
      </c>
    </row>
    <row r="1340" spans="9:10" x14ac:dyDescent="0.25">
      <c r="I1340" t="str">
        <f t="shared" si="40"/>
        <v/>
      </c>
      <c r="J1340" s="56" t="str">
        <f t="shared" si="41"/>
        <v/>
      </c>
    </row>
    <row r="1341" spans="9:10" x14ac:dyDescent="0.25">
      <c r="I1341" t="str">
        <f t="shared" si="40"/>
        <v/>
      </c>
      <c r="J1341" s="56" t="str">
        <f t="shared" si="41"/>
        <v/>
      </c>
    </row>
    <row r="1342" spans="9:10" x14ac:dyDescent="0.25">
      <c r="I1342" t="str">
        <f t="shared" si="40"/>
        <v/>
      </c>
      <c r="J1342" s="56" t="str">
        <f t="shared" si="41"/>
        <v/>
      </c>
    </row>
    <row r="1343" spans="9:10" x14ac:dyDescent="0.25">
      <c r="I1343" t="str">
        <f t="shared" si="40"/>
        <v/>
      </c>
      <c r="J1343" s="56" t="str">
        <f t="shared" si="41"/>
        <v/>
      </c>
    </row>
    <row r="1344" spans="9:10" x14ac:dyDescent="0.25">
      <c r="I1344" t="str">
        <f t="shared" si="40"/>
        <v/>
      </c>
      <c r="J1344" s="56" t="str">
        <f t="shared" si="41"/>
        <v/>
      </c>
    </row>
    <row r="1345" spans="9:10" x14ac:dyDescent="0.25">
      <c r="I1345" t="str">
        <f t="shared" si="40"/>
        <v/>
      </c>
      <c r="J1345" s="56" t="str">
        <f t="shared" si="41"/>
        <v/>
      </c>
    </row>
    <row r="1346" spans="9:10" x14ac:dyDescent="0.25">
      <c r="I1346" t="str">
        <f t="shared" si="40"/>
        <v/>
      </c>
      <c r="J1346" s="56" t="str">
        <f t="shared" si="41"/>
        <v/>
      </c>
    </row>
    <row r="1347" spans="9:10" x14ac:dyDescent="0.25">
      <c r="I1347" t="str">
        <f t="shared" ref="I1347:I1410" si="42">IF($A1347="","",RIGHT($E1347,LEN($E1347)-SEARCH(".",$E1347)))</f>
        <v/>
      </c>
      <c r="J1347" s="56" t="str">
        <f t="shared" ref="J1347:J1410" si="43">IF($A1347="","",$G1347)</f>
        <v/>
      </c>
    </row>
    <row r="1348" spans="9:10" x14ac:dyDescent="0.25">
      <c r="I1348" t="str">
        <f t="shared" si="42"/>
        <v/>
      </c>
      <c r="J1348" s="56" t="str">
        <f t="shared" si="43"/>
        <v/>
      </c>
    </row>
    <row r="1349" spans="9:10" x14ac:dyDescent="0.25">
      <c r="I1349" t="str">
        <f t="shared" si="42"/>
        <v/>
      </c>
      <c r="J1349" s="56" t="str">
        <f t="shared" si="43"/>
        <v/>
      </c>
    </row>
    <row r="1350" spans="9:10" x14ac:dyDescent="0.25">
      <c r="I1350" t="str">
        <f t="shared" si="42"/>
        <v/>
      </c>
      <c r="J1350" s="56" t="str">
        <f t="shared" si="43"/>
        <v/>
      </c>
    </row>
    <row r="1351" spans="9:10" x14ac:dyDescent="0.25">
      <c r="I1351" t="str">
        <f t="shared" si="42"/>
        <v/>
      </c>
      <c r="J1351" s="56" t="str">
        <f t="shared" si="43"/>
        <v/>
      </c>
    </row>
    <row r="1352" spans="9:10" x14ac:dyDescent="0.25">
      <c r="I1352" t="str">
        <f t="shared" si="42"/>
        <v/>
      </c>
      <c r="J1352" s="56" t="str">
        <f t="shared" si="43"/>
        <v/>
      </c>
    </row>
    <row r="1353" spans="9:10" x14ac:dyDescent="0.25">
      <c r="I1353" t="str">
        <f t="shared" si="42"/>
        <v/>
      </c>
      <c r="J1353" s="56" t="str">
        <f t="shared" si="43"/>
        <v/>
      </c>
    </row>
    <row r="1354" spans="9:10" x14ac:dyDescent="0.25">
      <c r="I1354" t="str">
        <f t="shared" si="42"/>
        <v/>
      </c>
      <c r="J1354" s="56" t="str">
        <f t="shared" si="43"/>
        <v/>
      </c>
    </row>
    <row r="1355" spans="9:10" x14ac:dyDescent="0.25">
      <c r="I1355" t="str">
        <f t="shared" si="42"/>
        <v/>
      </c>
      <c r="J1355" s="56" t="str">
        <f t="shared" si="43"/>
        <v/>
      </c>
    </row>
    <row r="1356" spans="9:10" x14ac:dyDescent="0.25">
      <c r="I1356" t="str">
        <f t="shared" si="42"/>
        <v/>
      </c>
      <c r="J1356" s="56" t="str">
        <f t="shared" si="43"/>
        <v/>
      </c>
    </row>
    <row r="1357" spans="9:10" x14ac:dyDescent="0.25">
      <c r="I1357" t="str">
        <f t="shared" si="42"/>
        <v/>
      </c>
      <c r="J1357" s="56" t="str">
        <f t="shared" si="43"/>
        <v/>
      </c>
    </row>
    <row r="1358" spans="9:10" x14ac:dyDescent="0.25">
      <c r="I1358" t="str">
        <f t="shared" si="42"/>
        <v/>
      </c>
      <c r="J1358" s="56" t="str">
        <f t="shared" si="43"/>
        <v/>
      </c>
    </row>
    <row r="1359" spans="9:10" x14ac:dyDescent="0.25">
      <c r="I1359" t="str">
        <f t="shared" si="42"/>
        <v/>
      </c>
      <c r="J1359" s="56" t="str">
        <f t="shared" si="43"/>
        <v/>
      </c>
    </row>
    <row r="1360" spans="9:10" x14ac:dyDescent="0.25">
      <c r="I1360" t="str">
        <f t="shared" si="42"/>
        <v/>
      </c>
      <c r="J1360" s="56" t="str">
        <f t="shared" si="43"/>
        <v/>
      </c>
    </row>
    <row r="1361" spans="9:10" x14ac:dyDescent="0.25">
      <c r="I1361" t="str">
        <f t="shared" si="42"/>
        <v/>
      </c>
      <c r="J1361" s="56" t="str">
        <f t="shared" si="43"/>
        <v/>
      </c>
    </row>
    <row r="1362" spans="9:10" x14ac:dyDescent="0.25">
      <c r="I1362" t="str">
        <f t="shared" si="42"/>
        <v/>
      </c>
      <c r="J1362" s="56" t="str">
        <f t="shared" si="43"/>
        <v/>
      </c>
    </row>
    <row r="1363" spans="9:10" x14ac:dyDescent="0.25">
      <c r="I1363" t="str">
        <f t="shared" si="42"/>
        <v/>
      </c>
      <c r="J1363" s="56" t="str">
        <f t="shared" si="43"/>
        <v/>
      </c>
    </row>
    <row r="1364" spans="9:10" x14ac:dyDescent="0.25">
      <c r="I1364" t="str">
        <f t="shared" si="42"/>
        <v/>
      </c>
      <c r="J1364" s="56" t="str">
        <f t="shared" si="43"/>
        <v/>
      </c>
    </row>
    <row r="1365" spans="9:10" x14ac:dyDescent="0.25">
      <c r="I1365" t="str">
        <f t="shared" si="42"/>
        <v/>
      </c>
      <c r="J1365" s="56" t="str">
        <f t="shared" si="43"/>
        <v/>
      </c>
    </row>
    <row r="1366" spans="9:10" x14ac:dyDescent="0.25">
      <c r="I1366" t="str">
        <f t="shared" si="42"/>
        <v/>
      </c>
      <c r="J1366" s="56" t="str">
        <f t="shared" si="43"/>
        <v/>
      </c>
    </row>
    <row r="1367" spans="9:10" x14ac:dyDescent="0.25">
      <c r="I1367" t="str">
        <f t="shared" si="42"/>
        <v/>
      </c>
      <c r="J1367" s="56" t="str">
        <f t="shared" si="43"/>
        <v/>
      </c>
    </row>
    <row r="1368" spans="9:10" x14ac:dyDescent="0.25">
      <c r="I1368" t="str">
        <f t="shared" si="42"/>
        <v/>
      </c>
      <c r="J1368" s="56" t="str">
        <f t="shared" si="43"/>
        <v/>
      </c>
    </row>
    <row r="1369" spans="9:10" x14ac:dyDescent="0.25">
      <c r="I1369" t="str">
        <f t="shared" si="42"/>
        <v/>
      </c>
      <c r="J1369" s="56" t="str">
        <f t="shared" si="43"/>
        <v/>
      </c>
    </row>
    <row r="1370" spans="9:10" x14ac:dyDescent="0.25">
      <c r="I1370" t="str">
        <f t="shared" si="42"/>
        <v/>
      </c>
      <c r="J1370" s="56" t="str">
        <f t="shared" si="43"/>
        <v/>
      </c>
    </row>
    <row r="1371" spans="9:10" x14ac:dyDescent="0.25">
      <c r="I1371" t="str">
        <f t="shared" si="42"/>
        <v/>
      </c>
      <c r="J1371" s="56" t="str">
        <f t="shared" si="43"/>
        <v/>
      </c>
    </row>
    <row r="1372" spans="9:10" x14ac:dyDescent="0.25">
      <c r="I1372" t="str">
        <f t="shared" si="42"/>
        <v/>
      </c>
      <c r="J1372" s="56" t="str">
        <f t="shared" si="43"/>
        <v/>
      </c>
    </row>
    <row r="1373" spans="9:10" x14ac:dyDescent="0.25">
      <c r="I1373" t="str">
        <f t="shared" si="42"/>
        <v/>
      </c>
      <c r="J1373" s="56" t="str">
        <f t="shared" si="43"/>
        <v/>
      </c>
    </row>
    <row r="1374" spans="9:10" x14ac:dyDescent="0.25">
      <c r="I1374" t="str">
        <f t="shared" si="42"/>
        <v/>
      </c>
      <c r="J1374" s="56" t="str">
        <f t="shared" si="43"/>
        <v/>
      </c>
    </row>
    <row r="1375" spans="9:10" x14ac:dyDescent="0.25">
      <c r="I1375" t="str">
        <f t="shared" si="42"/>
        <v/>
      </c>
      <c r="J1375" s="56" t="str">
        <f t="shared" si="43"/>
        <v/>
      </c>
    </row>
    <row r="1376" spans="9:10" x14ac:dyDescent="0.25">
      <c r="I1376" t="str">
        <f t="shared" si="42"/>
        <v/>
      </c>
      <c r="J1376" s="56" t="str">
        <f t="shared" si="43"/>
        <v/>
      </c>
    </row>
    <row r="1377" spans="9:10" x14ac:dyDescent="0.25">
      <c r="I1377" t="str">
        <f t="shared" si="42"/>
        <v/>
      </c>
      <c r="J1377" s="56" t="str">
        <f t="shared" si="43"/>
        <v/>
      </c>
    </row>
    <row r="1378" spans="9:10" x14ac:dyDescent="0.25">
      <c r="I1378" t="str">
        <f t="shared" si="42"/>
        <v/>
      </c>
      <c r="J1378" s="56" t="str">
        <f t="shared" si="43"/>
        <v/>
      </c>
    </row>
    <row r="1379" spans="9:10" x14ac:dyDescent="0.25">
      <c r="I1379" t="str">
        <f t="shared" si="42"/>
        <v/>
      </c>
      <c r="J1379" s="56" t="str">
        <f t="shared" si="43"/>
        <v/>
      </c>
    </row>
    <row r="1380" spans="9:10" x14ac:dyDescent="0.25">
      <c r="I1380" t="str">
        <f t="shared" si="42"/>
        <v/>
      </c>
      <c r="J1380" s="56" t="str">
        <f t="shared" si="43"/>
        <v/>
      </c>
    </row>
    <row r="1381" spans="9:10" x14ac:dyDescent="0.25">
      <c r="I1381" t="str">
        <f t="shared" si="42"/>
        <v/>
      </c>
      <c r="J1381" s="56" t="str">
        <f t="shared" si="43"/>
        <v/>
      </c>
    </row>
    <row r="1382" spans="9:10" x14ac:dyDescent="0.25">
      <c r="I1382" t="str">
        <f t="shared" si="42"/>
        <v/>
      </c>
      <c r="J1382" s="56" t="str">
        <f t="shared" si="43"/>
        <v/>
      </c>
    </row>
    <row r="1383" spans="9:10" x14ac:dyDescent="0.25">
      <c r="I1383" t="str">
        <f t="shared" si="42"/>
        <v/>
      </c>
      <c r="J1383" s="56" t="str">
        <f t="shared" si="43"/>
        <v/>
      </c>
    </row>
    <row r="1384" spans="9:10" x14ac:dyDescent="0.25">
      <c r="I1384" t="str">
        <f t="shared" si="42"/>
        <v/>
      </c>
      <c r="J1384" s="56" t="str">
        <f t="shared" si="43"/>
        <v/>
      </c>
    </row>
    <row r="1385" spans="9:10" x14ac:dyDescent="0.25">
      <c r="I1385" t="str">
        <f t="shared" si="42"/>
        <v/>
      </c>
      <c r="J1385" s="56" t="str">
        <f t="shared" si="43"/>
        <v/>
      </c>
    </row>
    <row r="1386" spans="9:10" x14ac:dyDescent="0.25">
      <c r="I1386" t="str">
        <f t="shared" si="42"/>
        <v/>
      </c>
      <c r="J1386" s="56" t="str">
        <f t="shared" si="43"/>
        <v/>
      </c>
    </row>
    <row r="1387" spans="9:10" x14ac:dyDescent="0.25">
      <c r="I1387" t="str">
        <f t="shared" si="42"/>
        <v/>
      </c>
      <c r="J1387" s="56" t="str">
        <f t="shared" si="43"/>
        <v/>
      </c>
    </row>
    <row r="1388" spans="9:10" x14ac:dyDescent="0.25">
      <c r="I1388" t="str">
        <f t="shared" si="42"/>
        <v/>
      </c>
      <c r="J1388" s="56" t="str">
        <f t="shared" si="43"/>
        <v/>
      </c>
    </row>
    <row r="1389" spans="9:10" x14ac:dyDescent="0.25">
      <c r="I1389" t="str">
        <f t="shared" si="42"/>
        <v/>
      </c>
      <c r="J1389" s="56" t="str">
        <f t="shared" si="43"/>
        <v/>
      </c>
    </row>
    <row r="1390" spans="9:10" x14ac:dyDescent="0.25">
      <c r="I1390" t="str">
        <f t="shared" si="42"/>
        <v/>
      </c>
      <c r="J1390" s="56" t="str">
        <f t="shared" si="43"/>
        <v/>
      </c>
    </row>
    <row r="1391" spans="9:10" x14ac:dyDescent="0.25">
      <c r="I1391" t="str">
        <f t="shared" si="42"/>
        <v/>
      </c>
      <c r="J1391" s="56" t="str">
        <f t="shared" si="43"/>
        <v/>
      </c>
    </row>
    <row r="1392" spans="9:10" x14ac:dyDescent="0.25">
      <c r="I1392" t="str">
        <f t="shared" si="42"/>
        <v/>
      </c>
      <c r="J1392" s="56" t="str">
        <f t="shared" si="43"/>
        <v/>
      </c>
    </row>
    <row r="1393" spans="9:10" x14ac:dyDescent="0.25">
      <c r="I1393" t="str">
        <f t="shared" si="42"/>
        <v/>
      </c>
      <c r="J1393" s="56" t="str">
        <f t="shared" si="43"/>
        <v/>
      </c>
    </row>
    <row r="1394" spans="9:10" x14ac:dyDescent="0.25">
      <c r="I1394" t="str">
        <f t="shared" si="42"/>
        <v/>
      </c>
      <c r="J1394" s="56" t="str">
        <f t="shared" si="43"/>
        <v/>
      </c>
    </row>
    <row r="1395" spans="9:10" x14ac:dyDescent="0.25">
      <c r="I1395" t="str">
        <f t="shared" si="42"/>
        <v/>
      </c>
      <c r="J1395" s="56" t="str">
        <f t="shared" si="43"/>
        <v/>
      </c>
    </row>
    <row r="1396" spans="9:10" x14ac:dyDescent="0.25">
      <c r="I1396" t="str">
        <f t="shared" si="42"/>
        <v/>
      </c>
      <c r="J1396" s="56" t="str">
        <f t="shared" si="43"/>
        <v/>
      </c>
    </row>
    <row r="1397" spans="9:10" x14ac:dyDescent="0.25">
      <c r="I1397" t="str">
        <f t="shared" si="42"/>
        <v/>
      </c>
      <c r="J1397" s="56" t="str">
        <f t="shared" si="43"/>
        <v/>
      </c>
    </row>
    <row r="1398" spans="9:10" x14ac:dyDescent="0.25">
      <c r="I1398" t="str">
        <f t="shared" si="42"/>
        <v/>
      </c>
      <c r="J1398" s="56" t="str">
        <f t="shared" si="43"/>
        <v/>
      </c>
    </row>
    <row r="1399" spans="9:10" x14ac:dyDescent="0.25">
      <c r="I1399" t="str">
        <f t="shared" si="42"/>
        <v/>
      </c>
      <c r="J1399" s="56" t="str">
        <f t="shared" si="43"/>
        <v/>
      </c>
    </row>
    <row r="1400" spans="9:10" x14ac:dyDescent="0.25">
      <c r="I1400" t="str">
        <f t="shared" si="42"/>
        <v/>
      </c>
      <c r="J1400" s="56" t="str">
        <f t="shared" si="43"/>
        <v/>
      </c>
    </row>
    <row r="1401" spans="9:10" x14ac:dyDescent="0.25">
      <c r="I1401" t="str">
        <f t="shared" si="42"/>
        <v/>
      </c>
      <c r="J1401" s="56" t="str">
        <f t="shared" si="43"/>
        <v/>
      </c>
    </row>
    <row r="1402" spans="9:10" x14ac:dyDescent="0.25">
      <c r="I1402" t="str">
        <f t="shared" si="42"/>
        <v/>
      </c>
      <c r="J1402" s="56" t="str">
        <f t="shared" si="43"/>
        <v/>
      </c>
    </row>
    <row r="1403" spans="9:10" x14ac:dyDescent="0.25">
      <c r="I1403" t="str">
        <f t="shared" si="42"/>
        <v/>
      </c>
      <c r="J1403" s="56" t="str">
        <f t="shared" si="43"/>
        <v/>
      </c>
    </row>
    <row r="1404" spans="9:10" x14ac:dyDescent="0.25">
      <c r="I1404" t="str">
        <f t="shared" si="42"/>
        <v/>
      </c>
      <c r="J1404" s="56" t="str">
        <f t="shared" si="43"/>
        <v/>
      </c>
    </row>
    <row r="1405" spans="9:10" x14ac:dyDescent="0.25">
      <c r="I1405" t="str">
        <f t="shared" si="42"/>
        <v/>
      </c>
      <c r="J1405" s="56" t="str">
        <f t="shared" si="43"/>
        <v/>
      </c>
    </row>
    <row r="1406" spans="9:10" x14ac:dyDescent="0.25">
      <c r="I1406" t="str">
        <f t="shared" si="42"/>
        <v/>
      </c>
      <c r="J1406" s="56" t="str">
        <f t="shared" si="43"/>
        <v/>
      </c>
    </row>
    <row r="1407" spans="9:10" x14ac:dyDescent="0.25">
      <c r="I1407" t="str">
        <f t="shared" si="42"/>
        <v/>
      </c>
      <c r="J1407" s="56" t="str">
        <f t="shared" si="43"/>
        <v/>
      </c>
    </row>
    <row r="1408" spans="9:10" x14ac:dyDescent="0.25">
      <c r="I1408" t="str">
        <f t="shared" si="42"/>
        <v/>
      </c>
      <c r="J1408" s="56" t="str">
        <f t="shared" si="43"/>
        <v/>
      </c>
    </row>
    <row r="1409" spans="9:10" x14ac:dyDescent="0.25">
      <c r="I1409" t="str">
        <f t="shared" si="42"/>
        <v/>
      </c>
      <c r="J1409" s="56" t="str">
        <f t="shared" si="43"/>
        <v/>
      </c>
    </row>
    <row r="1410" spans="9:10" x14ac:dyDescent="0.25">
      <c r="I1410" t="str">
        <f t="shared" si="42"/>
        <v/>
      </c>
      <c r="J1410" s="56" t="str">
        <f t="shared" si="43"/>
        <v/>
      </c>
    </row>
    <row r="1411" spans="9:10" x14ac:dyDescent="0.25">
      <c r="I1411" t="str">
        <f t="shared" ref="I1411:I1474" si="44">IF($A1411="","",RIGHT($E1411,LEN($E1411)-SEARCH(".",$E1411)))</f>
        <v/>
      </c>
      <c r="J1411" s="56" t="str">
        <f t="shared" ref="J1411:J1474" si="45">IF($A1411="","",$G1411)</f>
        <v/>
      </c>
    </row>
    <row r="1412" spans="9:10" x14ac:dyDescent="0.25">
      <c r="I1412" t="str">
        <f t="shared" si="44"/>
        <v/>
      </c>
      <c r="J1412" s="56" t="str">
        <f t="shared" si="45"/>
        <v/>
      </c>
    </row>
    <row r="1413" spans="9:10" x14ac:dyDescent="0.25">
      <c r="I1413" t="str">
        <f t="shared" si="44"/>
        <v/>
      </c>
      <c r="J1413" s="56" t="str">
        <f t="shared" si="45"/>
        <v/>
      </c>
    </row>
    <row r="1414" spans="9:10" x14ac:dyDescent="0.25">
      <c r="I1414" t="str">
        <f t="shared" si="44"/>
        <v/>
      </c>
      <c r="J1414" s="56" t="str">
        <f t="shared" si="45"/>
        <v/>
      </c>
    </row>
    <row r="1415" spans="9:10" x14ac:dyDescent="0.25">
      <c r="I1415" t="str">
        <f t="shared" si="44"/>
        <v/>
      </c>
      <c r="J1415" s="56" t="str">
        <f t="shared" si="45"/>
        <v/>
      </c>
    </row>
    <row r="1416" spans="9:10" x14ac:dyDescent="0.25">
      <c r="I1416" t="str">
        <f t="shared" si="44"/>
        <v/>
      </c>
      <c r="J1416" s="56" t="str">
        <f t="shared" si="45"/>
        <v/>
      </c>
    </row>
    <row r="1417" spans="9:10" x14ac:dyDescent="0.25">
      <c r="I1417" t="str">
        <f t="shared" si="44"/>
        <v/>
      </c>
      <c r="J1417" s="56" t="str">
        <f t="shared" si="45"/>
        <v/>
      </c>
    </row>
    <row r="1418" spans="9:10" x14ac:dyDescent="0.25">
      <c r="I1418" t="str">
        <f t="shared" si="44"/>
        <v/>
      </c>
      <c r="J1418" s="56" t="str">
        <f t="shared" si="45"/>
        <v/>
      </c>
    </row>
    <row r="1419" spans="9:10" x14ac:dyDescent="0.25">
      <c r="I1419" t="str">
        <f t="shared" si="44"/>
        <v/>
      </c>
      <c r="J1419" s="56" t="str">
        <f t="shared" si="45"/>
        <v/>
      </c>
    </row>
    <row r="1420" spans="9:10" x14ac:dyDescent="0.25">
      <c r="I1420" t="str">
        <f t="shared" si="44"/>
        <v/>
      </c>
      <c r="J1420" s="56" t="str">
        <f t="shared" si="45"/>
        <v/>
      </c>
    </row>
    <row r="1421" spans="9:10" x14ac:dyDescent="0.25">
      <c r="I1421" t="str">
        <f t="shared" si="44"/>
        <v/>
      </c>
      <c r="J1421" s="56" t="str">
        <f t="shared" si="45"/>
        <v/>
      </c>
    </row>
    <row r="1422" spans="9:10" x14ac:dyDescent="0.25">
      <c r="I1422" t="str">
        <f t="shared" si="44"/>
        <v/>
      </c>
      <c r="J1422" s="56" t="str">
        <f t="shared" si="45"/>
        <v/>
      </c>
    </row>
    <row r="1423" spans="9:10" x14ac:dyDescent="0.25">
      <c r="I1423" t="str">
        <f t="shared" si="44"/>
        <v/>
      </c>
      <c r="J1423" s="56" t="str">
        <f t="shared" si="45"/>
        <v/>
      </c>
    </row>
    <row r="1424" spans="9:10" x14ac:dyDescent="0.25">
      <c r="I1424" t="str">
        <f t="shared" si="44"/>
        <v/>
      </c>
      <c r="J1424" s="56" t="str">
        <f t="shared" si="45"/>
        <v/>
      </c>
    </row>
    <row r="1425" spans="9:10" x14ac:dyDescent="0.25">
      <c r="I1425" t="str">
        <f t="shared" si="44"/>
        <v/>
      </c>
      <c r="J1425" s="56" t="str">
        <f t="shared" si="45"/>
        <v/>
      </c>
    </row>
    <row r="1426" spans="9:10" x14ac:dyDescent="0.25">
      <c r="I1426" t="str">
        <f t="shared" si="44"/>
        <v/>
      </c>
      <c r="J1426" s="56" t="str">
        <f t="shared" si="45"/>
        <v/>
      </c>
    </row>
    <row r="1427" spans="9:10" x14ac:dyDescent="0.25">
      <c r="I1427" t="str">
        <f t="shared" si="44"/>
        <v/>
      </c>
      <c r="J1427" s="56" t="str">
        <f t="shared" si="45"/>
        <v/>
      </c>
    </row>
    <row r="1428" spans="9:10" x14ac:dyDescent="0.25">
      <c r="I1428" t="str">
        <f t="shared" si="44"/>
        <v/>
      </c>
      <c r="J1428" s="56" t="str">
        <f t="shared" si="45"/>
        <v/>
      </c>
    </row>
    <row r="1429" spans="9:10" x14ac:dyDescent="0.25">
      <c r="I1429" t="str">
        <f t="shared" si="44"/>
        <v/>
      </c>
      <c r="J1429" s="56" t="str">
        <f t="shared" si="45"/>
        <v/>
      </c>
    </row>
    <row r="1430" spans="9:10" x14ac:dyDescent="0.25">
      <c r="I1430" t="str">
        <f t="shared" si="44"/>
        <v/>
      </c>
      <c r="J1430" s="56" t="str">
        <f t="shared" si="45"/>
        <v/>
      </c>
    </row>
    <row r="1431" spans="9:10" x14ac:dyDescent="0.25">
      <c r="I1431" t="str">
        <f t="shared" si="44"/>
        <v/>
      </c>
      <c r="J1431" s="56" t="str">
        <f t="shared" si="45"/>
        <v/>
      </c>
    </row>
    <row r="1432" spans="9:10" x14ac:dyDescent="0.25">
      <c r="I1432" t="str">
        <f t="shared" si="44"/>
        <v/>
      </c>
      <c r="J1432" s="56" t="str">
        <f t="shared" si="45"/>
        <v/>
      </c>
    </row>
    <row r="1433" spans="9:10" x14ac:dyDescent="0.25">
      <c r="I1433" t="str">
        <f t="shared" si="44"/>
        <v/>
      </c>
      <c r="J1433" s="56" t="str">
        <f t="shared" si="45"/>
        <v/>
      </c>
    </row>
    <row r="1434" spans="9:10" x14ac:dyDescent="0.25">
      <c r="I1434" t="str">
        <f t="shared" si="44"/>
        <v/>
      </c>
      <c r="J1434" s="56" t="str">
        <f t="shared" si="45"/>
        <v/>
      </c>
    </row>
    <row r="1435" spans="9:10" x14ac:dyDescent="0.25">
      <c r="I1435" t="str">
        <f t="shared" si="44"/>
        <v/>
      </c>
      <c r="J1435" s="56" t="str">
        <f t="shared" si="45"/>
        <v/>
      </c>
    </row>
    <row r="1436" spans="9:10" x14ac:dyDescent="0.25">
      <c r="I1436" t="str">
        <f t="shared" si="44"/>
        <v/>
      </c>
      <c r="J1436" s="56" t="str">
        <f t="shared" si="45"/>
        <v/>
      </c>
    </row>
    <row r="1437" spans="9:10" x14ac:dyDescent="0.25">
      <c r="I1437" t="str">
        <f t="shared" si="44"/>
        <v/>
      </c>
      <c r="J1437" s="56" t="str">
        <f t="shared" si="45"/>
        <v/>
      </c>
    </row>
    <row r="1438" spans="9:10" x14ac:dyDescent="0.25">
      <c r="I1438" t="str">
        <f t="shared" si="44"/>
        <v/>
      </c>
      <c r="J1438" s="56" t="str">
        <f t="shared" si="45"/>
        <v/>
      </c>
    </row>
    <row r="1439" spans="9:10" x14ac:dyDescent="0.25">
      <c r="I1439" t="str">
        <f t="shared" si="44"/>
        <v/>
      </c>
      <c r="J1439" s="56" t="str">
        <f t="shared" si="45"/>
        <v/>
      </c>
    </row>
    <row r="1440" spans="9:10" x14ac:dyDescent="0.25">
      <c r="I1440" t="str">
        <f t="shared" si="44"/>
        <v/>
      </c>
      <c r="J1440" s="56" t="str">
        <f t="shared" si="45"/>
        <v/>
      </c>
    </row>
    <row r="1441" spans="9:10" x14ac:dyDescent="0.25">
      <c r="I1441" t="str">
        <f t="shared" si="44"/>
        <v/>
      </c>
      <c r="J1441" s="56" t="str">
        <f t="shared" si="45"/>
        <v/>
      </c>
    </row>
    <row r="1442" spans="9:10" x14ac:dyDescent="0.25">
      <c r="I1442" t="str">
        <f t="shared" si="44"/>
        <v/>
      </c>
      <c r="J1442" s="56" t="str">
        <f t="shared" si="45"/>
        <v/>
      </c>
    </row>
    <row r="1443" spans="9:10" x14ac:dyDescent="0.25">
      <c r="I1443" t="str">
        <f t="shared" si="44"/>
        <v/>
      </c>
      <c r="J1443" s="56" t="str">
        <f t="shared" si="45"/>
        <v/>
      </c>
    </row>
    <row r="1444" spans="9:10" x14ac:dyDescent="0.25">
      <c r="I1444" t="str">
        <f t="shared" si="44"/>
        <v/>
      </c>
      <c r="J1444" s="56" t="str">
        <f t="shared" si="45"/>
        <v/>
      </c>
    </row>
    <row r="1445" spans="9:10" x14ac:dyDescent="0.25">
      <c r="I1445" t="str">
        <f t="shared" si="44"/>
        <v/>
      </c>
      <c r="J1445" s="56" t="str">
        <f t="shared" si="45"/>
        <v/>
      </c>
    </row>
    <row r="1446" spans="9:10" x14ac:dyDescent="0.25">
      <c r="I1446" t="str">
        <f t="shared" si="44"/>
        <v/>
      </c>
      <c r="J1446" s="56" t="str">
        <f t="shared" si="45"/>
        <v/>
      </c>
    </row>
    <row r="1447" spans="9:10" x14ac:dyDescent="0.25">
      <c r="I1447" t="str">
        <f t="shared" si="44"/>
        <v/>
      </c>
      <c r="J1447" s="56" t="str">
        <f t="shared" si="45"/>
        <v/>
      </c>
    </row>
    <row r="1448" spans="9:10" x14ac:dyDescent="0.25">
      <c r="I1448" t="str">
        <f t="shared" si="44"/>
        <v/>
      </c>
      <c r="J1448" s="56" t="str">
        <f t="shared" si="45"/>
        <v/>
      </c>
    </row>
    <row r="1449" spans="9:10" x14ac:dyDescent="0.25">
      <c r="I1449" t="str">
        <f t="shared" si="44"/>
        <v/>
      </c>
      <c r="J1449" s="56" t="str">
        <f t="shared" si="45"/>
        <v/>
      </c>
    </row>
    <row r="1450" spans="9:10" x14ac:dyDescent="0.25">
      <c r="I1450" t="str">
        <f t="shared" si="44"/>
        <v/>
      </c>
      <c r="J1450" s="56" t="str">
        <f t="shared" si="45"/>
        <v/>
      </c>
    </row>
    <row r="1451" spans="9:10" x14ac:dyDescent="0.25">
      <c r="I1451" t="str">
        <f t="shared" si="44"/>
        <v/>
      </c>
      <c r="J1451" s="56" t="str">
        <f t="shared" si="45"/>
        <v/>
      </c>
    </row>
    <row r="1452" spans="9:10" x14ac:dyDescent="0.25">
      <c r="I1452" t="str">
        <f t="shared" si="44"/>
        <v/>
      </c>
      <c r="J1452" s="56" t="str">
        <f t="shared" si="45"/>
        <v/>
      </c>
    </row>
    <row r="1453" spans="9:10" x14ac:dyDescent="0.25">
      <c r="I1453" t="str">
        <f t="shared" si="44"/>
        <v/>
      </c>
      <c r="J1453" s="56" t="str">
        <f t="shared" si="45"/>
        <v/>
      </c>
    </row>
    <row r="1454" spans="9:10" x14ac:dyDescent="0.25">
      <c r="I1454" t="str">
        <f t="shared" si="44"/>
        <v/>
      </c>
      <c r="J1454" s="56" t="str">
        <f t="shared" si="45"/>
        <v/>
      </c>
    </row>
    <row r="1455" spans="9:10" x14ac:dyDescent="0.25">
      <c r="I1455" t="str">
        <f t="shared" si="44"/>
        <v/>
      </c>
      <c r="J1455" s="56" t="str">
        <f t="shared" si="45"/>
        <v/>
      </c>
    </row>
    <row r="1456" spans="9:10" x14ac:dyDescent="0.25">
      <c r="I1456" t="str">
        <f t="shared" si="44"/>
        <v/>
      </c>
      <c r="J1456" s="56" t="str">
        <f t="shared" si="45"/>
        <v/>
      </c>
    </row>
    <row r="1457" spans="9:10" x14ac:dyDescent="0.25">
      <c r="I1457" t="str">
        <f t="shared" si="44"/>
        <v/>
      </c>
      <c r="J1457" s="56" t="str">
        <f t="shared" si="45"/>
        <v/>
      </c>
    </row>
    <row r="1458" spans="9:10" x14ac:dyDescent="0.25">
      <c r="I1458" t="str">
        <f t="shared" si="44"/>
        <v/>
      </c>
      <c r="J1458" s="56" t="str">
        <f t="shared" si="45"/>
        <v/>
      </c>
    </row>
    <row r="1459" spans="9:10" x14ac:dyDescent="0.25">
      <c r="I1459" t="str">
        <f t="shared" si="44"/>
        <v/>
      </c>
      <c r="J1459" s="56" t="str">
        <f t="shared" si="45"/>
        <v/>
      </c>
    </row>
    <row r="1460" spans="9:10" x14ac:dyDescent="0.25">
      <c r="I1460" t="str">
        <f t="shared" si="44"/>
        <v/>
      </c>
      <c r="J1460" s="56" t="str">
        <f t="shared" si="45"/>
        <v/>
      </c>
    </row>
    <row r="1461" spans="9:10" x14ac:dyDescent="0.25">
      <c r="I1461" t="str">
        <f t="shared" si="44"/>
        <v/>
      </c>
      <c r="J1461" s="56" t="str">
        <f t="shared" si="45"/>
        <v/>
      </c>
    </row>
    <row r="1462" spans="9:10" x14ac:dyDescent="0.25">
      <c r="I1462" t="str">
        <f t="shared" si="44"/>
        <v/>
      </c>
      <c r="J1462" s="56" t="str">
        <f t="shared" si="45"/>
        <v/>
      </c>
    </row>
    <row r="1463" spans="9:10" x14ac:dyDescent="0.25">
      <c r="I1463" t="str">
        <f t="shared" si="44"/>
        <v/>
      </c>
      <c r="J1463" s="56" t="str">
        <f t="shared" si="45"/>
        <v/>
      </c>
    </row>
    <row r="1464" spans="9:10" x14ac:dyDescent="0.25">
      <c r="I1464" t="str">
        <f t="shared" si="44"/>
        <v/>
      </c>
      <c r="J1464" s="56" t="str">
        <f t="shared" si="45"/>
        <v/>
      </c>
    </row>
    <row r="1465" spans="9:10" x14ac:dyDescent="0.25">
      <c r="I1465" t="str">
        <f t="shared" si="44"/>
        <v/>
      </c>
      <c r="J1465" s="56" t="str">
        <f t="shared" si="45"/>
        <v/>
      </c>
    </row>
    <row r="1466" spans="9:10" x14ac:dyDescent="0.25">
      <c r="I1466" t="str">
        <f t="shared" si="44"/>
        <v/>
      </c>
      <c r="J1466" s="56" t="str">
        <f t="shared" si="45"/>
        <v/>
      </c>
    </row>
    <row r="1467" spans="9:10" x14ac:dyDescent="0.25">
      <c r="I1467" t="str">
        <f t="shared" si="44"/>
        <v/>
      </c>
      <c r="J1467" s="56" t="str">
        <f t="shared" si="45"/>
        <v/>
      </c>
    </row>
    <row r="1468" spans="9:10" x14ac:dyDescent="0.25">
      <c r="I1468" t="str">
        <f t="shared" si="44"/>
        <v/>
      </c>
      <c r="J1468" s="56" t="str">
        <f t="shared" si="45"/>
        <v/>
      </c>
    </row>
    <row r="1469" spans="9:10" x14ac:dyDescent="0.25">
      <c r="I1469" t="str">
        <f t="shared" si="44"/>
        <v/>
      </c>
      <c r="J1469" s="56" t="str">
        <f t="shared" si="45"/>
        <v/>
      </c>
    </row>
    <row r="1470" spans="9:10" x14ac:dyDescent="0.25">
      <c r="I1470" t="str">
        <f t="shared" si="44"/>
        <v/>
      </c>
      <c r="J1470" s="56" t="str">
        <f t="shared" si="45"/>
        <v/>
      </c>
    </row>
    <row r="1471" spans="9:10" x14ac:dyDescent="0.25">
      <c r="I1471" t="str">
        <f t="shared" si="44"/>
        <v/>
      </c>
      <c r="J1471" s="56" t="str">
        <f t="shared" si="45"/>
        <v/>
      </c>
    </row>
    <row r="1472" spans="9:10" x14ac:dyDescent="0.25">
      <c r="I1472" t="str">
        <f t="shared" si="44"/>
        <v/>
      </c>
      <c r="J1472" s="56" t="str">
        <f t="shared" si="45"/>
        <v/>
      </c>
    </row>
    <row r="1473" spans="9:10" x14ac:dyDescent="0.25">
      <c r="I1473" t="str">
        <f t="shared" si="44"/>
        <v/>
      </c>
      <c r="J1473" s="56" t="str">
        <f t="shared" si="45"/>
        <v/>
      </c>
    </row>
    <row r="1474" spans="9:10" x14ac:dyDescent="0.25">
      <c r="I1474" t="str">
        <f t="shared" si="44"/>
        <v/>
      </c>
      <c r="J1474" s="56" t="str">
        <f t="shared" si="45"/>
        <v/>
      </c>
    </row>
    <row r="1475" spans="9:10" x14ac:dyDescent="0.25">
      <c r="I1475" t="str">
        <f t="shared" ref="I1475:I1538" si="46">IF($A1475="","",RIGHT($E1475,LEN($E1475)-SEARCH(".",$E1475)))</f>
        <v/>
      </c>
      <c r="J1475" s="56" t="str">
        <f t="shared" ref="J1475:J1538" si="47">IF($A1475="","",$G1475)</f>
        <v/>
      </c>
    </row>
    <row r="1476" spans="9:10" x14ac:dyDescent="0.25">
      <c r="I1476" t="str">
        <f t="shared" si="46"/>
        <v/>
      </c>
      <c r="J1476" s="56" t="str">
        <f t="shared" si="47"/>
        <v/>
      </c>
    </row>
    <row r="1477" spans="9:10" x14ac:dyDescent="0.25">
      <c r="I1477" t="str">
        <f t="shared" si="46"/>
        <v/>
      </c>
      <c r="J1477" s="56" t="str">
        <f t="shared" si="47"/>
        <v/>
      </c>
    </row>
    <row r="1478" spans="9:10" x14ac:dyDescent="0.25">
      <c r="I1478" t="str">
        <f t="shared" si="46"/>
        <v/>
      </c>
      <c r="J1478" s="56" t="str">
        <f t="shared" si="47"/>
        <v/>
      </c>
    </row>
    <row r="1479" spans="9:10" x14ac:dyDescent="0.25">
      <c r="I1479" t="str">
        <f t="shared" si="46"/>
        <v/>
      </c>
      <c r="J1479" s="56" t="str">
        <f t="shared" si="47"/>
        <v/>
      </c>
    </row>
    <row r="1480" spans="9:10" x14ac:dyDescent="0.25">
      <c r="I1480" t="str">
        <f t="shared" si="46"/>
        <v/>
      </c>
      <c r="J1480" s="56" t="str">
        <f t="shared" si="47"/>
        <v/>
      </c>
    </row>
    <row r="1481" spans="9:10" x14ac:dyDescent="0.25">
      <c r="I1481" t="str">
        <f t="shared" si="46"/>
        <v/>
      </c>
      <c r="J1481" s="56" t="str">
        <f t="shared" si="47"/>
        <v/>
      </c>
    </row>
    <row r="1482" spans="9:10" x14ac:dyDescent="0.25">
      <c r="I1482" t="str">
        <f t="shared" si="46"/>
        <v/>
      </c>
      <c r="J1482" s="56" t="str">
        <f t="shared" si="47"/>
        <v/>
      </c>
    </row>
    <row r="1483" spans="9:10" x14ac:dyDescent="0.25">
      <c r="I1483" t="str">
        <f t="shared" si="46"/>
        <v/>
      </c>
      <c r="J1483" s="56" t="str">
        <f t="shared" si="47"/>
        <v/>
      </c>
    </row>
    <row r="1484" spans="9:10" x14ac:dyDescent="0.25">
      <c r="I1484" t="str">
        <f t="shared" si="46"/>
        <v/>
      </c>
      <c r="J1484" s="56" t="str">
        <f t="shared" si="47"/>
        <v/>
      </c>
    </row>
    <row r="1485" spans="9:10" x14ac:dyDescent="0.25">
      <c r="I1485" t="str">
        <f t="shared" si="46"/>
        <v/>
      </c>
      <c r="J1485" s="56" t="str">
        <f t="shared" si="47"/>
        <v/>
      </c>
    </row>
    <row r="1486" spans="9:10" x14ac:dyDescent="0.25">
      <c r="I1486" t="str">
        <f t="shared" si="46"/>
        <v/>
      </c>
      <c r="J1486" s="56" t="str">
        <f t="shared" si="47"/>
        <v/>
      </c>
    </row>
    <row r="1487" spans="9:10" x14ac:dyDescent="0.25">
      <c r="I1487" t="str">
        <f t="shared" si="46"/>
        <v/>
      </c>
      <c r="J1487" s="56" t="str">
        <f t="shared" si="47"/>
        <v/>
      </c>
    </row>
    <row r="1488" spans="9:10" x14ac:dyDescent="0.25">
      <c r="I1488" t="str">
        <f t="shared" si="46"/>
        <v/>
      </c>
      <c r="J1488" s="56" t="str">
        <f t="shared" si="47"/>
        <v/>
      </c>
    </row>
    <row r="1489" spans="9:10" x14ac:dyDescent="0.25">
      <c r="I1489" t="str">
        <f t="shared" si="46"/>
        <v/>
      </c>
      <c r="J1489" s="56" t="str">
        <f t="shared" si="47"/>
        <v/>
      </c>
    </row>
    <row r="1490" spans="9:10" x14ac:dyDescent="0.25">
      <c r="I1490" t="str">
        <f t="shared" si="46"/>
        <v/>
      </c>
      <c r="J1490" s="56" t="str">
        <f t="shared" si="47"/>
        <v/>
      </c>
    </row>
    <row r="1491" spans="9:10" x14ac:dyDescent="0.25">
      <c r="I1491" t="str">
        <f t="shared" si="46"/>
        <v/>
      </c>
      <c r="J1491" s="56" t="str">
        <f t="shared" si="47"/>
        <v/>
      </c>
    </row>
    <row r="1492" spans="9:10" x14ac:dyDescent="0.25">
      <c r="I1492" t="str">
        <f t="shared" si="46"/>
        <v/>
      </c>
      <c r="J1492" s="56" t="str">
        <f t="shared" si="47"/>
        <v/>
      </c>
    </row>
    <row r="1493" spans="9:10" x14ac:dyDescent="0.25">
      <c r="I1493" t="str">
        <f t="shared" si="46"/>
        <v/>
      </c>
      <c r="J1493" s="56" t="str">
        <f t="shared" si="47"/>
        <v/>
      </c>
    </row>
    <row r="1494" spans="9:10" x14ac:dyDescent="0.25">
      <c r="I1494" t="str">
        <f t="shared" si="46"/>
        <v/>
      </c>
      <c r="J1494" s="56" t="str">
        <f t="shared" si="47"/>
        <v/>
      </c>
    </row>
    <row r="1495" spans="9:10" x14ac:dyDescent="0.25">
      <c r="I1495" t="str">
        <f t="shared" si="46"/>
        <v/>
      </c>
      <c r="J1495" s="56" t="str">
        <f t="shared" si="47"/>
        <v/>
      </c>
    </row>
    <row r="1496" spans="9:10" x14ac:dyDescent="0.25">
      <c r="I1496" t="str">
        <f t="shared" si="46"/>
        <v/>
      </c>
      <c r="J1496" s="56" t="str">
        <f t="shared" si="47"/>
        <v/>
      </c>
    </row>
    <row r="1497" spans="9:10" x14ac:dyDescent="0.25">
      <c r="I1497" t="str">
        <f t="shared" si="46"/>
        <v/>
      </c>
      <c r="J1497" s="56" t="str">
        <f t="shared" si="47"/>
        <v/>
      </c>
    </row>
    <row r="1498" spans="9:10" x14ac:dyDescent="0.25">
      <c r="I1498" t="str">
        <f t="shared" si="46"/>
        <v/>
      </c>
      <c r="J1498" s="56" t="str">
        <f t="shared" si="47"/>
        <v/>
      </c>
    </row>
    <row r="1499" spans="9:10" x14ac:dyDescent="0.25">
      <c r="I1499" t="str">
        <f t="shared" si="46"/>
        <v/>
      </c>
      <c r="J1499" s="56" t="str">
        <f t="shared" si="47"/>
        <v/>
      </c>
    </row>
    <row r="1500" spans="9:10" x14ac:dyDescent="0.25">
      <c r="I1500" t="str">
        <f t="shared" si="46"/>
        <v/>
      </c>
      <c r="J1500" s="56" t="str">
        <f t="shared" si="47"/>
        <v/>
      </c>
    </row>
    <row r="1501" spans="9:10" x14ac:dyDescent="0.25">
      <c r="I1501" t="str">
        <f t="shared" si="46"/>
        <v/>
      </c>
      <c r="J1501" s="56" t="str">
        <f t="shared" si="47"/>
        <v/>
      </c>
    </row>
    <row r="1502" spans="9:10" x14ac:dyDescent="0.25">
      <c r="I1502" t="str">
        <f t="shared" si="46"/>
        <v/>
      </c>
      <c r="J1502" s="56" t="str">
        <f t="shared" si="47"/>
        <v/>
      </c>
    </row>
    <row r="1503" spans="9:10" x14ac:dyDescent="0.25">
      <c r="I1503" t="str">
        <f t="shared" si="46"/>
        <v/>
      </c>
      <c r="J1503" s="56" t="str">
        <f t="shared" si="47"/>
        <v/>
      </c>
    </row>
    <row r="1504" spans="9:10" x14ac:dyDescent="0.25">
      <c r="I1504" t="str">
        <f t="shared" si="46"/>
        <v/>
      </c>
      <c r="J1504" s="56" t="str">
        <f t="shared" si="47"/>
        <v/>
      </c>
    </row>
    <row r="1505" spans="9:10" x14ac:dyDescent="0.25">
      <c r="I1505" t="str">
        <f t="shared" si="46"/>
        <v/>
      </c>
      <c r="J1505" s="56" t="str">
        <f t="shared" si="47"/>
        <v/>
      </c>
    </row>
    <row r="1506" spans="9:10" x14ac:dyDescent="0.25">
      <c r="I1506" t="str">
        <f t="shared" si="46"/>
        <v/>
      </c>
      <c r="J1506" s="56" t="str">
        <f t="shared" si="47"/>
        <v/>
      </c>
    </row>
    <row r="1507" spans="9:10" x14ac:dyDescent="0.25">
      <c r="I1507" t="str">
        <f t="shared" si="46"/>
        <v/>
      </c>
      <c r="J1507" s="56" t="str">
        <f t="shared" si="47"/>
        <v/>
      </c>
    </row>
    <row r="1508" spans="9:10" x14ac:dyDescent="0.25">
      <c r="I1508" t="str">
        <f t="shared" si="46"/>
        <v/>
      </c>
      <c r="J1508" s="56" t="str">
        <f t="shared" si="47"/>
        <v/>
      </c>
    </row>
    <row r="1509" spans="9:10" x14ac:dyDescent="0.25">
      <c r="I1509" t="str">
        <f t="shared" si="46"/>
        <v/>
      </c>
      <c r="J1509" s="56" t="str">
        <f t="shared" si="47"/>
        <v/>
      </c>
    </row>
    <row r="1510" spans="9:10" x14ac:dyDescent="0.25">
      <c r="I1510" t="str">
        <f t="shared" si="46"/>
        <v/>
      </c>
      <c r="J1510" s="56" t="str">
        <f t="shared" si="47"/>
        <v/>
      </c>
    </row>
    <row r="1511" spans="9:10" x14ac:dyDescent="0.25">
      <c r="I1511" t="str">
        <f t="shared" si="46"/>
        <v/>
      </c>
      <c r="J1511" s="56" t="str">
        <f t="shared" si="47"/>
        <v/>
      </c>
    </row>
    <row r="1512" spans="9:10" x14ac:dyDescent="0.25">
      <c r="I1512" t="str">
        <f t="shared" si="46"/>
        <v/>
      </c>
      <c r="J1512" s="56" t="str">
        <f t="shared" si="47"/>
        <v/>
      </c>
    </row>
    <row r="1513" spans="9:10" x14ac:dyDescent="0.25">
      <c r="I1513" t="str">
        <f t="shared" si="46"/>
        <v/>
      </c>
      <c r="J1513" s="56" t="str">
        <f t="shared" si="47"/>
        <v/>
      </c>
    </row>
    <row r="1514" spans="9:10" x14ac:dyDescent="0.25">
      <c r="I1514" t="str">
        <f t="shared" si="46"/>
        <v/>
      </c>
      <c r="J1514" s="56" t="str">
        <f t="shared" si="47"/>
        <v/>
      </c>
    </row>
    <row r="1515" spans="9:10" x14ac:dyDescent="0.25">
      <c r="I1515" t="str">
        <f t="shared" si="46"/>
        <v/>
      </c>
      <c r="J1515" s="56" t="str">
        <f t="shared" si="47"/>
        <v/>
      </c>
    </row>
    <row r="1516" spans="9:10" x14ac:dyDescent="0.25">
      <c r="I1516" t="str">
        <f t="shared" si="46"/>
        <v/>
      </c>
      <c r="J1516" s="56" t="str">
        <f t="shared" si="47"/>
        <v/>
      </c>
    </row>
    <row r="1517" spans="9:10" x14ac:dyDescent="0.25">
      <c r="I1517" t="str">
        <f t="shared" si="46"/>
        <v/>
      </c>
      <c r="J1517" s="56" t="str">
        <f t="shared" si="47"/>
        <v/>
      </c>
    </row>
    <row r="1518" spans="9:10" x14ac:dyDescent="0.25">
      <c r="I1518" t="str">
        <f t="shared" si="46"/>
        <v/>
      </c>
      <c r="J1518" s="56" t="str">
        <f t="shared" si="47"/>
        <v/>
      </c>
    </row>
    <row r="1519" spans="9:10" x14ac:dyDescent="0.25">
      <c r="I1519" t="str">
        <f t="shared" si="46"/>
        <v/>
      </c>
      <c r="J1519" s="56" t="str">
        <f t="shared" si="47"/>
        <v/>
      </c>
    </row>
    <row r="1520" spans="9:10" x14ac:dyDescent="0.25">
      <c r="I1520" t="str">
        <f t="shared" si="46"/>
        <v/>
      </c>
      <c r="J1520" s="56" t="str">
        <f t="shared" si="47"/>
        <v/>
      </c>
    </row>
    <row r="1521" spans="9:10" x14ac:dyDescent="0.25">
      <c r="I1521" t="str">
        <f t="shared" si="46"/>
        <v/>
      </c>
      <c r="J1521" s="56" t="str">
        <f t="shared" si="47"/>
        <v/>
      </c>
    </row>
    <row r="1522" spans="9:10" x14ac:dyDescent="0.25">
      <c r="I1522" t="str">
        <f t="shared" si="46"/>
        <v/>
      </c>
      <c r="J1522" s="56" t="str">
        <f t="shared" si="47"/>
        <v/>
      </c>
    </row>
    <row r="1523" spans="9:10" x14ac:dyDescent="0.25">
      <c r="I1523" t="str">
        <f t="shared" si="46"/>
        <v/>
      </c>
      <c r="J1523" s="56" t="str">
        <f t="shared" si="47"/>
        <v/>
      </c>
    </row>
    <row r="1524" spans="9:10" x14ac:dyDescent="0.25">
      <c r="I1524" t="str">
        <f t="shared" si="46"/>
        <v/>
      </c>
      <c r="J1524" s="56" t="str">
        <f t="shared" si="47"/>
        <v/>
      </c>
    </row>
    <row r="1525" spans="9:10" x14ac:dyDescent="0.25">
      <c r="I1525" t="str">
        <f t="shared" si="46"/>
        <v/>
      </c>
      <c r="J1525" s="56" t="str">
        <f t="shared" si="47"/>
        <v/>
      </c>
    </row>
    <row r="1526" spans="9:10" x14ac:dyDescent="0.25">
      <c r="I1526" t="str">
        <f t="shared" si="46"/>
        <v/>
      </c>
      <c r="J1526" s="56" t="str">
        <f t="shared" si="47"/>
        <v/>
      </c>
    </row>
    <row r="1527" spans="9:10" x14ac:dyDescent="0.25">
      <c r="I1527" t="str">
        <f t="shared" si="46"/>
        <v/>
      </c>
      <c r="J1527" s="56" t="str">
        <f t="shared" si="47"/>
        <v/>
      </c>
    </row>
    <row r="1528" spans="9:10" x14ac:dyDescent="0.25">
      <c r="I1528" t="str">
        <f t="shared" si="46"/>
        <v/>
      </c>
      <c r="J1528" s="56" t="str">
        <f t="shared" si="47"/>
        <v/>
      </c>
    </row>
    <row r="1529" spans="9:10" x14ac:dyDescent="0.25">
      <c r="I1529" t="str">
        <f t="shared" si="46"/>
        <v/>
      </c>
      <c r="J1529" s="56" t="str">
        <f t="shared" si="47"/>
        <v/>
      </c>
    </row>
    <row r="1530" spans="9:10" x14ac:dyDescent="0.25">
      <c r="I1530" t="str">
        <f t="shared" si="46"/>
        <v/>
      </c>
      <c r="J1530" s="56" t="str">
        <f t="shared" si="47"/>
        <v/>
      </c>
    </row>
    <row r="1531" spans="9:10" x14ac:dyDescent="0.25">
      <c r="I1531" t="str">
        <f t="shared" si="46"/>
        <v/>
      </c>
      <c r="J1531" s="56" t="str">
        <f t="shared" si="47"/>
        <v/>
      </c>
    </row>
    <row r="1532" spans="9:10" x14ac:dyDescent="0.25">
      <c r="I1532" t="str">
        <f t="shared" si="46"/>
        <v/>
      </c>
      <c r="J1532" s="56" t="str">
        <f t="shared" si="47"/>
        <v/>
      </c>
    </row>
    <row r="1533" spans="9:10" x14ac:dyDescent="0.25">
      <c r="I1533" t="str">
        <f t="shared" si="46"/>
        <v/>
      </c>
      <c r="J1533" s="56" t="str">
        <f t="shared" si="47"/>
        <v/>
      </c>
    </row>
    <row r="1534" spans="9:10" x14ac:dyDescent="0.25">
      <c r="I1534" t="str">
        <f t="shared" si="46"/>
        <v/>
      </c>
      <c r="J1534" s="56" t="str">
        <f t="shared" si="47"/>
        <v/>
      </c>
    </row>
    <row r="1535" spans="9:10" x14ac:dyDescent="0.25">
      <c r="I1535" t="str">
        <f t="shared" si="46"/>
        <v/>
      </c>
      <c r="J1535" s="56" t="str">
        <f t="shared" si="47"/>
        <v/>
      </c>
    </row>
    <row r="1536" spans="9:10" x14ac:dyDescent="0.25">
      <c r="I1536" t="str">
        <f t="shared" si="46"/>
        <v/>
      </c>
      <c r="J1536" s="56" t="str">
        <f t="shared" si="47"/>
        <v/>
      </c>
    </row>
    <row r="1537" spans="9:10" x14ac:dyDescent="0.25">
      <c r="I1537" t="str">
        <f t="shared" si="46"/>
        <v/>
      </c>
      <c r="J1537" s="56" t="str">
        <f t="shared" si="47"/>
        <v/>
      </c>
    </row>
    <row r="1538" spans="9:10" x14ac:dyDescent="0.25">
      <c r="I1538" t="str">
        <f t="shared" si="46"/>
        <v/>
      </c>
      <c r="J1538" s="56" t="str">
        <f t="shared" si="47"/>
        <v/>
      </c>
    </row>
    <row r="1539" spans="9:10" x14ac:dyDescent="0.25">
      <c r="I1539" t="str">
        <f t="shared" ref="I1539:I1602" si="48">IF($A1539="","",RIGHT($E1539,LEN($E1539)-SEARCH(".",$E1539)))</f>
        <v/>
      </c>
      <c r="J1539" s="56" t="str">
        <f t="shared" ref="J1539:J1602" si="49">IF($A1539="","",$G1539)</f>
        <v/>
      </c>
    </row>
    <row r="1540" spans="9:10" x14ac:dyDescent="0.25">
      <c r="I1540" t="str">
        <f t="shared" si="48"/>
        <v/>
      </c>
      <c r="J1540" s="56" t="str">
        <f t="shared" si="49"/>
        <v/>
      </c>
    </row>
    <row r="1541" spans="9:10" x14ac:dyDescent="0.25">
      <c r="I1541" t="str">
        <f t="shared" si="48"/>
        <v/>
      </c>
      <c r="J1541" s="56" t="str">
        <f t="shared" si="49"/>
        <v/>
      </c>
    </row>
    <row r="1542" spans="9:10" x14ac:dyDescent="0.25">
      <c r="I1542" t="str">
        <f t="shared" si="48"/>
        <v/>
      </c>
      <c r="J1542" s="56" t="str">
        <f t="shared" si="49"/>
        <v/>
      </c>
    </row>
    <row r="1543" spans="9:10" x14ac:dyDescent="0.25">
      <c r="I1543" t="str">
        <f t="shared" si="48"/>
        <v/>
      </c>
      <c r="J1543" s="56" t="str">
        <f t="shared" si="49"/>
        <v/>
      </c>
    </row>
    <row r="1544" spans="9:10" x14ac:dyDescent="0.25">
      <c r="I1544" t="str">
        <f t="shared" si="48"/>
        <v/>
      </c>
      <c r="J1544" s="56" t="str">
        <f t="shared" si="49"/>
        <v/>
      </c>
    </row>
    <row r="1545" spans="9:10" x14ac:dyDescent="0.25">
      <c r="I1545" t="str">
        <f t="shared" si="48"/>
        <v/>
      </c>
      <c r="J1545" s="56" t="str">
        <f t="shared" si="49"/>
        <v/>
      </c>
    </row>
    <row r="1546" spans="9:10" x14ac:dyDescent="0.25">
      <c r="I1546" t="str">
        <f t="shared" si="48"/>
        <v/>
      </c>
      <c r="J1546" s="56" t="str">
        <f t="shared" si="49"/>
        <v/>
      </c>
    </row>
    <row r="1547" spans="9:10" x14ac:dyDescent="0.25">
      <c r="I1547" t="str">
        <f t="shared" si="48"/>
        <v/>
      </c>
      <c r="J1547" s="56" t="str">
        <f t="shared" si="49"/>
        <v/>
      </c>
    </row>
    <row r="1548" spans="9:10" x14ac:dyDescent="0.25">
      <c r="I1548" t="str">
        <f t="shared" si="48"/>
        <v/>
      </c>
      <c r="J1548" s="56" t="str">
        <f t="shared" si="49"/>
        <v/>
      </c>
    </row>
    <row r="1549" spans="9:10" x14ac:dyDescent="0.25">
      <c r="I1549" t="str">
        <f t="shared" si="48"/>
        <v/>
      </c>
      <c r="J1549" s="56" t="str">
        <f t="shared" si="49"/>
        <v/>
      </c>
    </row>
    <row r="1550" spans="9:10" x14ac:dyDescent="0.25">
      <c r="I1550" t="str">
        <f t="shared" si="48"/>
        <v/>
      </c>
      <c r="J1550" s="56" t="str">
        <f t="shared" si="49"/>
        <v/>
      </c>
    </row>
    <row r="1551" spans="9:10" x14ac:dyDescent="0.25">
      <c r="I1551" t="str">
        <f t="shared" si="48"/>
        <v/>
      </c>
      <c r="J1551" s="56" t="str">
        <f t="shared" si="49"/>
        <v/>
      </c>
    </row>
    <row r="1552" spans="9:10" x14ac:dyDescent="0.25">
      <c r="I1552" t="str">
        <f t="shared" si="48"/>
        <v/>
      </c>
      <c r="J1552" s="56" t="str">
        <f t="shared" si="49"/>
        <v/>
      </c>
    </row>
    <row r="1553" spans="9:10" x14ac:dyDescent="0.25">
      <c r="I1553" t="str">
        <f t="shared" si="48"/>
        <v/>
      </c>
      <c r="J1553" s="56" t="str">
        <f t="shared" si="49"/>
        <v/>
      </c>
    </row>
    <row r="1554" spans="9:10" x14ac:dyDescent="0.25">
      <c r="I1554" t="str">
        <f t="shared" si="48"/>
        <v/>
      </c>
      <c r="J1554" s="56" t="str">
        <f t="shared" si="49"/>
        <v/>
      </c>
    </row>
    <row r="1555" spans="9:10" x14ac:dyDescent="0.25">
      <c r="I1555" t="str">
        <f t="shared" si="48"/>
        <v/>
      </c>
      <c r="J1555" s="56" t="str">
        <f t="shared" si="49"/>
        <v/>
      </c>
    </row>
    <row r="1556" spans="9:10" x14ac:dyDescent="0.25">
      <c r="I1556" t="str">
        <f t="shared" si="48"/>
        <v/>
      </c>
      <c r="J1556" s="56" t="str">
        <f t="shared" si="49"/>
        <v/>
      </c>
    </row>
    <row r="1557" spans="9:10" x14ac:dyDescent="0.25">
      <c r="I1557" t="str">
        <f t="shared" si="48"/>
        <v/>
      </c>
      <c r="J1557" s="56" t="str">
        <f t="shared" si="49"/>
        <v/>
      </c>
    </row>
    <row r="1558" spans="9:10" x14ac:dyDescent="0.25">
      <c r="I1558" t="str">
        <f t="shared" si="48"/>
        <v/>
      </c>
      <c r="J1558" s="56" t="str">
        <f t="shared" si="49"/>
        <v/>
      </c>
    </row>
    <row r="1559" spans="9:10" x14ac:dyDescent="0.25">
      <c r="I1559" t="str">
        <f t="shared" si="48"/>
        <v/>
      </c>
      <c r="J1559" s="56" t="str">
        <f t="shared" si="49"/>
        <v/>
      </c>
    </row>
    <row r="1560" spans="9:10" x14ac:dyDescent="0.25">
      <c r="I1560" t="str">
        <f t="shared" si="48"/>
        <v/>
      </c>
      <c r="J1560" s="56" t="str">
        <f t="shared" si="49"/>
        <v/>
      </c>
    </row>
    <row r="1561" spans="9:10" x14ac:dyDescent="0.25">
      <c r="I1561" t="str">
        <f t="shared" si="48"/>
        <v/>
      </c>
      <c r="J1561" s="56" t="str">
        <f t="shared" si="49"/>
        <v/>
      </c>
    </row>
    <row r="1562" spans="9:10" x14ac:dyDescent="0.25">
      <c r="I1562" t="str">
        <f t="shared" si="48"/>
        <v/>
      </c>
      <c r="J1562" s="56" t="str">
        <f t="shared" si="49"/>
        <v/>
      </c>
    </row>
    <row r="1563" spans="9:10" x14ac:dyDescent="0.25">
      <c r="I1563" t="str">
        <f t="shared" si="48"/>
        <v/>
      </c>
      <c r="J1563" s="56" t="str">
        <f t="shared" si="49"/>
        <v/>
      </c>
    </row>
    <row r="1564" spans="9:10" x14ac:dyDescent="0.25">
      <c r="I1564" t="str">
        <f t="shared" si="48"/>
        <v/>
      </c>
      <c r="J1564" s="56" t="str">
        <f t="shared" si="49"/>
        <v/>
      </c>
    </row>
    <row r="1565" spans="9:10" x14ac:dyDescent="0.25">
      <c r="I1565" t="str">
        <f t="shared" si="48"/>
        <v/>
      </c>
      <c r="J1565" s="56" t="str">
        <f t="shared" si="49"/>
        <v/>
      </c>
    </row>
    <row r="1566" spans="9:10" x14ac:dyDescent="0.25">
      <c r="I1566" t="str">
        <f t="shared" si="48"/>
        <v/>
      </c>
      <c r="J1566" s="56" t="str">
        <f t="shared" si="49"/>
        <v/>
      </c>
    </row>
    <row r="1567" spans="9:10" x14ac:dyDescent="0.25">
      <c r="I1567" t="str">
        <f t="shared" si="48"/>
        <v/>
      </c>
      <c r="J1567" s="56" t="str">
        <f t="shared" si="49"/>
        <v/>
      </c>
    </row>
    <row r="1568" spans="9:10" x14ac:dyDescent="0.25">
      <c r="I1568" t="str">
        <f t="shared" si="48"/>
        <v/>
      </c>
      <c r="J1568" s="56" t="str">
        <f t="shared" si="49"/>
        <v/>
      </c>
    </row>
    <row r="1569" spans="9:10" x14ac:dyDescent="0.25">
      <c r="I1569" t="str">
        <f t="shared" si="48"/>
        <v/>
      </c>
      <c r="J1569" s="56" t="str">
        <f t="shared" si="49"/>
        <v/>
      </c>
    </row>
    <row r="1570" spans="9:10" x14ac:dyDescent="0.25">
      <c r="I1570" t="str">
        <f t="shared" si="48"/>
        <v/>
      </c>
      <c r="J1570" s="56" t="str">
        <f t="shared" si="49"/>
        <v/>
      </c>
    </row>
    <row r="1571" spans="9:10" x14ac:dyDescent="0.25">
      <c r="I1571" t="str">
        <f t="shared" si="48"/>
        <v/>
      </c>
      <c r="J1571" s="56" t="str">
        <f t="shared" si="49"/>
        <v/>
      </c>
    </row>
    <row r="1572" spans="9:10" x14ac:dyDescent="0.25">
      <c r="I1572" t="str">
        <f t="shared" si="48"/>
        <v/>
      </c>
      <c r="J1572" s="56" t="str">
        <f t="shared" si="49"/>
        <v/>
      </c>
    </row>
    <row r="1573" spans="9:10" x14ac:dyDescent="0.25">
      <c r="I1573" t="str">
        <f t="shared" si="48"/>
        <v/>
      </c>
      <c r="J1573" s="56" t="str">
        <f t="shared" si="49"/>
        <v/>
      </c>
    </row>
    <row r="1574" spans="9:10" x14ac:dyDescent="0.25">
      <c r="I1574" t="str">
        <f t="shared" si="48"/>
        <v/>
      </c>
      <c r="J1574" s="56" t="str">
        <f t="shared" si="49"/>
        <v/>
      </c>
    </row>
    <row r="1575" spans="9:10" x14ac:dyDescent="0.25">
      <c r="I1575" t="str">
        <f t="shared" si="48"/>
        <v/>
      </c>
      <c r="J1575" s="56" t="str">
        <f t="shared" si="49"/>
        <v/>
      </c>
    </row>
    <row r="1576" spans="9:10" x14ac:dyDescent="0.25">
      <c r="I1576" t="str">
        <f t="shared" si="48"/>
        <v/>
      </c>
      <c r="J1576" s="56" t="str">
        <f t="shared" si="49"/>
        <v/>
      </c>
    </row>
    <row r="1577" spans="9:10" x14ac:dyDescent="0.25">
      <c r="I1577" t="str">
        <f t="shared" si="48"/>
        <v/>
      </c>
      <c r="J1577" s="56" t="str">
        <f t="shared" si="49"/>
        <v/>
      </c>
    </row>
    <row r="1578" spans="9:10" x14ac:dyDescent="0.25">
      <c r="I1578" t="str">
        <f t="shared" si="48"/>
        <v/>
      </c>
      <c r="J1578" s="56" t="str">
        <f t="shared" si="49"/>
        <v/>
      </c>
    </row>
    <row r="1579" spans="9:10" x14ac:dyDescent="0.25">
      <c r="I1579" t="str">
        <f t="shared" si="48"/>
        <v/>
      </c>
      <c r="J1579" s="56" t="str">
        <f t="shared" si="49"/>
        <v/>
      </c>
    </row>
    <row r="1580" spans="9:10" x14ac:dyDescent="0.25">
      <c r="I1580" t="str">
        <f t="shared" si="48"/>
        <v/>
      </c>
      <c r="J1580" s="56" t="str">
        <f t="shared" si="49"/>
        <v/>
      </c>
    </row>
    <row r="1581" spans="9:10" x14ac:dyDescent="0.25">
      <c r="I1581" t="str">
        <f t="shared" si="48"/>
        <v/>
      </c>
      <c r="J1581" s="56" t="str">
        <f t="shared" si="49"/>
        <v/>
      </c>
    </row>
    <row r="1582" spans="9:10" x14ac:dyDescent="0.25">
      <c r="I1582" t="str">
        <f t="shared" si="48"/>
        <v/>
      </c>
      <c r="J1582" s="56" t="str">
        <f t="shared" si="49"/>
        <v/>
      </c>
    </row>
    <row r="1583" spans="9:10" x14ac:dyDescent="0.25">
      <c r="I1583" t="str">
        <f t="shared" si="48"/>
        <v/>
      </c>
      <c r="J1583" s="56" t="str">
        <f t="shared" si="49"/>
        <v/>
      </c>
    </row>
    <row r="1584" spans="9:10" x14ac:dyDescent="0.25">
      <c r="I1584" t="str">
        <f t="shared" si="48"/>
        <v/>
      </c>
      <c r="J1584" s="56" t="str">
        <f t="shared" si="49"/>
        <v/>
      </c>
    </row>
    <row r="1585" spans="9:10" x14ac:dyDescent="0.25">
      <c r="I1585" t="str">
        <f t="shared" si="48"/>
        <v/>
      </c>
      <c r="J1585" s="56" t="str">
        <f t="shared" si="49"/>
        <v/>
      </c>
    </row>
    <row r="1586" spans="9:10" x14ac:dyDescent="0.25">
      <c r="I1586" t="str">
        <f t="shared" si="48"/>
        <v/>
      </c>
      <c r="J1586" s="56" t="str">
        <f t="shared" si="49"/>
        <v/>
      </c>
    </row>
    <row r="1587" spans="9:10" x14ac:dyDescent="0.25">
      <c r="I1587" t="str">
        <f t="shared" si="48"/>
        <v/>
      </c>
      <c r="J1587" s="56" t="str">
        <f t="shared" si="49"/>
        <v/>
      </c>
    </row>
    <row r="1588" spans="9:10" x14ac:dyDescent="0.25">
      <c r="I1588" t="str">
        <f t="shared" si="48"/>
        <v/>
      </c>
      <c r="J1588" s="56" t="str">
        <f t="shared" si="49"/>
        <v/>
      </c>
    </row>
    <row r="1589" spans="9:10" x14ac:dyDescent="0.25">
      <c r="I1589" t="str">
        <f t="shared" si="48"/>
        <v/>
      </c>
      <c r="J1589" s="56" t="str">
        <f t="shared" si="49"/>
        <v/>
      </c>
    </row>
    <row r="1590" spans="9:10" x14ac:dyDescent="0.25">
      <c r="I1590" t="str">
        <f t="shared" si="48"/>
        <v/>
      </c>
      <c r="J1590" s="56" t="str">
        <f t="shared" si="49"/>
        <v/>
      </c>
    </row>
    <row r="1591" spans="9:10" x14ac:dyDescent="0.25">
      <c r="I1591" t="str">
        <f t="shared" si="48"/>
        <v/>
      </c>
      <c r="J1591" s="56" t="str">
        <f t="shared" si="49"/>
        <v/>
      </c>
    </row>
    <row r="1592" spans="9:10" x14ac:dyDescent="0.25">
      <c r="I1592" t="str">
        <f t="shared" si="48"/>
        <v/>
      </c>
      <c r="J1592" s="56" t="str">
        <f t="shared" si="49"/>
        <v/>
      </c>
    </row>
    <row r="1593" spans="9:10" x14ac:dyDescent="0.25">
      <c r="I1593" t="str">
        <f t="shared" si="48"/>
        <v/>
      </c>
      <c r="J1593" s="56" t="str">
        <f t="shared" si="49"/>
        <v/>
      </c>
    </row>
    <row r="1594" spans="9:10" x14ac:dyDescent="0.25">
      <c r="I1594" t="str">
        <f t="shared" si="48"/>
        <v/>
      </c>
      <c r="J1594" s="56" t="str">
        <f t="shared" si="49"/>
        <v/>
      </c>
    </row>
    <row r="1595" spans="9:10" x14ac:dyDescent="0.25">
      <c r="I1595" t="str">
        <f t="shared" si="48"/>
        <v/>
      </c>
      <c r="J1595" s="56" t="str">
        <f t="shared" si="49"/>
        <v/>
      </c>
    </row>
    <row r="1596" spans="9:10" x14ac:dyDescent="0.25">
      <c r="I1596" t="str">
        <f t="shared" si="48"/>
        <v/>
      </c>
      <c r="J1596" s="56" t="str">
        <f t="shared" si="49"/>
        <v/>
      </c>
    </row>
    <row r="1597" spans="9:10" x14ac:dyDescent="0.25">
      <c r="I1597" t="str">
        <f t="shared" si="48"/>
        <v/>
      </c>
      <c r="J1597" s="56" t="str">
        <f t="shared" si="49"/>
        <v/>
      </c>
    </row>
    <row r="1598" spans="9:10" x14ac:dyDescent="0.25">
      <c r="I1598" t="str">
        <f t="shared" si="48"/>
        <v/>
      </c>
      <c r="J1598" s="56" t="str">
        <f t="shared" si="49"/>
        <v/>
      </c>
    </row>
    <row r="1599" spans="9:10" x14ac:dyDescent="0.25">
      <c r="I1599" t="str">
        <f t="shared" si="48"/>
        <v/>
      </c>
      <c r="J1599" s="56" t="str">
        <f t="shared" si="49"/>
        <v/>
      </c>
    </row>
    <row r="1600" spans="9:10" x14ac:dyDescent="0.25">
      <c r="I1600" t="str">
        <f t="shared" si="48"/>
        <v/>
      </c>
      <c r="J1600" s="56" t="str">
        <f t="shared" si="49"/>
        <v/>
      </c>
    </row>
    <row r="1601" spans="9:10" x14ac:dyDescent="0.25">
      <c r="I1601" t="str">
        <f t="shared" si="48"/>
        <v/>
      </c>
      <c r="J1601" s="56" t="str">
        <f t="shared" si="49"/>
        <v/>
      </c>
    </row>
    <row r="1602" spans="9:10" x14ac:dyDescent="0.25">
      <c r="I1602" t="str">
        <f t="shared" si="48"/>
        <v/>
      </c>
      <c r="J1602" s="56" t="str">
        <f t="shared" si="49"/>
        <v/>
      </c>
    </row>
    <row r="1603" spans="9:10" x14ac:dyDescent="0.25">
      <c r="I1603" t="str">
        <f t="shared" ref="I1603:I1666" si="50">IF($A1603="","",RIGHT($E1603,LEN($E1603)-SEARCH(".",$E1603)))</f>
        <v/>
      </c>
      <c r="J1603" s="56" t="str">
        <f t="shared" ref="J1603:J1666" si="51">IF($A1603="","",$G1603)</f>
        <v/>
      </c>
    </row>
    <row r="1604" spans="9:10" x14ac:dyDescent="0.25">
      <c r="I1604" t="str">
        <f t="shared" si="50"/>
        <v/>
      </c>
      <c r="J1604" s="56" t="str">
        <f t="shared" si="51"/>
        <v/>
      </c>
    </row>
    <row r="1605" spans="9:10" x14ac:dyDescent="0.25">
      <c r="I1605" t="str">
        <f t="shared" si="50"/>
        <v/>
      </c>
      <c r="J1605" s="56" t="str">
        <f t="shared" si="51"/>
        <v/>
      </c>
    </row>
    <row r="1606" spans="9:10" x14ac:dyDescent="0.25">
      <c r="I1606" t="str">
        <f t="shared" si="50"/>
        <v/>
      </c>
      <c r="J1606" s="56" t="str">
        <f t="shared" si="51"/>
        <v/>
      </c>
    </row>
    <row r="1607" spans="9:10" x14ac:dyDescent="0.25">
      <c r="I1607" t="str">
        <f t="shared" si="50"/>
        <v/>
      </c>
      <c r="J1607" s="56" t="str">
        <f t="shared" si="51"/>
        <v/>
      </c>
    </row>
    <row r="1608" spans="9:10" x14ac:dyDescent="0.25">
      <c r="I1608" t="str">
        <f t="shared" si="50"/>
        <v/>
      </c>
      <c r="J1608" s="56" t="str">
        <f t="shared" si="51"/>
        <v/>
      </c>
    </row>
    <row r="1609" spans="9:10" x14ac:dyDescent="0.25">
      <c r="I1609" t="str">
        <f t="shared" si="50"/>
        <v/>
      </c>
      <c r="J1609" s="56" t="str">
        <f t="shared" si="51"/>
        <v/>
      </c>
    </row>
    <row r="1610" spans="9:10" x14ac:dyDescent="0.25">
      <c r="I1610" t="str">
        <f t="shared" si="50"/>
        <v/>
      </c>
      <c r="J1610" s="56" t="str">
        <f t="shared" si="51"/>
        <v/>
      </c>
    </row>
    <row r="1611" spans="9:10" x14ac:dyDescent="0.25">
      <c r="I1611" t="str">
        <f t="shared" si="50"/>
        <v/>
      </c>
      <c r="J1611" s="56" t="str">
        <f t="shared" si="51"/>
        <v/>
      </c>
    </row>
    <row r="1612" spans="9:10" x14ac:dyDescent="0.25">
      <c r="I1612" t="str">
        <f t="shared" si="50"/>
        <v/>
      </c>
      <c r="J1612" s="56" t="str">
        <f t="shared" si="51"/>
        <v/>
      </c>
    </row>
    <row r="1613" spans="9:10" x14ac:dyDescent="0.25">
      <c r="I1613" t="str">
        <f t="shared" si="50"/>
        <v/>
      </c>
      <c r="J1613" s="56" t="str">
        <f t="shared" si="51"/>
        <v/>
      </c>
    </row>
    <row r="1614" spans="9:10" x14ac:dyDescent="0.25">
      <c r="I1614" t="str">
        <f t="shared" si="50"/>
        <v/>
      </c>
      <c r="J1614" s="56" t="str">
        <f t="shared" si="51"/>
        <v/>
      </c>
    </row>
    <row r="1615" spans="9:10" x14ac:dyDescent="0.25">
      <c r="I1615" t="str">
        <f t="shared" si="50"/>
        <v/>
      </c>
      <c r="J1615" s="56" t="str">
        <f t="shared" si="51"/>
        <v/>
      </c>
    </row>
    <row r="1616" spans="9:10" x14ac:dyDescent="0.25">
      <c r="I1616" t="str">
        <f t="shared" si="50"/>
        <v/>
      </c>
      <c r="J1616" s="56" t="str">
        <f t="shared" si="51"/>
        <v/>
      </c>
    </row>
    <row r="1617" spans="9:10" x14ac:dyDescent="0.25">
      <c r="I1617" t="str">
        <f t="shared" si="50"/>
        <v/>
      </c>
      <c r="J1617" s="56" t="str">
        <f t="shared" si="51"/>
        <v/>
      </c>
    </row>
    <row r="1618" spans="9:10" x14ac:dyDescent="0.25">
      <c r="I1618" t="str">
        <f t="shared" si="50"/>
        <v/>
      </c>
      <c r="J1618" s="56" t="str">
        <f t="shared" si="51"/>
        <v/>
      </c>
    </row>
    <row r="1619" spans="9:10" x14ac:dyDescent="0.25">
      <c r="I1619" t="str">
        <f t="shared" si="50"/>
        <v/>
      </c>
      <c r="J1619" s="56" t="str">
        <f t="shared" si="51"/>
        <v/>
      </c>
    </row>
    <row r="1620" spans="9:10" x14ac:dyDescent="0.25">
      <c r="I1620" t="str">
        <f t="shared" si="50"/>
        <v/>
      </c>
      <c r="J1620" s="56" t="str">
        <f t="shared" si="51"/>
        <v/>
      </c>
    </row>
    <row r="1621" spans="9:10" x14ac:dyDescent="0.25">
      <c r="I1621" t="str">
        <f t="shared" si="50"/>
        <v/>
      </c>
      <c r="J1621" s="56" t="str">
        <f t="shared" si="51"/>
        <v/>
      </c>
    </row>
    <row r="1622" spans="9:10" x14ac:dyDescent="0.25">
      <c r="I1622" t="str">
        <f t="shared" si="50"/>
        <v/>
      </c>
      <c r="J1622" s="56" t="str">
        <f t="shared" si="51"/>
        <v/>
      </c>
    </row>
    <row r="1623" spans="9:10" x14ac:dyDescent="0.25">
      <c r="I1623" t="str">
        <f t="shared" si="50"/>
        <v/>
      </c>
      <c r="J1623" s="56" t="str">
        <f t="shared" si="51"/>
        <v/>
      </c>
    </row>
    <row r="1624" spans="9:10" x14ac:dyDescent="0.25">
      <c r="I1624" t="str">
        <f t="shared" si="50"/>
        <v/>
      </c>
      <c r="J1624" s="56" t="str">
        <f t="shared" si="51"/>
        <v/>
      </c>
    </row>
    <row r="1625" spans="9:10" x14ac:dyDescent="0.25">
      <c r="I1625" t="str">
        <f t="shared" si="50"/>
        <v/>
      </c>
      <c r="J1625" s="56" t="str">
        <f t="shared" si="51"/>
        <v/>
      </c>
    </row>
    <row r="1626" spans="9:10" x14ac:dyDescent="0.25">
      <c r="I1626" t="str">
        <f t="shared" si="50"/>
        <v/>
      </c>
      <c r="J1626" s="56" t="str">
        <f t="shared" si="51"/>
        <v/>
      </c>
    </row>
    <row r="1627" spans="9:10" x14ac:dyDescent="0.25">
      <c r="I1627" t="str">
        <f t="shared" si="50"/>
        <v/>
      </c>
      <c r="J1627" s="56" t="str">
        <f t="shared" si="51"/>
        <v/>
      </c>
    </row>
    <row r="1628" spans="9:10" x14ac:dyDescent="0.25">
      <c r="I1628" t="str">
        <f t="shared" si="50"/>
        <v/>
      </c>
      <c r="J1628" s="56" t="str">
        <f t="shared" si="51"/>
        <v/>
      </c>
    </row>
    <row r="1629" spans="9:10" x14ac:dyDescent="0.25">
      <c r="I1629" t="str">
        <f t="shared" si="50"/>
        <v/>
      </c>
      <c r="J1629" s="56" t="str">
        <f t="shared" si="51"/>
        <v/>
      </c>
    </row>
    <row r="1630" spans="9:10" x14ac:dyDescent="0.25">
      <c r="I1630" t="str">
        <f t="shared" si="50"/>
        <v/>
      </c>
      <c r="J1630" s="56" t="str">
        <f t="shared" si="51"/>
        <v/>
      </c>
    </row>
    <row r="1631" spans="9:10" x14ac:dyDescent="0.25">
      <c r="I1631" t="str">
        <f t="shared" si="50"/>
        <v/>
      </c>
      <c r="J1631" s="56" t="str">
        <f t="shared" si="51"/>
        <v/>
      </c>
    </row>
    <row r="1632" spans="9:10" x14ac:dyDescent="0.25">
      <c r="I1632" t="str">
        <f t="shared" si="50"/>
        <v/>
      </c>
      <c r="J1632" s="56" t="str">
        <f t="shared" si="51"/>
        <v/>
      </c>
    </row>
    <row r="1633" spans="9:10" x14ac:dyDescent="0.25">
      <c r="I1633" t="str">
        <f t="shared" si="50"/>
        <v/>
      </c>
      <c r="J1633" s="56" t="str">
        <f t="shared" si="51"/>
        <v/>
      </c>
    </row>
    <row r="1634" spans="9:10" x14ac:dyDescent="0.25">
      <c r="I1634" t="str">
        <f t="shared" si="50"/>
        <v/>
      </c>
      <c r="J1634" s="56" t="str">
        <f t="shared" si="51"/>
        <v/>
      </c>
    </row>
    <row r="1635" spans="9:10" x14ac:dyDescent="0.25">
      <c r="I1635" t="str">
        <f t="shared" si="50"/>
        <v/>
      </c>
      <c r="J1635" s="56" t="str">
        <f t="shared" si="51"/>
        <v/>
      </c>
    </row>
    <row r="1636" spans="9:10" x14ac:dyDescent="0.25">
      <c r="I1636" t="str">
        <f t="shared" si="50"/>
        <v/>
      </c>
      <c r="J1636" s="56" t="str">
        <f t="shared" si="51"/>
        <v/>
      </c>
    </row>
    <row r="1637" spans="9:10" x14ac:dyDescent="0.25">
      <c r="I1637" t="str">
        <f t="shared" si="50"/>
        <v/>
      </c>
      <c r="J1637" s="56" t="str">
        <f t="shared" si="51"/>
        <v/>
      </c>
    </row>
    <row r="1638" spans="9:10" x14ac:dyDescent="0.25">
      <c r="I1638" t="str">
        <f t="shared" si="50"/>
        <v/>
      </c>
      <c r="J1638" s="56" t="str">
        <f t="shared" si="51"/>
        <v/>
      </c>
    </row>
    <row r="1639" spans="9:10" x14ac:dyDescent="0.25">
      <c r="I1639" t="str">
        <f t="shared" si="50"/>
        <v/>
      </c>
      <c r="J1639" s="56" t="str">
        <f t="shared" si="51"/>
        <v/>
      </c>
    </row>
    <row r="1640" spans="9:10" x14ac:dyDescent="0.25">
      <c r="I1640" t="str">
        <f t="shared" si="50"/>
        <v/>
      </c>
      <c r="J1640" s="56" t="str">
        <f t="shared" si="51"/>
        <v/>
      </c>
    </row>
    <row r="1641" spans="9:10" x14ac:dyDescent="0.25">
      <c r="I1641" t="str">
        <f t="shared" si="50"/>
        <v/>
      </c>
      <c r="J1641" s="56" t="str">
        <f t="shared" si="51"/>
        <v/>
      </c>
    </row>
    <row r="1642" spans="9:10" x14ac:dyDescent="0.25">
      <c r="I1642" t="str">
        <f t="shared" si="50"/>
        <v/>
      </c>
      <c r="J1642" s="56" t="str">
        <f t="shared" si="51"/>
        <v/>
      </c>
    </row>
    <row r="1643" spans="9:10" x14ac:dyDescent="0.25">
      <c r="I1643" t="str">
        <f t="shared" si="50"/>
        <v/>
      </c>
      <c r="J1643" s="56" t="str">
        <f t="shared" si="51"/>
        <v/>
      </c>
    </row>
    <row r="1644" spans="9:10" x14ac:dyDescent="0.25">
      <c r="I1644" t="str">
        <f t="shared" si="50"/>
        <v/>
      </c>
      <c r="J1644" s="56" t="str">
        <f t="shared" si="51"/>
        <v/>
      </c>
    </row>
    <row r="1645" spans="9:10" x14ac:dyDescent="0.25">
      <c r="I1645" t="str">
        <f t="shared" si="50"/>
        <v/>
      </c>
      <c r="J1645" s="56" t="str">
        <f t="shared" si="51"/>
        <v/>
      </c>
    </row>
    <row r="1646" spans="9:10" x14ac:dyDescent="0.25">
      <c r="I1646" t="str">
        <f t="shared" si="50"/>
        <v/>
      </c>
      <c r="J1646" s="56" t="str">
        <f t="shared" si="51"/>
        <v/>
      </c>
    </row>
    <row r="1647" spans="9:10" x14ac:dyDescent="0.25">
      <c r="I1647" t="str">
        <f t="shared" si="50"/>
        <v/>
      </c>
      <c r="J1647" s="56" t="str">
        <f t="shared" si="51"/>
        <v/>
      </c>
    </row>
    <row r="1648" spans="9:10" x14ac:dyDescent="0.25">
      <c r="I1648" t="str">
        <f t="shared" si="50"/>
        <v/>
      </c>
      <c r="J1648" s="56" t="str">
        <f t="shared" si="51"/>
        <v/>
      </c>
    </row>
    <row r="1649" spans="9:10" x14ac:dyDescent="0.25">
      <c r="I1649" t="str">
        <f t="shared" si="50"/>
        <v/>
      </c>
      <c r="J1649" s="56" t="str">
        <f t="shared" si="51"/>
        <v/>
      </c>
    </row>
    <row r="1650" spans="9:10" x14ac:dyDescent="0.25">
      <c r="I1650" t="str">
        <f t="shared" si="50"/>
        <v/>
      </c>
      <c r="J1650" s="56" t="str">
        <f t="shared" si="51"/>
        <v/>
      </c>
    </row>
    <row r="1651" spans="9:10" x14ac:dyDescent="0.25">
      <c r="I1651" t="str">
        <f t="shared" si="50"/>
        <v/>
      </c>
      <c r="J1651" s="56" t="str">
        <f t="shared" si="51"/>
        <v/>
      </c>
    </row>
    <row r="1652" spans="9:10" x14ac:dyDescent="0.25">
      <c r="I1652" t="str">
        <f t="shared" si="50"/>
        <v/>
      </c>
      <c r="J1652" s="56" t="str">
        <f t="shared" si="51"/>
        <v/>
      </c>
    </row>
    <row r="1653" spans="9:10" x14ac:dyDescent="0.25">
      <c r="I1653" t="str">
        <f t="shared" si="50"/>
        <v/>
      </c>
      <c r="J1653" s="56" t="str">
        <f t="shared" si="51"/>
        <v/>
      </c>
    </row>
    <row r="1654" spans="9:10" x14ac:dyDescent="0.25">
      <c r="I1654" t="str">
        <f t="shared" si="50"/>
        <v/>
      </c>
      <c r="J1654" s="56" t="str">
        <f t="shared" si="51"/>
        <v/>
      </c>
    </row>
    <row r="1655" spans="9:10" x14ac:dyDescent="0.25">
      <c r="I1655" t="str">
        <f t="shared" si="50"/>
        <v/>
      </c>
      <c r="J1655" s="56" t="str">
        <f t="shared" si="51"/>
        <v/>
      </c>
    </row>
    <row r="1656" spans="9:10" x14ac:dyDescent="0.25">
      <c r="I1656" t="str">
        <f t="shared" si="50"/>
        <v/>
      </c>
      <c r="J1656" s="56" t="str">
        <f t="shared" si="51"/>
        <v/>
      </c>
    </row>
    <row r="1657" spans="9:10" x14ac:dyDescent="0.25">
      <c r="I1657" t="str">
        <f t="shared" si="50"/>
        <v/>
      </c>
      <c r="J1657" s="56" t="str">
        <f t="shared" si="51"/>
        <v/>
      </c>
    </row>
    <row r="1658" spans="9:10" x14ac:dyDescent="0.25">
      <c r="I1658" t="str">
        <f t="shared" si="50"/>
        <v/>
      </c>
      <c r="J1658" s="56" t="str">
        <f t="shared" si="51"/>
        <v/>
      </c>
    </row>
    <row r="1659" spans="9:10" x14ac:dyDescent="0.25">
      <c r="I1659" t="str">
        <f t="shared" si="50"/>
        <v/>
      </c>
      <c r="J1659" s="56" t="str">
        <f t="shared" si="51"/>
        <v/>
      </c>
    </row>
    <row r="1660" spans="9:10" x14ac:dyDescent="0.25">
      <c r="I1660" t="str">
        <f t="shared" si="50"/>
        <v/>
      </c>
      <c r="J1660" s="56" t="str">
        <f t="shared" si="51"/>
        <v/>
      </c>
    </row>
    <row r="1661" spans="9:10" x14ac:dyDescent="0.25">
      <c r="I1661" t="str">
        <f t="shared" si="50"/>
        <v/>
      </c>
      <c r="J1661" s="56" t="str">
        <f t="shared" si="51"/>
        <v/>
      </c>
    </row>
    <row r="1662" spans="9:10" x14ac:dyDescent="0.25">
      <c r="I1662" t="str">
        <f t="shared" si="50"/>
        <v/>
      </c>
      <c r="J1662" s="56" t="str">
        <f t="shared" si="51"/>
        <v/>
      </c>
    </row>
    <row r="1663" spans="9:10" x14ac:dyDescent="0.25">
      <c r="I1663" t="str">
        <f t="shared" si="50"/>
        <v/>
      </c>
      <c r="J1663" s="56" t="str">
        <f t="shared" si="51"/>
        <v/>
      </c>
    </row>
    <row r="1664" spans="9:10" x14ac:dyDescent="0.25">
      <c r="I1664" t="str">
        <f t="shared" si="50"/>
        <v/>
      </c>
      <c r="J1664" s="56" t="str">
        <f t="shared" si="51"/>
        <v/>
      </c>
    </row>
    <row r="1665" spans="9:10" x14ac:dyDescent="0.25">
      <c r="I1665" t="str">
        <f t="shared" si="50"/>
        <v/>
      </c>
      <c r="J1665" s="56" t="str">
        <f t="shared" si="51"/>
        <v/>
      </c>
    </row>
    <row r="1666" spans="9:10" x14ac:dyDescent="0.25">
      <c r="I1666" t="str">
        <f t="shared" si="50"/>
        <v/>
      </c>
      <c r="J1666" s="56" t="str">
        <f t="shared" si="51"/>
        <v/>
      </c>
    </row>
    <row r="1667" spans="9:10" x14ac:dyDescent="0.25">
      <c r="I1667" t="str">
        <f t="shared" ref="I1667:I1730" si="52">IF($A1667="","",RIGHT($E1667,LEN($E1667)-SEARCH(".",$E1667)))</f>
        <v/>
      </c>
      <c r="J1667" s="56" t="str">
        <f t="shared" ref="J1667:J1730" si="53">IF($A1667="","",$G1667)</f>
        <v/>
      </c>
    </row>
    <row r="1668" spans="9:10" x14ac:dyDescent="0.25">
      <c r="I1668" t="str">
        <f t="shared" si="52"/>
        <v/>
      </c>
      <c r="J1668" s="56" t="str">
        <f t="shared" si="53"/>
        <v/>
      </c>
    </row>
    <row r="1669" spans="9:10" x14ac:dyDescent="0.25">
      <c r="I1669" t="str">
        <f t="shared" si="52"/>
        <v/>
      </c>
      <c r="J1669" s="56" t="str">
        <f t="shared" si="53"/>
        <v/>
      </c>
    </row>
    <row r="1670" spans="9:10" x14ac:dyDescent="0.25">
      <c r="I1670" t="str">
        <f t="shared" si="52"/>
        <v/>
      </c>
      <c r="J1670" s="56" t="str">
        <f t="shared" si="53"/>
        <v/>
      </c>
    </row>
    <row r="1671" spans="9:10" x14ac:dyDescent="0.25">
      <c r="I1671" t="str">
        <f t="shared" si="52"/>
        <v/>
      </c>
      <c r="J1671" s="56" t="str">
        <f t="shared" si="53"/>
        <v/>
      </c>
    </row>
    <row r="1672" spans="9:10" x14ac:dyDescent="0.25">
      <c r="I1672" t="str">
        <f t="shared" si="52"/>
        <v/>
      </c>
      <c r="J1672" s="56" t="str">
        <f t="shared" si="53"/>
        <v/>
      </c>
    </row>
    <row r="1673" spans="9:10" x14ac:dyDescent="0.25">
      <c r="I1673" t="str">
        <f t="shared" si="52"/>
        <v/>
      </c>
      <c r="J1673" s="56" t="str">
        <f t="shared" si="53"/>
        <v/>
      </c>
    </row>
    <row r="1674" spans="9:10" x14ac:dyDescent="0.25">
      <c r="I1674" t="str">
        <f t="shared" si="52"/>
        <v/>
      </c>
      <c r="J1674" s="56" t="str">
        <f t="shared" si="53"/>
        <v/>
      </c>
    </row>
    <row r="1675" spans="9:10" x14ac:dyDescent="0.25">
      <c r="I1675" t="str">
        <f t="shared" si="52"/>
        <v/>
      </c>
      <c r="J1675" s="56" t="str">
        <f t="shared" si="53"/>
        <v/>
      </c>
    </row>
    <row r="1676" spans="9:10" x14ac:dyDescent="0.25">
      <c r="I1676" t="str">
        <f t="shared" si="52"/>
        <v/>
      </c>
      <c r="J1676" s="56" t="str">
        <f t="shared" si="53"/>
        <v/>
      </c>
    </row>
    <row r="1677" spans="9:10" x14ac:dyDescent="0.25">
      <c r="I1677" t="str">
        <f t="shared" si="52"/>
        <v/>
      </c>
      <c r="J1677" s="56" t="str">
        <f t="shared" si="53"/>
        <v/>
      </c>
    </row>
    <row r="1678" spans="9:10" x14ac:dyDescent="0.25">
      <c r="I1678" t="str">
        <f t="shared" si="52"/>
        <v/>
      </c>
      <c r="J1678" s="56" t="str">
        <f t="shared" si="53"/>
        <v/>
      </c>
    </row>
    <row r="1679" spans="9:10" x14ac:dyDescent="0.25">
      <c r="I1679" t="str">
        <f t="shared" si="52"/>
        <v/>
      </c>
      <c r="J1679" s="56" t="str">
        <f t="shared" si="53"/>
        <v/>
      </c>
    </row>
    <row r="1680" spans="9:10" x14ac:dyDescent="0.25">
      <c r="I1680" t="str">
        <f t="shared" si="52"/>
        <v/>
      </c>
      <c r="J1680" s="56" t="str">
        <f t="shared" si="53"/>
        <v/>
      </c>
    </row>
    <row r="1681" spans="9:10" x14ac:dyDescent="0.25">
      <c r="I1681" t="str">
        <f t="shared" si="52"/>
        <v/>
      </c>
      <c r="J1681" s="56" t="str">
        <f t="shared" si="53"/>
        <v/>
      </c>
    </row>
    <row r="1682" spans="9:10" x14ac:dyDescent="0.25">
      <c r="I1682" t="str">
        <f t="shared" si="52"/>
        <v/>
      </c>
      <c r="J1682" s="56" t="str">
        <f t="shared" si="53"/>
        <v/>
      </c>
    </row>
    <row r="1683" spans="9:10" x14ac:dyDescent="0.25">
      <c r="I1683" t="str">
        <f t="shared" si="52"/>
        <v/>
      </c>
      <c r="J1683" s="56" t="str">
        <f t="shared" si="53"/>
        <v/>
      </c>
    </row>
    <row r="1684" spans="9:10" x14ac:dyDescent="0.25">
      <c r="I1684" t="str">
        <f t="shared" si="52"/>
        <v/>
      </c>
      <c r="J1684" s="56" t="str">
        <f t="shared" si="53"/>
        <v/>
      </c>
    </row>
    <row r="1685" spans="9:10" x14ac:dyDescent="0.25">
      <c r="I1685" t="str">
        <f t="shared" si="52"/>
        <v/>
      </c>
      <c r="J1685" s="56" t="str">
        <f t="shared" si="53"/>
        <v/>
      </c>
    </row>
    <row r="1686" spans="9:10" x14ac:dyDescent="0.25">
      <c r="I1686" t="str">
        <f t="shared" si="52"/>
        <v/>
      </c>
      <c r="J1686" s="56" t="str">
        <f t="shared" si="53"/>
        <v/>
      </c>
    </row>
    <row r="1687" spans="9:10" x14ac:dyDescent="0.25">
      <c r="I1687" t="str">
        <f t="shared" si="52"/>
        <v/>
      </c>
      <c r="J1687" s="56" t="str">
        <f t="shared" si="53"/>
        <v/>
      </c>
    </row>
    <row r="1688" spans="9:10" x14ac:dyDescent="0.25">
      <c r="I1688" t="str">
        <f t="shared" si="52"/>
        <v/>
      </c>
      <c r="J1688" s="56" t="str">
        <f t="shared" si="53"/>
        <v/>
      </c>
    </row>
    <row r="1689" spans="9:10" x14ac:dyDescent="0.25">
      <c r="I1689" t="str">
        <f t="shared" si="52"/>
        <v/>
      </c>
      <c r="J1689" s="56" t="str">
        <f t="shared" si="53"/>
        <v/>
      </c>
    </row>
    <row r="1690" spans="9:10" x14ac:dyDescent="0.25">
      <c r="I1690" t="str">
        <f t="shared" si="52"/>
        <v/>
      </c>
      <c r="J1690" s="56" t="str">
        <f t="shared" si="53"/>
        <v/>
      </c>
    </row>
    <row r="1691" spans="9:10" x14ac:dyDescent="0.25">
      <c r="I1691" t="str">
        <f t="shared" si="52"/>
        <v/>
      </c>
      <c r="J1691" s="56" t="str">
        <f t="shared" si="53"/>
        <v/>
      </c>
    </row>
    <row r="1692" spans="9:10" x14ac:dyDescent="0.25">
      <c r="I1692" t="str">
        <f t="shared" si="52"/>
        <v/>
      </c>
      <c r="J1692" s="56" t="str">
        <f t="shared" si="53"/>
        <v/>
      </c>
    </row>
    <row r="1693" spans="9:10" x14ac:dyDescent="0.25">
      <c r="I1693" t="str">
        <f t="shared" si="52"/>
        <v/>
      </c>
      <c r="J1693" s="56" t="str">
        <f t="shared" si="53"/>
        <v/>
      </c>
    </row>
    <row r="1694" spans="9:10" x14ac:dyDescent="0.25">
      <c r="I1694" t="str">
        <f t="shared" si="52"/>
        <v/>
      </c>
      <c r="J1694" s="56" t="str">
        <f t="shared" si="53"/>
        <v/>
      </c>
    </row>
    <row r="1695" spans="9:10" x14ac:dyDescent="0.25">
      <c r="I1695" t="str">
        <f t="shared" si="52"/>
        <v/>
      </c>
      <c r="J1695" s="56" t="str">
        <f t="shared" si="53"/>
        <v/>
      </c>
    </row>
    <row r="1696" spans="9:10" x14ac:dyDescent="0.25">
      <c r="I1696" t="str">
        <f t="shared" si="52"/>
        <v/>
      </c>
      <c r="J1696" s="56" t="str">
        <f t="shared" si="53"/>
        <v/>
      </c>
    </row>
    <row r="1697" spans="9:10" x14ac:dyDescent="0.25">
      <c r="I1697" t="str">
        <f t="shared" si="52"/>
        <v/>
      </c>
      <c r="J1697" s="56" t="str">
        <f t="shared" si="53"/>
        <v/>
      </c>
    </row>
    <row r="1698" spans="9:10" x14ac:dyDescent="0.25">
      <c r="I1698" t="str">
        <f t="shared" si="52"/>
        <v/>
      </c>
      <c r="J1698" s="56" t="str">
        <f t="shared" si="53"/>
        <v/>
      </c>
    </row>
    <row r="1699" spans="9:10" x14ac:dyDescent="0.25">
      <c r="I1699" t="str">
        <f t="shared" si="52"/>
        <v/>
      </c>
      <c r="J1699" s="56" t="str">
        <f t="shared" si="53"/>
        <v/>
      </c>
    </row>
    <row r="1700" spans="9:10" x14ac:dyDescent="0.25">
      <c r="I1700" t="str">
        <f t="shared" si="52"/>
        <v/>
      </c>
      <c r="J1700" s="56" t="str">
        <f t="shared" si="53"/>
        <v/>
      </c>
    </row>
    <row r="1701" spans="9:10" x14ac:dyDescent="0.25">
      <c r="I1701" t="str">
        <f t="shared" si="52"/>
        <v/>
      </c>
      <c r="J1701" s="56" t="str">
        <f t="shared" si="53"/>
        <v/>
      </c>
    </row>
    <row r="1702" spans="9:10" x14ac:dyDescent="0.25">
      <c r="I1702" t="str">
        <f t="shared" si="52"/>
        <v/>
      </c>
      <c r="J1702" s="56" t="str">
        <f t="shared" si="53"/>
        <v/>
      </c>
    </row>
    <row r="1703" spans="9:10" x14ac:dyDescent="0.25">
      <c r="I1703" t="str">
        <f t="shared" si="52"/>
        <v/>
      </c>
      <c r="J1703" s="56" t="str">
        <f t="shared" si="53"/>
        <v/>
      </c>
    </row>
    <row r="1704" spans="9:10" x14ac:dyDescent="0.25">
      <c r="I1704" t="str">
        <f t="shared" si="52"/>
        <v/>
      </c>
      <c r="J1704" s="56" t="str">
        <f t="shared" si="53"/>
        <v/>
      </c>
    </row>
    <row r="1705" spans="9:10" x14ac:dyDescent="0.25">
      <c r="I1705" t="str">
        <f t="shared" si="52"/>
        <v/>
      </c>
      <c r="J1705" s="56" t="str">
        <f t="shared" si="53"/>
        <v/>
      </c>
    </row>
    <row r="1706" spans="9:10" x14ac:dyDescent="0.25">
      <c r="I1706" t="str">
        <f t="shared" si="52"/>
        <v/>
      </c>
      <c r="J1706" s="56" t="str">
        <f t="shared" si="53"/>
        <v/>
      </c>
    </row>
    <row r="1707" spans="9:10" x14ac:dyDescent="0.25">
      <c r="I1707" t="str">
        <f t="shared" si="52"/>
        <v/>
      </c>
      <c r="J1707" s="56" t="str">
        <f t="shared" si="53"/>
        <v/>
      </c>
    </row>
    <row r="1708" spans="9:10" x14ac:dyDescent="0.25">
      <c r="I1708" t="str">
        <f t="shared" si="52"/>
        <v/>
      </c>
      <c r="J1708" s="56" t="str">
        <f t="shared" si="53"/>
        <v/>
      </c>
    </row>
    <row r="1709" spans="9:10" x14ac:dyDescent="0.25">
      <c r="I1709" t="str">
        <f t="shared" si="52"/>
        <v/>
      </c>
      <c r="J1709" s="56" t="str">
        <f t="shared" si="53"/>
        <v/>
      </c>
    </row>
    <row r="1710" spans="9:10" x14ac:dyDescent="0.25">
      <c r="I1710" t="str">
        <f t="shared" si="52"/>
        <v/>
      </c>
      <c r="J1710" s="56" t="str">
        <f t="shared" si="53"/>
        <v/>
      </c>
    </row>
    <row r="1711" spans="9:10" x14ac:dyDescent="0.25">
      <c r="I1711" t="str">
        <f t="shared" si="52"/>
        <v/>
      </c>
      <c r="J1711" s="56" t="str">
        <f t="shared" si="53"/>
        <v/>
      </c>
    </row>
    <row r="1712" spans="9:10" x14ac:dyDescent="0.25">
      <c r="I1712" t="str">
        <f t="shared" si="52"/>
        <v/>
      </c>
      <c r="J1712" s="56" t="str">
        <f t="shared" si="53"/>
        <v/>
      </c>
    </row>
    <row r="1713" spans="9:10" x14ac:dyDescent="0.25">
      <c r="I1713" t="str">
        <f t="shared" si="52"/>
        <v/>
      </c>
      <c r="J1713" s="56" t="str">
        <f t="shared" si="53"/>
        <v/>
      </c>
    </row>
    <row r="1714" spans="9:10" x14ac:dyDescent="0.25">
      <c r="I1714" t="str">
        <f t="shared" si="52"/>
        <v/>
      </c>
      <c r="J1714" s="56" t="str">
        <f t="shared" si="53"/>
        <v/>
      </c>
    </row>
    <row r="1715" spans="9:10" x14ac:dyDescent="0.25">
      <c r="I1715" t="str">
        <f t="shared" si="52"/>
        <v/>
      </c>
      <c r="J1715" s="56" t="str">
        <f t="shared" si="53"/>
        <v/>
      </c>
    </row>
    <row r="1716" spans="9:10" x14ac:dyDescent="0.25">
      <c r="I1716" t="str">
        <f t="shared" si="52"/>
        <v/>
      </c>
      <c r="J1716" s="56" t="str">
        <f t="shared" si="53"/>
        <v/>
      </c>
    </row>
    <row r="1717" spans="9:10" x14ac:dyDescent="0.25">
      <c r="I1717" t="str">
        <f t="shared" si="52"/>
        <v/>
      </c>
      <c r="J1717" s="56" t="str">
        <f t="shared" si="53"/>
        <v/>
      </c>
    </row>
    <row r="1718" spans="9:10" x14ac:dyDescent="0.25">
      <c r="I1718" t="str">
        <f t="shared" si="52"/>
        <v/>
      </c>
      <c r="J1718" s="56" t="str">
        <f t="shared" si="53"/>
        <v/>
      </c>
    </row>
    <row r="1719" spans="9:10" x14ac:dyDescent="0.25">
      <c r="I1719" t="str">
        <f t="shared" si="52"/>
        <v/>
      </c>
      <c r="J1719" s="56" t="str">
        <f t="shared" si="53"/>
        <v/>
      </c>
    </row>
    <row r="1720" spans="9:10" x14ac:dyDescent="0.25">
      <c r="I1720" t="str">
        <f t="shared" si="52"/>
        <v/>
      </c>
      <c r="J1720" s="56" t="str">
        <f t="shared" si="53"/>
        <v/>
      </c>
    </row>
    <row r="1721" spans="9:10" x14ac:dyDescent="0.25">
      <c r="I1721" t="str">
        <f t="shared" si="52"/>
        <v/>
      </c>
      <c r="J1721" s="56" t="str">
        <f t="shared" si="53"/>
        <v/>
      </c>
    </row>
    <row r="1722" spans="9:10" x14ac:dyDescent="0.25">
      <c r="I1722" t="str">
        <f t="shared" si="52"/>
        <v/>
      </c>
      <c r="J1722" s="56" t="str">
        <f t="shared" si="53"/>
        <v/>
      </c>
    </row>
    <row r="1723" spans="9:10" x14ac:dyDescent="0.25">
      <c r="I1723" t="str">
        <f t="shared" si="52"/>
        <v/>
      </c>
      <c r="J1723" s="56" t="str">
        <f t="shared" si="53"/>
        <v/>
      </c>
    </row>
    <row r="1724" spans="9:10" x14ac:dyDescent="0.25">
      <c r="I1724" t="str">
        <f t="shared" si="52"/>
        <v/>
      </c>
      <c r="J1724" s="56" t="str">
        <f t="shared" si="53"/>
        <v/>
      </c>
    </row>
    <row r="1725" spans="9:10" x14ac:dyDescent="0.25">
      <c r="I1725" t="str">
        <f t="shared" si="52"/>
        <v/>
      </c>
      <c r="J1725" s="56" t="str">
        <f t="shared" si="53"/>
        <v/>
      </c>
    </row>
    <row r="1726" spans="9:10" x14ac:dyDescent="0.25">
      <c r="I1726" t="str">
        <f t="shared" si="52"/>
        <v/>
      </c>
      <c r="J1726" s="56" t="str">
        <f t="shared" si="53"/>
        <v/>
      </c>
    </row>
    <row r="1727" spans="9:10" x14ac:dyDescent="0.25">
      <c r="I1727" t="str">
        <f t="shared" si="52"/>
        <v/>
      </c>
      <c r="J1727" s="56" t="str">
        <f t="shared" si="53"/>
        <v/>
      </c>
    </row>
    <row r="1728" spans="9:10" x14ac:dyDescent="0.25">
      <c r="I1728" t="str">
        <f t="shared" si="52"/>
        <v/>
      </c>
      <c r="J1728" s="56" t="str">
        <f t="shared" si="53"/>
        <v/>
      </c>
    </row>
    <row r="1729" spans="9:10" x14ac:dyDescent="0.25">
      <c r="I1729" t="str">
        <f t="shared" si="52"/>
        <v/>
      </c>
      <c r="J1729" s="56" t="str">
        <f t="shared" si="53"/>
        <v/>
      </c>
    </row>
    <row r="1730" spans="9:10" x14ac:dyDescent="0.25">
      <c r="I1730" t="str">
        <f t="shared" si="52"/>
        <v/>
      </c>
      <c r="J1730" s="56" t="str">
        <f t="shared" si="53"/>
        <v/>
      </c>
    </row>
    <row r="1731" spans="9:10" x14ac:dyDescent="0.25">
      <c r="I1731" t="str">
        <f t="shared" ref="I1731:I1794" si="54">IF($A1731="","",RIGHT($E1731,LEN($E1731)-SEARCH(".",$E1731)))</f>
        <v/>
      </c>
      <c r="J1731" s="56" t="str">
        <f t="shared" ref="J1731:J1794" si="55">IF($A1731="","",$G1731)</f>
        <v/>
      </c>
    </row>
    <row r="1732" spans="9:10" x14ac:dyDescent="0.25">
      <c r="I1732" t="str">
        <f t="shared" si="54"/>
        <v/>
      </c>
      <c r="J1732" s="56" t="str">
        <f t="shared" si="55"/>
        <v/>
      </c>
    </row>
    <row r="1733" spans="9:10" x14ac:dyDescent="0.25">
      <c r="I1733" t="str">
        <f t="shared" si="54"/>
        <v/>
      </c>
      <c r="J1733" s="56" t="str">
        <f t="shared" si="55"/>
        <v/>
      </c>
    </row>
    <row r="1734" spans="9:10" x14ac:dyDescent="0.25">
      <c r="I1734" t="str">
        <f t="shared" si="54"/>
        <v/>
      </c>
      <c r="J1734" s="56" t="str">
        <f t="shared" si="55"/>
        <v/>
      </c>
    </row>
    <row r="1735" spans="9:10" x14ac:dyDescent="0.25">
      <c r="I1735" t="str">
        <f t="shared" si="54"/>
        <v/>
      </c>
      <c r="J1735" s="56" t="str">
        <f t="shared" si="55"/>
        <v/>
      </c>
    </row>
    <row r="1736" spans="9:10" x14ac:dyDescent="0.25">
      <c r="I1736" t="str">
        <f t="shared" si="54"/>
        <v/>
      </c>
      <c r="J1736" s="56" t="str">
        <f t="shared" si="55"/>
        <v/>
      </c>
    </row>
    <row r="1737" spans="9:10" x14ac:dyDescent="0.25">
      <c r="I1737" t="str">
        <f t="shared" si="54"/>
        <v/>
      </c>
      <c r="J1737" s="56" t="str">
        <f t="shared" si="55"/>
        <v/>
      </c>
    </row>
    <row r="1738" spans="9:10" x14ac:dyDescent="0.25">
      <c r="I1738" t="str">
        <f t="shared" si="54"/>
        <v/>
      </c>
      <c r="J1738" s="56" t="str">
        <f t="shared" si="55"/>
        <v/>
      </c>
    </row>
    <row r="1739" spans="9:10" x14ac:dyDescent="0.25">
      <c r="I1739" t="str">
        <f t="shared" si="54"/>
        <v/>
      </c>
      <c r="J1739" s="56" t="str">
        <f t="shared" si="55"/>
        <v/>
      </c>
    </row>
    <row r="1740" spans="9:10" x14ac:dyDescent="0.25">
      <c r="I1740" t="str">
        <f t="shared" si="54"/>
        <v/>
      </c>
      <c r="J1740" s="56" t="str">
        <f t="shared" si="55"/>
        <v/>
      </c>
    </row>
    <row r="1741" spans="9:10" x14ac:dyDescent="0.25">
      <c r="I1741" t="str">
        <f t="shared" si="54"/>
        <v/>
      </c>
      <c r="J1741" s="56" t="str">
        <f t="shared" si="55"/>
        <v/>
      </c>
    </row>
    <row r="1742" spans="9:10" x14ac:dyDescent="0.25">
      <c r="I1742" t="str">
        <f t="shared" si="54"/>
        <v/>
      </c>
      <c r="J1742" s="56" t="str">
        <f t="shared" si="55"/>
        <v/>
      </c>
    </row>
    <row r="1743" spans="9:10" x14ac:dyDescent="0.25">
      <c r="I1743" t="str">
        <f t="shared" si="54"/>
        <v/>
      </c>
      <c r="J1743" s="56" t="str">
        <f t="shared" si="55"/>
        <v/>
      </c>
    </row>
    <row r="1744" spans="9:10" x14ac:dyDescent="0.25">
      <c r="I1744" t="str">
        <f t="shared" si="54"/>
        <v/>
      </c>
      <c r="J1744" s="56" t="str">
        <f t="shared" si="55"/>
        <v/>
      </c>
    </row>
    <row r="1745" spans="9:10" x14ac:dyDescent="0.25">
      <c r="I1745" t="str">
        <f t="shared" si="54"/>
        <v/>
      </c>
      <c r="J1745" s="56" t="str">
        <f t="shared" si="55"/>
        <v/>
      </c>
    </row>
    <row r="1746" spans="9:10" x14ac:dyDescent="0.25">
      <c r="I1746" t="str">
        <f t="shared" si="54"/>
        <v/>
      </c>
      <c r="J1746" s="56" t="str">
        <f t="shared" si="55"/>
        <v/>
      </c>
    </row>
    <row r="1747" spans="9:10" x14ac:dyDescent="0.25">
      <c r="I1747" t="str">
        <f t="shared" si="54"/>
        <v/>
      </c>
      <c r="J1747" s="56" t="str">
        <f t="shared" si="55"/>
        <v/>
      </c>
    </row>
    <row r="1748" spans="9:10" x14ac:dyDescent="0.25">
      <c r="I1748" t="str">
        <f t="shared" si="54"/>
        <v/>
      </c>
      <c r="J1748" s="56" t="str">
        <f t="shared" si="55"/>
        <v/>
      </c>
    </row>
    <row r="1749" spans="9:10" x14ac:dyDescent="0.25">
      <c r="I1749" t="str">
        <f t="shared" si="54"/>
        <v/>
      </c>
      <c r="J1749" s="56" t="str">
        <f t="shared" si="55"/>
        <v/>
      </c>
    </row>
    <row r="1750" spans="9:10" x14ac:dyDescent="0.25">
      <c r="I1750" t="str">
        <f t="shared" si="54"/>
        <v/>
      </c>
      <c r="J1750" s="56" t="str">
        <f t="shared" si="55"/>
        <v/>
      </c>
    </row>
    <row r="1751" spans="9:10" x14ac:dyDescent="0.25">
      <c r="I1751" t="str">
        <f t="shared" si="54"/>
        <v/>
      </c>
      <c r="J1751" s="56" t="str">
        <f t="shared" si="55"/>
        <v/>
      </c>
    </row>
    <row r="1752" spans="9:10" x14ac:dyDescent="0.25">
      <c r="I1752" t="str">
        <f t="shared" si="54"/>
        <v/>
      </c>
      <c r="J1752" s="56" t="str">
        <f t="shared" si="55"/>
        <v/>
      </c>
    </row>
    <row r="1753" spans="9:10" x14ac:dyDescent="0.25">
      <c r="I1753" t="str">
        <f t="shared" si="54"/>
        <v/>
      </c>
      <c r="J1753" s="56" t="str">
        <f t="shared" si="55"/>
        <v/>
      </c>
    </row>
    <row r="1754" spans="9:10" x14ac:dyDescent="0.25">
      <c r="I1754" t="str">
        <f t="shared" si="54"/>
        <v/>
      </c>
      <c r="J1754" s="56" t="str">
        <f t="shared" si="55"/>
        <v/>
      </c>
    </row>
    <row r="1755" spans="9:10" x14ac:dyDescent="0.25">
      <c r="I1755" t="str">
        <f t="shared" si="54"/>
        <v/>
      </c>
      <c r="J1755" s="56" t="str">
        <f t="shared" si="55"/>
        <v/>
      </c>
    </row>
    <row r="1756" spans="9:10" x14ac:dyDescent="0.25">
      <c r="I1756" t="str">
        <f t="shared" si="54"/>
        <v/>
      </c>
      <c r="J1756" s="56" t="str">
        <f t="shared" si="55"/>
        <v/>
      </c>
    </row>
    <row r="1757" spans="9:10" x14ac:dyDescent="0.25">
      <c r="I1757" t="str">
        <f t="shared" si="54"/>
        <v/>
      </c>
      <c r="J1757" s="56" t="str">
        <f t="shared" si="55"/>
        <v/>
      </c>
    </row>
    <row r="1758" spans="9:10" x14ac:dyDescent="0.25">
      <c r="I1758" t="str">
        <f t="shared" si="54"/>
        <v/>
      </c>
      <c r="J1758" s="56" t="str">
        <f t="shared" si="55"/>
        <v/>
      </c>
    </row>
    <row r="1759" spans="9:10" x14ac:dyDescent="0.25">
      <c r="I1759" t="str">
        <f t="shared" si="54"/>
        <v/>
      </c>
      <c r="J1759" s="56" t="str">
        <f t="shared" si="55"/>
        <v/>
      </c>
    </row>
    <row r="1760" spans="9:10" x14ac:dyDescent="0.25">
      <c r="I1760" t="str">
        <f t="shared" si="54"/>
        <v/>
      </c>
      <c r="J1760" s="56" t="str">
        <f t="shared" si="55"/>
        <v/>
      </c>
    </row>
    <row r="1761" spans="9:10" x14ac:dyDescent="0.25">
      <c r="I1761" t="str">
        <f t="shared" si="54"/>
        <v/>
      </c>
      <c r="J1761" s="56" t="str">
        <f t="shared" si="55"/>
        <v/>
      </c>
    </row>
    <row r="1762" spans="9:10" x14ac:dyDescent="0.25">
      <c r="I1762" t="str">
        <f t="shared" si="54"/>
        <v/>
      </c>
      <c r="J1762" s="56" t="str">
        <f t="shared" si="55"/>
        <v/>
      </c>
    </row>
    <row r="1763" spans="9:10" x14ac:dyDescent="0.25">
      <c r="I1763" t="str">
        <f t="shared" si="54"/>
        <v/>
      </c>
      <c r="J1763" s="56" t="str">
        <f t="shared" si="55"/>
        <v/>
      </c>
    </row>
    <row r="1764" spans="9:10" x14ac:dyDescent="0.25">
      <c r="I1764" t="str">
        <f t="shared" si="54"/>
        <v/>
      </c>
      <c r="J1764" s="56" t="str">
        <f t="shared" si="55"/>
        <v/>
      </c>
    </row>
    <row r="1765" spans="9:10" x14ac:dyDescent="0.25">
      <c r="I1765" t="str">
        <f t="shared" si="54"/>
        <v/>
      </c>
      <c r="J1765" s="56" t="str">
        <f t="shared" si="55"/>
        <v/>
      </c>
    </row>
    <row r="1766" spans="9:10" x14ac:dyDescent="0.25">
      <c r="I1766" t="str">
        <f t="shared" si="54"/>
        <v/>
      </c>
      <c r="J1766" s="56" t="str">
        <f t="shared" si="55"/>
        <v/>
      </c>
    </row>
    <row r="1767" spans="9:10" x14ac:dyDescent="0.25">
      <c r="I1767" t="str">
        <f t="shared" si="54"/>
        <v/>
      </c>
      <c r="J1767" s="56" t="str">
        <f t="shared" si="55"/>
        <v/>
      </c>
    </row>
    <row r="1768" spans="9:10" x14ac:dyDescent="0.25">
      <c r="I1768" t="str">
        <f t="shared" si="54"/>
        <v/>
      </c>
      <c r="J1768" s="56" t="str">
        <f t="shared" si="55"/>
        <v/>
      </c>
    </row>
    <row r="1769" spans="9:10" x14ac:dyDescent="0.25">
      <c r="I1769" t="str">
        <f t="shared" si="54"/>
        <v/>
      </c>
      <c r="J1769" s="56" t="str">
        <f t="shared" si="55"/>
        <v/>
      </c>
    </row>
    <row r="1770" spans="9:10" x14ac:dyDescent="0.25">
      <c r="I1770" t="str">
        <f t="shared" si="54"/>
        <v/>
      </c>
      <c r="J1770" s="56" t="str">
        <f t="shared" si="55"/>
        <v/>
      </c>
    </row>
    <row r="1771" spans="9:10" x14ac:dyDescent="0.25">
      <c r="I1771" t="str">
        <f t="shared" si="54"/>
        <v/>
      </c>
      <c r="J1771" s="56" t="str">
        <f t="shared" si="55"/>
        <v/>
      </c>
    </row>
    <row r="1772" spans="9:10" x14ac:dyDescent="0.25">
      <c r="I1772" t="str">
        <f t="shared" si="54"/>
        <v/>
      </c>
      <c r="J1772" s="56" t="str">
        <f t="shared" si="55"/>
        <v/>
      </c>
    </row>
    <row r="1773" spans="9:10" x14ac:dyDescent="0.25">
      <c r="I1773" t="str">
        <f t="shared" si="54"/>
        <v/>
      </c>
      <c r="J1773" s="56" t="str">
        <f t="shared" si="55"/>
        <v/>
      </c>
    </row>
    <row r="1774" spans="9:10" x14ac:dyDescent="0.25">
      <c r="I1774" t="str">
        <f t="shared" si="54"/>
        <v/>
      </c>
      <c r="J1774" s="56" t="str">
        <f t="shared" si="55"/>
        <v/>
      </c>
    </row>
    <row r="1775" spans="9:10" x14ac:dyDescent="0.25">
      <c r="I1775" t="str">
        <f t="shared" si="54"/>
        <v/>
      </c>
      <c r="J1775" s="56" t="str">
        <f t="shared" si="55"/>
        <v/>
      </c>
    </row>
    <row r="1776" spans="9:10" x14ac:dyDescent="0.25">
      <c r="I1776" t="str">
        <f t="shared" si="54"/>
        <v/>
      </c>
      <c r="J1776" s="56" t="str">
        <f t="shared" si="55"/>
        <v/>
      </c>
    </row>
    <row r="1777" spans="9:10" x14ac:dyDescent="0.25">
      <c r="I1777" t="str">
        <f t="shared" si="54"/>
        <v/>
      </c>
      <c r="J1777" s="56" t="str">
        <f t="shared" si="55"/>
        <v/>
      </c>
    </row>
    <row r="1778" spans="9:10" x14ac:dyDescent="0.25">
      <c r="I1778" t="str">
        <f t="shared" si="54"/>
        <v/>
      </c>
      <c r="J1778" s="56" t="str">
        <f t="shared" si="55"/>
        <v/>
      </c>
    </row>
    <row r="1779" spans="9:10" x14ac:dyDescent="0.25">
      <c r="I1779" t="str">
        <f t="shared" si="54"/>
        <v/>
      </c>
      <c r="J1779" s="56" t="str">
        <f t="shared" si="55"/>
        <v/>
      </c>
    </row>
    <row r="1780" spans="9:10" x14ac:dyDescent="0.25">
      <c r="I1780" t="str">
        <f t="shared" si="54"/>
        <v/>
      </c>
      <c r="J1780" s="56" t="str">
        <f t="shared" si="55"/>
        <v/>
      </c>
    </row>
    <row r="1781" spans="9:10" x14ac:dyDescent="0.25">
      <c r="I1781" t="str">
        <f t="shared" si="54"/>
        <v/>
      </c>
      <c r="J1781" s="56" t="str">
        <f t="shared" si="55"/>
        <v/>
      </c>
    </row>
    <row r="1782" spans="9:10" x14ac:dyDescent="0.25">
      <c r="I1782" t="str">
        <f t="shared" si="54"/>
        <v/>
      </c>
      <c r="J1782" s="56" t="str">
        <f t="shared" si="55"/>
        <v/>
      </c>
    </row>
    <row r="1783" spans="9:10" x14ac:dyDescent="0.25">
      <c r="I1783" t="str">
        <f t="shared" si="54"/>
        <v/>
      </c>
      <c r="J1783" s="56" t="str">
        <f t="shared" si="55"/>
        <v/>
      </c>
    </row>
    <row r="1784" spans="9:10" x14ac:dyDescent="0.25">
      <c r="I1784" t="str">
        <f t="shared" si="54"/>
        <v/>
      </c>
      <c r="J1784" s="56" t="str">
        <f t="shared" si="55"/>
        <v/>
      </c>
    </row>
    <row r="1785" spans="9:10" x14ac:dyDescent="0.25">
      <c r="I1785" t="str">
        <f t="shared" si="54"/>
        <v/>
      </c>
      <c r="J1785" s="56" t="str">
        <f t="shared" si="55"/>
        <v/>
      </c>
    </row>
    <row r="1786" spans="9:10" x14ac:dyDescent="0.25">
      <c r="I1786" t="str">
        <f t="shared" si="54"/>
        <v/>
      </c>
      <c r="J1786" s="56" t="str">
        <f t="shared" si="55"/>
        <v/>
      </c>
    </row>
    <row r="1787" spans="9:10" x14ac:dyDescent="0.25">
      <c r="I1787" t="str">
        <f t="shared" si="54"/>
        <v/>
      </c>
      <c r="J1787" s="56" t="str">
        <f t="shared" si="55"/>
        <v/>
      </c>
    </row>
    <row r="1788" spans="9:10" x14ac:dyDescent="0.25">
      <c r="I1788" t="str">
        <f t="shared" si="54"/>
        <v/>
      </c>
      <c r="J1788" s="56" t="str">
        <f t="shared" si="55"/>
        <v/>
      </c>
    </row>
    <row r="1789" spans="9:10" x14ac:dyDescent="0.25">
      <c r="I1789" t="str">
        <f t="shared" si="54"/>
        <v/>
      </c>
      <c r="J1789" s="56" t="str">
        <f t="shared" si="55"/>
        <v/>
      </c>
    </row>
    <row r="1790" spans="9:10" x14ac:dyDescent="0.25">
      <c r="I1790" t="str">
        <f t="shared" si="54"/>
        <v/>
      </c>
      <c r="J1790" s="56" t="str">
        <f t="shared" si="55"/>
        <v/>
      </c>
    </row>
    <row r="1791" spans="9:10" x14ac:dyDescent="0.25">
      <c r="I1791" t="str">
        <f t="shared" si="54"/>
        <v/>
      </c>
      <c r="J1791" s="56" t="str">
        <f t="shared" si="55"/>
        <v/>
      </c>
    </row>
    <row r="1792" spans="9:10" x14ac:dyDescent="0.25">
      <c r="I1792" t="str">
        <f t="shared" si="54"/>
        <v/>
      </c>
      <c r="J1792" s="56" t="str">
        <f t="shared" si="55"/>
        <v/>
      </c>
    </row>
    <row r="1793" spans="9:10" x14ac:dyDescent="0.25">
      <c r="I1793" t="str">
        <f t="shared" si="54"/>
        <v/>
      </c>
      <c r="J1793" s="56" t="str">
        <f t="shared" si="55"/>
        <v/>
      </c>
    </row>
    <row r="1794" spans="9:10" x14ac:dyDescent="0.25">
      <c r="I1794" t="str">
        <f t="shared" si="54"/>
        <v/>
      </c>
      <c r="J1794" s="56" t="str">
        <f t="shared" si="55"/>
        <v/>
      </c>
    </row>
    <row r="1795" spans="9:10" x14ac:dyDescent="0.25">
      <c r="I1795" t="str">
        <f t="shared" ref="I1795:I1822" si="56">IF($A1795="","",RIGHT($E1795,LEN($E1795)-SEARCH(".",$E1795)))</f>
        <v/>
      </c>
      <c r="J1795" s="56" t="str">
        <f t="shared" ref="J1795:J1822" si="57">IF($A1795="","",$G1795)</f>
        <v/>
      </c>
    </row>
    <row r="1796" spans="9:10" x14ac:dyDescent="0.25">
      <c r="I1796" t="str">
        <f t="shared" si="56"/>
        <v/>
      </c>
      <c r="J1796" s="56" t="str">
        <f t="shared" si="57"/>
        <v/>
      </c>
    </row>
    <row r="1797" spans="9:10" x14ac:dyDescent="0.25">
      <c r="I1797" t="str">
        <f t="shared" si="56"/>
        <v/>
      </c>
      <c r="J1797" s="56" t="str">
        <f t="shared" si="57"/>
        <v/>
      </c>
    </row>
    <row r="1798" spans="9:10" x14ac:dyDescent="0.25">
      <c r="I1798" t="str">
        <f t="shared" si="56"/>
        <v/>
      </c>
      <c r="J1798" s="56" t="str">
        <f t="shared" si="57"/>
        <v/>
      </c>
    </row>
    <row r="1799" spans="9:10" x14ac:dyDescent="0.25">
      <c r="I1799" t="str">
        <f t="shared" si="56"/>
        <v/>
      </c>
      <c r="J1799" s="56" t="str">
        <f t="shared" si="57"/>
        <v/>
      </c>
    </row>
    <row r="1800" spans="9:10" x14ac:dyDescent="0.25">
      <c r="I1800" t="str">
        <f t="shared" si="56"/>
        <v/>
      </c>
      <c r="J1800" s="56" t="str">
        <f t="shared" si="57"/>
        <v/>
      </c>
    </row>
    <row r="1801" spans="9:10" x14ac:dyDescent="0.25">
      <c r="I1801" t="str">
        <f t="shared" si="56"/>
        <v/>
      </c>
      <c r="J1801" s="56" t="str">
        <f t="shared" si="57"/>
        <v/>
      </c>
    </row>
    <row r="1802" spans="9:10" x14ac:dyDescent="0.25">
      <c r="I1802" t="str">
        <f t="shared" si="56"/>
        <v/>
      </c>
      <c r="J1802" s="56" t="str">
        <f t="shared" si="57"/>
        <v/>
      </c>
    </row>
    <row r="1803" spans="9:10" x14ac:dyDescent="0.25">
      <c r="I1803" t="str">
        <f t="shared" si="56"/>
        <v/>
      </c>
      <c r="J1803" s="56" t="str">
        <f t="shared" si="57"/>
        <v/>
      </c>
    </row>
    <row r="1804" spans="9:10" x14ac:dyDescent="0.25">
      <c r="I1804" t="str">
        <f t="shared" si="56"/>
        <v/>
      </c>
      <c r="J1804" s="56" t="str">
        <f t="shared" si="57"/>
        <v/>
      </c>
    </row>
    <row r="1805" spans="9:10" x14ac:dyDescent="0.25">
      <c r="I1805" t="str">
        <f t="shared" si="56"/>
        <v/>
      </c>
      <c r="J1805" s="56" t="str">
        <f t="shared" si="57"/>
        <v/>
      </c>
    </row>
    <row r="1806" spans="9:10" x14ac:dyDescent="0.25">
      <c r="I1806" t="str">
        <f t="shared" si="56"/>
        <v/>
      </c>
      <c r="J1806" s="56" t="str">
        <f t="shared" si="57"/>
        <v/>
      </c>
    </row>
    <row r="1807" spans="9:10" x14ac:dyDescent="0.25">
      <c r="I1807" t="str">
        <f t="shared" si="56"/>
        <v/>
      </c>
      <c r="J1807" s="56" t="str">
        <f t="shared" si="57"/>
        <v/>
      </c>
    </row>
    <row r="1808" spans="9:10" x14ac:dyDescent="0.25">
      <c r="I1808" t="str">
        <f t="shared" si="56"/>
        <v/>
      </c>
      <c r="J1808" s="56" t="str">
        <f t="shared" si="57"/>
        <v/>
      </c>
    </row>
    <row r="1809" spans="9:10" x14ac:dyDescent="0.25">
      <c r="I1809" t="str">
        <f t="shared" si="56"/>
        <v/>
      </c>
      <c r="J1809" s="56" t="str">
        <f t="shared" si="57"/>
        <v/>
      </c>
    </row>
    <row r="1810" spans="9:10" x14ac:dyDescent="0.25">
      <c r="I1810" t="str">
        <f t="shared" si="56"/>
        <v/>
      </c>
      <c r="J1810" s="56" t="str">
        <f t="shared" si="57"/>
        <v/>
      </c>
    </row>
    <row r="1811" spans="9:10" x14ac:dyDescent="0.25">
      <c r="I1811" t="str">
        <f t="shared" si="56"/>
        <v/>
      </c>
      <c r="J1811" s="56" t="str">
        <f t="shared" si="57"/>
        <v/>
      </c>
    </row>
    <row r="1812" spans="9:10" x14ac:dyDescent="0.25">
      <c r="I1812" t="str">
        <f t="shared" si="56"/>
        <v/>
      </c>
      <c r="J1812" s="56" t="str">
        <f t="shared" si="57"/>
        <v/>
      </c>
    </row>
    <row r="1813" spans="9:10" x14ac:dyDescent="0.25">
      <c r="I1813" t="str">
        <f t="shared" si="56"/>
        <v/>
      </c>
      <c r="J1813" s="56" t="str">
        <f t="shared" si="57"/>
        <v/>
      </c>
    </row>
    <row r="1814" spans="9:10" x14ac:dyDescent="0.25">
      <c r="I1814" t="str">
        <f t="shared" si="56"/>
        <v/>
      </c>
      <c r="J1814" s="56" t="str">
        <f t="shared" si="57"/>
        <v/>
      </c>
    </row>
    <row r="1815" spans="9:10" x14ac:dyDescent="0.25">
      <c r="I1815" t="str">
        <f t="shared" si="56"/>
        <v/>
      </c>
      <c r="J1815" s="56" t="str">
        <f t="shared" si="57"/>
        <v/>
      </c>
    </row>
    <row r="1816" spans="9:10" x14ac:dyDescent="0.25">
      <c r="I1816" t="str">
        <f t="shared" si="56"/>
        <v/>
      </c>
      <c r="J1816" s="56" t="str">
        <f t="shared" si="57"/>
        <v/>
      </c>
    </row>
    <row r="1817" spans="9:10" x14ac:dyDescent="0.25">
      <c r="I1817" t="str">
        <f t="shared" si="56"/>
        <v/>
      </c>
      <c r="J1817" s="56" t="str">
        <f t="shared" si="57"/>
        <v/>
      </c>
    </row>
    <row r="1818" spans="9:10" x14ac:dyDescent="0.25">
      <c r="I1818" t="str">
        <f t="shared" si="56"/>
        <v/>
      </c>
      <c r="J1818" s="56" t="str">
        <f t="shared" si="57"/>
        <v/>
      </c>
    </row>
    <row r="1819" spans="9:10" x14ac:dyDescent="0.25">
      <c r="I1819" t="str">
        <f t="shared" si="56"/>
        <v/>
      </c>
      <c r="J1819" s="56" t="str">
        <f t="shared" si="57"/>
        <v/>
      </c>
    </row>
    <row r="1820" spans="9:10" x14ac:dyDescent="0.25">
      <c r="I1820" t="str">
        <f t="shared" si="56"/>
        <v/>
      </c>
      <c r="J1820" s="56" t="str">
        <f t="shared" si="57"/>
        <v/>
      </c>
    </row>
    <row r="1821" spans="9:10" x14ac:dyDescent="0.25">
      <c r="I1821" t="str">
        <f t="shared" si="56"/>
        <v/>
      </c>
      <c r="J1821" s="56" t="str">
        <f t="shared" si="57"/>
        <v/>
      </c>
    </row>
    <row r="1822" spans="9:10" x14ac:dyDescent="0.25">
      <c r="I1822" t="str">
        <f t="shared" si="56"/>
        <v/>
      </c>
      <c r="J1822" s="56" t="str">
        <f t="shared" si="57"/>
        <v/>
      </c>
    </row>
  </sheetData>
  <sortState xmlns:xlrd2="http://schemas.microsoft.com/office/spreadsheetml/2017/richdata2" ref="A2:G1822">
    <sortCondition ref="A2:A1822"/>
    <sortCondition ref="D2:D182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V540"/>
  <sheetViews>
    <sheetView zoomScale="78" zoomScaleNormal="78" workbookViewId="0">
      <selection activeCell="A24" sqref="A24"/>
    </sheetView>
  </sheetViews>
  <sheetFormatPr defaultRowHeight="15" x14ac:dyDescent="0.25"/>
  <cols>
    <col min="1" max="2" width="12.5703125" bestFit="1" customWidth="1"/>
    <col min="3" max="3" width="12.5703125" customWidth="1"/>
    <col min="4" max="4" width="1.7109375" style="80" customWidth="1"/>
    <col min="6" max="6" width="23.140625" bestFit="1" customWidth="1"/>
    <col min="7" max="7" width="13.5703125" bestFit="1" customWidth="1"/>
    <col min="8" max="8" width="10.140625" bestFit="1" customWidth="1"/>
    <col min="9" max="9" width="12" bestFit="1" customWidth="1"/>
    <col min="10" max="10" width="1.7109375" style="80" customWidth="1"/>
    <col min="11" max="12" width="19.85546875" bestFit="1" customWidth="1"/>
    <col min="13" max="13" width="15.140625" bestFit="1" customWidth="1"/>
    <col min="14" max="14" width="1.7109375" style="80" customWidth="1"/>
    <col min="15" max="15" width="67.42578125" customWidth="1"/>
    <col min="16" max="16" width="18.7109375" style="42" customWidth="1"/>
    <col min="17" max="17" width="21" customWidth="1"/>
    <col min="18" max="18" width="18.7109375" style="42" customWidth="1"/>
    <col min="19" max="19" width="1.7109375" style="81" customWidth="1"/>
  </cols>
  <sheetData>
    <row r="1" spans="1:19" s="82" customFormat="1" x14ac:dyDescent="0.25">
      <c r="A1" s="82" t="s">
        <v>216</v>
      </c>
      <c r="B1" s="82" t="s">
        <v>0</v>
      </c>
      <c r="C1" s="82" t="s">
        <v>804</v>
      </c>
      <c r="D1" s="83"/>
      <c r="F1" s="82" t="s">
        <v>71</v>
      </c>
      <c r="G1" s="82" t="s">
        <v>73</v>
      </c>
      <c r="H1" s="82" t="s">
        <v>81</v>
      </c>
      <c r="I1" s="82" t="s">
        <v>82</v>
      </c>
      <c r="J1" s="83"/>
      <c r="N1" s="83"/>
      <c r="O1" s="19" t="s">
        <v>437</v>
      </c>
      <c r="P1" s="79" t="s">
        <v>436</v>
      </c>
      <c r="Q1" s="19" t="s">
        <v>74</v>
      </c>
      <c r="R1" s="79" t="s">
        <v>314</v>
      </c>
      <c r="S1" s="84"/>
    </row>
    <row r="2" spans="1:19" x14ac:dyDescent="0.25">
      <c r="A2" t="s">
        <v>86</v>
      </c>
      <c r="B2" t="s">
        <v>11</v>
      </c>
      <c r="C2" t="b">
        <v>1</v>
      </c>
      <c r="F2" t="s">
        <v>93</v>
      </c>
      <c r="H2" t="s">
        <v>85</v>
      </c>
      <c r="I2" t="s">
        <v>94</v>
      </c>
      <c r="K2" t="s">
        <v>112</v>
      </c>
      <c r="L2" t="s">
        <v>229</v>
      </c>
      <c r="M2" t="s">
        <v>228</v>
      </c>
      <c r="O2" s="78" t="str">
        <f>IF('asset_&amp;_open_positions'!$C2="","",'asset_&amp;_open_positions'!$E2)</f>
        <v>B_P_BTC-USD-SWAP</v>
      </c>
      <c r="P2" s="42">
        <f>IF('asset_&amp;_open_positions'!$C2="","",'asset_&amp;_open_positions'!$H2)</f>
        <v>18094.104153970002</v>
      </c>
      <c r="Q2" s="78" t="str">
        <f>IF(OR('asset_&amp;_open_positions'!$C2="",'asset_&amp;_open_positions'!$J2="SWAP",'asset_&amp;_open_positions'!$J2="FUTURE",'asset_&amp;_open_positions'!$J2="CME FUTURE"),"",'asset_&amp;_open_positions'!$M2)</f>
        <v/>
      </c>
      <c r="R2" s="42" t="str">
        <f>IF(OR('asset_&amp;_open_positions'!$C2="",'asset_&amp;_open_positions'!$J2="SWAP",'asset_&amp;_open_positions'!$J2="FUTURE",'asset_&amp;_open_positions'!$J2="CME FUTURE"),"",'asset_&amp;_open_positions'!$H2)</f>
        <v/>
      </c>
    </row>
    <row r="3" spans="1:19" x14ac:dyDescent="0.25">
      <c r="A3" t="s">
        <v>259</v>
      </c>
      <c r="B3" t="s">
        <v>259</v>
      </c>
      <c r="C3" t="b">
        <v>0</v>
      </c>
      <c r="F3" t="s">
        <v>97</v>
      </c>
      <c r="H3" t="s">
        <v>85</v>
      </c>
      <c r="I3" t="s">
        <v>97</v>
      </c>
      <c r="K3" t="s">
        <v>118</v>
      </c>
      <c r="L3" t="s">
        <v>230</v>
      </c>
      <c r="M3" t="s">
        <v>228</v>
      </c>
      <c r="O3" s="78" t="str">
        <f>IF('asset_&amp;_open_positions'!$C3="","",'asset_&amp;_open_positions'!$E3)</f>
        <v>B_P_ETH-USD-SWAP</v>
      </c>
      <c r="P3" s="42">
        <f>IF('asset_&amp;_open_positions'!$C3="","",'asset_&amp;_open_positions'!$H3)</f>
        <v>1385.94</v>
      </c>
      <c r="Q3" s="78" t="str">
        <f>IF(OR('asset_&amp;_open_positions'!$C3="",'asset_&amp;_open_positions'!$J3="SWAP",'asset_&amp;_open_positions'!$J3="FUTURE",'asset_&amp;_open_positions'!$J3="CME FUTURE"),"",'asset_&amp;_open_positions'!$M3)</f>
        <v/>
      </c>
      <c r="R3" s="42" t="str">
        <f>IF(OR('asset_&amp;_open_positions'!$C3="",'asset_&amp;_open_positions'!$J3="SWAP",'asset_&amp;_open_positions'!$J3="FUTURE",'asset_&amp;_open_positions'!$J3="CME FUTURE"),"",'asset_&amp;_open_positions'!$H3)</f>
        <v/>
      </c>
    </row>
    <row r="4" spans="1:19" x14ac:dyDescent="0.25">
      <c r="A4" t="s">
        <v>255</v>
      </c>
      <c r="B4" t="s">
        <v>255</v>
      </c>
      <c r="C4" t="b">
        <v>1</v>
      </c>
      <c r="F4" t="s">
        <v>106</v>
      </c>
      <c r="H4" t="s">
        <v>85</v>
      </c>
      <c r="I4" t="s">
        <v>108</v>
      </c>
      <c r="K4" t="s">
        <v>45</v>
      </c>
      <c r="L4" t="s">
        <v>231</v>
      </c>
      <c r="M4" t="s">
        <v>228</v>
      </c>
      <c r="O4" s="78" t="str">
        <f>IF('asset_&amp;_open_positions'!$C4="","",'asset_&amp;_open_positions'!$E4)</f>
        <v>B_F_BTC-USD_230331</v>
      </c>
      <c r="P4" s="42">
        <f>IF('asset_&amp;_open_positions'!$C4="","",'asset_&amp;_open_positions'!$H4)</f>
        <v>18207.291577249998</v>
      </c>
      <c r="Q4" s="78" t="str">
        <f>IF(OR('asset_&amp;_open_positions'!$C4="",'asset_&amp;_open_positions'!$J4="SWAP",'asset_&amp;_open_positions'!$J4="FUTURE",'asset_&amp;_open_positions'!$J4="CME FUTURE"),"",'asset_&amp;_open_positions'!$M4)</f>
        <v/>
      </c>
      <c r="R4" s="42" t="str">
        <f>IF(OR('asset_&amp;_open_positions'!$C4="",'asset_&amp;_open_positions'!$J4="SWAP",'asset_&amp;_open_positions'!$J4="FUTURE",'asset_&amp;_open_positions'!$J4="CME FUTURE"),"",'asset_&amp;_open_positions'!$H4)</f>
        <v/>
      </c>
    </row>
    <row r="5" spans="1:19" x14ac:dyDescent="0.25">
      <c r="A5" t="s">
        <v>32</v>
      </c>
      <c r="B5" t="s">
        <v>32</v>
      </c>
      <c r="C5" t="b">
        <v>1</v>
      </c>
      <c r="F5" t="s">
        <v>111</v>
      </c>
      <c r="G5" t="s">
        <v>72</v>
      </c>
      <c r="H5" t="s">
        <v>85</v>
      </c>
      <c r="I5" t="s">
        <v>112</v>
      </c>
      <c r="K5" t="s">
        <v>176</v>
      </c>
      <c r="L5" t="s">
        <v>232</v>
      </c>
      <c r="M5" t="s">
        <v>228</v>
      </c>
      <c r="O5" s="78" t="str">
        <f>IF('asset_&amp;_open_positions'!$C5="","",'asset_&amp;_open_positions'!$E5)</f>
        <v>B_F_BTC-USD_230630</v>
      </c>
      <c r="P5" s="42">
        <f>IF('asset_&amp;_open_positions'!$C5="","",'asset_&amp;_open_positions'!$H5)</f>
        <v>18286.597918250001</v>
      </c>
      <c r="Q5" s="78" t="str">
        <f>IF(OR('asset_&amp;_open_positions'!$C5="",'asset_&amp;_open_positions'!$J5="SWAP",'asset_&amp;_open_positions'!$J5="FUTURE",'asset_&amp;_open_positions'!$J5="CME FUTURE"),"",'asset_&amp;_open_positions'!$M5)</f>
        <v/>
      </c>
      <c r="R5" s="42" t="str">
        <f>IF(OR('asset_&amp;_open_positions'!$C5="",'asset_&amp;_open_positions'!$J5="SWAP",'asset_&amp;_open_positions'!$J5="FUTURE",'asset_&amp;_open_positions'!$J5="CME FUTURE"),"",'asset_&amp;_open_positions'!$H5)</f>
        <v/>
      </c>
    </row>
    <row r="6" spans="1:19" x14ac:dyDescent="0.25">
      <c r="A6" t="s">
        <v>108</v>
      </c>
      <c r="B6" t="s">
        <v>36</v>
      </c>
      <c r="C6" t="b">
        <v>1</v>
      </c>
      <c r="F6" t="s">
        <v>40</v>
      </c>
      <c r="G6" t="s">
        <v>72</v>
      </c>
      <c r="H6" t="s">
        <v>85</v>
      </c>
      <c r="I6" t="s">
        <v>112</v>
      </c>
      <c r="K6" t="s">
        <v>86</v>
      </c>
      <c r="L6" t="s">
        <v>233</v>
      </c>
      <c r="M6" t="s">
        <v>228</v>
      </c>
      <c r="O6" s="78" t="str">
        <f>IF('asset_&amp;_open_positions'!$C6="","",'asset_&amp;_open_positions'!$E6)</f>
        <v>B_F_ETH-USD_230331</v>
      </c>
      <c r="P6" s="42">
        <f>IF('asset_&amp;_open_positions'!$C6="","",'asset_&amp;_open_positions'!$H6)</f>
        <v>1393.8903773100001</v>
      </c>
      <c r="Q6" s="78" t="str">
        <f>IF(OR('asset_&amp;_open_positions'!$C6="",'asset_&amp;_open_positions'!$J6="SWAP",'asset_&amp;_open_positions'!$J6="FUTURE",'asset_&amp;_open_positions'!$J6="CME FUTURE"),"",'asset_&amp;_open_positions'!$M6)</f>
        <v/>
      </c>
      <c r="R6" s="42" t="str">
        <f>IF(OR('asset_&amp;_open_positions'!$C6="",'asset_&amp;_open_positions'!$J6="SWAP",'asset_&amp;_open_positions'!$J6="FUTURE",'asset_&amp;_open_positions'!$J6="CME FUTURE"),"",'asset_&amp;_open_positions'!$H6)</f>
        <v/>
      </c>
    </row>
    <row r="7" spans="1:19" x14ac:dyDescent="0.25">
      <c r="A7" t="s">
        <v>215</v>
      </c>
      <c r="B7" t="s">
        <v>39</v>
      </c>
      <c r="C7" t="b">
        <v>1</v>
      </c>
      <c r="F7" t="s">
        <v>114</v>
      </c>
      <c r="H7" t="s">
        <v>85</v>
      </c>
      <c r="I7" t="s">
        <v>112</v>
      </c>
      <c r="K7" t="s">
        <v>222</v>
      </c>
      <c r="L7" t="s">
        <v>234</v>
      </c>
      <c r="M7" t="s">
        <v>228</v>
      </c>
      <c r="O7" s="78" t="str">
        <f>IF('asset_&amp;_open_positions'!$C7="","",'asset_&amp;_open_positions'!$E7)</f>
        <v>BAXSUSDT</v>
      </c>
      <c r="P7" s="42">
        <f>IF('asset_&amp;_open_positions'!$C7="","",'asset_&amp;_open_positions'!$H7)</f>
        <v>7.7789999999999999</v>
      </c>
      <c r="Q7" s="78" t="str">
        <f>IF(OR('asset_&amp;_open_positions'!$C7="",'asset_&amp;_open_positions'!$J7="SWAP",'asset_&amp;_open_positions'!$J7="FUTURE",'asset_&amp;_open_positions'!$J7="CME FUTURE"),"",'asset_&amp;_open_positions'!$M7)</f>
        <v/>
      </c>
      <c r="R7" s="42" t="str">
        <f>IF(OR('asset_&amp;_open_positions'!$C7="",'asset_&amp;_open_positions'!$J7="SWAP",'asset_&amp;_open_positions'!$J7="FUTURE",'asset_&amp;_open_positions'!$J7="CME FUTURE"),"",'asset_&amp;_open_positions'!$H7)</f>
        <v/>
      </c>
    </row>
    <row r="8" spans="1:19" x14ac:dyDescent="0.25">
      <c r="A8" t="s">
        <v>112</v>
      </c>
      <c r="B8" t="s">
        <v>39</v>
      </c>
      <c r="C8" t="b">
        <v>1</v>
      </c>
      <c r="F8" t="s">
        <v>115</v>
      </c>
      <c r="H8" t="s">
        <v>85</v>
      </c>
      <c r="I8" t="s">
        <v>112</v>
      </c>
      <c r="K8" t="s">
        <v>32</v>
      </c>
      <c r="L8" t="s">
        <v>32</v>
      </c>
      <c r="M8" t="s">
        <v>228</v>
      </c>
      <c r="O8" s="78" t="str">
        <f>IF('asset_&amp;_open_positions'!$C8="","",'asset_&amp;_open_positions'!$E8)</f>
        <v>BBTCUSDT</v>
      </c>
      <c r="P8" s="42">
        <f>IF('asset_&amp;_open_positions'!$C8="","",'asset_&amp;_open_positions'!$H8)</f>
        <v>18092.900000000001</v>
      </c>
      <c r="Q8" s="78" t="str">
        <f>IF(OR('asset_&amp;_open_positions'!$C8="",'asset_&amp;_open_positions'!$J8="SWAP",'asset_&amp;_open_positions'!$J8="FUTURE",'asset_&amp;_open_positions'!$J8="CME FUTURE"),"",'asset_&amp;_open_positions'!$M8)</f>
        <v/>
      </c>
      <c r="R8" s="42" t="str">
        <f>IF(OR('asset_&amp;_open_positions'!$C8="",'asset_&amp;_open_positions'!$J8="SWAP",'asset_&amp;_open_positions'!$J8="FUTURE",'asset_&amp;_open_positions'!$J8="CME FUTURE"),"",'asset_&amp;_open_positions'!$H8)</f>
        <v/>
      </c>
    </row>
    <row r="9" spans="1:19" x14ac:dyDescent="0.25">
      <c r="A9" t="s">
        <v>45</v>
      </c>
      <c r="B9" t="s">
        <v>45</v>
      </c>
      <c r="C9" t="b">
        <v>1</v>
      </c>
      <c r="F9" t="s">
        <v>41</v>
      </c>
      <c r="G9" t="s">
        <v>72</v>
      </c>
      <c r="H9" t="s">
        <v>85</v>
      </c>
      <c r="I9" t="s">
        <v>112</v>
      </c>
      <c r="K9" t="s">
        <v>184</v>
      </c>
      <c r="L9" t="s">
        <v>235</v>
      </c>
      <c r="M9" t="s">
        <v>228</v>
      </c>
      <c r="O9" s="78" t="str">
        <f>IF('asset_&amp;_open_positions'!$C9="","",'asset_&amp;_open_positions'!$E9)</f>
        <v>BBCHUSDT</v>
      </c>
      <c r="P9" s="42">
        <f>IF('asset_&amp;_open_positions'!$C9="","",'asset_&amp;_open_positions'!$H9)</f>
        <v>116.40873369000001</v>
      </c>
      <c r="Q9" s="78" t="str">
        <f>IF(OR('asset_&amp;_open_positions'!$C9="",'asset_&amp;_open_positions'!$J9="SWAP",'asset_&amp;_open_positions'!$J9="FUTURE",'asset_&amp;_open_positions'!$J9="CME FUTURE"),"",'asset_&amp;_open_positions'!$M9)</f>
        <v/>
      </c>
      <c r="R9" s="42" t="str">
        <f>IF(OR('asset_&amp;_open_positions'!$C9="",'asset_&amp;_open_positions'!$J9="SWAP",'asset_&amp;_open_positions'!$J9="FUTURE",'asset_&amp;_open_positions'!$J9="CME FUTURE"),"",'asset_&amp;_open_positions'!$H9)</f>
        <v/>
      </c>
    </row>
    <row r="10" spans="1:19" x14ac:dyDescent="0.25">
      <c r="A10" s="21" t="s">
        <v>97</v>
      </c>
      <c r="B10" t="s">
        <v>97</v>
      </c>
      <c r="C10" t="b">
        <v>1</v>
      </c>
      <c r="F10" t="s">
        <v>44</v>
      </c>
      <c r="G10" t="s">
        <v>72</v>
      </c>
      <c r="H10" t="s">
        <v>85</v>
      </c>
      <c r="I10" t="s">
        <v>118</v>
      </c>
      <c r="K10" t="s">
        <v>108</v>
      </c>
      <c r="L10" t="s">
        <v>236</v>
      </c>
      <c r="M10" t="s">
        <v>228</v>
      </c>
      <c r="O10" s="78" t="str">
        <f>IF('asset_&amp;_open_positions'!$C10="","",'asset_&amp;_open_positions'!$E10)</f>
        <v>BEOSUSDT</v>
      </c>
      <c r="P10" s="42">
        <f>IF('asset_&amp;_open_positions'!$C10="","",'asset_&amp;_open_positions'!$H10)</f>
        <v>0.95667617999999999</v>
      </c>
      <c r="Q10" s="78" t="str">
        <f>IF(OR('asset_&amp;_open_positions'!$C10="",'asset_&amp;_open_positions'!$J10="SWAP",'asset_&amp;_open_positions'!$J10="FUTURE",'asset_&amp;_open_positions'!$J10="CME FUTURE"),"",'asset_&amp;_open_positions'!$M10)</f>
        <v/>
      </c>
      <c r="R10" s="42" t="str">
        <f>IF(OR('asset_&amp;_open_positions'!$C10="",'asset_&amp;_open_positions'!$J10="SWAP",'asset_&amp;_open_positions'!$J10="FUTURE",'asset_&amp;_open_positions'!$J10="CME FUTURE"),"",'asset_&amp;_open_positions'!$H10)</f>
        <v/>
      </c>
    </row>
    <row r="11" spans="1:19" x14ac:dyDescent="0.25">
      <c r="A11" s="21" t="s">
        <v>101</v>
      </c>
      <c r="B11" t="s">
        <v>101</v>
      </c>
      <c r="C11" t="b">
        <v>1</v>
      </c>
      <c r="F11" t="s">
        <v>119</v>
      </c>
      <c r="H11" t="s">
        <v>85</v>
      </c>
      <c r="I11" t="s">
        <v>118</v>
      </c>
      <c r="L11" t="s">
        <v>237</v>
      </c>
      <c r="M11" t="s">
        <v>228</v>
      </c>
      <c r="O11" s="78" t="str">
        <f>IF('asset_&amp;_open_positions'!$C11="","",'asset_&amp;_open_positions'!$E11)</f>
        <v>BETHUSDT</v>
      </c>
      <c r="P11" s="42">
        <f>IF('asset_&amp;_open_positions'!$C11="","",'asset_&amp;_open_positions'!$H11)</f>
        <v>1386.59</v>
      </c>
      <c r="Q11" s="78" t="str">
        <f>IF(OR('asset_&amp;_open_positions'!$C11="",'asset_&amp;_open_positions'!$J11="SWAP",'asset_&amp;_open_positions'!$J11="FUTURE",'asset_&amp;_open_positions'!$J11="CME FUTURE"),"",'asset_&amp;_open_positions'!$M11)</f>
        <v/>
      </c>
      <c r="R11" s="42" t="str">
        <f>IF(OR('asset_&amp;_open_positions'!$C11="",'asset_&amp;_open_positions'!$J11="SWAP",'asset_&amp;_open_positions'!$J11="FUTURE",'asset_&amp;_open_positions'!$J11="CME FUTURE"),"",'asset_&amp;_open_positions'!$H11)</f>
        <v/>
      </c>
    </row>
    <row r="12" spans="1:19" x14ac:dyDescent="0.25">
      <c r="A12" s="21" t="s">
        <v>94</v>
      </c>
      <c r="B12" t="s">
        <v>217</v>
      </c>
      <c r="C12" t="b">
        <v>1</v>
      </c>
      <c r="F12" t="s">
        <v>120</v>
      </c>
      <c r="H12" t="s">
        <v>85</v>
      </c>
      <c r="I12" t="s">
        <v>112</v>
      </c>
      <c r="K12" t="s">
        <v>172</v>
      </c>
      <c r="L12" t="s">
        <v>238</v>
      </c>
      <c r="M12" t="s">
        <v>228</v>
      </c>
      <c r="O12" s="78" t="str">
        <f>IF('asset_&amp;_open_positions'!$C12="","",'asset_&amp;_open_positions'!$E12)</f>
        <v>BLTCUSDT</v>
      </c>
      <c r="P12" s="42">
        <f>IF('asset_&amp;_open_positions'!$C12="","",'asset_&amp;_open_positions'!$H12)</f>
        <v>83.24</v>
      </c>
      <c r="Q12" s="78" t="str">
        <f>IF(OR('asset_&amp;_open_positions'!$C12="",'asset_&amp;_open_positions'!$J12="SWAP",'asset_&amp;_open_positions'!$J12="FUTURE",'asset_&amp;_open_positions'!$J12="CME FUTURE"),"",'asset_&amp;_open_positions'!$M12)</f>
        <v/>
      </c>
      <c r="R12" s="42" t="str">
        <f>IF(OR('asset_&amp;_open_positions'!$C12="",'asset_&amp;_open_positions'!$J12="SWAP",'asset_&amp;_open_positions'!$J12="FUTURE",'asset_&amp;_open_positions'!$J12="CME FUTURE"),"",'asset_&amp;_open_positions'!$H12)</f>
        <v/>
      </c>
    </row>
    <row r="13" spans="1:19" x14ac:dyDescent="0.25">
      <c r="A13" s="21" t="s">
        <v>118</v>
      </c>
      <c r="B13" t="s">
        <v>118</v>
      </c>
      <c r="C13" t="b">
        <v>1</v>
      </c>
      <c r="F13" t="s">
        <v>166</v>
      </c>
      <c r="H13" t="s">
        <v>85</v>
      </c>
      <c r="I13" t="s">
        <v>112</v>
      </c>
      <c r="K13" t="s">
        <v>97</v>
      </c>
      <c r="L13" t="s">
        <v>239</v>
      </c>
      <c r="M13" t="s">
        <v>228</v>
      </c>
      <c r="O13" s="78" t="str">
        <f>IF('asset_&amp;_open_positions'!$C13="","",'asset_&amp;_open_positions'!$E13)</f>
        <v>BOMGUSDT</v>
      </c>
      <c r="P13" s="42">
        <f>IF('asset_&amp;_open_positions'!$C13="","",'asset_&amp;_open_positions'!$H13)</f>
        <v>1.1879999999999999</v>
      </c>
      <c r="Q13" s="78" t="str">
        <f>IF(OR('asset_&amp;_open_positions'!$C13="",'asset_&amp;_open_positions'!$J13="SWAP",'asset_&amp;_open_positions'!$J13="FUTURE",'asset_&amp;_open_positions'!$J13="CME FUTURE"),"",'asset_&amp;_open_positions'!$M13)</f>
        <v/>
      </c>
      <c r="R13" s="42" t="str">
        <f>IF(OR('asset_&amp;_open_positions'!$C13="",'asset_&amp;_open_positions'!$J13="SWAP",'asset_&amp;_open_positions'!$J13="FUTURE",'asset_&amp;_open_positions'!$J13="CME FUTURE"),"",'asset_&amp;_open_positions'!$H13)</f>
        <v/>
      </c>
    </row>
    <row r="14" spans="1:19" x14ac:dyDescent="0.25">
      <c r="A14" t="s">
        <v>167</v>
      </c>
      <c r="B14" t="s">
        <v>167</v>
      </c>
      <c r="C14" t="b">
        <v>1</v>
      </c>
      <c r="F14" t="s">
        <v>167</v>
      </c>
      <c r="H14" t="s">
        <v>85</v>
      </c>
      <c r="I14" t="s">
        <v>167</v>
      </c>
      <c r="K14" t="s">
        <v>186</v>
      </c>
      <c r="L14" t="s">
        <v>240</v>
      </c>
      <c r="M14" t="s">
        <v>228</v>
      </c>
      <c r="O14" s="78" t="str">
        <f>IF('asset_&amp;_open_positions'!$C14="","",'asset_&amp;_open_positions'!$E14)</f>
        <v>BZILUSDT</v>
      </c>
      <c r="P14" s="42">
        <f>IF('asset_&amp;_open_positions'!$C14="","",'asset_&amp;_open_positions'!$H14)</f>
        <v>2.2759999999999999E-2</v>
      </c>
      <c r="Q14" s="78" t="str">
        <f>IF(OR('asset_&amp;_open_positions'!$C14="",'asset_&amp;_open_positions'!$J14="SWAP",'asset_&amp;_open_positions'!$J14="FUTURE",'asset_&amp;_open_positions'!$J14="CME FUTURE"),"",'asset_&amp;_open_positions'!$M14)</f>
        <v/>
      </c>
      <c r="R14" s="42" t="str">
        <f>IF(OR('asset_&amp;_open_positions'!$C14="",'asset_&amp;_open_positions'!$J14="SWAP",'asset_&amp;_open_positions'!$J14="FUTURE",'asset_&amp;_open_positions'!$J14="CME FUTURE"),"",'asset_&amp;_open_positions'!$H14)</f>
        <v/>
      </c>
    </row>
    <row r="15" spans="1:19" x14ac:dyDescent="0.25">
      <c r="A15" t="s">
        <v>170</v>
      </c>
      <c r="B15" t="s">
        <v>170</v>
      </c>
      <c r="C15" t="b">
        <v>0</v>
      </c>
      <c r="F15" t="s">
        <v>172</v>
      </c>
      <c r="H15" t="s">
        <v>85</v>
      </c>
      <c r="I15" t="s">
        <v>172</v>
      </c>
      <c r="K15" t="s">
        <v>167</v>
      </c>
      <c r="L15" t="s">
        <v>241</v>
      </c>
      <c r="M15" t="s">
        <v>228</v>
      </c>
      <c r="O15" s="78" t="str">
        <f>IF('asset_&amp;_open_positions'!$C15="","",'asset_&amp;_open_positions'!$E15)</f>
        <v>BCOMPUSDT</v>
      </c>
      <c r="P15" s="42">
        <f>IF('asset_&amp;_open_positions'!$C15="","",'asset_&amp;_open_positions'!$H15)</f>
        <v>36.85</v>
      </c>
      <c r="Q15" s="78" t="str">
        <f>IF(OR('asset_&amp;_open_positions'!$C15="",'asset_&amp;_open_positions'!$J15="SWAP",'asset_&amp;_open_positions'!$J15="FUTURE",'asset_&amp;_open_positions'!$J15="CME FUTURE"),"",'asset_&amp;_open_positions'!$M15)</f>
        <v/>
      </c>
      <c r="R15" s="42" t="str">
        <f>IF(OR('asset_&amp;_open_positions'!$C15="",'asset_&amp;_open_positions'!$J15="SWAP",'asset_&amp;_open_positions'!$J15="FUTURE",'asset_&amp;_open_positions'!$J15="CME FUTURE"),"",'asset_&amp;_open_positions'!$H15)</f>
        <v/>
      </c>
    </row>
    <row r="16" spans="1:19" x14ac:dyDescent="0.25">
      <c r="A16" s="21" t="s">
        <v>172</v>
      </c>
      <c r="B16" t="s">
        <v>172</v>
      </c>
      <c r="C16" t="b">
        <v>1</v>
      </c>
      <c r="F16" t="s">
        <v>173</v>
      </c>
      <c r="H16" t="s">
        <v>85</v>
      </c>
      <c r="I16" t="s">
        <v>173</v>
      </c>
      <c r="K16" t="s">
        <v>94</v>
      </c>
      <c r="L16" t="s">
        <v>242</v>
      </c>
      <c r="M16" t="s">
        <v>228</v>
      </c>
      <c r="O16" s="78" t="str">
        <f>IF('asset_&amp;_open_positions'!$C16="","",'asset_&amp;_open_positions'!$E16)</f>
        <v>BLINKUSDT</v>
      </c>
      <c r="P16" s="42">
        <f>IF('asset_&amp;_open_positions'!$C16="","",'asset_&amp;_open_positions'!$H16)</f>
        <v>6.1984166600000004</v>
      </c>
      <c r="Q16" s="78" t="str">
        <f>IF(OR('asset_&amp;_open_positions'!$C16="",'asset_&amp;_open_positions'!$J16="SWAP",'asset_&amp;_open_positions'!$J16="FUTURE",'asset_&amp;_open_positions'!$J16="CME FUTURE"),"",'asset_&amp;_open_positions'!$M16)</f>
        <v/>
      </c>
      <c r="R16" s="42" t="str">
        <f>IF(OR('asset_&amp;_open_positions'!$C16="",'asset_&amp;_open_positions'!$J16="SWAP",'asset_&amp;_open_positions'!$J16="FUTURE",'asset_&amp;_open_positions'!$J16="CME FUTURE"),"",'asset_&amp;_open_positions'!$H16)</f>
        <v/>
      </c>
    </row>
    <row r="17" spans="1:18" x14ac:dyDescent="0.25">
      <c r="A17" s="21" t="s">
        <v>173</v>
      </c>
      <c r="B17" t="s">
        <v>173</v>
      </c>
      <c r="C17" t="b">
        <v>1</v>
      </c>
      <c r="F17" t="s">
        <v>48</v>
      </c>
      <c r="G17" t="s">
        <v>72</v>
      </c>
      <c r="H17" t="s">
        <v>85</v>
      </c>
      <c r="I17" t="s">
        <v>45</v>
      </c>
      <c r="K17" t="s">
        <v>173</v>
      </c>
      <c r="L17" t="s">
        <v>243</v>
      </c>
      <c r="M17" t="s">
        <v>228</v>
      </c>
      <c r="O17" s="78" t="str">
        <f>IF('asset_&amp;_open_positions'!$C17="","",'asset_&amp;_open_positions'!$E17)</f>
        <v>B_F_BTC-USDT_230331</v>
      </c>
      <c r="P17" s="42">
        <f>IF('asset_&amp;_open_positions'!$C17="","",'asset_&amp;_open_positions'!$H17)</f>
        <v>18209.048622300001</v>
      </c>
      <c r="Q17" s="78" t="str">
        <f>IF(OR('asset_&amp;_open_positions'!$C17="",'asset_&amp;_open_positions'!$J17="SWAP",'asset_&amp;_open_positions'!$J17="FUTURE",'asset_&amp;_open_positions'!$J17="CME FUTURE"),"",'asset_&amp;_open_positions'!$M17)</f>
        <v/>
      </c>
      <c r="R17" s="42" t="str">
        <f>IF(OR('asset_&amp;_open_positions'!$C17="",'asset_&amp;_open_positions'!$J17="SWAP",'asset_&amp;_open_positions'!$J17="FUTURE",'asset_&amp;_open_positions'!$J17="CME FUTURE"),"",'asset_&amp;_open_positions'!$H17)</f>
        <v/>
      </c>
    </row>
    <row r="18" spans="1:18" x14ac:dyDescent="0.25">
      <c r="A18" t="s">
        <v>176</v>
      </c>
      <c r="B18" t="s">
        <v>176</v>
      </c>
      <c r="C18" t="b">
        <v>1</v>
      </c>
      <c r="F18" t="s">
        <v>50</v>
      </c>
      <c r="G18" t="s">
        <v>72</v>
      </c>
      <c r="H18" t="s">
        <v>85</v>
      </c>
      <c r="I18" t="s">
        <v>45</v>
      </c>
      <c r="K18" t="s">
        <v>101</v>
      </c>
      <c r="L18" t="s">
        <v>244</v>
      </c>
      <c r="M18" t="s">
        <v>228</v>
      </c>
      <c r="O18" s="78" t="str">
        <f>IF('asset_&amp;_open_positions'!$C18="","",'asset_&amp;_open_positions'!$E18)</f>
        <v>B_F_ETH-USDT_230331</v>
      </c>
      <c r="P18" s="42">
        <f>IF('asset_&amp;_open_positions'!$C18="","",'asset_&amp;_open_positions'!$H18)</f>
        <v>1394.1091352799999</v>
      </c>
      <c r="Q18" s="78" t="str">
        <f>IF(OR('asset_&amp;_open_positions'!$C18="",'asset_&amp;_open_positions'!$J18="SWAP",'asset_&amp;_open_positions'!$J18="FUTURE",'asset_&amp;_open_positions'!$J18="CME FUTURE"),"",'asset_&amp;_open_positions'!$M18)</f>
        <v/>
      </c>
      <c r="R18" s="42" t="str">
        <f>IF(OR('asset_&amp;_open_positions'!$C18="",'asset_&amp;_open_positions'!$J18="SWAP",'asset_&amp;_open_positions'!$J18="FUTURE",'asset_&amp;_open_positions'!$J18="CME FUTURE"),"",'asset_&amp;_open_positions'!$H18)</f>
        <v/>
      </c>
    </row>
    <row r="19" spans="1:18" x14ac:dyDescent="0.25">
      <c r="A19" t="s">
        <v>182</v>
      </c>
      <c r="B19" t="s">
        <v>182</v>
      </c>
      <c r="C19" t="b">
        <v>1</v>
      </c>
      <c r="F19" t="s">
        <v>51</v>
      </c>
      <c r="G19" t="s">
        <v>72</v>
      </c>
      <c r="H19" t="s">
        <v>85</v>
      </c>
      <c r="I19" t="s">
        <v>45</v>
      </c>
      <c r="K19" t="s">
        <v>182</v>
      </c>
      <c r="L19" t="s">
        <v>245</v>
      </c>
      <c r="M19" t="s">
        <v>228</v>
      </c>
      <c r="O19" s="78" t="str">
        <f>IF('asset_&amp;_open_positions'!$C19="","",'asset_&amp;_open_positions'!$E19)</f>
        <v>BBTCUSDT</v>
      </c>
      <c r="P19" s="42">
        <f>IF('asset_&amp;_open_positions'!$C19="","",'asset_&amp;_open_positions'!$H19)</f>
        <v>18085.833128080001</v>
      </c>
      <c r="Q19" s="78" t="str">
        <f>IF(OR('asset_&amp;_open_positions'!$C19="",'asset_&amp;_open_positions'!$J19="SWAP",'asset_&amp;_open_positions'!$J19="FUTURE",'asset_&amp;_open_positions'!$J19="CME FUTURE"),"",'asset_&amp;_open_positions'!$M19)</f>
        <v/>
      </c>
      <c r="R19" s="42" t="str">
        <f>IF(OR('asset_&amp;_open_positions'!$C19="",'asset_&amp;_open_positions'!$J19="SWAP",'asset_&amp;_open_positions'!$J19="FUTURE",'asset_&amp;_open_positions'!$J19="CME FUTURE"),"",'asset_&amp;_open_positions'!$H19)</f>
        <v/>
      </c>
    </row>
    <row r="20" spans="1:18" x14ac:dyDescent="0.25">
      <c r="A20" t="s">
        <v>184</v>
      </c>
      <c r="B20" t="s">
        <v>184</v>
      </c>
      <c r="C20" t="b">
        <v>1</v>
      </c>
      <c r="F20" t="s">
        <v>46</v>
      </c>
      <c r="G20" t="s">
        <v>72</v>
      </c>
      <c r="H20" t="s">
        <v>85</v>
      </c>
      <c r="I20" t="s">
        <v>45</v>
      </c>
      <c r="L20" t="s">
        <v>246</v>
      </c>
      <c r="M20" t="s">
        <v>228</v>
      </c>
      <c r="O20" s="78" t="str">
        <f>IF('asset_&amp;_open_positions'!$C20="","",'asset_&amp;_open_positions'!$E20)</f>
        <v>D_T_BTC_USDC_SWAP</v>
      </c>
      <c r="P20" s="42">
        <f>IF('asset_&amp;_open_positions'!$C20="","",'asset_&amp;_open_positions'!$H20)</f>
        <v>18099.0703125</v>
      </c>
      <c r="Q20" s="78" t="str">
        <f>IF(OR('asset_&amp;_open_positions'!$C20="",'asset_&amp;_open_positions'!$J20="SWAP",'asset_&amp;_open_positions'!$J20="FUTURE",'asset_&amp;_open_positions'!$J20="CME FUTURE"),"",'asset_&amp;_open_positions'!$M20)</f>
        <v/>
      </c>
      <c r="R20" s="42" t="str">
        <f>IF(OR('asset_&amp;_open_positions'!$C20="",'asset_&amp;_open_positions'!$J20="SWAP",'asset_&amp;_open_positions'!$J20="FUTURE",'asset_&amp;_open_positions'!$J20="CME FUTURE"),"",'asset_&amp;_open_positions'!$H20)</f>
        <v/>
      </c>
    </row>
    <row r="21" spans="1:18" x14ac:dyDescent="0.25">
      <c r="A21" t="s">
        <v>186</v>
      </c>
      <c r="B21" t="s">
        <v>186</v>
      </c>
      <c r="C21" t="b">
        <v>0</v>
      </c>
      <c r="F21" t="s">
        <v>174</v>
      </c>
      <c r="G21" t="s">
        <v>72</v>
      </c>
      <c r="H21" t="s">
        <v>85</v>
      </c>
      <c r="I21" t="s">
        <v>45</v>
      </c>
      <c r="K21" t="s">
        <v>170</v>
      </c>
      <c r="L21" t="s">
        <v>247</v>
      </c>
      <c r="M21" t="s">
        <v>228</v>
      </c>
      <c r="O21" s="78" t="str">
        <f>IF('asset_&amp;_open_positions'!$C21="","",'asset_&amp;_open_positions'!$E21)</f>
        <v>D_T_ATOM_USDC_SWAP</v>
      </c>
      <c r="P21" s="42">
        <f>IF('asset_&amp;_open_positions'!$C21="","",'asset_&amp;_open_positions'!$H21)</f>
        <v>11.840000153</v>
      </c>
      <c r="Q21" s="78" t="str">
        <f>IF(OR('asset_&amp;_open_positions'!$C21="",'asset_&amp;_open_positions'!$J21="SWAP",'asset_&amp;_open_positions'!$J21="FUTURE",'asset_&amp;_open_positions'!$J21="CME FUTURE"),"",'asset_&amp;_open_positions'!$M21)</f>
        <v/>
      </c>
      <c r="R21" s="42" t="str">
        <f>IF(OR('asset_&amp;_open_positions'!$C21="",'asset_&amp;_open_positions'!$J21="SWAP",'asset_&amp;_open_positions'!$J21="FUTURE",'asset_&amp;_open_positions'!$J21="CME FUTURE"),"",'asset_&amp;_open_positions'!$H21)</f>
        <v/>
      </c>
    </row>
    <row r="22" spans="1:18" x14ac:dyDescent="0.25">
      <c r="A22" t="s">
        <v>209</v>
      </c>
      <c r="B22" t="s">
        <v>209</v>
      </c>
      <c r="C22" t="b">
        <v>0</v>
      </c>
      <c r="F22" t="s">
        <v>175</v>
      </c>
      <c r="H22" t="s">
        <v>85</v>
      </c>
      <c r="I22" t="s">
        <v>176</v>
      </c>
      <c r="L22" t="s">
        <v>248</v>
      </c>
      <c r="M22" t="s">
        <v>228</v>
      </c>
      <c r="O22" s="78" t="str">
        <f>IF('asset_&amp;_open_positions'!$C22="","",'asset_&amp;_open_positions'!$E22)</f>
        <v>H_P_BTC-USD-SWAP</v>
      </c>
      <c r="P22" s="42">
        <f>IF('asset_&amp;_open_positions'!$C22="","",'asset_&amp;_open_positions'!$H22)</f>
        <v>18121.599999999999</v>
      </c>
      <c r="Q22" s="78" t="str">
        <f>IF(OR('asset_&amp;_open_positions'!$C22="",'asset_&amp;_open_positions'!$J22="SWAP",'asset_&amp;_open_positions'!$J22="FUTURE",'asset_&amp;_open_positions'!$J22="CME FUTURE"),"",'asset_&amp;_open_positions'!$M22)</f>
        <v/>
      </c>
      <c r="R22" s="42" t="str">
        <f>IF(OR('asset_&amp;_open_positions'!$C22="",'asset_&amp;_open_positions'!$J22="SWAP",'asset_&amp;_open_positions'!$J22="FUTURE",'asset_&amp;_open_positions'!$J22="CME FUTURE"),"",'asset_&amp;_open_positions'!$H22)</f>
        <v/>
      </c>
    </row>
    <row r="23" spans="1:18" x14ac:dyDescent="0.25">
      <c r="A23" t="s">
        <v>211</v>
      </c>
      <c r="B23" t="s">
        <v>211</v>
      </c>
      <c r="C23" t="b">
        <v>0</v>
      </c>
      <c r="F23" t="s">
        <v>180</v>
      </c>
      <c r="H23" t="s">
        <v>85</v>
      </c>
      <c r="I23" t="s">
        <v>182</v>
      </c>
      <c r="O23" s="78" t="str">
        <f>IF('asset_&amp;_open_positions'!$C23="","",'asset_&amp;_open_positions'!$E23)</f>
        <v>H_P_ETH-USD-SWAP</v>
      </c>
      <c r="P23" s="42">
        <f>IF('asset_&amp;_open_positions'!$C23="","",'asset_&amp;_open_positions'!$H23)</f>
        <v>1383.98</v>
      </c>
      <c r="Q23" s="78" t="str">
        <f>IF(OR('asset_&amp;_open_positions'!$C23="",'asset_&amp;_open_positions'!$J23="SWAP",'asset_&amp;_open_positions'!$J23="FUTURE",'asset_&amp;_open_positions'!$J23="CME FUTURE"),"",'asset_&amp;_open_positions'!$M23)</f>
        <v/>
      </c>
      <c r="R23" s="42" t="str">
        <f>IF(OR('asset_&amp;_open_positions'!$C23="",'asset_&amp;_open_positions'!$J23="SWAP",'asset_&amp;_open_positions'!$J23="FUTURE",'asset_&amp;_open_positions'!$J23="CME FUTURE"),"",'asset_&amp;_open_positions'!$H23)</f>
        <v/>
      </c>
    </row>
    <row r="24" spans="1:18" x14ac:dyDescent="0.25">
      <c r="A24" t="s">
        <v>265</v>
      </c>
      <c r="B24" t="s">
        <v>265</v>
      </c>
      <c r="C24" t="b">
        <v>1</v>
      </c>
      <c r="F24" t="s">
        <v>183</v>
      </c>
      <c r="H24" t="s">
        <v>85</v>
      </c>
      <c r="I24" t="s">
        <v>184</v>
      </c>
      <c r="O24" s="78" t="str">
        <f>IF('asset_&amp;_open_positions'!$C24="","",'asset_&amp;_open_positions'!$E24)</f>
        <v>H_T_BTC_USDT_SWAP</v>
      </c>
      <c r="P24" s="42">
        <f>IF('asset_&amp;_open_positions'!$C24="","",'asset_&amp;_open_positions'!$H24)</f>
        <v>18088.900000000001</v>
      </c>
      <c r="Q24" s="78" t="str">
        <f>IF(OR('asset_&amp;_open_positions'!$C24="",'asset_&amp;_open_positions'!$J24="SWAP",'asset_&amp;_open_positions'!$J24="FUTURE",'asset_&amp;_open_positions'!$J24="CME FUTURE"),"",'asset_&amp;_open_positions'!$M24)</f>
        <v/>
      </c>
      <c r="R24" s="42" t="str">
        <f>IF(OR('asset_&amp;_open_positions'!$C24="",'asset_&amp;_open_positions'!$J24="SWAP",'asset_&amp;_open_positions'!$J24="FUTURE",'asset_&amp;_open_positions'!$J24="CME FUTURE"),"",'asset_&amp;_open_positions'!$H24)</f>
        <v/>
      </c>
    </row>
    <row r="25" spans="1:18" x14ac:dyDescent="0.25">
      <c r="A25" t="s">
        <v>294</v>
      </c>
      <c r="B25" t="s">
        <v>294</v>
      </c>
      <c r="C25" t="b">
        <v>0</v>
      </c>
      <c r="F25" t="s">
        <v>186</v>
      </c>
      <c r="H25" t="s">
        <v>85</v>
      </c>
      <c r="I25" t="s">
        <v>186</v>
      </c>
      <c r="L25" t="s">
        <v>249</v>
      </c>
      <c r="O25" s="78" t="str">
        <f>IF('asset_&amp;_open_positions'!$C25="","",'asset_&amp;_open_positions'!$E25)</f>
        <v>H_T_ETH_USDT_SWAP</v>
      </c>
      <c r="P25" s="42">
        <f>IF('asset_&amp;_open_positions'!$C25="","",'asset_&amp;_open_positions'!$H25)</f>
        <v>1387.24</v>
      </c>
      <c r="Q25" s="78" t="str">
        <f>IF(OR('asset_&amp;_open_positions'!$C25="",'asset_&amp;_open_positions'!$J25="SWAP",'asset_&amp;_open_positions'!$J25="FUTURE",'asset_&amp;_open_positions'!$J25="CME FUTURE"),"",'asset_&amp;_open_positions'!$M25)</f>
        <v/>
      </c>
      <c r="R25" s="42" t="str">
        <f>IF(OR('asset_&amp;_open_positions'!$C25="",'asset_&amp;_open_positions'!$J25="SWAP",'asset_&amp;_open_positions'!$J25="FUTURE",'asset_&amp;_open_positions'!$J25="CME FUTURE"),"",'asset_&amp;_open_positions'!$H25)</f>
        <v/>
      </c>
    </row>
    <row r="26" spans="1:18" x14ac:dyDescent="0.25">
      <c r="A26" t="s">
        <v>295</v>
      </c>
      <c r="B26" t="s">
        <v>295</v>
      </c>
      <c r="C26" t="b">
        <v>1</v>
      </c>
      <c r="F26" t="s">
        <v>100</v>
      </c>
      <c r="H26" t="s">
        <v>85</v>
      </c>
      <c r="I26" t="s">
        <v>101</v>
      </c>
      <c r="K26" t="s">
        <v>209</v>
      </c>
      <c r="L26" t="s">
        <v>250</v>
      </c>
      <c r="M26" t="s">
        <v>249</v>
      </c>
      <c r="O26" s="78" t="str">
        <f>IF('asset_&amp;_open_positions'!$C26="","",'asset_&amp;_open_positions'!$E26)</f>
        <v>O_P_BTC-USD-SWAP</v>
      </c>
      <c r="P26" s="42">
        <f>IF('asset_&amp;_open_positions'!$C26="","",'asset_&amp;_open_positions'!$H26)</f>
        <v>18107.900000000001</v>
      </c>
      <c r="Q26" s="78" t="str">
        <f>IF(OR('asset_&amp;_open_positions'!$C26="",'asset_&amp;_open_positions'!$J26="SWAP",'asset_&amp;_open_positions'!$J26="FUTURE",'asset_&amp;_open_positions'!$J26="CME FUTURE"),"",'asset_&amp;_open_positions'!$M26)</f>
        <v/>
      </c>
      <c r="R26" s="42" t="str">
        <f>IF(OR('asset_&amp;_open_positions'!$C26="",'asset_&amp;_open_positions'!$J26="SWAP",'asset_&amp;_open_positions'!$J26="FUTURE",'asset_&amp;_open_positions'!$J26="CME FUTURE"),"",'asset_&amp;_open_positions'!$H26)</f>
        <v/>
      </c>
    </row>
    <row r="27" spans="1:18" x14ac:dyDescent="0.25">
      <c r="A27" t="s">
        <v>237</v>
      </c>
      <c r="B27" t="s">
        <v>265</v>
      </c>
      <c r="C27" t="b">
        <v>1</v>
      </c>
      <c r="F27" t="s">
        <v>218</v>
      </c>
      <c r="H27" t="s">
        <v>85</v>
      </c>
      <c r="I27" t="s">
        <v>101</v>
      </c>
      <c r="K27" t="s">
        <v>211</v>
      </c>
      <c r="L27" t="s">
        <v>251</v>
      </c>
      <c r="M27" t="s">
        <v>249</v>
      </c>
      <c r="O27" s="78" t="str">
        <f>IF('asset_&amp;_open_positions'!$C27="","",'asset_&amp;_open_positions'!$E27)</f>
        <v>O_P_ETH-USD-SWAP</v>
      </c>
      <c r="P27" s="42">
        <f>IF('asset_&amp;_open_positions'!$C27="","",'asset_&amp;_open_positions'!$H27)</f>
        <v>1387.43</v>
      </c>
      <c r="Q27" s="78" t="str">
        <f>IF(OR('asset_&amp;_open_positions'!$C27="",'asset_&amp;_open_positions'!$J27="SWAP",'asset_&amp;_open_positions'!$J27="FUTURE",'asset_&amp;_open_positions'!$J27="CME FUTURE"),"",'asset_&amp;_open_positions'!$M27)</f>
        <v/>
      </c>
      <c r="R27" s="42" t="str">
        <f>IF(OR('asset_&amp;_open_positions'!$C27="",'asset_&amp;_open_positions'!$J27="SWAP",'asset_&amp;_open_positions'!$J27="FUTURE",'asset_&amp;_open_positions'!$J27="CME FUTURE"),"",'asset_&amp;_open_positions'!$H27)</f>
        <v/>
      </c>
    </row>
    <row r="28" spans="1:18" x14ac:dyDescent="0.25">
      <c r="A28" t="s">
        <v>259</v>
      </c>
      <c r="B28" t="s">
        <v>259</v>
      </c>
      <c r="C28" t="b">
        <v>0</v>
      </c>
      <c r="F28" t="s">
        <v>168</v>
      </c>
      <c r="H28" t="s">
        <v>169</v>
      </c>
      <c r="I28" t="s">
        <v>170</v>
      </c>
      <c r="O28" s="78" t="str">
        <f>IF('asset_&amp;_open_positions'!$C28="","",'asset_&amp;_open_positions'!$E28)</f>
        <v>O_P_BTC-USDT-SWAP</v>
      </c>
      <c r="P28" s="42">
        <f>IF('asset_&amp;_open_positions'!$C28="","",'asset_&amp;_open_positions'!$H28)</f>
        <v>18107.2</v>
      </c>
      <c r="Q28" s="78" t="str">
        <f>IF(OR('asset_&amp;_open_positions'!$C28="",'asset_&amp;_open_positions'!$J28="SWAP",'asset_&amp;_open_positions'!$J28="FUTURE",'asset_&amp;_open_positions'!$J28="CME FUTURE"),"",'asset_&amp;_open_positions'!$M28)</f>
        <v/>
      </c>
      <c r="R28" s="42" t="str">
        <f>IF(OR('asset_&amp;_open_positions'!$C28="",'asset_&amp;_open_positions'!$J28="SWAP",'asset_&amp;_open_positions'!$J28="FUTURE",'asset_&amp;_open_positions'!$J28="CME FUTURE"),"",'asset_&amp;_open_positions'!$H28)</f>
        <v/>
      </c>
    </row>
    <row r="29" spans="1:18" x14ac:dyDescent="0.25">
      <c r="A29" t="s">
        <v>427</v>
      </c>
      <c r="B29" t="s">
        <v>427</v>
      </c>
      <c r="C29" t="b">
        <v>0</v>
      </c>
      <c r="F29" t="s">
        <v>204</v>
      </c>
      <c r="H29" t="s">
        <v>195</v>
      </c>
      <c r="I29" t="s">
        <v>112</v>
      </c>
      <c r="O29" s="78" t="str">
        <f>IF('asset_&amp;_open_positions'!$C29="","",'asset_&amp;_open_positions'!$E29)</f>
        <v>O_P_ETH-USDT-SWAP</v>
      </c>
      <c r="P29" s="42">
        <f>IF('asset_&amp;_open_positions'!$C29="","",'asset_&amp;_open_positions'!$H29)</f>
        <v>1387.61</v>
      </c>
      <c r="Q29" s="78" t="str">
        <f>IF(OR('asset_&amp;_open_positions'!$C29="",'asset_&amp;_open_positions'!$J29="SWAP",'asset_&amp;_open_positions'!$J29="FUTURE",'asset_&amp;_open_positions'!$J29="CME FUTURE"),"",'asset_&amp;_open_positions'!$M29)</f>
        <v/>
      </c>
      <c r="R29" s="42" t="str">
        <f>IF(OR('asset_&amp;_open_positions'!$C29="",'asset_&amp;_open_positions'!$J29="SWAP",'asset_&amp;_open_positions'!$J29="FUTURE",'asset_&amp;_open_positions'!$J29="CME FUTURE"),"",'asset_&amp;_open_positions'!$H29)</f>
        <v/>
      </c>
    </row>
    <row r="30" spans="1:18" x14ac:dyDescent="0.25">
      <c r="F30" t="s">
        <v>206</v>
      </c>
      <c r="H30" t="s">
        <v>195</v>
      </c>
      <c r="I30" t="s">
        <v>172</v>
      </c>
      <c r="O30" s="78" t="str">
        <f>IF('asset_&amp;_open_positions'!$C30="","",'asset_&amp;_open_positions'!$E30)</f>
        <v>O_F_ETH-USDT_230331</v>
      </c>
      <c r="P30" s="42">
        <f>IF('asset_&amp;_open_positions'!$C30="","",'asset_&amp;_open_positions'!$H30)</f>
        <v>1394.46</v>
      </c>
      <c r="Q30" s="78" t="str">
        <f>IF(OR('asset_&amp;_open_positions'!$C30="",'asset_&amp;_open_positions'!$J30="SWAP",'asset_&amp;_open_positions'!$J30="FUTURE",'asset_&amp;_open_positions'!$J30="CME FUTURE"),"",'asset_&amp;_open_positions'!$M30)</f>
        <v/>
      </c>
      <c r="R30" s="42" t="str">
        <f>IF(OR('asset_&amp;_open_positions'!$C30="",'asset_&amp;_open_positions'!$J30="SWAP",'asset_&amp;_open_positions'!$J30="FUTURE",'asset_&amp;_open_positions'!$J30="CME FUTURE"),"",'asset_&amp;_open_positions'!$H30)</f>
        <v/>
      </c>
    </row>
    <row r="31" spans="1:18" x14ac:dyDescent="0.25">
      <c r="F31" t="s">
        <v>219</v>
      </c>
      <c r="H31" t="s">
        <v>195</v>
      </c>
      <c r="I31" t="s">
        <v>45</v>
      </c>
      <c r="O31" s="78" t="str">
        <f>IF('asset_&amp;_open_positions'!$C31="","",'asset_&amp;_open_positions'!$E31)</f>
        <v>O_F_ETH-USDT_230630</v>
      </c>
      <c r="P31" s="42">
        <f>IF('asset_&amp;_open_positions'!$C31="","",'asset_&amp;_open_positions'!$H31)</f>
        <v>1394.95</v>
      </c>
      <c r="Q31" s="78" t="str">
        <f>IF(OR('asset_&amp;_open_positions'!$C31="",'asset_&amp;_open_positions'!$J31="SWAP",'asset_&amp;_open_positions'!$J31="FUTURE",'asset_&amp;_open_positions'!$J31="CME FUTURE"),"",'asset_&amp;_open_positions'!$M31)</f>
        <v/>
      </c>
      <c r="R31" s="42" t="str">
        <f>IF(OR('asset_&amp;_open_positions'!$C31="",'asset_&amp;_open_positions'!$J31="SWAP",'asset_&amp;_open_positions'!$J31="FUTURE",'asset_&amp;_open_positions'!$J31="CME FUTURE"),"",'asset_&amp;_open_positions'!$H31)</f>
        <v/>
      </c>
    </row>
    <row r="32" spans="1:18" x14ac:dyDescent="0.25">
      <c r="F32" t="s">
        <v>207</v>
      </c>
      <c r="H32" t="s">
        <v>208</v>
      </c>
      <c r="I32" t="s">
        <v>209</v>
      </c>
      <c r="O32" s="78" t="str">
        <f>IF('asset_&amp;_open_positions'!$C32="","",'asset_&amp;_open_positions'!$E32)</f>
        <v>O_P_EOS-USDT-SWAP</v>
      </c>
      <c r="P32" s="42">
        <f>IF('asset_&amp;_open_positions'!$C32="","",'asset_&amp;_open_positions'!$H32)</f>
        <v>0.95779999999999998</v>
      </c>
      <c r="Q32" s="78" t="str">
        <f>IF(OR('asset_&amp;_open_positions'!$C32="",'asset_&amp;_open_positions'!$J32="SWAP",'asset_&amp;_open_positions'!$J32="FUTURE",'asset_&amp;_open_positions'!$J32="CME FUTURE"),"",'asset_&amp;_open_positions'!$M32)</f>
        <v/>
      </c>
      <c r="R32" s="42" t="str">
        <f>IF(OR('asset_&amp;_open_positions'!$C32="",'asset_&amp;_open_positions'!$J32="SWAP",'asset_&amp;_open_positions'!$J32="FUTURE",'asset_&amp;_open_positions'!$J32="CME FUTURE"),"",'asset_&amp;_open_positions'!$H32)</f>
        <v/>
      </c>
    </row>
    <row r="33" spans="6:18" x14ac:dyDescent="0.25">
      <c r="F33" t="s">
        <v>220</v>
      </c>
      <c r="H33" t="s">
        <v>195</v>
      </c>
      <c r="I33" t="s">
        <v>176</v>
      </c>
      <c r="O33" s="78" t="str">
        <f>IF('asset_&amp;_open_positions'!$C33="","",'asset_&amp;_open_positions'!$E33)</f>
        <v>O_F_BTC-USD_230331</v>
      </c>
      <c r="P33" s="42">
        <f>IF('asset_&amp;_open_positions'!$C33="","",'asset_&amp;_open_positions'!$H33)</f>
        <v>18209.599999999999</v>
      </c>
      <c r="Q33" s="78" t="str">
        <f>IF(OR('asset_&amp;_open_positions'!$C33="",'asset_&amp;_open_positions'!$J33="SWAP",'asset_&amp;_open_positions'!$J33="FUTURE",'asset_&amp;_open_positions'!$J33="CME FUTURE"),"",'asset_&amp;_open_positions'!$M33)</f>
        <v/>
      </c>
      <c r="R33" s="42" t="str">
        <f>IF(OR('asset_&amp;_open_positions'!$C33="",'asset_&amp;_open_positions'!$J33="SWAP",'asset_&amp;_open_positions'!$J33="FUTURE",'asset_&amp;_open_positions'!$J33="CME FUTURE"),"",'asset_&amp;_open_positions'!$H33)</f>
        <v/>
      </c>
    </row>
    <row r="34" spans="6:18" x14ac:dyDescent="0.25">
      <c r="F34" t="s">
        <v>210</v>
      </c>
      <c r="H34" t="s">
        <v>208</v>
      </c>
      <c r="I34" t="s">
        <v>211</v>
      </c>
      <c r="O34" s="78" t="str">
        <f>IF('asset_&amp;_open_positions'!$C34="","",'asset_&amp;_open_positions'!$E34)</f>
        <v>O_F_BTC-USD_230630</v>
      </c>
      <c r="P34" s="42">
        <f>IF('asset_&amp;_open_positions'!$C34="","",'asset_&amp;_open_positions'!$H34)</f>
        <v>18290.599999999999</v>
      </c>
      <c r="Q34" s="78" t="str">
        <f>IF(OR('asset_&amp;_open_positions'!$C34="",'asset_&amp;_open_positions'!$J34="SWAP",'asset_&amp;_open_positions'!$J34="FUTURE",'asset_&amp;_open_positions'!$J34="CME FUTURE"),"",'asset_&amp;_open_positions'!$M34)</f>
        <v/>
      </c>
      <c r="R34" s="42" t="str">
        <f>IF(OR('asset_&amp;_open_positions'!$C34="",'asset_&amp;_open_positions'!$J34="SWAP",'asset_&amp;_open_positions'!$J34="FUTURE",'asset_&amp;_open_positions'!$J34="CME FUTURE"),"",'asset_&amp;_open_positions'!$H34)</f>
        <v/>
      </c>
    </row>
    <row r="35" spans="6:18" x14ac:dyDescent="0.25">
      <c r="F35" t="s">
        <v>214</v>
      </c>
      <c r="H35" t="s">
        <v>195</v>
      </c>
      <c r="I35" t="s">
        <v>184</v>
      </c>
      <c r="O35" s="78" t="str">
        <f>IF('asset_&amp;_open_positions'!$C35="","",'asset_&amp;_open_positions'!$E35)</f>
        <v>O_F_ETH-USD_230331</v>
      </c>
      <c r="P35" s="42">
        <f>IF('asset_&amp;_open_positions'!$C35="","",'asset_&amp;_open_positions'!$H35)</f>
        <v>1395.47</v>
      </c>
      <c r="Q35" s="78" t="str">
        <f>IF(OR('asset_&amp;_open_positions'!$C35="",'asset_&amp;_open_positions'!$J35="SWAP",'asset_&amp;_open_positions'!$J35="FUTURE",'asset_&amp;_open_positions'!$J35="CME FUTURE"),"",'asset_&amp;_open_positions'!$M35)</f>
        <v/>
      </c>
      <c r="R35" s="42" t="str">
        <f>IF(OR('asset_&amp;_open_positions'!$C35="",'asset_&amp;_open_positions'!$J35="SWAP",'asset_&amp;_open_positions'!$J35="FUTURE",'asset_&amp;_open_positions'!$J35="CME FUTURE"),"",'asset_&amp;_open_positions'!$H35)</f>
        <v/>
      </c>
    </row>
    <row r="36" spans="6:18" x14ac:dyDescent="0.25">
      <c r="F36" t="s">
        <v>202</v>
      </c>
      <c r="G36" t="s">
        <v>200</v>
      </c>
      <c r="H36" t="s">
        <v>195</v>
      </c>
      <c r="I36" t="s">
        <v>112</v>
      </c>
      <c r="O36" s="78" t="str">
        <f>IF('asset_&amp;_open_positions'!$C36="","",'asset_&amp;_open_positions'!$E36)</f>
        <v>O_P_LINK-USDT-SWAP</v>
      </c>
      <c r="P36" s="42">
        <f>IF('asset_&amp;_open_positions'!$C36="","",'asset_&amp;_open_positions'!$H36)</f>
        <v>6.2080000000000002</v>
      </c>
      <c r="Q36" s="78" t="str">
        <f>IF(OR('asset_&amp;_open_positions'!$C36="",'asset_&amp;_open_positions'!$J36="SWAP",'asset_&amp;_open_positions'!$J36="FUTURE",'asset_&amp;_open_positions'!$J36="CME FUTURE"),"",'asset_&amp;_open_positions'!$M36)</f>
        <v/>
      </c>
      <c r="R36" s="42" t="str">
        <f>IF(OR('asset_&amp;_open_positions'!$C36="",'asset_&amp;_open_positions'!$J36="SWAP",'asset_&amp;_open_positions'!$J36="FUTURE",'asset_&amp;_open_positions'!$J36="CME FUTURE"),"",'asset_&amp;_open_positions'!$H36)</f>
        <v/>
      </c>
    </row>
    <row r="37" spans="6:18" x14ac:dyDescent="0.25">
      <c r="F37" t="s">
        <v>199</v>
      </c>
      <c r="G37" t="s">
        <v>200</v>
      </c>
      <c r="H37" t="s">
        <v>195</v>
      </c>
      <c r="I37" t="s">
        <v>112</v>
      </c>
      <c r="O37" s="78" t="str">
        <f>IF('asset_&amp;_open_positions'!$C37="","",'asset_&amp;_open_positions'!$E37)</f>
        <v>O_P_SHIB-USDT-SWAP</v>
      </c>
      <c r="P37" s="42">
        <f>IF('asset_&amp;_open_positions'!$C37="","",'asset_&amp;_open_positions'!$H37)</f>
        <v>9.3000000000000007E-6</v>
      </c>
      <c r="Q37" s="78" t="str">
        <f>IF(OR('asset_&amp;_open_positions'!$C37="",'asset_&amp;_open_positions'!$J37="SWAP",'asset_&amp;_open_positions'!$J37="FUTURE",'asset_&amp;_open_positions'!$J37="CME FUTURE"),"",'asset_&amp;_open_positions'!$M37)</f>
        <v/>
      </c>
      <c r="R37" s="42" t="str">
        <f>IF(OR('asset_&amp;_open_positions'!$C37="",'asset_&amp;_open_positions'!$J37="SWAP",'asset_&amp;_open_positions'!$J37="FUTURE",'asset_&amp;_open_positions'!$J37="CME FUTURE"),"",'asset_&amp;_open_positions'!$H37)</f>
        <v/>
      </c>
    </row>
    <row r="38" spans="6:18" x14ac:dyDescent="0.25">
      <c r="F38" t="s">
        <v>201</v>
      </c>
      <c r="H38" t="s">
        <v>195</v>
      </c>
      <c r="I38" t="s">
        <v>118</v>
      </c>
      <c r="O38" s="78" t="str">
        <f>IF('asset_&amp;_open_positions'!$C38="","",'asset_&amp;_open_positions'!$E38)</f>
        <v>O_F_BTC-USDT_230331</v>
      </c>
      <c r="P38" s="42">
        <f>IF('asset_&amp;_open_positions'!$C38="","",'asset_&amp;_open_positions'!$H38)</f>
        <v>18200.099999999999</v>
      </c>
      <c r="Q38" s="78" t="str">
        <f>IF(OR('asset_&amp;_open_positions'!$C38="",'asset_&amp;_open_positions'!$J38="SWAP",'asset_&amp;_open_positions'!$J38="FUTURE",'asset_&amp;_open_positions'!$J38="CME FUTURE"),"",'asset_&amp;_open_positions'!$M38)</f>
        <v/>
      </c>
      <c r="R38" s="42" t="str">
        <f>IF(OR('asset_&amp;_open_positions'!$C38="",'asset_&amp;_open_positions'!$J38="SWAP",'asset_&amp;_open_positions'!$J38="FUTURE",'asset_&amp;_open_positions'!$J38="CME FUTURE"),"",'asset_&amp;_open_positions'!$H38)</f>
        <v/>
      </c>
    </row>
    <row r="39" spans="6:18" x14ac:dyDescent="0.25">
      <c r="F39" t="s">
        <v>198</v>
      </c>
      <c r="H39" t="s">
        <v>195</v>
      </c>
      <c r="I39" t="s">
        <v>108</v>
      </c>
      <c r="O39" s="78" t="str">
        <f>IF('asset_&amp;_open_positions'!$C39="","",'asset_&amp;_open_positions'!$E39)</f>
        <v>O_F_BTC-USDT_230630</v>
      </c>
      <c r="P39" s="42">
        <f>IF('asset_&amp;_open_positions'!$C39="","",'asset_&amp;_open_positions'!$H39)</f>
        <v>18240</v>
      </c>
      <c r="Q39" s="78" t="str">
        <f>IF(OR('asset_&amp;_open_positions'!$C39="",'asset_&amp;_open_positions'!$J39="SWAP",'asset_&amp;_open_positions'!$J39="FUTURE",'asset_&amp;_open_positions'!$J39="CME FUTURE"),"",'asset_&amp;_open_positions'!$M39)</f>
        <v/>
      </c>
      <c r="R39" s="42" t="str">
        <f>IF(OR('asset_&amp;_open_positions'!$C39="",'asset_&amp;_open_positions'!$J39="SWAP",'asset_&amp;_open_positions'!$J39="FUTURE",'asset_&amp;_open_positions'!$J39="CME FUTURE"),"",'asset_&amp;_open_positions'!$H39)</f>
        <v/>
      </c>
    </row>
    <row r="40" spans="6:18" x14ac:dyDescent="0.25">
      <c r="F40" t="s">
        <v>205</v>
      </c>
      <c r="H40" t="s">
        <v>195</v>
      </c>
      <c r="I40" t="s">
        <v>112</v>
      </c>
      <c r="O40" s="78" t="str">
        <f>IF('asset_&amp;_open_positions'!$C40="","",'asset_&amp;_open_positions'!$E40)</f>
        <v>O_P_AXS-USDT-SWAP</v>
      </c>
      <c r="P40" s="42">
        <f>IF('asset_&amp;_open_positions'!$C40="","",'asset_&amp;_open_positions'!$H40)</f>
        <v>7.79</v>
      </c>
      <c r="Q40" s="78" t="str">
        <f>IF(OR('asset_&amp;_open_positions'!$C40="",'asset_&amp;_open_positions'!$J40="SWAP",'asset_&amp;_open_positions'!$J40="FUTURE",'asset_&amp;_open_positions'!$J40="CME FUTURE"),"",'asset_&amp;_open_positions'!$M40)</f>
        <v/>
      </c>
      <c r="R40" s="42" t="str">
        <f>IF(OR('asset_&amp;_open_positions'!$C40="",'asset_&amp;_open_positions'!$J40="SWAP",'asset_&amp;_open_positions'!$J40="FUTURE",'asset_&amp;_open_positions'!$J40="CME FUTURE"),"",'asset_&amp;_open_positions'!$H40)</f>
        <v/>
      </c>
    </row>
    <row r="41" spans="6:18" x14ac:dyDescent="0.25">
      <c r="F41" t="s">
        <v>213</v>
      </c>
      <c r="H41" t="s">
        <v>195</v>
      </c>
      <c r="I41" t="s">
        <v>45</v>
      </c>
      <c r="O41" s="78" t="str">
        <f>IF('asset_&amp;_open_positions'!$C41="","",'asset_&amp;_open_positions'!$E41)</f>
        <v>ETHG3</v>
      </c>
      <c r="P41" s="42">
        <f>IF('asset_&amp;_open_positions'!$C41="","",'asset_&amp;_open_positions'!$H41)</f>
        <v>1430</v>
      </c>
      <c r="Q41" s="78" t="str">
        <f>IF(OR('asset_&amp;_open_positions'!$C41="",'asset_&amp;_open_positions'!$J41="SWAP",'asset_&amp;_open_positions'!$J41="FUTURE",'asset_&amp;_open_positions'!$J41="CME FUTURE"),"",'asset_&amp;_open_positions'!$M41)</f>
        <v/>
      </c>
      <c r="R41" s="42" t="str">
        <f>IF(OR('asset_&amp;_open_positions'!$C41="",'asset_&amp;_open_positions'!$J41="SWAP",'asset_&amp;_open_positions'!$J41="FUTURE",'asset_&amp;_open_positions'!$J41="CME FUTURE"),"",'asset_&amp;_open_positions'!$H41)</f>
        <v/>
      </c>
    </row>
    <row r="42" spans="6:18" x14ac:dyDescent="0.25">
      <c r="F42" t="s">
        <v>221</v>
      </c>
      <c r="H42" t="s">
        <v>85</v>
      </c>
      <c r="I42" t="s">
        <v>222</v>
      </c>
      <c r="O42" s="78" t="str">
        <f>IF('asset_&amp;_open_positions'!$C42="","",'asset_&amp;_open_positions'!$E42)</f>
        <v>ETHF3</v>
      </c>
      <c r="P42" s="42">
        <f>IF('asset_&amp;_open_positions'!$C42="","",'asset_&amp;_open_positions'!$H42)</f>
        <v>1437</v>
      </c>
      <c r="Q42" s="78" t="str">
        <f>IF(OR('asset_&amp;_open_positions'!$C42="",'asset_&amp;_open_positions'!$J42="SWAP",'asset_&amp;_open_positions'!$J42="FUTURE",'asset_&amp;_open_positions'!$J42="CME FUTURE"),"",'asset_&amp;_open_positions'!$M42)</f>
        <v/>
      </c>
      <c r="R42" s="42" t="str">
        <f>IF(OR('asset_&amp;_open_positions'!$C42="",'asset_&amp;_open_positions'!$J42="SWAP",'asset_&amp;_open_positions'!$J42="FUTURE",'asset_&amp;_open_positions'!$J42="CME FUTURE"),"",'asset_&amp;_open_positions'!$H42)</f>
        <v/>
      </c>
    </row>
    <row r="43" spans="6:18" x14ac:dyDescent="0.25">
      <c r="F43" t="s">
        <v>223</v>
      </c>
      <c r="H43" t="s">
        <v>85</v>
      </c>
      <c r="I43" t="s">
        <v>222</v>
      </c>
      <c r="O43" s="78" t="str">
        <f>IF('asset_&amp;_open_positions'!$C43="","",'asset_&amp;_open_positions'!$E43)</f>
        <v>BTCF3</v>
      </c>
      <c r="P43" s="42">
        <f>IF('asset_&amp;_open_positions'!$C43="","",'asset_&amp;_open_positions'!$H43)</f>
        <v>19155</v>
      </c>
      <c r="Q43" s="78" t="str">
        <f>IF(OR('asset_&amp;_open_positions'!$C43="",'asset_&amp;_open_positions'!$J43="SWAP",'asset_&amp;_open_positions'!$J43="FUTURE",'asset_&amp;_open_positions'!$J43="CME FUTURE"),"",'asset_&amp;_open_positions'!$M43)</f>
        <v/>
      </c>
      <c r="R43" s="42" t="str">
        <f>IF(OR('asset_&amp;_open_positions'!$C43="",'asset_&amp;_open_positions'!$J43="SWAP",'asset_&amp;_open_positions'!$J43="FUTURE",'asset_&amp;_open_positions'!$J43="CME FUTURE"),"",'asset_&amp;_open_positions'!$H43)</f>
        <v/>
      </c>
    </row>
    <row r="44" spans="6:18" x14ac:dyDescent="0.25">
      <c r="F44" t="s">
        <v>224</v>
      </c>
      <c r="H44" t="s">
        <v>85</v>
      </c>
      <c r="I44" t="s">
        <v>222</v>
      </c>
      <c r="O44" s="78" t="str">
        <f>IF('asset_&amp;_open_positions'!$C44="","",'asset_&amp;_open_positions'!$E44)</f>
        <v>BTCG3</v>
      </c>
      <c r="P44" s="42">
        <f>IF('asset_&amp;_open_positions'!$C44="","",'asset_&amp;_open_positions'!$H44)</f>
        <v>19130</v>
      </c>
      <c r="Q44" s="78" t="str">
        <f>IF(OR('asset_&amp;_open_positions'!$C44="",'asset_&amp;_open_positions'!$J44="SWAP",'asset_&amp;_open_positions'!$J44="FUTURE",'asset_&amp;_open_positions'!$J44="CME FUTURE"),"",'asset_&amp;_open_positions'!$M44)</f>
        <v/>
      </c>
      <c r="R44" s="42" t="str">
        <f>IF(OR('asset_&amp;_open_positions'!$C44="",'asset_&amp;_open_positions'!$J44="SWAP",'asset_&amp;_open_positions'!$J44="FUTURE",'asset_&amp;_open_positions'!$J44="CME FUTURE"),"",'asset_&amp;_open_positions'!$H44)</f>
        <v/>
      </c>
    </row>
    <row r="45" spans="6:18" x14ac:dyDescent="0.25">
      <c r="F45" t="s">
        <v>225</v>
      </c>
      <c r="H45" t="s">
        <v>85</v>
      </c>
      <c r="I45" t="s">
        <v>222</v>
      </c>
      <c r="O45" s="78" t="str">
        <f>IF('asset_&amp;_open_positions'!$C45="","",'asset_&amp;_open_positions'!$E45)</f>
        <v>AAVE</v>
      </c>
      <c r="P45" s="42">
        <f>IF('asset_&amp;_open_positions'!$C45="","",'asset_&amp;_open_positions'!$H45)</f>
        <v>67.861136531304297</v>
      </c>
      <c r="Q45" s="78" t="str">
        <f>IF(OR('asset_&amp;_open_positions'!$C45="",'asset_&amp;_open_positions'!$J45="SWAP",'asset_&amp;_open_positions'!$J45="FUTURE",'asset_&amp;_open_positions'!$J45="CME FUTURE"),"",'asset_&amp;_open_positions'!$M45)</f>
        <v>AAVE</v>
      </c>
      <c r="R45" s="42">
        <f>IF(OR('asset_&amp;_open_positions'!$C45="",'asset_&amp;_open_positions'!$J45="SWAP",'asset_&amp;_open_positions'!$J45="FUTURE",'asset_&amp;_open_positions'!$J45="CME FUTURE"),"",'asset_&amp;_open_positions'!$H45)</f>
        <v>67.861136531304297</v>
      </c>
    </row>
    <row r="46" spans="6:18" x14ac:dyDescent="0.25">
      <c r="F46" t="s">
        <v>33</v>
      </c>
      <c r="H46" t="s">
        <v>85</v>
      </c>
      <c r="I46" t="s">
        <v>32</v>
      </c>
      <c r="O46" s="78" t="str">
        <f>IF('asset_&amp;_open_positions'!$C46="","",'asset_&amp;_open_positions'!$E46)</f>
        <v>ADA</v>
      </c>
      <c r="P46" s="42">
        <f>IF('asset_&amp;_open_positions'!$C46="","",'asset_&amp;_open_positions'!$H46)</f>
        <v>0.329758474743375</v>
      </c>
      <c r="Q46" s="78" t="str">
        <f>IF(OR('asset_&amp;_open_positions'!$C46="",'asset_&amp;_open_positions'!$J46="SWAP",'asset_&amp;_open_positions'!$J46="FUTURE",'asset_&amp;_open_positions'!$J46="CME FUTURE"),"",'asset_&amp;_open_positions'!$M46)</f>
        <v>ADA</v>
      </c>
      <c r="R46" s="42">
        <f>IF(OR('asset_&amp;_open_positions'!$C46="",'asset_&amp;_open_positions'!$J46="SWAP",'asset_&amp;_open_positions'!$J46="FUTURE",'asset_&amp;_open_positions'!$J46="CME FUTURE"),"",'asset_&amp;_open_positions'!$H46)</f>
        <v>0.329758474743375</v>
      </c>
    </row>
    <row r="47" spans="6:18" x14ac:dyDescent="0.25">
      <c r="F47" t="s">
        <v>226</v>
      </c>
      <c r="H47" t="s">
        <v>195</v>
      </c>
      <c r="I47" t="s">
        <v>101</v>
      </c>
      <c r="O47" s="78" t="str">
        <f>IF('asset_&amp;_open_positions'!$C47="","",'asset_&amp;_open_positions'!$E47)</f>
        <v>ALGO</v>
      </c>
      <c r="P47" s="42">
        <f>IF('asset_&amp;_open_positions'!$C47="","",'asset_&amp;_open_positions'!$H47)</f>
        <v>0.21252649157671899</v>
      </c>
      <c r="Q47" s="78" t="str">
        <f>IF(OR('asset_&amp;_open_positions'!$C47="",'asset_&amp;_open_positions'!$J47="SWAP",'asset_&amp;_open_positions'!$J47="FUTURE",'asset_&amp;_open_positions'!$J47="CME FUTURE"),"",'asset_&amp;_open_positions'!$M47)</f>
        <v>ALGO</v>
      </c>
      <c r="R47" s="42">
        <f>IF(OR('asset_&amp;_open_positions'!$C47="",'asset_&amp;_open_positions'!$J47="SWAP",'asset_&amp;_open_positions'!$J47="FUTURE",'asset_&amp;_open_positions'!$J47="CME FUTURE"),"",'asset_&amp;_open_positions'!$H47)</f>
        <v>0.21252649157671899</v>
      </c>
    </row>
    <row r="48" spans="6:18" x14ac:dyDescent="0.25">
      <c r="F48" t="s">
        <v>227</v>
      </c>
      <c r="H48" t="s">
        <v>85</v>
      </c>
      <c r="I48" t="s">
        <v>118</v>
      </c>
      <c r="O48" s="78" t="str">
        <f>IF('asset_&amp;_open_positions'!$C48="","",'asset_&amp;_open_positions'!$E48)</f>
        <v>ATOM</v>
      </c>
      <c r="P48" s="42">
        <f>IF('asset_&amp;_open_positions'!$C48="","",'asset_&amp;_open_positions'!$H48)</f>
        <v>12.274691832390999</v>
      </c>
      <c r="Q48" s="78" t="str">
        <f>IF(OR('asset_&amp;_open_positions'!$C48="",'asset_&amp;_open_positions'!$J48="SWAP",'asset_&amp;_open_positions'!$J48="FUTURE",'asset_&amp;_open_positions'!$J48="CME FUTURE"),"",'asset_&amp;_open_positions'!$M48)</f>
        <v>ATOM</v>
      </c>
      <c r="R48" s="42">
        <f>IF(OR('asset_&amp;_open_positions'!$C48="",'asset_&amp;_open_positions'!$J48="SWAP",'asset_&amp;_open_positions'!$J48="FUTURE",'asset_&amp;_open_positions'!$J48="CME FUTURE"),"",'asset_&amp;_open_positions'!$H48)</f>
        <v>12.274691832390999</v>
      </c>
    </row>
    <row r="49" spans="6:22" x14ac:dyDescent="0.25">
      <c r="F49" t="s">
        <v>83</v>
      </c>
      <c r="H49" t="s">
        <v>85</v>
      </c>
      <c r="I49" t="s">
        <v>86</v>
      </c>
      <c r="O49" s="78" t="str">
        <f>IF('asset_&amp;_open_positions'!$C49="","",'asset_&amp;_open_positions'!$E49)</f>
        <v>AVAX</v>
      </c>
      <c r="P49" s="42">
        <f>IF('asset_&amp;_open_positions'!$C49="","",'asset_&amp;_open_positions'!$H49)</f>
        <v>15.4573502597811</v>
      </c>
      <c r="Q49" s="78" t="str">
        <f>IF(OR('asset_&amp;_open_positions'!$C49="",'asset_&amp;_open_positions'!$J49="SWAP",'asset_&amp;_open_positions'!$J49="FUTURE",'asset_&amp;_open_positions'!$J49="CME FUTURE"),"",'asset_&amp;_open_positions'!$M49)</f>
        <v>AVAX</v>
      </c>
      <c r="R49" s="42">
        <f>IF(OR('asset_&amp;_open_positions'!$C49="",'asset_&amp;_open_positions'!$J49="SWAP",'asset_&amp;_open_positions'!$J49="FUTURE",'asset_&amp;_open_positions'!$J49="CME FUTURE"),"",'asset_&amp;_open_positions'!$H49)</f>
        <v>15.4573502597811</v>
      </c>
    </row>
    <row r="50" spans="6:22" x14ac:dyDescent="0.25">
      <c r="F50" t="s">
        <v>12</v>
      </c>
      <c r="H50" t="s">
        <v>85</v>
      </c>
      <c r="I50" t="s">
        <v>86</v>
      </c>
      <c r="O50" s="78" t="str">
        <f>IF('asset_&amp;_open_positions'!$C50="","",'asset_&amp;_open_positions'!$E50)</f>
        <v>BAT</v>
      </c>
      <c r="P50" s="42">
        <f>IF('asset_&amp;_open_positions'!$C50="","",'asset_&amp;_open_positions'!$H50)</f>
        <v>0.20477401519184199</v>
      </c>
      <c r="Q50" s="78" t="str">
        <f>IF(OR('asset_&amp;_open_positions'!$C50="",'asset_&amp;_open_positions'!$J50="SWAP",'asset_&amp;_open_positions'!$J50="FUTURE",'asset_&amp;_open_positions'!$J50="CME FUTURE"),"",'asset_&amp;_open_positions'!$M50)</f>
        <v>BAT</v>
      </c>
      <c r="R50" s="42">
        <f>IF(OR('asset_&amp;_open_positions'!$C50="",'asset_&amp;_open_positions'!$J50="SWAP",'asset_&amp;_open_positions'!$J50="FUTURE",'asset_&amp;_open_positions'!$J50="CME FUTURE"),"",'asset_&amp;_open_positions'!$H50)</f>
        <v>0.20477401519184199</v>
      </c>
    </row>
    <row r="51" spans="6:22" x14ac:dyDescent="0.25">
      <c r="F51" t="s">
        <v>91</v>
      </c>
      <c r="H51" t="s">
        <v>85</v>
      </c>
      <c r="I51" t="s">
        <v>86</v>
      </c>
      <c r="O51" s="78" t="str">
        <f>IF('asset_&amp;_open_positions'!$C51="","",'asset_&amp;_open_positions'!$E51)</f>
        <v>BCH</v>
      </c>
      <c r="P51" s="42">
        <f>IF('asset_&amp;_open_positions'!$C51="","",'asset_&amp;_open_positions'!$H51)</f>
        <v>119.710466137412</v>
      </c>
      <c r="Q51" s="78" t="str">
        <f>IF(OR('asset_&amp;_open_positions'!$C51="",'asset_&amp;_open_positions'!$J51="SWAP",'asset_&amp;_open_positions'!$J51="FUTURE",'asset_&amp;_open_positions'!$J51="CME FUTURE"),"",'asset_&amp;_open_positions'!$M51)</f>
        <v>BCH</v>
      </c>
      <c r="R51" s="42">
        <f>IF(OR('asset_&amp;_open_positions'!$C51="",'asset_&amp;_open_positions'!$J51="SWAP",'asset_&amp;_open_positions'!$J51="FUTURE",'asset_&amp;_open_positions'!$J51="CME FUTURE"),"",'asset_&amp;_open_positions'!$H51)</f>
        <v>119.710466137412</v>
      </c>
    </row>
    <row r="52" spans="6:22" x14ac:dyDescent="0.25">
      <c r="F52" t="s">
        <v>18</v>
      </c>
      <c r="H52" t="s">
        <v>85</v>
      </c>
      <c r="I52" t="s">
        <v>86</v>
      </c>
      <c r="O52" s="78" t="str">
        <f>IF('asset_&amp;_open_positions'!$C52="","",'asset_&amp;_open_positions'!$E52)</f>
        <v>BNB</v>
      </c>
      <c r="P52" s="42">
        <f>IF('asset_&amp;_open_positions'!$C52="","",'asset_&amp;_open_positions'!$H52)</f>
        <v>287.81233632451398</v>
      </c>
      <c r="Q52" s="78" t="str">
        <f>IF(OR('asset_&amp;_open_positions'!$C52="",'asset_&amp;_open_positions'!$J52="SWAP",'asset_&amp;_open_positions'!$J52="FUTURE",'asset_&amp;_open_positions'!$J52="CME FUTURE"),"",'asset_&amp;_open_positions'!$M52)</f>
        <v>BNB</v>
      </c>
      <c r="R52" s="42">
        <f>IF(OR('asset_&amp;_open_positions'!$C52="",'asset_&amp;_open_positions'!$J52="SWAP",'asset_&amp;_open_positions'!$J52="FUTURE",'asset_&amp;_open_positions'!$J52="CME FUTURE"),"",'asset_&amp;_open_positions'!$H52)</f>
        <v>287.81233632451398</v>
      </c>
    </row>
    <row r="53" spans="6:22" x14ac:dyDescent="0.25">
      <c r="F53" t="s">
        <v>102</v>
      </c>
      <c r="H53" t="s">
        <v>85</v>
      </c>
      <c r="I53" t="s">
        <v>101</v>
      </c>
      <c r="O53" s="78" t="str">
        <f>IF('asset_&amp;_open_positions'!$C53="","",'asset_&amp;_open_positions'!$E53)</f>
        <v>BTC</v>
      </c>
      <c r="P53" s="42">
        <f>IF('asset_&amp;_open_positions'!$C53="","",'asset_&amp;_open_positions'!$H53)</f>
        <v>18869.5880552655</v>
      </c>
      <c r="Q53" s="78" t="str">
        <f>IF(OR('asset_&amp;_open_positions'!$C53="",'asset_&amp;_open_positions'!$J53="SWAP",'asset_&amp;_open_positions'!$J53="FUTURE",'asset_&amp;_open_positions'!$J53="CME FUTURE"),"",'asset_&amp;_open_positions'!$M53)</f>
        <v>BTC</v>
      </c>
      <c r="R53" s="42">
        <f>IF(OR('asset_&amp;_open_positions'!$C53="",'asset_&amp;_open_positions'!$J53="SWAP",'asset_&amp;_open_positions'!$J53="FUTURE",'asset_&amp;_open_positions'!$J53="CME FUTURE"),"",'asset_&amp;_open_positions'!$H53)</f>
        <v>18869.5880552655</v>
      </c>
    </row>
    <row r="54" spans="6:22" x14ac:dyDescent="0.25">
      <c r="F54" t="s">
        <v>103</v>
      </c>
      <c r="H54" t="s">
        <v>85</v>
      </c>
      <c r="I54" t="s">
        <v>101</v>
      </c>
      <c r="O54" s="78" t="str">
        <f>IF('asset_&amp;_open_positions'!$C54="","",'asset_&amp;_open_positions'!$E54)</f>
        <v>BUSD</v>
      </c>
      <c r="P54" s="42">
        <f>IF('asset_&amp;_open_positions'!$C54="","",'asset_&amp;_open_positions'!$H54)</f>
        <v>1.00031906498534</v>
      </c>
      <c r="Q54" s="78" t="str">
        <f>IF(OR('asset_&amp;_open_positions'!$C54="",'asset_&amp;_open_positions'!$J54="SWAP",'asset_&amp;_open_positions'!$J54="FUTURE",'asset_&amp;_open_positions'!$J54="CME FUTURE"),"",'asset_&amp;_open_positions'!$M54)</f>
        <v>BUSD</v>
      </c>
      <c r="R54" s="42">
        <f>IF(OR('asset_&amp;_open_positions'!$C54="",'asset_&amp;_open_positions'!$J54="SWAP",'asset_&amp;_open_positions'!$J54="FUTURE",'asset_&amp;_open_positions'!$J54="CME FUTURE"),"",'asset_&amp;_open_positions'!$H54)</f>
        <v>1.00031906498534</v>
      </c>
    </row>
    <row r="55" spans="6:22" x14ac:dyDescent="0.25">
      <c r="F55" t="s">
        <v>203</v>
      </c>
      <c r="H55" t="s">
        <v>195</v>
      </c>
      <c r="I55" t="s">
        <v>101</v>
      </c>
      <c r="O55" s="78" t="str">
        <f>IF('asset_&amp;_open_positions'!$C55="","",'asset_&amp;_open_positions'!$E55)</f>
        <v>COMP</v>
      </c>
      <c r="P55" s="42">
        <f>IF('asset_&amp;_open_positions'!$C55="","",'asset_&amp;_open_positions'!$H55)</f>
        <v>37.706418209521303</v>
      </c>
      <c r="Q55" s="78" t="str">
        <f>IF(OR('asset_&amp;_open_positions'!$C55="",'asset_&amp;_open_positions'!$J55="SWAP",'asset_&amp;_open_positions'!$J55="FUTURE",'asset_&amp;_open_positions'!$J55="CME FUTURE"),"",'asset_&amp;_open_positions'!$M55)</f>
        <v>COMP</v>
      </c>
      <c r="R55" s="42">
        <f>IF(OR('asset_&amp;_open_positions'!$C55="",'asset_&amp;_open_positions'!$J55="SWAP",'asset_&amp;_open_positions'!$J55="FUTURE",'asset_&amp;_open_positions'!$J55="CME FUTURE"),"",'asset_&amp;_open_positions'!$H55)</f>
        <v>37.706418209521303</v>
      </c>
    </row>
    <row r="56" spans="6:22" x14ac:dyDescent="0.25">
      <c r="F56" t="s">
        <v>42</v>
      </c>
      <c r="H56" t="s">
        <v>85</v>
      </c>
      <c r="I56" t="s">
        <v>112</v>
      </c>
      <c r="O56" s="78" t="str">
        <f>IF('asset_&amp;_open_positions'!$C56="","",'asset_&amp;_open_positions'!$E56)</f>
        <v>CRV</v>
      </c>
      <c r="P56" s="42">
        <f>IF('asset_&amp;_open_positions'!$C56="","",'asset_&amp;_open_positions'!$H56)</f>
        <v>0.68911612905516495</v>
      </c>
      <c r="Q56" s="78" t="str">
        <f>IF(OR('asset_&amp;_open_positions'!$C56="",'asset_&amp;_open_positions'!$J56="SWAP",'asset_&amp;_open_positions'!$J56="FUTURE",'asset_&amp;_open_positions'!$J56="CME FUTURE"),"",'asset_&amp;_open_positions'!$M56)</f>
        <v>CRV</v>
      </c>
      <c r="R56" s="42">
        <f>IF(OR('asset_&amp;_open_positions'!$C56="",'asset_&amp;_open_positions'!$J56="SWAP",'asset_&amp;_open_positions'!$J56="FUTURE",'asset_&amp;_open_positions'!$J56="CME FUTURE"),"",'asset_&amp;_open_positions'!$H56)</f>
        <v>0.68911612905516495</v>
      </c>
    </row>
    <row r="57" spans="6:22" x14ac:dyDescent="0.25">
      <c r="F57" t="s">
        <v>104</v>
      </c>
      <c r="H57" t="s">
        <v>85</v>
      </c>
      <c r="I57" t="s">
        <v>101</v>
      </c>
      <c r="O57" s="78" t="str">
        <f>IF('asset_&amp;_open_positions'!$C57="","",'asset_&amp;_open_positions'!$E57)</f>
        <v>DASH</v>
      </c>
      <c r="P57" s="42">
        <f>IF('asset_&amp;_open_positions'!$C57="","",'asset_&amp;_open_positions'!$H57)</f>
        <v>49.356487119112799</v>
      </c>
      <c r="Q57" s="78" t="str">
        <f>IF(OR('asset_&amp;_open_positions'!$C57="",'asset_&amp;_open_positions'!$J57="SWAP",'asset_&amp;_open_positions'!$J57="FUTURE",'asset_&amp;_open_positions'!$J57="CME FUTURE"),"",'asset_&amp;_open_positions'!$M57)</f>
        <v>DASH</v>
      </c>
      <c r="R57" s="42">
        <f>IF(OR('asset_&amp;_open_positions'!$C57="",'asset_&amp;_open_positions'!$J57="SWAP",'asset_&amp;_open_positions'!$J57="FUTURE",'asset_&amp;_open_positions'!$J57="CME FUTURE"),"",'asset_&amp;_open_positions'!$H57)</f>
        <v>49.356487119112799</v>
      </c>
    </row>
    <row r="58" spans="6:22" x14ac:dyDescent="0.25">
      <c r="F58" t="s">
        <v>212</v>
      </c>
      <c r="H58" t="s">
        <v>195</v>
      </c>
      <c r="I58" t="s">
        <v>45</v>
      </c>
      <c r="O58" s="78" t="str">
        <f>IF('asset_&amp;_open_positions'!$C58="","",'asset_&amp;_open_positions'!$E58)</f>
        <v>DOGE</v>
      </c>
      <c r="P58" s="42">
        <f>IF('asset_&amp;_open_positions'!$C58="","",'asset_&amp;_open_positions'!$H58)</f>
        <v>8.0285736002614697E-2</v>
      </c>
      <c r="Q58" s="78" t="str">
        <f>IF(OR('asset_&amp;_open_positions'!$C58="",'asset_&amp;_open_positions'!$J58="SWAP",'asset_&amp;_open_positions'!$J58="FUTURE",'asset_&amp;_open_positions'!$J58="CME FUTURE"),"",'asset_&amp;_open_positions'!$M58)</f>
        <v>DOGE</v>
      </c>
      <c r="R58" s="42">
        <f>IF(OR('asset_&amp;_open_positions'!$C58="",'asset_&amp;_open_positions'!$J58="SWAP",'asset_&amp;_open_positions'!$J58="FUTURE",'asset_&amp;_open_positions'!$J58="CME FUTURE"),"",'asset_&amp;_open_positions'!$H58)</f>
        <v>8.0285736002614697E-2</v>
      </c>
    </row>
    <row r="59" spans="6:22" x14ac:dyDescent="0.25">
      <c r="F59" t="s">
        <v>105</v>
      </c>
      <c r="H59" t="s">
        <v>85</v>
      </c>
      <c r="I59" t="s">
        <v>101</v>
      </c>
      <c r="O59" s="78" t="str">
        <f>IF('asset_&amp;_open_positions'!$C59="","",'asset_&amp;_open_positions'!$E59)</f>
        <v>DOT</v>
      </c>
      <c r="P59" s="42">
        <f>IF('asset_&amp;_open_positions'!$C59="","",'asset_&amp;_open_positions'!$H59)</f>
        <v>5.2294779390740098</v>
      </c>
      <c r="Q59" s="78" t="str">
        <f>IF(OR('asset_&amp;_open_positions'!$C59="",'asset_&amp;_open_positions'!$J59="SWAP",'asset_&amp;_open_positions'!$J59="FUTURE",'asset_&amp;_open_positions'!$J59="CME FUTURE"),"",'asset_&amp;_open_positions'!$M59)</f>
        <v>DOT</v>
      </c>
      <c r="R59" s="42">
        <f>IF(OR('asset_&amp;_open_positions'!$C59="",'asset_&amp;_open_positions'!$J59="SWAP",'asset_&amp;_open_positions'!$J59="FUTURE",'asset_&amp;_open_positions'!$J59="CME FUTURE"),"",'asset_&amp;_open_positions'!$H59)</f>
        <v>5.2294779390740098</v>
      </c>
      <c r="V59" t="str">
        <f>IF(OR('asset_&amp;_open_positions'!$C2="",'asset_&amp;_open_positions'!$J2="FUTURE",'asset_&amp;_open_positions'!$J2="SWAP"),"",'asset_&amp;_open_positions'!$M2)</f>
        <v/>
      </c>
    </row>
    <row r="60" spans="6:22" x14ac:dyDescent="0.25">
      <c r="F60" t="s">
        <v>194</v>
      </c>
      <c r="H60" t="s">
        <v>195</v>
      </c>
      <c r="I60" t="s">
        <v>86</v>
      </c>
      <c r="O60" s="78" t="str">
        <f>IF('asset_&amp;_open_positions'!$C60="","",'asset_&amp;_open_positions'!$E60)</f>
        <v>ENJ</v>
      </c>
      <c r="P60" s="42">
        <f>IF('asset_&amp;_open_positions'!$C60="","",'asset_&amp;_open_positions'!$H60)</f>
        <v>0.304096198903759</v>
      </c>
      <c r="Q60" s="78" t="str">
        <f>IF(OR('asset_&amp;_open_positions'!$C60="",'asset_&amp;_open_positions'!$J60="SWAP",'asset_&amp;_open_positions'!$J60="FUTURE",'asset_&amp;_open_positions'!$J60="CME FUTURE"),"",'asset_&amp;_open_positions'!$M60)</f>
        <v>ENJ</v>
      </c>
      <c r="R60" s="42">
        <f>IF(OR('asset_&amp;_open_positions'!$C60="",'asset_&amp;_open_positions'!$J60="SWAP",'asset_&amp;_open_positions'!$J60="FUTURE",'asset_&amp;_open_positions'!$J60="CME FUTURE"),"",'asset_&amp;_open_positions'!$H60)</f>
        <v>0.304096198903759</v>
      </c>
    </row>
    <row r="61" spans="6:22" x14ac:dyDescent="0.25">
      <c r="F61" t="s">
        <v>197</v>
      </c>
      <c r="H61" t="s">
        <v>195</v>
      </c>
      <c r="I61" t="s">
        <v>101</v>
      </c>
      <c r="O61" s="78" t="str">
        <f>IF('asset_&amp;_open_positions'!$C61="","",'asset_&amp;_open_positions'!$E61)</f>
        <v>EOS</v>
      </c>
      <c r="P61" s="42">
        <f>IF('asset_&amp;_open_positions'!$C61="","",'asset_&amp;_open_positions'!$H61)</f>
        <v>0.990242476806942</v>
      </c>
      <c r="Q61" s="78" t="str">
        <f>IF(OR('asset_&amp;_open_positions'!$C61="",'asset_&amp;_open_positions'!$J61="SWAP",'asset_&amp;_open_positions'!$J61="FUTURE",'asset_&amp;_open_positions'!$J61="CME FUTURE"),"",'asset_&amp;_open_positions'!$M61)</f>
        <v>EOS</v>
      </c>
      <c r="R61" s="42">
        <f>IF(OR('asset_&amp;_open_positions'!$C61="",'asset_&amp;_open_positions'!$J61="SWAP",'asset_&amp;_open_positions'!$J61="FUTURE",'asset_&amp;_open_positions'!$J61="CME FUTURE"),"",'asset_&amp;_open_positions'!$H61)</f>
        <v>0.990242476806942</v>
      </c>
    </row>
    <row r="62" spans="6:22" x14ac:dyDescent="0.25">
      <c r="O62" s="78" t="str">
        <f>IF('asset_&amp;_open_positions'!$C62="","",'asset_&amp;_open_positions'!$E62)</f>
        <v>ETH</v>
      </c>
      <c r="P62" s="42">
        <f>IF('asset_&amp;_open_positions'!$C62="","",'asset_&amp;_open_positions'!$H62)</f>
        <v>1417.9385231112101</v>
      </c>
      <c r="Q62" s="78" t="str">
        <f>IF(OR('asset_&amp;_open_positions'!$C62="",'asset_&amp;_open_positions'!$J62="SWAP",'asset_&amp;_open_positions'!$J62="FUTURE",'asset_&amp;_open_positions'!$J62="CME FUTURE"),"",'asset_&amp;_open_positions'!$M62)</f>
        <v>ETH</v>
      </c>
      <c r="R62" s="42">
        <f>IF(OR('asset_&amp;_open_positions'!$C62="",'asset_&amp;_open_positions'!$J62="SWAP",'asset_&amp;_open_positions'!$J62="FUTURE",'asset_&amp;_open_positions'!$J62="CME FUTURE"),"",'asset_&amp;_open_positions'!$H62)</f>
        <v>1417.9385231112101</v>
      </c>
    </row>
    <row r="63" spans="6:22" x14ac:dyDescent="0.25">
      <c r="O63" s="78" t="str">
        <f>IF('asset_&amp;_open_positions'!$C63="","",'asset_&amp;_open_positions'!$E63)</f>
        <v>EUR</v>
      </c>
      <c r="P63" s="42">
        <f>IF('asset_&amp;_open_positions'!$C63="","",'asset_&amp;_open_positions'!$H63)</f>
        <v>1.0852200000000001</v>
      </c>
      <c r="Q63" s="78" t="str">
        <f>IF(OR('asset_&amp;_open_positions'!$C63="",'asset_&amp;_open_positions'!$J63="SWAP",'asset_&amp;_open_positions'!$J63="FUTURE",'asset_&amp;_open_positions'!$J63="CME FUTURE"),"",'asset_&amp;_open_positions'!$M63)</f>
        <v>EUR</v>
      </c>
      <c r="R63" s="42">
        <f>IF(OR('asset_&amp;_open_positions'!$C63="",'asset_&amp;_open_positions'!$J63="SWAP",'asset_&amp;_open_positions'!$J63="FUTURE",'asset_&amp;_open_positions'!$J63="CME FUTURE"),"",'asset_&amp;_open_positions'!$H63)</f>
        <v>1.0852200000000001</v>
      </c>
    </row>
    <row r="64" spans="6:22" x14ac:dyDescent="0.25">
      <c r="O64" s="78" t="str">
        <f>IF('asset_&amp;_open_positions'!$C64="","",'asset_&amp;_open_positions'!$E64)</f>
        <v>FIL</v>
      </c>
      <c r="P64" s="42">
        <f>IF('asset_&amp;_open_positions'!$C64="","",'asset_&amp;_open_positions'!$H64)</f>
        <v>3.8532649574853499</v>
      </c>
      <c r="Q64" s="78" t="str">
        <f>IF(OR('asset_&amp;_open_positions'!$C64="",'asset_&amp;_open_positions'!$J64="SWAP",'asset_&amp;_open_positions'!$J64="FUTURE",'asset_&amp;_open_positions'!$J64="CME FUTURE"),"",'asset_&amp;_open_positions'!$M64)</f>
        <v>FIL</v>
      </c>
      <c r="R64" s="42">
        <f>IF(OR('asset_&amp;_open_positions'!$C64="",'asset_&amp;_open_positions'!$J64="SWAP",'asset_&amp;_open_positions'!$J64="FUTURE",'asset_&amp;_open_positions'!$J64="CME FUTURE"),"",'asset_&amp;_open_positions'!$H64)</f>
        <v>3.8532649574853499</v>
      </c>
    </row>
    <row r="65" spans="15:18" x14ac:dyDescent="0.25">
      <c r="O65" s="78" t="str">
        <f>IF('asset_&amp;_open_positions'!$C65="","",'asset_&amp;_open_positions'!$E65)</f>
        <v>FTM</v>
      </c>
      <c r="P65" s="42">
        <f>IF('asset_&amp;_open_positions'!$C65="","",'asset_&amp;_open_positions'!$H65)</f>
        <v>0.27344683929559199</v>
      </c>
      <c r="Q65" s="78" t="str">
        <f>IF(OR('asset_&amp;_open_positions'!$C65="",'asset_&amp;_open_positions'!$J65="SWAP",'asset_&amp;_open_positions'!$J65="FUTURE",'asset_&amp;_open_positions'!$J65="CME FUTURE"),"",'asset_&amp;_open_positions'!$M65)</f>
        <v>FTM</v>
      </c>
      <c r="R65" s="42">
        <f>IF(OR('asset_&amp;_open_positions'!$C65="",'asset_&amp;_open_positions'!$J65="SWAP",'asset_&amp;_open_positions'!$J65="FUTURE",'asset_&amp;_open_positions'!$J65="CME FUTURE"),"",'asset_&amp;_open_positions'!$H65)</f>
        <v>0.27344683929559199</v>
      </c>
    </row>
    <row r="66" spans="15:18" x14ac:dyDescent="0.25">
      <c r="O66" s="78" t="str">
        <f>IF('asset_&amp;_open_positions'!$C66="","",'asset_&amp;_open_positions'!$E66)</f>
        <v>GRT</v>
      </c>
      <c r="P66" s="42">
        <f>IF('asset_&amp;_open_positions'!$C66="","",'asset_&amp;_open_positions'!$H66)</f>
        <v>7.3501958303225604E-2</v>
      </c>
      <c r="Q66" s="78" t="str">
        <f>IF(OR('asset_&amp;_open_positions'!$C66="",'asset_&amp;_open_positions'!$J66="SWAP",'asset_&amp;_open_positions'!$J66="FUTURE",'asset_&amp;_open_positions'!$J66="CME FUTURE"),"",'asset_&amp;_open_positions'!$M66)</f>
        <v>GRT</v>
      </c>
      <c r="R66" s="42">
        <f>IF(OR('asset_&amp;_open_positions'!$C66="",'asset_&amp;_open_positions'!$J66="SWAP",'asset_&amp;_open_positions'!$J66="FUTURE",'asset_&amp;_open_positions'!$J66="CME FUTURE"),"",'asset_&amp;_open_positions'!$H66)</f>
        <v>7.3501958303225604E-2</v>
      </c>
    </row>
    <row r="67" spans="15:18" x14ac:dyDescent="0.25">
      <c r="O67" s="78" t="str">
        <f>IF('asset_&amp;_open_positions'!$C67="","",'asset_&amp;_open_positions'!$E67)</f>
        <v>HBAR</v>
      </c>
      <c r="P67" s="42">
        <f>IF('asset_&amp;_open_positions'!$C67="","",'asset_&amp;_open_positions'!$H67)</f>
        <v>4.7647636764699498E-2</v>
      </c>
      <c r="Q67" s="78" t="str">
        <f>IF(OR('asset_&amp;_open_positions'!$C67="",'asset_&amp;_open_positions'!$J67="SWAP",'asset_&amp;_open_positions'!$J67="FUTURE",'asset_&amp;_open_positions'!$J67="CME FUTURE"),"",'asset_&amp;_open_positions'!$M67)</f>
        <v>HBAR</v>
      </c>
      <c r="R67" s="42">
        <f>IF(OR('asset_&amp;_open_positions'!$C67="",'asset_&amp;_open_positions'!$J67="SWAP",'asset_&amp;_open_positions'!$J67="FUTURE",'asset_&amp;_open_positions'!$J67="CME FUTURE"),"",'asset_&amp;_open_positions'!$H67)</f>
        <v>4.7647636764699498E-2</v>
      </c>
    </row>
    <row r="68" spans="15:18" x14ac:dyDescent="0.25">
      <c r="O68" s="78" t="str">
        <f>IF('asset_&amp;_open_positions'!$C68="","",'asset_&amp;_open_positions'!$E68)</f>
        <v>LINK</v>
      </c>
      <c r="P68" s="42">
        <f>IF('asset_&amp;_open_positions'!$C68="","",'asset_&amp;_open_positions'!$H68)</f>
        <v>6.38133155243787</v>
      </c>
      <c r="Q68" s="78" t="str">
        <f>IF(OR('asset_&amp;_open_positions'!$C68="",'asset_&amp;_open_positions'!$J68="SWAP",'asset_&amp;_open_positions'!$J68="FUTURE",'asset_&amp;_open_positions'!$J68="CME FUTURE"),"",'asset_&amp;_open_positions'!$M68)</f>
        <v>LINK</v>
      </c>
      <c r="R68" s="42">
        <f>IF(OR('asset_&amp;_open_positions'!$C68="",'asset_&amp;_open_positions'!$J68="SWAP",'asset_&amp;_open_positions'!$J68="FUTURE",'asset_&amp;_open_positions'!$J68="CME FUTURE"),"",'asset_&amp;_open_positions'!$H68)</f>
        <v>6.38133155243787</v>
      </c>
    </row>
    <row r="69" spans="15:18" x14ac:dyDescent="0.25">
      <c r="O69" s="78" t="str">
        <f>IF('asset_&amp;_open_positions'!$C69="","",'asset_&amp;_open_positions'!$E69)</f>
        <v>LTC</v>
      </c>
      <c r="P69" s="42">
        <f>IF('asset_&amp;_open_positions'!$C69="","",'asset_&amp;_open_positions'!$H69)</f>
        <v>85.964229450756093</v>
      </c>
      <c r="Q69" s="78" t="str">
        <f>IF(OR('asset_&amp;_open_positions'!$C69="",'asset_&amp;_open_positions'!$J69="SWAP",'asset_&amp;_open_positions'!$J69="FUTURE",'asset_&amp;_open_positions'!$J69="CME FUTURE"),"",'asset_&amp;_open_positions'!$M69)</f>
        <v>LTC</v>
      </c>
      <c r="R69" s="42">
        <f>IF(OR('asset_&amp;_open_positions'!$C69="",'asset_&amp;_open_positions'!$J69="SWAP",'asset_&amp;_open_positions'!$J69="FUTURE",'asset_&amp;_open_positions'!$J69="CME FUTURE"),"",'asset_&amp;_open_positions'!$H69)</f>
        <v>85.964229450756093</v>
      </c>
    </row>
    <row r="70" spans="15:18" x14ac:dyDescent="0.25">
      <c r="O70" s="78" t="str">
        <f>IF('asset_&amp;_open_positions'!$C70="","",'asset_&amp;_open_positions'!$E70)</f>
        <v>MANA</v>
      </c>
      <c r="P70" s="42">
        <f>IF('asset_&amp;_open_positions'!$C70="","",'asset_&amp;_open_positions'!$H70)</f>
        <v>0.41245236860315698</v>
      </c>
      <c r="Q70" s="78" t="str">
        <f>IF(OR('asset_&amp;_open_positions'!$C70="",'asset_&amp;_open_positions'!$J70="SWAP",'asset_&amp;_open_positions'!$J70="FUTURE",'asset_&amp;_open_positions'!$J70="CME FUTURE"),"",'asset_&amp;_open_positions'!$M70)</f>
        <v>MANA</v>
      </c>
      <c r="R70" s="42">
        <f>IF(OR('asset_&amp;_open_positions'!$C70="",'asset_&amp;_open_positions'!$J70="SWAP",'asset_&amp;_open_positions'!$J70="FUTURE",'asset_&amp;_open_positions'!$J70="CME FUTURE"),"",'asset_&amp;_open_positions'!$H70)</f>
        <v>0.41245236860315698</v>
      </c>
    </row>
    <row r="71" spans="15:18" x14ac:dyDescent="0.25">
      <c r="O71" s="78" t="str">
        <f>IF('asset_&amp;_open_positions'!$C71="","",'asset_&amp;_open_positions'!$E71)</f>
        <v>MATIC</v>
      </c>
      <c r="P71" s="42">
        <f>IF('asset_&amp;_open_positions'!$C71="","",'asset_&amp;_open_positions'!$H71)</f>
        <v>0.91628911436523497</v>
      </c>
      <c r="Q71" s="78" t="str">
        <f>IF(OR('asset_&amp;_open_positions'!$C71="",'asset_&amp;_open_positions'!$J71="SWAP",'asset_&amp;_open_positions'!$J71="FUTURE",'asset_&amp;_open_positions'!$J71="CME FUTURE"),"",'asset_&amp;_open_positions'!$M71)</f>
        <v>MATIC</v>
      </c>
      <c r="R71" s="42">
        <f>IF(OR('asset_&amp;_open_positions'!$C71="",'asset_&amp;_open_positions'!$J71="SWAP",'asset_&amp;_open_positions'!$J71="FUTURE",'asset_&amp;_open_positions'!$J71="CME FUTURE"),"",'asset_&amp;_open_positions'!$H71)</f>
        <v>0.91628911436523497</v>
      </c>
    </row>
    <row r="72" spans="15:18" x14ac:dyDescent="0.25">
      <c r="O72" s="78" t="str">
        <f>IF('asset_&amp;_open_positions'!$C72="","",'asset_&amp;_open_positions'!$E72)</f>
        <v>MKR</v>
      </c>
      <c r="P72" s="42">
        <f>IF('asset_&amp;_open_positions'!$C72="","",'asset_&amp;_open_positions'!$H72)</f>
        <v>652.57566503526505</v>
      </c>
      <c r="Q72" s="78" t="str">
        <f>IF(OR('asset_&amp;_open_positions'!$C72="",'asset_&amp;_open_positions'!$J72="SWAP",'asset_&amp;_open_positions'!$J72="FUTURE",'asset_&amp;_open_positions'!$J72="CME FUTURE"),"",'asset_&amp;_open_positions'!$M72)</f>
        <v>MKR</v>
      </c>
      <c r="R72" s="42">
        <f>IF(OR('asset_&amp;_open_positions'!$C72="",'asset_&amp;_open_positions'!$J72="SWAP",'asset_&amp;_open_positions'!$J72="FUTURE",'asset_&amp;_open_positions'!$J72="CME FUTURE"),"",'asset_&amp;_open_positions'!$H72)</f>
        <v>652.57566503526505</v>
      </c>
    </row>
    <row r="73" spans="15:18" x14ac:dyDescent="0.25">
      <c r="O73" s="78" t="str">
        <f>IF('asset_&amp;_open_positions'!$C73="","",'asset_&amp;_open_positions'!$E73)</f>
        <v>OMG</v>
      </c>
      <c r="P73" s="42">
        <f>IF('asset_&amp;_open_positions'!$C73="","",'asset_&amp;_open_positions'!$H73)</f>
        <v>1.21227199754288</v>
      </c>
      <c r="Q73" s="78" t="str">
        <f>IF(OR('asset_&amp;_open_positions'!$C73="",'asset_&amp;_open_positions'!$J73="SWAP",'asset_&amp;_open_positions'!$J73="FUTURE",'asset_&amp;_open_positions'!$J73="CME FUTURE"),"",'asset_&amp;_open_positions'!$M73)</f>
        <v>OMG</v>
      </c>
      <c r="R73" s="42">
        <f>IF(OR('asset_&amp;_open_positions'!$C73="",'asset_&amp;_open_positions'!$J73="SWAP",'asset_&amp;_open_positions'!$J73="FUTURE",'asset_&amp;_open_positions'!$J73="CME FUTURE"),"",'asset_&amp;_open_positions'!$H73)</f>
        <v>1.21227199754288</v>
      </c>
    </row>
    <row r="74" spans="15:18" x14ac:dyDescent="0.25">
      <c r="O74" s="78" t="str">
        <f>IF('asset_&amp;_open_positions'!$C74="","",'asset_&amp;_open_positions'!$E74)</f>
        <v>OXT</v>
      </c>
      <c r="P74" s="42">
        <f>IF('asset_&amp;_open_positions'!$C74="","",'asset_&amp;_open_positions'!$H74)</f>
        <v>7.3319331912265404E-2</v>
      </c>
      <c r="Q74" s="78" t="str">
        <f>IF(OR('asset_&amp;_open_positions'!$C74="",'asset_&amp;_open_positions'!$J74="SWAP",'asset_&amp;_open_positions'!$J74="FUTURE",'asset_&amp;_open_positions'!$J74="CME FUTURE"),"",'asset_&amp;_open_positions'!$M74)</f>
        <v>OXT</v>
      </c>
      <c r="R74" s="42">
        <f>IF(OR('asset_&amp;_open_positions'!$C74="",'asset_&amp;_open_positions'!$J74="SWAP",'asset_&amp;_open_positions'!$J74="FUTURE",'asset_&amp;_open_positions'!$J74="CME FUTURE"),"",'asset_&amp;_open_positions'!$H74)</f>
        <v>7.3319331912265404E-2</v>
      </c>
    </row>
    <row r="75" spans="15:18" x14ac:dyDescent="0.25">
      <c r="O75" s="78" t="str">
        <f>IF('asset_&amp;_open_positions'!$C75="","",'asset_&amp;_open_positions'!$E75)</f>
        <v>SHIB</v>
      </c>
      <c r="P75" s="42">
        <f>IF('asset_&amp;_open_positions'!$C75="","",'asset_&amp;_open_positions'!$H75)</f>
        <v>9.4713833405960602E-6</v>
      </c>
      <c r="Q75" s="78" t="str">
        <f>IF(OR('asset_&amp;_open_positions'!$C75="",'asset_&amp;_open_positions'!$J75="SWAP",'asset_&amp;_open_positions'!$J75="FUTURE",'asset_&amp;_open_positions'!$J75="CME FUTURE"),"",'asset_&amp;_open_positions'!$M75)</f>
        <v>SHIB</v>
      </c>
      <c r="R75" s="42">
        <f>IF(OR('asset_&amp;_open_positions'!$C75="",'asset_&amp;_open_positions'!$J75="SWAP",'asset_&amp;_open_positions'!$J75="FUTURE",'asset_&amp;_open_positions'!$J75="CME FUTURE"),"",'asset_&amp;_open_positions'!$H75)</f>
        <v>9.4713833405960602E-6</v>
      </c>
    </row>
    <row r="76" spans="15:18" x14ac:dyDescent="0.25">
      <c r="O76" s="78" t="str">
        <f>IF('asset_&amp;_open_positions'!$C76="","",'asset_&amp;_open_positions'!$E76)</f>
        <v>SOL</v>
      </c>
      <c r="P76" s="42">
        <f>IF('asset_&amp;_open_positions'!$C76="","",'asset_&amp;_open_positions'!$H76)</f>
        <v>16.6190441963655</v>
      </c>
      <c r="Q76" s="78" t="str">
        <f>IF(OR('asset_&amp;_open_positions'!$C76="",'asset_&amp;_open_positions'!$J76="SWAP",'asset_&amp;_open_positions'!$J76="FUTURE",'asset_&amp;_open_positions'!$J76="CME FUTURE"),"",'asset_&amp;_open_positions'!$M76)</f>
        <v>SOL</v>
      </c>
      <c r="R76" s="42">
        <f>IF(OR('asset_&amp;_open_positions'!$C76="",'asset_&amp;_open_positions'!$J76="SWAP",'asset_&amp;_open_positions'!$J76="FUTURE",'asset_&amp;_open_positions'!$J76="CME FUTURE"),"",'asset_&amp;_open_positions'!$H76)</f>
        <v>16.6190441963655</v>
      </c>
    </row>
    <row r="77" spans="15:18" x14ac:dyDescent="0.25">
      <c r="O77" s="78" t="str">
        <f>IF('asset_&amp;_open_positions'!$C77="","",'asset_&amp;_open_positions'!$E77)</f>
        <v>SUSHI</v>
      </c>
      <c r="P77" s="42">
        <f>IF('asset_&amp;_open_positions'!$C77="","",'asset_&amp;_open_positions'!$H77)</f>
        <v>1.1376895816460699</v>
      </c>
      <c r="Q77" s="78" t="str">
        <f>IF(OR('asset_&amp;_open_positions'!$C77="",'asset_&amp;_open_positions'!$J77="SWAP",'asset_&amp;_open_positions'!$J77="FUTURE",'asset_&amp;_open_positions'!$J77="CME FUTURE"),"",'asset_&amp;_open_positions'!$M77)</f>
        <v>SUSHI</v>
      </c>
      <c r="R77" s="42">
        <f>IF(OR('asset_&amp;_open_positions'!$C77="",'asset_&amp;_open_positions'!$J77="SWAP",'asset_&amp;_open_positions'!$J77="FUTURE",'asset_&amp;_open_positions'!$J77="CME FUTURE"),"",'asset_&amp;_open_positions'!$H77)</f>
        <v>1.1376895816460699</v>
      </c>
    </row>
    <row r="78" spans="15:18" x14ac:dyDescent="0.25">
      <c r="O78" s="78" t="str">
        <f>IF('asset_&amp;_open_positions'!$C78="","",'asset_&amp;_open_positions'!$E78)</f>
        <v>UNI</v>
      </c>
      <c r="P78" s="42">
        <f>IF('asset_&amp;_open_positions'!$C78="","",'asset_&amp;_open_positions'!$H78)</f>
        <v>6.1733812820777398</v>
      </c>
      <c r="Q78" s="78" t="str">
        <f>IF(OR('asset_&amp;_open_positions'!$C78="",'asset_&amp;_open_positions'!$J78="SWAP",'asset_&amp;_open_positions'!$J78="FUTURE",'asset_&amp;_open_positions'!$J78="CME FUTURE"),"",'asset_&amp;_open_positions'!$M78)</f>
        <v>UNI</v>
      </c>
      <c r="R78" s="42">
        <f>IF(OR('asset_&amp;_open_positions'!$C78="",'asset_&amp;_open_positions'!$J78="SWAP",'asset_&amp;_open_positions'!$J78="FUTURE",'asset_&amp;_open_positions'!$J78="CME FUTURE"),"",'asset_&amp;_open_positions'!$H78)</f>
        <v>6.1733812820777398</v>
      </c>
    </row>
    <row r="79" spans="15:18" x14ac:dyDescent="0.25">
      <c r="O79" s="78" t="str">
        <f>IF('asset_&amp;_open_positions'!$C79="","",'asset_&amp;_open_positions'!$E79)</f>
        <v>USDT</v>
      </c>
      <c r="P79" s="42">
        <f>IF('asset_&amp;_open_positions'!$C79="","",'asset_&amp;_open_positions'!$H79)</f>
        <v>1.00009204918451</v>
      </c>
      <c r="Q79" s="78" t="str">
        <f>IF(OR('asset_&amp;_open_positions'!$C79="",'asset_&amp;_open_positions'!$J79="SWAP",'asset_&amp;_open_positions'!$J79="FUTURE",'asset_&amp;_open_positions'!$J79="CME FUTURE"),"",'asset_&amp;_open_positions'!$M79)</f>
        <v>USDT</v>
      </c>
      <c r="R79" s="42">
        <f>IF(OR('asset_&amp;_open_positions'!$C79="",'asset_&amp;_open_positions'!$J79="SWAP",'asset_&amp;_open_positions'!$J79="FUTURE",'asset_&amp;_open_positions'!$J79="CME FUTURE"),"",'asset_&amp;_open_positions'!$H79)</f>
        <v>1.00009204918451</v>
      </c>
    </row>
    <row r="80" spans="15:18" x14ac:dyDescent="0.25">
      <c r="O80" s="78" t="str">
        <f>IF('asset_&amp;_open_positions'!$C80="","",'asset_&amp;_open_positions'!$E80)</f>
        <v>XLM</v>
      </c>
      <c r="P80" s="42">
        <f>IF('asset_&amp;_open_positions'!$C80="","",'asset_&amp;_open_positions'!$H80)</f>
        <v>8.1643783905093401E-2</v>
      </c>
      <c r="Q80" s="78" t="str">
        <f>IF(OR('asset_&amp;_open_positions'!$C80="",'asset_&amp;_open_positions'!$J80="SWAP",'asset_&amp;_open_positions'!$J80="FUTURE",'asset_&amp;_open_positions'!$J80="CME FUTURE"),"",'asset_&amp;_open_positions'!$M80)</f>
        <v>XLM</v>
      </c>
      <c r="R80" s="42">
        <f>IF(OR('asset_&amp;_open_positions'!$C80="",'asset_&amp;_open_positions'!$J80="SWAP",'asset_&amp;_open_positions'!$J80="FUTURE",'asset_&amp;_open_positions'!$J80="CME FUTURE"),"",'asset_&amp;_open_positions'!$H80)</f>
        <v>8.1643783905093401E-2</v>
      </c>
    </row>
    <row r="81" spans="15:18" x14ac:dyDescent="0.25">
      <c r="O81" s="78" t="str">
        <f>IF('asset_&amp;_open_positions'!$C81="","",'asset_&amp;_open_positions'!$E81)</f>
        <v>XRP</v>
      </c>
      <c r="P81" s="42">
        <f>IF('asset_&amp;_open_positions'!$C81="","",'asset_&amp;_open_positions'!$H81)</f>
        <v>0.37519714224190098</v>
      </c>
      <c r="Q81" s="78" t="str">
        <f>IF(OR('asset_&amp;_open_positions'!$C81="",'asset_&amp;_open_positions'!$J81="SWAP",'asset_&amp;_open_positions'!$J81="FUTURE",'asset_&amp;_open_positions'!$J81="CME FUTURE"),"",'asset_&amp;_open_positions'!$M81)</f>
        <v>XRP</v>
      </c>
      <c r="R81" s="42">
        <f>IF(OR('asset_&amp;_open_positions'!$C81="",'asset_&amp;_open_positions'!$J81="SWAP",'asset_&amp;_open_positions'!$J81="FUTURE",'asset_&amp;_open_positions'!$J81="CME FUTURE"),"",'asset_&amp;_open_positions'!$H81)</f>
        <v>0.37519714224190098</v>
      </c>
    </row>
    <row r="82" spans="15:18" x14ac:dyDescent="0.25">
      <c r="O82" s="78" t="str">
        <f>IF('asset_&amp;_open_positions'!$C82="","",'asset_&amp;_open_positions'!$E82)</f>
        <v>XTZ</v>
      </c>
      <c r="P82" s="42">
        <f>IF('asset_&amp;_open_positions'!$C82="","",'asset_&amp;_open_positions'!$H82)</f>
        <v>0.88922984226921997</v>
      </c>
      <c r="Q82" s="78" t="str">
        <f>IF(OR('asset_&amp;_open_positions'!$C82="",'asset_&amp;_open_positions'!$J82="SWAP",'asset_&amp;_open_positions'!$J82="FUTURE",'asset_&amp;_open_positions'!$J82="CME FUTURE"),"",'asset_&amp;_open_positions'!$M82)</f>
        <v>XTZ</v>
      </c>
      <c r="R82" s="42">
        <f>IF(OR('asset_&amp;_open_positions'!$C82="",'asset_&amp;_open_positions'!$J82="SWAP",'asset_&amp;_open_positions'!$J82="FUTURE",'asset_&amp;_open_positions'!$J82="CME FUTURE"),"",'asset_&amp;_open_positions'!$H82)</f>
        <v>0.88922984226921997</v>
      </c>
    </row>
    <row r="83" spans="15:18" x14ac:dyDescent="0.25">
      <c r="O83" s="78" t="str">
        <f>IF('asset_&amp;_open_positions'!$C83="","",'asset_&amp;_open_positions'!$E83)</f>
        <v>YFI</v>
      </c>
      <c r="P83" s="42">
        <f>IF('asset_&amp;_open_positions'!$C83="","",'asset_&amp;_open_positions'!$H83)</f>
        <v>6234.31738724961</v>
      </c>
      <c r="Q83" s="78" t="str">
        <f>IF(OR('asset_&amp;_open_positions'!$C83="",'asset_&amp;_open_positions'!$J83="SWAP",'asset_&amp;_open_positions'!$J83="FUTURE",'asset_&amp;_open_positions'!$J83="CME FUTURE"),"",'asset_&amp;_open_positions'!$M83)</f>
        <v>YFI</v>
      </c>
      <c r="R83" s="42">
        <f>IF(OR('asset_&amp;_open_positions'!$C83="",'asset_&amp;_open_positions'!$J83="SWAP",'asset_&amp;_open_positions'!$J83="FUTURE",'asset_&amp;_open_positions'!$J83="CME FUTURE"),"",'asset_&amp;_open_positions'!$H83)</f>
        <v>6234.31738724961</v>
      </c>
    </row>
    <row r="84" spans="15:18" x14ac:dyDescent="0.25">
      <c r="O84" s="78" t="str">
        <f>IF('asset_&amp;_open_positions'!$C84="","",'asset_&amp;_open_positions'!$E84)</f>
        <v>ZIL</v>
      </c>
      <c r="P84" s="42">
        <f>IF('asset_&amp;_open_positions'!$C84="","",'asset_&amp;_open_positions'!$H84)</f>
        <v>2.39744799073386E-2</v>
      </c>
      <c r="Q84" s="78" t="str">
        <f>IF(OR('asset_&amp;_open_positions'!$C84="",'asset_&amp;_open_positions'!$J84="SWAP",'asset_&amp;_open_positions'!$J84="FUTURE",'asset_&amp;_open_positions'!$J84="CME FUTURE"),"",'asset_&amp;_open_positions'!$M84)</f>
        <v>ZIL</v>
      </c>
      <c r="R84" s="42">
        <f>IF(OR('asset_&amp;_open_positions'!$C84="",'asset_&amp;_open_positions'!$J84="SWAP",'asset_&amp;_open_positions'!$J84="FUTURE",'asset_&amp;_open_positions'!$J84="CME FUTURE"),"",'asset_&amp;_open_positions'!$H84)</f>
        <v>2.39744799073386E-2</v>
      </c>
    </row>
    <row r="85" spans="15:18" x14ac:dyDescent="0.25">
      <c r="O85" s="78" t="str">
        <f>IF('asset_&amp;_open_positions'!$C85="","",'asset_&amp;_open_positions'!$E85)</f>
        <v>BTC</v>
      </c>
      <c r="P85" s="42">
        <f>IF('asset_&amp;_open_positions'!$C85="","",'asset_&amp;_open_positions'!$H85)</f>
        <v>18869.5880552655</v>
      </c>
      <c r="Q85" s="78" t="str">
        <f>IF(OR('asset_&amp;_open_positions'!$C85="",'asset_&amp;_open_positions'!$J85="SWAP",'asset_&amp;_open_positions'!$J85="FUTURE",'asset_&amp;_open_positions'!$J85="CME FUTURE"),"",'asset_&amp;_open_positions'!$M85)</f>
        <v>BTC</v>
      </c>
      <c r="R85" s="42">
        <f>IF(OR('asset_&amp;_open_positions'!$C85="",'asset_&amp;_open_positions'!$J85="SWAP",'asset_&amp;_open_positions'!$J85="FUTURE",'asset_&amp;_open_positions'!$J85="CME FUTURE"),"",'asset_&amp;_open_positions'!$H85)</f>
        <v>18869.5880552655</v>
      </c>
    </row>
    <row r="86" spans="15:18" x14ac:dyDescent="0.25">
      <c r="O86" s="78" t="str">
        <f>IF('asset_&amp;_open_positions'!$C86="","",'asset_&amp;_open_positions'!$E86)</f>
        <v>BTC</v>
      </c>
      <c r="P86" s="42">
        <f>IF('asset_&amp;_open_positions'!$C86="","",'asset_&amp;_open_positions'!$H86)</f>
        <v>18869.5880552655</v>
      </c>
      <c r="Q86" s="78" t="str">
        <f>IF(OR('asset_&amp;_open_positions'!$C86="",'asset_&amp;_open_positions'!$J86="SWAP",'asset_&amp;_open_positions'!$J86="FUTURE",'asset_&amp;_open_positions'!$J86="CME FUTURE"),"",'asset_&amp;_open_positions'!$M86)</f>
        <v>BTC</v>
      </c>
      <c r="R86" s="42">
        <f>IF(OR('asset_&amp;_open_positions'!$C86="",'asset_&amp;_open_positions'!$J86="SWAP",'asset_&amp;_open_positions'!$J86="FUTURE",'asset_&amp;_open_positions'!$J86="CME FUTURE"),"",'asset_&amp;_open_positions'!$H86)</f>
        <v>18869.5880552655</v>
      </c>
    </row>
    <row r="87" spans="15:18" x14ac:dyDescent="0.25">
      <c r="O87" s="78" t="str">
        <f>IF('asset_&amp;_open_positions'!$C87="","",'asset_&amp;_open_positions'!$E87)</f>
        <v>ETH</v>
      </c>
      <c r="P87" s="42">
        <f>IF('asset_&amp;_open_positions'!$C87="","",'asset_&amp;_open_positions'!$H87)</f>
        <v>1417.9385231112101</v>
      </c>
      <c r="Q87" s="78" t="str">
        <f>IF(OR('asset_&amp;_open_positions'!$C87="",'asset_&amp;_open_positions'!$J87="SWAP",'asset_&amp;_open_positions'!$J87="FUTURE",'asset_&amp;_open_positions'!$J87="CME FUTURE"),"",'asset_&amp;_open_positions'!$M87)</f>
        <v>ETH</v>
      </c>
      <c r="R87" s="42">
        <f>IF(OR('asset_&amp;_open_positions'!$C87="",'asset_&amp;_open_positions'!$J87="SWAP",'asset_&amp;_open_positions'!$J87="FUTURE",'asset_&amp;_open_positions'!$J87="CME FUTURE"),"",'asset_&amp;_open_positions'!$H87)</f>
        <v>1417.9385231112101</v>
      </c>
    </row>
    <row r="88" spans="15:18" x14ac:dyDescent="0.25">
      <c r="O88" s="78" t="str">
        <f>IF('asset_&amp;_open_positions'!$C88="","",'asset_&amp;_open_positions'!$E88)</f>
        <v>ETH</v>
      </c>
      <c r="P88" s="42">
        <f>IF('asset_&amp;_open_positions'!$C88="","",'asset_&amp;_open_positions'!$H88)</f>
        <v>1417.9385231112101</v>
      </c>
      <c r="Q88" s="78" t="str">
        <f>IF(OR('asset_&amp;_open_positions'!$C88="",'asset_&amp;_open_positions'!$J88="SWAP",'asset_&amp;_open_positions'!$J88="FUTURE",'asset_&amp;_open_positions'!$J88="CME FUTURE"),"",'asset_&amp;_open_positions'!$M88)</f>
        <v>ETH</v>
      </c>
      <c r="R88" s="42">
        <f>IF(OR('asset_&amp;_open_positions'!$C88="",'asset_&amp;_open_positions'!$J88="SWAP",'asset_&amp;_open_positions'!$J88="FUTURE",'asset_&amp;_open_positions'!$J88="CME FUTURE"),"",'asset_&amp;_open_positions'!$H88)</f>
        <v>1417.9385231112101</v>
      </c>
    </row>
    <row r="89" spans="15:18" x14ac:dyDescent="0.25">
      <c r="O89" s="78" t="str">
        <f>IF('asset_&amp;_open_positions'!$C89="","",'asset_&amp;_open_positions'!$E89)</f>
        <v>BNB</v>
      </c>
      <c r="P89" s="42">
        <f>IF('asset_&amp;_open_positions'!$C89="","",'asset_&amp;_open_positions'!$H89)</f>
        <v>287.81233632451398</v>
      </c>
      <c r="Q89" s="78" t="str">
        <f>IF(OR('asset_&amp;_open_positions'!$C89="",'asset_&amp;_open_positions'!$J89="SWAP",'asset_&amp;_open_positions'!$J89="FUTURE",'asset_&amp;_open_positions'!$J89="CME FUTURE"),"",'asset_&amp;_open_positions'!$M89)</f>
        <v>BNB</v>
      </c>
      <c r="R89" s="42">
        <f>IF(OR('asset_&amp;_open_positions'!$C89="",'asset_&amp;_open_positions'!$J89="SWAP",'asset_&amp;_open_positions'!$J89="FUTURE",'asset_&amp;_open_positions'!$J89="CME FUTURE"),"",'asset_&amp;_open_positions'!$H89)</f>
        <v>287.81233632451398</v>
      </c>
    </row>
    <row r="90" spans="15:18" x14ac:dyDescent="0.25">
      <c r="O90" s="78" t="str">
        <f>IF('asset_&amp;_open_positions'!$C90="","",'asset_&amp;_open_positions'!$E90)</f>
        <v>BTC</v>
      </c>
      <c r="P90" s="42">
        <f>IF('asset_&amp;_open_positions'!$C90="","",'asset_&amp;_open_positions'!$H90)</f>
        <v>18869.5880552655</v>
      </c>
      <c r="Q90" s="78" t="str">
        <f>IF(OR('asset_&amp;_open_positions'!$C90="",'asset_&amp;_open_positions'!$J90="SWAP",'asset_&amp;_open_positions'!$J90="FUTURE",'asset_&amp;_open_positions'!$J90="CME FUTURE"),"",'asset_&amp;_open_positions'!$M90)</f>
        <v>BTC</v>
      </c>
      <c r="R90" s="42">
        <f>IF(OR('asset_&amp;_open_positions'!$C90="",'asset_&amp;_open_positions'!$J90="SWAP",'asset_&amp;_open_positions'!$J90="FUTURE",'asset_&amp;_open_positions'!$J90="CME FUTURE"),"",'asset_&amp;_open_positions'!$H90)</f>
        <v>18869.5880552655</v>
      </c>
    </row>
    <row r="91" spans="15:18" x14ac:dyDescent="0.25">
      <c r="O91" s="78" t="str">
        <f>IF('asset_&amp;_open_positions'!$C91="","",'asset_&amp;_open_positions'!$E91)</f>
        <v>BUSD</v>
      </c>
      <c r="P91" s="42">
        <f>IF('asset_&amp;_open_positions'!$C91="","",'asset_&amp;_open_positions'!$H91)</f>
        <v>1.00031906498534</v>
      </c>
      <c r="Q91" s="78" t="str">
        <f>IF(OR('asset_&amp;_open_positions'!$C91="",'asset_&amp;_open_positions'!$J91="SWAP",'asset_&amp;_open_positions'!$J91="FUTURE",'asset_&amp;_open_positions'!$J91="CME FUTURE"),"",'asset_&amp;_open_positions'!$M91)</f>
        <v>BUSD</v>
      </c>
      <c r="R91" s="42">
        <f>IF(OR('asset_&amp;_open_positions'!$C91="",'asset_&amp;_open_positions'!$J91="SWAP",'asset_&amp;_open_positions'!$J91="FUTURE",'asset_&amp;_open_positions'!$J91="CME FUTURE"),"",'asset_&amp;_open_positions'!$H91)</f>
        <v>1.00031906498534</v>
      </c>
    </row>
    <row r="92" spans="15:18" x14ac:dyDescent="0.25">
      <c r="O92" s="78" t="str">
        <f>IF('asset_&amp;_open_positions'!$C92="","",'asset_&amp;_open_positions'!$E92)</f>
        <v>ETC</v>
      </c>
      <c r="P92" s="42">
        <f>IF('asset_&amp;_open_positions'!$C92="","",'asset_&amp;_open_positions'!$H92)</f>
        <v>20.917758217744002</v>
      </c>
      <c r="Q92" s="78" t="str">
        <f>IF(OR('asset_&amp;_open_positions'!$C92="",'asset_&amp;_open_positions'!$J92="SWAP",'asset_&amp;_open_positions'!$J92="FUTURE",'asset_&amp;_open_positions'!$J92="CME FUTURE"),"",'asset_&amp;_open_positions'!$M92)</f>
        <v>ETC</v>
      </c>
      <c r="R92" s="42">
        <f>IF(OR('asset_&amp;_open_positions'!$C92="",'asset_&amp;_open_positions'!$J92="SWAP",'asset_&amp;_open_positions'!$J92="FUTURE",'asset_&amp;_open_positions'!$J92="CME FUTURE"),"",'asset_&amp;_open_positions'!$H92)</f>
        <v>20.917758217744002</v>
      </c>
    </row>
    <row r="93" spans="15:18" x14ac:dyDescent="0.25">
      <c r="O93" s="78" t="str">
        <f>IF('asset_&amp;_open_positions'!$C93="","",'asset_&amp;_open_positions'!$E93)</f>
        <v>ETH</v>
      </c>
      <c r="P93" s="42">
        <f>IF('asset_&amp;_open_positions'!$C93="","",'asset_&amp;_open_positions'!$H93)</f>
        <v>1417.9385231112101</v>
      </c>
      <c r="Q93" s="78" t="str">
        <f>IF(OR('asset_&amp;_open_positions'!$C93="",'asset_&amp;_open_positions'!$J93="SWAP",'asset_&amp;_open_positions'!$J93="FUTURE",'asset_&amp;_open_positions'!$J93="CME FUTURE"),"",'asset_&amp;_open_positions'!$M93)</f>
        <v>ETH</v>
      </c>
      <c r="R93" s="42">
        <f>IF(OR('asset_&amp;_open_positions'!$C93="",'asset_&amp;_open_positions'!$J93="SWAP",'asset_&amp;_open_positions'!$J93="FUTURE",'asset_&amp;_open_positions'!$J93="CME FUTURE"),"",'asset_&amp;_open_positions'!$H93)</f>
        <v>1417.9385231112101</v>
      </c>
    </row>
    <row r="94" spans="15:18" x14ac:dyDescent="0.25">
      <c r="O94" s="78" t="str">
        <f>IF('asset_&amp;_open_positions'!$C94="","",'asset_&amp;_open_positions'!$E94)</f>
        <v>USDT</v>
      </c>
      <c r="P94" s="42">
        <f>IF('asset_&amp;_open_positions'!$C94="","",'asset_&amp;_open_positions'!$H94)</f>
        <v>1.00009204918451</v>
      </c>
      <c r="Q94" s="78" t="str">
        <f>IF(OR('asset_&amp;_open_positions'!$C94="",'asset_&amp;_open_positions'!$J94="SWAP",'asset_&amp;_open_positions'!$J94="FUTURE",'asset_&amp;_open_positions'!$J94="CME FUTURE"),"",'asset_&amp;_open_positions'!$M94)</f>
        <v>USDT</v>
      </c>
      <c r="R94" s="42">
        <f>IF(OR('asset_&amp;_open_positions'!$C94="",'asset_&amp;_open_positions'!$J94="SWAP",'asset_&amp;_open_positions'!$J94="FUTURE",'asset_&amp;_open_positions'!$J94="CME FUTURE"),"",'asset_&amp;_open_positions'!$H94)</f>
        <v>1.00009204918451</v>
      </c>
    </row>
    <row r="95" spans="15:18" x14ac:dyDescent="0.25">
      <c r="O95" s="78" t="str">
        <f>IF('asset_&amp;_open_positions'!$C95="","",'asset_&amp;_open_positions'!$E95)</f>
        <v>BNB</v>
      </c>
      <c r="P95" s="42">
        <f>IF('asset_&amp;_open_positions'!$C95="","",'asset_&amp;_open_positions'!$H95)</f>
        <v>287.81233632451398</v>
      </c>
      <c r="Q95" s="78" t="str">
        <f>IF(OR('asset_&amp;_open_positions'!$C95="",'asset_&amp;_open_positions'!$J95="SWAP",'asset_&amp;_open_positions'!$J95="FUTURE",'asset_&amp;_open_positions'!$J95="CME FUTURE"),"",'asset_&amp;_open_positions'!$M95)</f>
        <v>BNB</v>
      </c>
      <c r="R95" s="42">
        <f>IF(OR('asset_&amp;_open_positions'!$C95="",'asset_&amp;_open_positions'!$J95="SWAP",'asset_&amp;_open_positions'!$J95="FUTURE",'asset_&amp;_open_positions'!$J95="CME FUTURE"),"",'asset_&amp;_open_positions'!$H95)</f>
        <v>287.81233632451398</v>
      </c>
    </row>
    <row r="96" spans="15:18" x14ac:dyDescent="0.25">
      <c r="O96" s="78" t="str">
        <f>IF('asset_&amp;_open_positions'!$C96="","",'asset_&amp;_open_positions'!$E96)</f>
        <v>BUSD</v>
      </c>
      <c r="P96" s="42">
        <f>IF('asset_&amp;_open_positions'!$C96="","",'asset_&amp;_open_positions'!$H96)</f>
        <v>1.00031906498534</v>
      </c>
      <c r="Q96" s="78" t="str">
        <f>IF(OR('asset_&amp;_open_positions'!$C96="",'asset_&amp;_open_positions'!$J96="SWAP",'asset_&amp;_open_positions'!$J96="FUTURE",'asset_&amp;_open_positions'!$J96="CME FUTURE"),"",'asset_&amp;_open_positions'!$M96)</f>
        <v>BUSD</v>
      </c>
      <c r="R96" s="42">
        <f>IF(OR('asset_&amp;_open_positions'!$C96="",'asset_&amp;_open_positions'!$J96="SWAP",'asset_&amp;_open_positions'!$J96="FUTURE",'asset_&amp;_open_positions'!$J96="CME FUTURE"),"",'asset_&amp;_open_positions'!$H96)</f>
        <v>1.00031906498534</v>
      </c>
    </row>
    <row r="97" spans="15:18" x14ac:dyDescent="0.25">
      <c r="O97" s="78" t="str">
        <f>IF('asset_&amp;_open_positions'!$C97="","",'asset_&amp;_open_positions'!$E97)</f>
        <v>USDT</v>
      </c>
      <c r="P97" s="42">
        <f>IF('asset_&amp;_open_positions'!$C97="","",'asset_&amp;_open_positions'!$H97)</f>
        <v>1.00009204918451</v>
      </c>
      <c r="Q97" s="78" t="str">
        <f>IF(OR('asset_&amp;_open_positions'!$C97="",'asset_&amp;_open_positions'!$J97="SWAP",'asset_&amp;_open_positions'!$J97="FUTURE",'asset_&amp;_open_positions'!$J97="CME FUTURE"),"",'asset_&amp;_open_positions'!$M97)</f>
        <v>USDT</v>
      </c>
      <c r="R97" s="42">
        <f>IF(OR('asset_&amp;_open_positions'!$C97="",'asset_&amp;_open_positions'!$J97="SWAP",'asset_&amp;_open_positions'!$J97="FUTURE",'asset_&amp;_open_positions'!$J97="CME FUTURE"),"",'asset_&amp;_open_positions'!$H97)</f>
        <v>1.00009204918451</v>
      </c>
    </row>
    <row r="98" spans="15:18" x14ac:dyDescent="0.25">
      <c r="O98" s="78" t="str">
        <f>IF('asset_&amp;_open_positions'!$C98="","",'asset_&amp;_open_positions'!$E98)</f>
        <v>USDT</v>
      </c>
      <c r="P98" s="42">
        <f>IF('asset_&amp;_open_positions'!$C98="","",'asset_&amp;_open_positions'!$H98)</f>
        <v>1.00009204918451</v>
      </c>
      <c r="Q98" s="78" t="str">
        <f>IF(OR('asset_&amp;_open_positions'!$C98="",'asset_&amp;_open_positions'!$J98="SWAP",'asset_&amp;_open_positions'!$J98="FUTURE",'asset_&amp;_open_positions'!$J98="CME FUTURE"),"",'asset_&amp;_open_positions'!$M98)</f>
        <v>USDT</v>
      </c>
      <c r="R98" s="42">
        <f>IF(OR('asset_&amp;_open_positions'!$C98="",'asset_&amp;_open_positions'!$J98="SWAP",'asset_&amp;_open_positions'!$J98="FUTURE",'asset_&amp;_open_positions'!$J98="CME FUTURE"),"",'asset_&amp;_open_positions'!$H98)</f>
        <v>1.00009204918451</v>
      </c>
    </row>
    <row r="99" spans="15:18" x14ac:dyDescent="0.25">
      <c r="O99" s="78" t="str">
        <f>IF('asset_&amp;_open_positions'!$C99="","",'asset_&amp;_open_positions'!$E99)</f>
        <v>USDT</v>
      </c>
      <c r="P99" s="42">
        <f>IF('asset_&amp;_open_positions'!$C99="","",'asset_&amp;_open_positions'!$H99)</f>
        <v>1.00009204918451</v>
      </c>
      <c r="Q99" s="78" t="str">
        <f>IF(OR('asset_&amp;_open_positions'!$C99="",'asset_&amp;_open_positions'!$J99="SWAP",'asset_&amp;_open_positions'!$J99="FUTURE",'asset_&amp;_open_positions'!$J99="CME FUTURE"),"",'asset_&amp;_open_positions'!$M99)</f>
        <v>USDT</v>
      </c>
      <c r="R99" s="42">
        <f>IF(OR('asset_&amp;_open_positions'!$C99="",'asset_&amp;_open_positions'!$J99="SWAP",'asset_&amp;_open_positions'!$J99="FUTURE",'asset_&amp;_open_positions'!$J99="CME FUTURE"),"",'asset_&amp;_open_positions'!$H99)</f>
        <v>1.00009204918451</v>
      </c>
    </row>
    <row r="100" spans="15:18" x14ac:dyDescent="0.25">
      <c r="O100" s="78" t="str">
        <f>IF('asset_&amp;_open_positions'!$C100="","",'asset_&amp;_open_positions'!$E100)</f>
        <v>USDT</v>
      </c>
      <c r="P100" s="42">
        <f>IF('asset_&amp;_open_positions'!$C100="","",'asset_&amp;_open_positions'!$H100)</f>
        <v>1.00009204918451</v>
      </c>
      <c r="Q100" s="78" t="str">
        <f>IF(OR('asset_&amp;_open_positions'!$C100="",'asset_&amp;_open_positions'!$J100="SWAP",'asset_&amp;_open_positions'!$J100="FUTURE",'asset_&amp;_open_positions'!$J100="CME FUTURE"),"",'asset_&amp;_open_positions'!$M100)</f>
        <v>USDT</v>
      </c>
      <c r="R100" s="42">
        <f>IF(OR('asset_&amp;_open_positions'!$C100="",'asset_&amp;_open_positions'!$J100="SWAP",'asset_&amp;_open_positions'!$J100="FUTURE",'asset_&amp;_open_positions'!$J100="CME FUTURE"),"",'asset_&amp;_open_positions'!$H100)</f>
        <v>1.00009204918451</v>
      </c>
    </row>
    <row r="101" spans="15:18" x14ac:dyDescent="0.25">
      <c r="O101" s="78" t="str">
        <f>IF('asset_&amp;_open_positions'!$C101="","",'asset_&amp;_open_positions'!$E101)</f>
        <v>BTC</v>
      </c>
      <c r="P101" s="42">
        <f>IF('asset_&amp;_open_positions'!$C101="","",'asset_&amp;_open_positions'!$H101)</f>
        <v>18869.5880552655</v>
      </c>
      <c r="Q101" s="78" t="str">
        <f>IF(OR('asset_&amp;_open_positions'!$C101="",'asset_&amp;_open_positions'!$J101="SWAP",'asset_&amp;_open_positions'!$J101="FUTURE",'asset_&amp;_open_positions'!$J101="CME FUTURE"),"",'asset_&amp;_open_positions'!$M101)</f>
        <v>BTC</v>
      </c>
      <c r="R101" s="42">
        <f>IF(OR('asset_&amp;_open_positions'!$C101="",'asset_&amp;_open_positions'!$J101="SWAP",'asset_&amp;_open_positions'!$J101="FUTURE",'asset_&amp;_open_positions'!$J101="CME FUTURE"),"",'asset_&amp;_open_positions'!$H101)</f>
        <v>18869.5880552655</v>
      </c>
    </row>
    <row r="102" spans="15:18" x14ac:dyDescent="0.25">
      <c r="O102" s="78" t="str">
        <f>IF('asset_&amp;_open_positions'!$C102="","",'asset_&amp;_open_positions'!$E102)</f>
        <v>ETH</v>
      </c>
      <c r="P102" s="42">
        <f>IF('asset_&amp;_open_positions'!$C102="","",'asset_&amp;_open_positions'!$H102)</f>
        <v>1417.9385231112101</v>
      </c>
      <c r="Q102" s="78" t="str">
        <f>IF(OR('asset_&amp;_open_positions'!$C102="",'asset_&amp;_open_positions'!$J102="SWAP",'asset_&amp;_open_positions'!$J102="FUTURE",'asset_&amp;_open_positions'!$J102="CME FUTURE"),"",'asset_&amp;_open_positions'!$M102)</f>
        <v>ETH</v>
      </c>
      <c r="R102" s="42">
        <f>IF(OR('asset_&amp;_open_positions'!$C102="",'asset_&amp;_open_positions'!$J102="SWAP",'asset_&amp;_open_positions'!$J102="FUTURE",'asset_&amp;_open_positions'!$J102="CME FUTURE"),"",'asset_&amp;_open_positions'!$H102)</f>
        <v>1417.9385231112101</v>
      </c>
    </row>
    <row r="103" spans="15:18" x14ac:dyDescent="0.25">
      <c r="O103" s="78" t="str">
        <f>IF('asset_&amp;_open_positions'!$C103="","",'asset_&amp;_open_positions'!$E103)</f>
        <v>ETHW</v>
      </c>
      <c r="P103" s="42">
        <f>IF('asset_&amp;_open_positions'!$C103="","",'asset_&amp;_open_positions'!$H103)</f>
        <v>3.43409341167265</v>
      </c>
      <c r="Q103" s="78" t="str">
        <f>IF(OR('asset_&amp;_open_positions'!$C103="",'asset_&amp;_open_positions'!$J103="SWAP",'asset_&amp;_open_positions'!$J103="FUTURE",'asset_&amp;_open_positions'!$J103="CME FUTURE"),"",'asset_&amp;_open_positions'!$M103)</f>
        <v>ETHW</v>
      </c>
      <c r="R103" s="42">
        <f>IF(OR('asset_&amp;_open_positions'!$C103="",'asset_&amp;_open_positions'!$J103="SWAP",'asset_&amp;_open_positions'!$J103="FUTURE",'asset_&amp;_open_positions'!$J103="CME FUTURE"),"",'asset_&amp;_open_positions'!$H103)</f>
        <v>3.43409341167265</v>
      </c>
    </row>
    <row r="104" spans="15:18" x14ac:dyDescent="0.25">
      <c r="O104" s="78" t="str">
        <f>IF('asset_&amp;_open_positions'!$C104="","",'asset_&amp;_open_positions'!$E104)</f>
        <v>USD</v>
      </c>
      <c r="P104" s="42">
        <f>IF('asset_&amp;_open_positions'!$C104="","",'asset_&amp;_open_positions'!$H104)</f>
        <v>1</v>
      </c>
      <c r="Q104" s="78" t="str">
        <f>IF(OR('asset_&amp;_open_positions'!$C104="",'asset_&amp;_open_positions'!$J104="SWAP",'asset_&amp;_open_positions'!$J104="FUTURE",'asset_&amp;_open_positions'!$J104="CME FUTURE"),"",'asset_&amp;_open_positions'!$M104)</f>
        <v>USD</v>
      </c>
      <c r="R104" s="42">
        <f>IF(OR('asset_&amp;_open_positions'!$C104="",'asset_&amp;_open_positions'!$J104="SWAP",'asset_&amp;_open_positions'!$J104="FUTURE",'asset_&amp;_open_positions'!$J104="CME FUTURE"),"",'asset_&amp;_open_positions'!$H104)</f>
        <v>1</v>
      </c>
    </row>
    <row r="105" spans="15:18" x14ac:dyDescent="0.25">
      <c r="O105" s="78" t="str">
        <f>IF('asset_&amp;_open_positions'!$C105="","",'asset_&amp;_open_positions'!$E105)</f>
        <v>UST</v>
      </c>
      <c r="P105" s="42">
        <f>IF('asset_&amp;_open_positions'!$C105="","",'asset_&amp;_open_positions'!$H105)</f>
        <v>0</v>
      </c>
      <c r="Q105" s="78" t="str">
        <f>IF(OR('asset_&amp;_open_positions'!$C105="",'asset_&amp;_open_positions'!$J105="SWAP",'asset_&amp;_open_positions'!$J105="FUTURE",'asset_&amp;_open_positions'!$J105="CME FUTURE"),"",'asset_&amp;_open_positions'!$M105)</f>
        <v>UST</v>
      </c>
      <c r="R105" s="42">
        <f>IF(OR('asset_&amp;_open_positions'!$C105="",'asset_&amp;_open_positions'!$J105="SWAP",'asset_&amp;_open_positions'!$J105="FUTURE",'asset_&amp;_open_positions'!$J105="CME FUTURE"),"",'asset_&amp;_open_positions'!$H105)</f>
        <v>0</v>
      </c>
    </row>
    <row r="106" spans="15:18" x14ac:dyDescent="0.25">
      <c r="O106" s="78" t="str">
        <f>IF('asset_&amp;_open_positions'!$C106="","",'asset_&amp;_open_positions'!$E106)</f>
        <v>BCH</v>
      </c>
      <c r="P106" s="42">
        <f>IF('asset_&amp;_open_positions'!$C106="","",'asset_&amp;_open_positions'!$H106)</f>
        <v>119.710466137412</v>
      </c>
      <c r="Q106" s="78" t="str">
        <f>IF(OR('asset_&amp;_open_positions'!$C106="",'asset_&amp;_open_positions'!$J106="SWAP",'asset_&amp;_open_positions'!$J106="FUTURE",'asset_&amp;_open_positions'!$J106="CME FUTURE"),"",'asset_&amp;_open_positions'!$M106)</f>
        <v>BCH</v>
      </c>
      <c r="R106" s="42">
        <f>IF(OR('asset_&amp;_open_positions'!$C106="",'asset_&amp;_open_positions'!$J106="SWAP",'asset_&amp;_open_positions'!$J106="FUTURE",'asset_&amp;_open_positions'!$J106="CME FUTURE"),"",'asset_&amp;_open_positions'!$H106)</f>
        <v>119.710466137412</v>
      </c>
    </row>
    <row r="107" spans="15:18" x14ac:dyDescent="0.25">
      <c r="O107" s="78" t="str">
        <f>IF('asset_&amp;_open_positions'!$C107="","",'asset_&amp;_open_positions'!$E107)</f>
        <v>BTC</v>
      </c>
      <c r="P107" s="42">
        <f>IF('asset_&amp;_open_positions'!$C107="","",'asset_&amp;_open_positions'!$H107)</f>
        <v>18869.5880552655</v>
      </c>
      <c r="Q107" s="78" t="str">
        <f>IF(OR('asset_&amp;_open_positions'!$C107="",'asset_&amp;_open_positions'!$J107="SWAP",'asset_&amp;_open_positions'!$J107="FUTURE",'asset_&amp;_open_positions'!$J107="CME FUTURE"),"",'asset_&amp;_open_positions'!$M107)</f>
        <v>BTC</v>
      </c>
      <c r="R107" s="42">
        <f>IF(OR('asset_&amp;_open_positions'!$C107="",'asset_&amp;_open_positions'!$J107="SWAP",'asset_&amp;_open_positions'!$J107="FUTURE",'asset_&amp;_open_positions'!$J107="CME FUTURE"),"",'asset_&amp;_open_positions'!$H107)</f>
        <v>18869.5880552655</v>
      </c>
    </row>
    <row r="108" spans="15:18" x14ac:dyDescent="0.25">
      <c r="O108" s="78" t="str">
        <f>IF('asset_&amp;_open_positions'!$C108="","",'asset_&amp;_open_positions'!$E108)</f>
        <v>ETH</v>
      </c>
      <c r="P108" s="42">
        <f>IF('asset_&amp;_open_positions'!$C108="","",'asset_&amp;_open_positions'!$H108)</f>
        <v>1417.9385231112101</v>
      </c>
      <c r="Q108" s="78" t="str">
        <f>IF(OR('asset_&amp;_open_positions'!$C108="",'asset_&amp;_open_positions'!$J108="SWAP",'asset_&amp;_open_positions'!$J108="FUTURE",'asset_&amp;_open_positions'!$J108="CME FUTURE"),"",'asset_&amp;_open_positions'!$M108)</f>
        <v>ETH</v>
      </c>
      <c r="R108" s="42">
        <f>IF(OR('asset_&amp;_open_positions'!$C108="",'asset_&amp;_open_positions'!$J108="SWAP",'asset_&amp;_open_positions'!$J108="FUTURE",'asset_&amp;_open_positions'!$J108="CME FUTURE"),"",'asset_&amp;_open_positions'!$H108)</f>
        <v>1417.9385231112101</v>
      </c>
    </row>
    <row r="109" spans="15:18" x14ac:dyDescent="0.25">
      <c r="O109" s="78" t="str">
        <f>IF('asset_&amp;_open_positions'!$C109="","",'asset_&amp;_open_positions'!$E109)</f>
        <v>FLR</v>
      </c>
      <c r="P109" s="42">
        <f>IF('asset_&amp;_open_positions'!$C109="","",'asset_&amp;_open_positions'!$H109)</f>
        <v>4.4010915811990299E-2</v>
      </c>
      <c r="Q109" s="78" t="str">
        <f>IF(OR('asset_&amp;_open_positions'!$C109="",'asset_&amp;_open_positions'!$J109="SWAP",'asset_&amp;_open_positions'!$J109="FUTURE",'asset_&amp;_open_positions'!$J109="CME FUTURE"),"",'asset_&amp;_open_positions'!$M109)</f>
        <v>FLR</v>
      </c>
      <c r="R109" s="42">
        <f>IF(OR('asset_&amp;_open_positions'!$C109="",'asset_&amp;_open_positions'!$J109="SWAP",'asset_&amp;_open_positions'!$J109="FUTURE",'asset_&amp;_open_positions'!$J109="CME FUTURE"),"",'asset_&amp;_open_positions'!$H109)</f>
        <v>4.4010915811990299E-2</v>
      </c>
    </row>
    <row r="110" spans="15:18" x14ac:dyDescent="0.25">
      <c r="O110" s="78" t="str">
        <f>IF('asset_&amp;_open_positions'!$C110="","",'asset_&amp;_open_positions'!$E110)</f>
        <v>SGB</v>
      </c>
      <c r="P110" s="42">
        <f>IF('asset_&amp;_open_positions'!$C110="","",'asset_&amp;_open_positions'!$H110)</f>
        <v>1.17072282520841E-2</v>
      </c>
      <c r="Q110" s="78" t="str">
        <f>IF(OR('asset_&amp;_open_positions'!$C110="",'asset_&amp;_open_positions'!$J110="SWAP",'asset_&amp;_open_positions'!$J110="FUTURE",'asset_&amp;_open_positions'!$J110="CME FUTURE"),"",'asset_&amp;_open_positions'!$M110)</f>
        <v>SGB</v>
      </c>
      <c r="R110" s="42">
        <f>IF(OR('asset_&amp;_open_positions'!$C110="",'asset_&amp;_open_positions'!$J110="SWAP",'asset_&amp;_open_positions'!$J110="FUTURE",'asset_&amp;_open_positions'!$J110="CME FUTURE"),"",'asset_&amp;_open_positions'!$H110)</f>
        <v>1.17072282520841E-2</v>
      </c>
    </row>
    <row r="111" spans="15:18" x14ac:dyDescent="0.25">
      <c r="O111" s="78" t="str">
        <f>IF('asset_&amp;_open_positions'!$C111="","",'asset_&amp;_open_positions'!$E111)</f>
        <v>USD</v>
      </c>
      <c r="P111" s="42">
        <f>IF('asset_&amp;_open_positions'!$C111="","",'asset_&amp;_open_positions'!$H111)</f>
        <v>1</v>
      </c>
      <c r="Q111" s="78" t="str">
        <f>IF(OR('asset_&amp;_open_positions'!$C111="",'asset_&amp;_open_positions'!$J111="SWAP",'asset_&amp;_open_positions'!$J111="FUTURE",'asset_&amp;_open_positions'!$J111="CME FUTURE"),"",'asset_&amp;_open_positions'!$M111)</f>
        <v>USD</v>
      </c>
      <c r="R111" s="42">
        <f>IF(OR('asset_&amp;_open_positions'!$C111="",'asset_&amp;_open_positions'!$J111="SWAP",'asset_&amp;_open_positions'!$J111="FUTURE",'asset_&amp;_open_positions'!$J111="CME FUTURE"),"",'asset_&amp;_open_positions'!$H111)</f>
        <v>1</v>
      </c>
    </row>
    <row r="112" spans="15:18" x14ac:dyDescent="0.25">
      <c r="O112" s="78" t="str">
        <f>IF('asset_&amp;_open_positions'!$C112="","",'asset_&amp;_open_positions'!$E112)</f>
        <v>XRP</v>
      </c>
      <c r="P112" s="42">
        <f>IF('asset_&amp;_open_positions'!$C112="","",'asset_&amp;_open_positions'!$H112)</f>
        <v>0.37519714224190098</v>
      </c>
      <c r="Q112" s="78" t="str">
        <f>IF(OR('asset_&amp;_open_positions'!$C112="",'asset_&amp;_open_positions'!$J112="SWAP",'asset_&amp;_open_positions'!$J112="FUTURE",'asset_&amp;_open_positions'!$J112="CME FUTURE"),"",'asset_&amp;_open_positions'!$M112)</f>
        <v>XRP</v>
      </c>
      <c r="R112" s="42">
        <f>IF(OR('asset_&amp;_open_positions'!$C112="",'asset_&amp;_open_positions'!$J112="SWAP",'asset_&amp;_open_positions'!$J112="FUTURE",'asset_&amp;_open_positions'!$J112="CME FUTURE"),"",'asset_&amp;_open_positions'!$H112)</f>
        <v>0.37519714224190098</v>
      </c>
    </row>
    <row r="113" spans="15:18" x14ac:dyDescent="0.25">
      <c r="O113" s="78" t="str">
        <f>IF('asset_&amp;_open_positions'!$C113="","",'asset_&amp;_open_positions'!$E113)</f>
        <v>BTC</v>
      </c>
      <c r="P113" s="42">
        <f>IF('asset_&amp;_open_positions'!$C113="","",'asset_&amp;_open_positions'!$H113)</f>
        <v>18869.5880552655</v>
      </c>
      <c r="Q113" s="78" t="str">
        <f>IF(OR('asset_&amp;_open_positions'!$C113="",'asset_&amp;_open_positions'!$J113="SWAP",'asset_&amp;_open_positions'!$J113="FUTURE",'asset_&amp;_open_positions'!$J113="CME FUTURE"),"",'asset_&amp;_open_positions'!$M113)</f>
        <v>BTC</v>
      </c>
      <c r="R113" s="42">
        <f>IF(OR('asset_&amp;_open_positions'!$C113="",'asset_&amp;_open_positions'!$J113="SWAP",'asset_&amp;_open_positions'!$J113="FUTURE",'asset_&amp;_open_positions'!$J113="CME FUTURE"),"",'asset_&amp;_open_positions'!$H113)</f>
        <v>18869.5880552655</v>
      </c>
    </row>
    <row r="114" spans="15:18" x14ac:dyDescent="0.25">
      <c r="O114" s="78" t="str">
        <f>IF('asset_&amp;_open_positions'!$C114="","",'asset_&amp;_open_positions'!$E114)</f>
        <v>USD</v>
      </c>
      <c r="P114" s="42">
        <f>IF('asset_&amp;_open_positions'!$C114="","",'asset_&amp;_open_positions'!$H114)</f>
        <v>1</v>
      </c>
      <c r="Q114" s="78" t="str">
        <f>IF(OR('asset_&amp;_open_positions'!$C114="",'asset_&amp;_open_positions'!$J114="SWAP",'asset_&amp;_open_positions'!$J114="FUTURE",'asset_&amp;_open_positions'!$J114="CME FUTURE"),"",'asset_&amp;_open_positions'!$M114)</f>
        <v>USD</v>
      </c>
      <c r="R114" s="42">
        <f>IF(OR('asset_&amp;_open_positions'!$C114="",'asset_&amp;_open_positions'!$J114="SWAP",'asset_&amp;_open_positions'!$J114="FUTURE",'asset_&amp;_open_positions'!$J114="CME FUTURE"),"",'asset_&amp;_open_positions'!$H114)</f>
        <v>1</v>
      </c>
    </row>
    <row r="115" spans="15:18" x14ac:dyDescent="0.25">
      <c r="O115" s="78" t="str">
        <f>IF('asset_&amp;_open_positions'!$C115="","",'asset_&amp;_open_positions'!$E115)</f>
        <v>EOS</v>
      </c>
      <c r="P115" s="42">
        <f>IF('asset_&amp;_open_positions'!$C115="","",'asset_&amp;_open_positions'!$H115)</f>
        <v>0.990242476806942</v>
      </c>
      <c r="Q115" s="78" t="str">
        <f>IF(OR('asset_&amp;_open_positions'!$C115="",'asset_&amp;_open_positions'!$J115="SWAP",'asset_&amp;_open_positions'!$J115="FUTURE",'asset_&amp;_open_positions'!$J115="CME FUTURE"),"",'asset_&amp;_open_positions'!$M115)</f>
        <v>EOS</v>
      </c>
      <c r="R115" s="42">
        <f>IF(OR('asset_&amp;_open_positions'!$C115="",'asset_&amp;_open_positions'!$J115="SWAP",'asset_&amp;_open_positions'!$J115="FUTURE",'asset_&amp;_open_positions'!$J115="CME FUTURE"),"",'asset_&amp;_open_positions'!$H115)</f>
        <v>0.990242476806942</v>
      </c>
    </row>
    <row r="116" spans="15:18" x14ac:dyDescent="0.25">
      <c r="O116" s="78" t="str">
        <f>IF('asset_&amp;_open_positions'!$C116="","",'asset_&amp;_open_positions'!$E116)</f>
        <v>LINK</v>
      </c>
      <c r="P116" s="42">
        <f>IF('asset_&amp;_open_positions'!$C116="","",'asset_&amp;_open_positions'!$H116)</f>
        <v>6.38133155243787</v>
      </c>
      <c r="Q116" s="78" t="str">
        <f>IF(OR('asset_&amp;_open_positions'!$C116="",'asset_&amp;_open_positions'!$J116="SWAP",'asset_&amp;_open_positions'!$J116="FUTURE",'asset_&amp;_open_positions'!$J116="CME FUTURE"),"",'asset_&amp;_open_positions'!$M116)</f>
        <v>LINK</v>
      </c>
      <c r="R116" s="42">
        <f>IF(OR('asset_&amp;_open_positions'!$C116="",'asset_&amp;_open_positions'!$J116="SWAP",'asset_&amp;_open_positions'!$J116="FUTURE",'asset_&amp;_open_positions'!$J116="CME FUTURE"),"",'asset_&amp;_open_positions'!$H116)</f>
        <v>6.38133155243787</v>
      </c>
    </row>
    <row r="117" spans="15:18" x14ac:dyDescent="0.25">
      <c r="O117" s="78" t="str">
        <f>IF('asset_&amp;_open_positions'!$C117="","",'asset_&amp;_open_positions'!$E117)</f>
        <v>LTC</v>
      </c>
      <c r="P117" s="42">
        <f>IF('asset_&amp;_open_positions'!$C117="","",'asset_&amp;_open_positions'!$H117)</f>
        <v>85.964229450756093</v>
      </c>
      <c r="Q117" s="78" t="str">
        <f>IF(OR('asset_&amp;_open_positions'!$C117="",'asset_&amp;_open_positions'!$J117="SWAP",'asset_&amp;_open_positions'!$J117="FUTURE",'asset_&amp;_open_positions'!$J117="CME FUTURE"),"",'asset_&amp;_open_positions'!$M117)</f>
        <v>LTC</v>
      </c>
      <c r="R117" s="42">
        <f>IF(OR('asset_&amp;_open_positions'!$C117="",'asset_&amp;_open_positions'!$J117="SWAP",'asset_&amp;_open_positions'!$J117="FUTURE",'asset_&amp;_open_positions'!$J117="CME FUTURE"),"",'asset_&amp;_open_positions'!$H117)</f>
        <v>85.964229450756093</v>
      </c>
    </row>
    <row r="118" spans="15:18" x14ac:dyDescent="0.25">
      <c r="O118" s="78" t="str">
        <f>IF('asset_&amp;_open_positions'!$C118="","",'asset_&amp;_open_positions'!$E118)</f>
        <v>USD</v>
      </c>
      <c r="P118" s="42">
        <f>IF('asset_&amp;_open_positions'!$C118="","",'asset_&amp;_open_positions'!$H118)</f>
        <v>1</v>
      </c>
      <c r="Q118" s="78" t="str">
        <f>IF(OR('asset_&amp;_open_positions'!$C118="",'asset_&amp;_open_positions'!$J118="SWAP",'asset_&amp;_open_positions'!$J118="FUTURE",'asset_&amp;_open_positions'!$J118="CME FUTURE"),"",'asset_&amp;_open_positions'!$M118)</f>
        <v>USD</v>
      </c>
      <c r="R118" s="42">
        <f>IF(OR('asset_&amp;_open_positions'!$C118="",'asset_&amp;_open_positions'!$J118="SWAP",'asset_&amp;_open_positions'!$J118="FUTURE",'asset_&amp;_open_positions'!$J118="CME FUTURE"),"",'asset_&amp;_open_positions'!$H118)</f>
        <v>1</v>
      </c>
    </row>
    <row r="119" spans="15:18" x14ac:dyDescent="0.25">
      <c r="O119" s="78" t="str">
        <f>IF('asset_&amp;_open_positions'!$C119="","",'asset_&amp;_open_positions'!$E119)</f>
        <v>ETH</v>
      </c>
      <c r="P119" s="42">
        <f>IF('asset_&amp;_open_positions'!$C119="","",'asset_&amp;_open_positions'!$H119)</f>
        <v>1417.9385231112101</v>
      </c>
      <c r="Q119" s="78" t="str">
        <f>IF(OR('asset_&amp;_open_positions'!$C119="",'asset_&amp;_open_positions'!$J119="SWAP",'asset_&amp;_open_positions'!$J119="FUTURE",'asset_&amp;_open_positions'!$J119="CME FUTURE"),"",'asset_&amp;_open_positions'!$M119)</f>
        <v>ETH</v>
      </c>
      <c r="R119" s="42">
        <f>IF(OR('asset_&amp;_open_positions'!$C119="",'asset_&amp;_open_positions'!$J119="SWAP",'asset_&amp;_open_positions'!$J119="FUTURE",'asset_&amp;_open_positions'!$J119="CME FUTURE"),"",'asset_&amp;_open_positions'!$H119)</f>
        <v>1417.9385231112101</v>
      </c>
    </row>
    <row r="120" spans="15:18" x14ac:dyDescent="0.25">
      <c r="O120" s="78" t="str">
        <f>IF('asset_&amp;_open_positions'!$C120="","",'asset_&amp;_open_positions'!$E120)</f>
        <v>USD</v>
      </c>
      <c r="P120" s="42">
        <f>IF('asset_&amp;_open_positions'!$C120="","",'asset_&amp;_open_positions'!$H120)</f>
        <v>1</v>
      </c>
      <c r="Q120" s="78" t="str">
        <f>IF(OR('asset_&amp;_open_positions'!$C120="",'asset_&amp;_open_positions'!$J120="SWAP",'asset_&amp;_open_positions'!$J120="FUTURE",'asset_&amp;_open_positions'!$J120="CME FUTURE"),"",'asset_&amp;_open_positions'!$M120)</f>
        <v>USD</v>
      </c>
      <c r="R120" s="42">
        <f>IF(OR('asset_&amp;_open_positions'!$C120="",'asset_&amp;_open_positions'!$J120="SWAP",'asset_&amp;_open_positions'!$J120="FUTURE",'asset_&amp;_open_positions'!$J120="CME FUTURE"),"",'asset_&amp;_open_positions'!$H120)</f>
        <v>1</v>
      </c>
    </row>
    <row r="121" spans="15:18" x14ac:dyDescent="0.25">
      <c r="O121" s="78" t="str">
        <f>IF('asset_&amp;_open_positions'!$C121="","",'asset_&amp;_open_positions'!$E121)</f>
        <v>BTC</v>
      </c>
      <c r="P121" s="42">
        <f>IF('asset_&amp;_open_positions'!$C121="","",'asset_&amp;_open_positions'!$H121)</f>
        <v>18869.5880552655</v>
      </c>
      <c r="Q121" s="78" t="str">
        <f>IF(OR('asset_&amp;_open_positions'!$C121="",'asset_&amp;_open_positions'!$J121="SWAP",'asset_&amp;_open_positions'!$J121="FUTURE",'asset_&amp;_open_positions'!$J121="CME FUTURE"),"",'asset_&amp;_open_positions'!$M121)</f>
        <v>BTC</v>
      </c>
      <c r="R121" s="42">
        <f>IF(OR('asset_&amp;_open_positions'!$C121="",'asset_&amp;_open_positions'!$J121="SWAP",'asset_&amp;_open_positions'!$J121="FUTURE",'asset_&amp;_open_positions'!$J121="CME FUTURE"),"",'asset_&amp;_open_positions'!$H121)</f>
        <v>18869.5880552655</v>
      </c>
    </row>
    <row r="122" spans="15:18" x14ac:dyDescent="0.25">
      <c r="O122" s="78" t="str">
        <f>IF('asset_&amp;_open_positions'!$C122="","",'asset_&amp;_open_positions'!$E122)</f>
        <v>ETH</v>
      </c>
      <c r="P122" s="42">
        <f>IF('asset_&amp;_open_positions'!$C122="","",'asset_&amp;_open_positions'!$H122)</f>
        <v>1417.9385231112101</v>
      </c>
      <c r="Q122" s="78" t="str">
        <f>IF(OR('asset_&amp;_open_positions'!$C122="",'asset_&amp;_open_positions'!$J122="SWAP",'asset_&amp;_open_positions'!$J122="FUTURE",'asset_&amp;_open_positions'!$J122="CME FUTURE"),"",'asset_&amp;_open_positions'!$M122)</f>
        <v>ETH</v>
      </c>
      <c r="R122" s="42">
        <f>IF(OR('asset_&amp;_open_positions'!$C122="",'asset_&amp;_open_positions'!$J122="SWAP",'asset_&amp;_open_positions'!$J122="FUTURE",'asset_&amp;_open_positions'!$J122="CME FUTURE"),"",'asset_&amp;_open_positions'!$H122)</f>
        <v>1417.9385231112101</v>
      </c>
    </row>
    <row r="123" spans="15:18" x14ac:dyDescent="0.25">
      <c r="O123" s="78" t="str">
        <f>IF('asset_&amp;_open_positions'!$C123="","",'asset_&amp;_open_positions'!$E123)</f>
        <v>USDC</v>
      </c>
      <c r="P123" s="42">
        <f>IF('asset_&amp;_open_positions'!$C123="","",'asset_&amp;_open_positions'!$H123)</f>
        <v>1.0000721496274001</v>
      </c>
      <c r="Q123" s="78" t="str">
        <f>IF(OR('asset_&amp;_open_positions'!$C123="",'asset_&amp;_open_positions'!$J123="SWAP",'asset_&amp;_open_positions'!$J123="FUTURE",'asset_&amp;_open_positions'!$J123="CME FUTURE"),"",'asset_&amp;_open_positions'!$M123)</f>
        <v>USDC</v>
      </c>
      <c r="R123" s="42">
        <f>IF(OR('asset_&amp;_open_positions'!$C123="",'asset_&amp;_open_positions'!$J123="SWAP",'asset_&amp;_open_positions'!$J123="FUTURE",'asset_&amp;_open_positions'!$J123="CME FUTURE"),"",'asset_&amp;_open_positions'!$H123)</f>
        <v>1.0000721496274001</v>
      </c>
    </row>
    <row r="124" spans="15:18" x14ac:dyDescent="0.25">
      <c r="O124" s="78" t="str">
        <f>IF('asset_&amp;_open_positions'!$C124="","",'asset_&amp;_open_positions'!$E124)</f>
        <v>CRV</v>
      </c>
      <c r="P124" s="42">
        <f>IF('asset_&amp;_open_positions'!$C124="","",'asset_&amp;_open_positions'!$H124)</f>
        <v>0.68911612905516495</v>
      </c>
      <c r="Q124" s="78" t="str">
        <f>IF(OR('asset_&amp;_open_positions'!$C124="",'asset_&amp;_open_positions'!$J124="SWAP",'asset_&amp;_open_positions'!$J124="FUTURE",'asset_&amp;_open_positions'!$J124="CME FUTURE"),"",'asset_&amp;_open_positions'!$M124)</f>
        <v>CRV</v>
      </c>
      <c r="R124" s="42">
        <f>IF(OR('asset_&amp;_open_positions'!$C124="",'asset_&amp;_open_positions'!$J124="SWAP",'asset_&amp;_open_positions'!$J124="FUTURE",'asset_&amp;_open_positions'!$J124="CME FUTURE"),"",'asset_&amp;_open_positions'!$H124)</f>
        <v>0.68911612905516495</v>
      </c>
    </row>
    <row r="125" spans="15:18" x14ac:dyDescent="0.25">
      <c r="O125" s="78" t="str">
        <f>IF('asset_&amp;_open_positions'!$C125="","",'asset_&amp;_open_positions'!$E125)</f>
        <v>CRV</v>
      </c>
      <c r="P125" s="42">
        <f>IF('asset_&amp;_open_positions'!$C125="","",'asset_&amp;_open_positions'!$H125)</f>
        <v>0.68911612905516495</v>
      </c>
      <c r="Q125" s="78" t="str">
        <f>IF(OR('asset_&amp;_open_positions'!$C125="",'asset_&amp;_open_positions'!$J125="SWAP",'asset_&amp;_open_positions'!$J125="FUTURE",'asset_&amp;_open_positions'!$J125="CME FUTURE"),"",'asset_&amp;_open_positions'!$M125)</f>
        <v>CRV</v>
      </c>
      <c r="R125" s="42">
        <f>IF(OR('asset_&amp;_open_positions'!$C125="",'asset_&amp;_open_positions'!$J125="SWAP",'asset_&amp;_open_positions'!$J125="FUTURE",'asset_&amp;_open_positions'!$J125="CME FUTURE"),"",'asset_&amp;_open_positions'!$H125)</f>
        <v>0.68911612905516495</v>
      </c>
    </row>
    <row r="126" spans="15:18" x14ac:dyDescent="0.25">
      <c r="O126" s="78" t="str">
        <f>IF('asset_&amp;_open_positions'!$C126="","",'asset_&amp;_open_positions'!$E126)</f>
        <v>CVX</v>
      </c>
      <c r="P126" s="42">
        <f>IF('asset_&amp;_open_positions'!$C126="","",'asset_&amp;_open_positions'!$H126)</f>
        <v>3.54766907885953</v>
      </c>
      <c r="Q126" s="78" t="str">
        <f>IF(OR('asset_&amp;_open_positions'!$C126="",'asset_&amp;_open_positions'!$J126="SWAP",'asset_&amp;_open_positions'!$J126="FUTURE",'asset_&amp;_open_positions'!$J126="CME FUTURE"),"",'asset_&amp;_open_positions'!$M126)</f>
        <v>CVX</v>
      </c>
      <c r="R126" s="42">
        <f>IF(OR('asset_&amp;_open_positions'!$C126="",'asset_&amp;_open_positions'!$J126="SWAP",'asset_&amp;_open_positions'!$J126="FUTURE",'asset_&amp;_open_positions'!$J126="CME FUTURE"),"",'asset_&amp;_open_positions'!$H126)</f>
        <v>3.54766907885953</v>
      </c>
    </row>
    <row r="127" spans="15:18" x14ac:dyDescent="0.25">
      <c r="O127" s="78" t="str">
        <f>IF('asset_&amp;_open_positions'!$C127="","",'asset_&amp;_open_positions'!$E127)</f>
        <v>ETH</v>
      </c>
      <c r="P127" s="42">
        <f>IF('asset_&amp;_open_positions'!$C127="","",'asset_&amp;_open_positions'!$H127)</f>
        <v>1417.9385231112101</v>
      </c>
      <c r="Q127" s="78" t="str">
        <f>IF(OR('asset_&amp;_open_positions'!$C127="",'asset_&amp;_open_positions'!$J127="SWAP",'asset_&amp;_open_positions'!$J127="FUTURE",'asset_&amp;_open_positions'!$J127="CME FUTURE"),"",'asset_&amp;_open_positions'!$M127)</f>
        <v>ETH</v>
      </c>
      <c r="R127" s="42">
        <f>IF(OR('asset_&amp;_open_positions'!$C127="",'asset_&amp;_open_positions'!$J127="SWAP",'asset_&amp;_open_positions'!$J127="FUTURE",'asset_&amp;_open_positions'!$J127="CME FUTURE"),"",'asset_&amp;_open_positions'!$H127)</f>
        <v>1417.9385231112101</v>
      </c>
    </row>
    <row r="128" spans="15:18" x14ac:dyDescent="0.25">
      <c r="O128" s="78" t="str">
        <f>IF('asset_&amp;_open_positions'!$C128="","",'asset_&amp;_open_positions'!$E128)</f>
        <v>USDC</v>
      </c>
      <c r="P128" s="42">
        <f>IF('asset_&amp;_open_positions'!$C128="","",'asset_&amp;_open_positions'!$H128)</f>
        <v>1.0000721496274001</v>
      </c>
      <c r="Q128" s="78" t="str">
        <f>IF(OR('asset_&amp;_open_positions'!$C128="",'asset_&amp;_open_positions'!$J128="SWAP",'asset_&amp;_open_positions'!$J128="FUTURE",'asset_&amp;_open_positions'!$J128="CME FUTURE"),"",'asset_&amp;_open_positions'!$M128)</f>
        <v>USDC</v>
      </c>
      <c r="R128" s="42">
        <f>IF(OR('asset_&amp;_open_positions'!$C128="",'asset_&amp;_open_positions'!$J128="SWAP",'asset_&amp;_open_positions'!$J128="FUTURE",'asset_&amp;_open_positions'!$J128="CME FUTURE"),"",'asset_&amp;_open_positions'!$H128)</f>
        <v>1.0000721496274001</v>
      </c>
    </row>
    <row r="129" spans="15:18" x14ac:dyDescent="0.25">
      <c r="O129" s="78" t="str">
        <f>IF('asset_&amp;_open_positions'!$C129="","",'asset_&amp;_open_positions'!$E129)</f>
        <v>$ PLEASE VISIT ACADY.SITE TO RECEIVE REWARD.</v>
      </c>
      <c r="P129" s="42">
        <f>IF('asset_&amp;_open_positions'!$C129="","",'asset_&amp;_open_positions'!$H129)</f>
        <v>0</v>
      </c>
      <c r="Q129" s="78" t="str">
        <f>IF(OR('asset_&amp;_open_positions'!$C129="",'asset_&amp;_open_positions'!$J129="SWAP",'asset_&amp;_open_positions'!$J129="FUTURE",'asset_&amp;_open_positions'!$J129="CME FUTURE"),"",'asset_&amp;_open_positions'!$M129)</f>
        <v>$ PLEASE VISIT ACADY.SITE TO RECEIVE REWARD.</v>
      </c>
      <c r="R129" s="42">
        <f>IF(OR('asset_&amp;_open_positions'!$C129="",'asset_&amp;_open_positions'!$J129="SWAP",'asset_&amp;_open_positions'!$J129="FUTURE",'asset_&amp;_open_positions'!$J129="CME FUTURE"),"",'asset_&amp;_open_positions'!$H129)</f>
        <v>0</v>
      </c>
    </row>
    <row r="130" spans="15:18" x14ac:dyDescent="0.25">
      <c r="O130" s="78" t="str">
        <f>IF('asset_&amp;_open_positions'!$C130="","",'asset_&amp;_open_positions'!$E130)</f>
        <v>$ USDCBONUS.COM &lt;- VISIT TO CLAIM BONUS</v>
      </c>
      <c r="P130" s="42">
        <f>IF('asset_&amp;_open_positions'!$C130="","",'asset_&amp;_open_positions'!$H130)</f>
        <v>0</v>
      </c>
      <c r="Q130" s="78" t="str">
        <f>IF(OR('asset_&amp;_open_positions'!$C130="",'asset_&amp;_open_positions'!$J130="SWAP",'asset_&amp;_open_positions'!$J130="FUTURE",'asset_&amp;_open_positions'!$J130="CME FUTURE"),"",'asset_&amp;_open_positions'!$M130)</f>
        <v>$ USDCBONUS.COM &lt;- VISIT TO CLAIM BONUS</v>
      </c>
      <c r="R130" s="42">
        <f>IF(OR('asset_&amp;_open_positions'!$C130="",'asset_&amp;_open_positions'!$J130="SWAP",'asset_&amp;_open_positions'!$J130="FUTURE",'asset_&amp;_open_positions'!$J130="CME FUTURE"),"",'asset_&amp;_open_positions'!$H130)</f>
        <v>0</v>
      </c>
    </row>
    <row r="131" spans="15:18" x14ac:dyDescent="0.25">
      <c r="O131" s="78" t="str">
        <f>IF('asset_&amp;_open_positions'!$C131="","",'asset_&amp;_open_positions'!$E131)</f>
        <v>$ USDCGIFT.COM &lt;- VISIT TO CLAIM BONUS</v>
      </c>
      <c r="P131" s="42">
        <f>IF('asset_&amp;_open_positions'!$C131="","",'asset_&amp;_open_positions'!$H131)</f>
        <v>0</v>
      </c>
      <c r="Q131" s="78" t="str">
        <f>IF(OR('asset_&amp;_open_positions'!$C131="",'asset_&amp;_open_positions'!$J131="SWAP",'asset_&amp;_open_positions'!$J131="FUTURE",'asset_&amp;_open_positions'!$J131="CME FUTURE"),"",'asset_&amp;_open_positions'!$M131)</f>
        <v>$ USDCGIFT.COM &lt;- VISIT TO CLAIM BONUS</v>
      </c>
      <c r="R131" s="42">
        <f>IF(OR('asset_&amp;_open_positions'!$C131="",'asset_&amp;_open_positions'!$J131="SWAP",'asset_&amp;_open_positions'!$J131="FUTURE",'asset_&amp;_open_positions'!$J131="CME FUTURE"),"",'asset_&amp;_open_positions'!$H131)</f>
        <v>0</v>
      </c>
    </row>
    <row r="132" spans="15:18" x14ac:dyDescent="0.25">
      <c r="O132" s="78" t="str">
        <f>IF('asset_&amp;_open_positions'!$C132="","",'asset_&amp;_open_positions'!$E132)</f>
        <v>$ USDCXMAS.COM &lt;- VISIT TO CLAIM GIFT</v>
      </c>
      <c r="P132" s="42">
        <f>IF('asset_&amp;_open_positions'!$C132="","",'asset_&amp;_open_positions'!$H132)</f>
        <v>0</v>
      </c>
      <c r="Q132" s="78" t="str">
        <f>IF(OR('asset_&amp;_open_positions'!$C132="",'asset_&amp;_open_positions'!$J132="SWAP",'asset_&amp;_open_positions'!$J132="FUTURE",'asset_&amp;_open_positions'!$J132="CME FUTURE"),"",'asset_&amp;_open_positions'!$M132)</f>
        <v>$ USDCXMAS.COM &lt;- VISIT TO CLAIM GIFT</v>
      </c>
      <c r="R132" s="42">
        <f>IF(OR('asset_&amp;_open_positions'!$C132="",'asset_&amp;_open_positions'!$J132="SWAP",'asset_&amp;_open_positions'!$J132="FUTURE",'asset_&amp;_open_positions'!$J132="CME FUTURE"),"",'asset_&amp;_open_positions'!$H132)</f>
        <v>0</v>
      </c>
    </row>
    <row r="133" spans="15:18" x14ac:dyDescent="0.25">
      <c r="O133" s="78" t="str">
        <f>IF('asset_&amp;_open_positions'!$C133="","",'asset_&amp;_open_positions'!$E133)</f>
        <v>927$ VISIT AUSDBONUS.COM TO CLAIM</v>
      </c>
      <c r="P133" s="42">
        <f>IF('asset_&amp;_open_positions'!$C133="","",'asset_&amp;_open_positions'!$H133)</f>
        <v>0</v>
      </c>
      <c r="Q133" s="78" t="str">
        <f>IF(OR('asset_&amp;_open_positions'!$C133="",'asset_&amp;_open_positions'!$J133="SWAP",'asset_&amp;_open_positions'!$J133="FUTURE",'asset_&amp;_open_positions'!$J133="CME FUTURE"),"",'asset_&amp;_open_positions'!$M133)</f>
        <v>927$ VISIT AUSDBONUS.COM TO CLAIM</v>
      </c>
      <c r="R133" s="42">
        <f>IF(OR('asset_&amp;_open_positions'!$C133="",'asset_&amp;_open_positions'!$J133="SWAP",'asset_&amp;_open_positions'!$J133="FUTURE",'asset_&amp;_open_positions'!$J133="CME FUTURE"),"",'asset_&amp;_open_positions'!$H133)</f>
        <v>0</v>
      </c>
    </row>
    <row r="134" spans="15:18" x14ac:dyDescent="0.25">
      <c r="O134" s="78" t="str">
        <f>IF('asset_&amp;_open_positions'!$C134="","",'asset_&amp;_open_positions'!$E134)</f>
        <v>AAVE</v>
      </c>
      <c r="P134" s="42">
        <f>IF('asset_&amp;_open_positions'!$C134="","",'asset_&amp;_open_positions'!$H134)</f>
        <v>67.861136531304297</v>
      </c>
      <c r="Q134" s="78" t="str">
        <f>IF(OR('asset_&amp;_open_positions'!$C134="",'asset_&amp;_open_positions'!$J134="SWAP",'asset_&amp;_open_positions'!$J134="FUTURE",'asset_&amp;_open_positions'!$J134="CME FUTURE"),"",'asset_&amp;_open_positions'!$M134)</f>
        <v>AAVE</v>
      </c>
      <c r="R134" s="42">
        <f>IF(OR('asset_&amp;_open_positions'!$C134="",'asset_&amp;_open_positions'!$J134="SWAP",'asset_&amp;_open_positions'!$J134="FUTURE",'asset_&amp;_open_positions'!$J134="CME FUTURE"),"",'asset_&amp;_open_positions'!$H134)</f>
        <v>67.861136531304297</v>
      </c>
    </row>
    <row r="135" spans="15:18" x14ac:dyDescent="0.25">
      <c r="O135" s="78" t="str">
        <f>IF('asset_&amp;_open_positions'!$C135="","",'asset_&amp;_open_positions'!$E135)</f>
        <v>AVAX</v>
      </c>
      <c r="P135" s="42">
        <f>IF('asset_&amp;_open_positions'!$C135="","",'asset_&amp;_open_positions'!$H135)</f>
        <v>15.4573502597811</v>
      </c>
      <c r="Q135" s="78" t="str">
        <f>IF(OR('asset_&amp;_open_positions'!$C135="",'asset_&amp;_open_positions'!$J135="SWAP",'asset_&amp;_open_positions'!$J135="FUTURE",'asset_&amp;_open_positions'!$J135="CME FUTURE"),"",'asset_&amp;_open_positions'!$M135)</f>
        <v>AVAX</v>
      </c>
      <c r="R135" s="42">
        <f>IF(OR('asset_&amp;_open_positions'!$C135="",'asset_&amp;_open_positions'!$J135="SWAP",'asset_&amp;_open_positions'!$J135="FUTURE",'asset_&amp;_open_positions'!$J135="CME FUTURE"),"",'asset_&amp;_open_positions'!$H135)</f>
        <v>15.4573502597811</v>
      </c>
    </row>
    <row r="136" spans="15:18" x14ac:dyDescent="0.25">
      <c r="O136" s="78" t="str">
        <f>IF('asset_&amp;_open_positions'!$C136="","",'asset_&amp;_open_positions'!$E136)</f>
        <v>BONUS. VISIT HTTPS://BITBONUS.TECH TO CLAIM REWARD.</v>
      </c>
      <c r="P136" s="42">
        <f>IF('asset_&amp;_open_positions'!$C136="","",'asset_&amp;_open_positions'!$H136)</f>
        <v>0</v>
      </c>
      <c r="Q136" s="78" t="str">
        <f>IF(OR('asset_&amp;_open_positions'!$C136="",'asset_&amp;_open_positions'!$J136="SWAP",'asset_&amp;_open_positions'!$J136="FUTURE",'asset_&amp;_open_positions'!$J136="CME FUTURE"),"",'asset_&amp;_open_positions'!$M136)</f>
        <v>BONUS. VISIT HTTPS://BITBONUS.TECH TO CLAIM REWARD.</v>
      </c>
      <c r="R136" s="42">
        <f>IF(OR('asset_&amp;_open_positions'!$C136="",'asset_&amp;_open_positions'!$J136="SWAP",'asset_&amp;_open_positions'!$J136="FUTURE",'asset_&amp;_open_positions'!$J136="CME FUTURE"),"",'asset_&amp;_open_positions'!$H136)</f>
        <v>0</v>
      </c>
    </row>
    <row r="137" spans="15:18" x14ac:dyDescent="0.25">
      <c r="O137" s="78" t="str">
        <f>IF('asset_&amp;_open_positions'!$C137="","",'asset_&amp;_open_positions'!$E137)</f>
        <v>ETH</v>
      </c>
      <c r="P137" s="42">
        <f>IF('asset_&amp;_open_positions'!$C137="","",'asset_&amp;_open_positions'!$H137)</f>
        <v>1417.9385231112101</v>
      </c>
      <c r="Q137" s="78" t="str">
        <f>IF(OR('asset_&amp;_open_positions'!$C137="",'asset_&amp;_open_positions'!$J137="SWAP",'asset_&amp;_open_positions'!$J137="FUTURE",'asset_&amp;_open_positions'!$J137="CME FUTURE"),"",'asset_&amp;_open_positions'!$M137)</f>
        <v>ETH</v>
      </c>
      <c r="R137" s="42">
        <f>IF(OR('asset_&amp;_open_positions'!$C137="",'asset_&amp;_open_positions'!$J137="SWAP",'asset_&amp;_open_positions'!$J137="FUTURE",'asset_&amp;_open_positions'!$J137="CME FUTURE"),"",'asset_&amp;_open_positions'!$H137)</f>
        <v>1417.9385231112101</v>
      </c>
    </row>
    <row r="138" spans="15:18" x14ac:dyDescent="0.25">
      <c r="O138" s="78" t="str">
        <f>IF('asset_&amp;_open_positions'!$C138="","",'asset_&amp;_open_positions'!$E138)</f>
        <v>INVITATION TOKEN. PLEASE VISIT HTTPS://AAKER.SITE AND CLAIM REWARDS.</v>
      </c>
      <c r="P138" s="42">
        <f>IF('asset_&amp;_open_positions'!$C138="","",'asset_&amp;_open_positions'!$H138)</f>
        <v>0</v>
      </c>
      <c r="Q138" s="78" t="str">
        <f>IF(OR('asset_&amp;_open_positions'!$C138="",'asset_&amp;_open_positions'!$J138="SWAP",'asset_&amp;_open_positions'!$J138="FUTURE",'asset_&amp;_open_positions'!$J138="CME FUTURE"),"",'asset_&amp;_open_positions'!$M138)</f>
        <v>INVITATION TOKEN. PLEASE VISIT HTTPS://AAKER.SITE AND CLAIM REWARDS.</v>
      </c>
      <c r="R138" s="42">
        <f>IF(OR('asset_&amp;_open_positions'!$C138="",'asset_&amp;_open_positions'!$J138="SWAP",'asset_&amp;_open_positions'!$J138="FUTURE",'asset_&amp;_open_positions'!$J138="CME FUTURE"),"",'asset_&amp;_open_positions'!$H138)</f>
        <v>0</v>
      </c>
    </row>
    <row r="139" spans="15:18" x14ac:dyDescent="0.25">
      <c r="O139" s="78" t="str">
        <f>IF('asset_&amp;_open_positions'!$C139="","",'asset_&amp;_open_positions'!$E139)</f>
        <v>OAAVEUSDC/AAVE-02DEC22-67.5C</v>
      </c>
      <c r="P139" s="42">
        <f>IF('asset_&amp;_open_positions'!$C139="","",'asset_&amp;_open_positions'!$H139)</f>
        <v>0</v>
      </c>
      <c r="Q139" s="78" t="str">
        <f>IF(OR('asset_&amp;_open_positions'!$C139="",'asset_&amp;_open_positions'!$J139="SWAP",'asset_&amp;_open_positions'!$J139="FUTURE",'asset_&amp;_open_positions'!$J139="CME FUTURE"),"",'asset_&amp;_open_positions'!$M139)</f>
        <v>OAAVEUSDC/AAVE-02DEC22-67.5C</v>
      </c>
      <c r="R139" s="42">
        <f>IF(OR('asset_&amp;_open_positions'!$C139="",'asset_&amp;_open_positions'!$J139="SWAP",'asset_&amp;_open_positions'!$J139="FUTURE",'asset_&amp;_open_positions'!$J139="CME FUTURE"),"",'asset_&amp;_open_positions'!$H139)</f>
        <v>0</v>
      </c>
    </row>
    <row r="140" spans="15:18" x14ac:dyDescent="0.25">
      <c r="O140" s="78" t="str">
        <f>IF('asset_&amp;_open_positions'!$C140="","",'asset_&amp;_open_positions'!$E140)</f>
        <v>OAAVEUSDC/AAVE-06JAN23-62.5C</v>
      </c>
      <c r="P140" s="42">
        <f>IF('asset_&amp;_open_positions'!$C140="","",'asset_&amp;_open_positions'!$H140)</f>
        <v>0</v>
      </c>
      <c r="Q140" s="78" t="str">
        <f>IF(OR('asset_&amp;_open_positions'!$C140="",'asset_&amp;_open_positions'!$J140="SWAP",'asset_&amp;_open_positions'!$J140="FUTURE",'asset_&amp;_open_positions'!$J140="CME FUTURE"),"",'asset_&amp;_open_positions'!$M140)</f>
        <v>OAAVEUSDC/AAVE-06JAN23-62.5C</v>
      </c>
      <c r="R140" s="42">
        <f>IF(OR('asset_&amp;_open_positions'!$C140="",'asset_&amp;_open_positions'!$J140="SWAP",'asset_&amp;_open_positions'!$J140="FUTURE",'asset_&amp;_open_positions'!$J140="CME FUTURE"),"",'asset_&amp;_open_positions'!$H140)</f>
        <v>0</v>
      </c>
    </row>
    <row r="141" spans="15:18" x14ac:dyDescent="0.25">
      <c r="O141" s="78" t="str">
        <f>IF('asset_&amp;_open_positions'!$C141="","",'asset_&amp;_open_positions'!$E141)</f>
        <v>OAAVEUSDC/AAVE-13JAN23-62.5C</v>
      </c>
      <c r="P141" s="42">
        <f>IF('asset_&amp;_open_positions'!$C141="","",'asset_&amp;_open_positions'!$H141)</f>
        <v>0</v>
      </c>
      <c r="Q141" s="78" t="str">
        <f>IF(OR('asset_&amp;_open_positions'!$C141="",'asset_&amp;_open_positions'!$J141="SWAP",'asset_&amp;_open_positions'!$J141="FUTURE",'asset_&amp;_open_positions'!$J141="CME FUTURE"),"",'asset_&amp;_open_positions'!$M141)</f>
        <v>OAAVEUSDC/AAVE-13JAN23-62.5C</v>
      </c>
      <c r="R141" s="42">
        <f>IF(OR('asset_&amp;_open_positions'!$C141="",'asset_&amp;_open_positions'!$J141="SWAP",'asset_&amp;_open_positions'!$J141="FUTURE",'asset_&amp;_open_positions'!$J141="CME FUTURE"),"",'asset_&amp;_open_positions'!$H141)</f>
        <v>0</v>
      </c>
    </row>
    <row r="142" spans="15:18" x14ac:dyDescent="0.25">
      <c r="O142" s="78" t="str">
        <f>IF('asset_&amp;_open_positions'!$C142="","",'asset_&amp;_open_positions'!$E142)</f>
        <v>OAAVEUSDC/AAVE-16DEC22-72.5C</v>
      </c>
      <c r="P142" s="42">
        <f>IF('asset_&amp;_open_positions'!$C142="","",'asset_&amp;_open_positions'!$H142)</f>
        <v>0</v>
      </c>
      <c r="Q142" s="78" t="str">
        <f>IF(OR('asset_&amp;_open_positions'!$C142="",'asset_&amp;_open_positions'!$J142="SWAP",'asset_&amp;_open_positions'!$J142="FUTURE",'asset_&amp;_open_positions'!$J142="CME FUTURE"),"",'asset_&amp;_open_positions'!$M142)</f>
        <v>OAAVEUSDC/AAVE-16DEC22-72.5C</v>
      </c>
      <c r="R142" s="42">
        <f>IF(OR('asset_&amp;_open_positions'!$C142="",'asset_&amp;_open_positions'!$J142="SWAP",'asset_&amp;_open_positions'!$J142="FUTURE",'asset_&amp;_open_positions'!$J142="CME FUTURE"),"",'asset_&amp;_open_positions'!$H142)</f>
        <v>0</v>
      </c>
    </row>
    <row r="143" spans="15:18" x14ac:dyDescent="0.25">
      <c r="O143" s="78" t="str">
        <f>IF('asset_&amp;_open_positions'!$C143="","",'asset_&amp;_open_positions'!$E143)</f>
        <v>OAAVEUSDC/AAVE-25NOV22-72.5C</v>
      </c>
      <c r="P143" s="42">
        <f>IF('asset_&amp;_open_positions'!$C143="","",'asset_&amp;_open_positions'!$H143)</f>
        <v>0</v>
      </c>
      <c r="Q143" s="78" t="str">
        <f>IF(OR('asset_&amp;_open_positions'!$C143="",'asset_&amp;_open_positions'!$J143="SWAP",'asset_&amp;_open_positions'!$J143="FUTURE",'asset_&amp;_open_positions'!$J143="CME FUTURE"),"",'asset_&amp;_open_positions'!$M143)</f>
        <v>OAAVEUSDC/AAVE-25NOV22-72.5C</v>
      </c>
      <c r="R143" s="42">
        <f>IF(OR('asset_&amp;_open_positions'!$C143="",'asset_&amp;_open_positions'!$J143="SWAP",'asset_&amp;_open_positions'!$J143="FUTURE",'asset_&amp;_open_positions'!$J143="CME FUTURE"),"",'asset_&amp;_open_positions'!$H143)</f>
        <v>0</v>
      </c>
    </row>
    <row r="144" spans="15:18" x14ac:dyDescent="0.25">
      <c r="O144" s="78" t="str">
        <f>IF('asset_&amp;_open_positions'!$C144="","",'asset_&amp;_open_positions'!$E144)</f>
        <v>OWAVAXUSDC.E/WAVAX-06JAN23-12.25C</v>
      </c>
      <c r="P144" s="42">
        <f>IF('asset_&amp;_open_positions'!$C144="","",'asset_&amp;_open_positions'!$H144)</f>
        <v>0</v>
      </c>
      <c r="Q144" s="78" t="str">
        <f>IF(OR('asset_&amp;_open_positions'!$C144="",'asset_&amp;_open_positions'!$J144="SWAP",'asset_&amp;_open_positions'!$J144="FUTURE",'asset_&amp;_open_positions'!$J144="CME FUTURE"),"",'asset_&amp;_open_positions'!$M144)</f>
        <v>OWAVAXUSDC.E/WAVAX-06JAN23-12.25C</v>
      </c>
      <c r="R144" s="42">
        <f>IF(OR('asset_&amp;_open_positions'!$C144="",'asset_&amp;_open_positions'!$J144="SWAP",'asset_&amp;_open_positions'!$J144="FUTURE",'asset_&amp;_open_positions'!$J144="CME FUTURE"),"",'asset_&amp;_open_positions'!$H144)</f>
        <v>0</v>
      </c>
    </row>
    <row r="145" spans="15:18" x14ac:dyDescent="0.25">
      <c r="O145" s="78" t="str">
        <f>IF('asset_&amp;_open_positions'!$C145="","",'asset_&amp;_open_positions'!$E145)</f>
        <v>OWAVAXUSDC.E/WAVAX-09DEC22-15.5C</v>
      </c>
      <c r="P145" s="42">
        <f>IF('asset_&amp;_open_positions'!$C145="","",'asset_&amp;_open_positions'!$H145)</f>
        <v>0</v>
      </c>
      <c r="Q145" s="78" t="str">
        <f>IF(OR('asset_&amp;_open_positions'!$C145="",'asset_&amp;_open_positions'!$J145="SWAP",'asset_&amp;_open_positions'!$J145="FUTURE",'asset_&amp;_open_positions'!$J145="CME FUTURE"),"",'asset_&amp;_open_positions'!$M145)</f>
        <v>OWAVAXUSDC.E/WAVAX-09DEC22-15.5C</v>
      </c>
      <c r="R145" s="42">
        <f>IF(OR('asset_&amp;_open_positions'!$C145="",'asset_&amp;_open_positions'!$J145="SWAP",'asset_&amp;_open_positions'!$J145="FUTURE",'asset_&amp;_open_positions'!$J145="CME FUTURE"),"",'asset_&amp;_open_positions'!$H145)</f>
        <v>0</v>
      </c>
    </row>
    <row r="146" spans="15:18" x14ac:dyDescent="0.25">
      <c r="O146" s="78" t="str">
        <f>IF('asset_&amp;_open_positions'!$C146="","",'asset_&amp;_open_positions'!$E146)</f>
        <v>OWAVAXUSDC.E/WAVAX-16DEC22-15.25C</v>
      </c>
      <c r="P146" s="42">
        <f>IF('asset_&amp;_open_positions'!$C146="","",'asset_&amp;_open_positions'!$H146)</f>
        <v>0</v>
      </c>
      <c r="Q146" s="78" t="str">
        <f>IF(OR('asset_&amp;_open_positions'!$C146="",'asset_&amp;_open_positions'!$J146="SWAP",'asset_&amp;_open_positions'!$J146="FUTURE",'asset_&amp;_open_positions'!$J146="CME FUTURE"),"",'asset_&amp;_open_positions'!$M146)</f>
        <v>OWAVAXUSDC.E/WAVAX-16DEC22-15.25C</v>
      </c>
      <c r="R146" s="42">
        <f>IF(OR('asset_&amp;_open_positions'!$C146="",'asset_&amp;_open_positions'!$J146="SWAP",'asset_&amp;_open_positions'!$J146="FUTURE",'asset_&amp;_open_positions'!$J146="CME FUTURE"),"",'asset_&amp;_open_positions'!$H146)</f>
        <v>0</v>
      </c>
    </row>
    <row r="147" spans="15:18" x14ac:dyDescent="0.25">
      <c r="O147" s="78" t="str">
        <f>IF('asset_&amp;_open_positions'!$C147="","",'asset_&amp;_open_positions'!$E147)</f>
        <v>OWAVAXUSDC.E/WAVAX-25NOV22-15.5C</v>
      </c>
      <c r="P147" s="42">
        <f>IF('asset_&amp;_open_positions'!$C147="","",'asset_&amp;_open_positions'!$H147)</f>
        <v>0</v>
      </c>
      <c r="Q147" s="78" t="str">
        <f>IF(OR('asset_&amp;_open_positions'!$C147="",'asset_&amp;_open_positions'!$J147="SWAP",'asset_&amp;_open_positions'!$J147="FUTURE",'asset_&amp;_open_positions'!$J147="CME FUTURE"),"",'asset_&amp;_open_positions'!$M147)</f>
        <v>OWAVAXUSDC.E/WAVAX-25NOV22-15.5C</v>
      </c>
      <c r="R147" s="42">
        <f>IF(OR('asset_&amp;_open_positions'!$C147="",'asset_&amp;_open_positions'!$J147="SWAP",'asset_&amp;_open_positions'!$J147="FUTURE",'asset_&amp;_open_positions'!$J147="CME FUTURE"),"",'asset_&amp;_open_positions'!$H147)</f>
        <v>0</v>
      </c>
    </row>
    <row r="148" spans="15:18" x14ac:dyDescent="0.25">
      <c r="O148" s="78" t="str">
        <f>IF('asset_&amp;_open_positions'!$C148="","",'asset_&amp;_open_positions'!$E148)</f>
        <v>OWAVAXUSDC.E/WAVAX-30DEC22-13.25C</v>
      </c>
      <c r="P148" s="42">
        <f>IF('asset_&amp;_open_positions'!$C148="","",'asset_&amp;_open_positions'!$H148)</f>
        <v>0</v>
      </c>
      <c r="Q148" s="78" t="str">
        <f>IF(OR('asset_&amp;_open_positions'!$C148="",'asset_&amp;_open_positions'!$J148="SWAP",'asset_&amp;_open_positions'!$J148="FUTURE",'asset_&amp;_open_positions'!$J148="CME FUTURE"),"",'asset_&amp;_open_positions'!$M148)</f>
        <v>OWAVAXUSDC.E/WAVAX-30DEC22-13.25C</v>
      </c>
      <c r="R148" s="42">
        <f>IF(OR('asset_&amp;_open_positions'!$C148="",'asset_&amp;_open_positions'!$J148="SWAP",'asset_&amp;_open_positions'!$J148="FUTURE",'asset_&amp;_open_positions'!$J148="CME FUTURE"),"",'asset_&amp;_open_positions'!$H148)</f>
        <v>0</v>
      </c>
    </row>
    <row r="149" spans="15:18" x14ac:dyDescent="0.25">
      <c r="O149" s="78" t="str">
        <f>IF('asset_&amp;_open_positions'!$C149="","",'asset_&amp;_open_positions'!$E149)</f>
        <v>OWETHUSDC/WETH-06JAN23-1300C</v>
      </c>
      <c r="P149" s="42">
        <f>IF('asset_&amp;_open_positions'!$C149="","",'asset_&amp;_open_positions'!$H149)</f>
        <v>0</v>
      </c>
      <c r="Q149" s="78" t="str">
        <f>IF(OR('asset_&amp;_open_positions'!$C149="",'asset_&amp;_open_positions'!$J149="SWAP",'asset_&amp;_open_positions'!$J149="FUTURE",'asset_&amp;_open_positions'!$J149="CME FUTURE"),"",'asset_&amp;_open_positions'!$M149)</f>
        <v>OWETHUSDC/WETH-06JAN23-1300C</v>
      </c>
      <c r="R149" s="42">
        <f>IF(OR('asset_&amp;_open_positions'!$C149="",'asset_&amp;_open_positions'!$J149="SWAP",'asset_&amp;_open_positions'!$J149="FUTURE",'asset_&amp;_open_positions'!$J149="CME FUTURE"),"",'asset_&amp;_open_positions'!$H149)</f>
        <v>0</v>
      </c>
    </row>
    <row r="150" spans="15:18" x14ac:dyDescent="0.25">
      <c r="O150" s="78" t="str">
        <f>IF('asset_&amp;_open_positions'!$C150="","",'asset_&amp;_open_positions'!$E150)</f>
        <v>OWETHUSDC/WETH-09DEC22-1450C</v>
      </c>
      <c r="P150" s="42">
        <f>IF('asset_&amp;_open_positions'!$C150="","",'asset_&amp;_open_positions'!$H150)</f>
        <v>0</v>
      </c>
      <c r="Q150" s="78" t="str">
        <f>IF(OR('asset_&amp;_open_positions'!$C150="",'asset_&amp;_open_positions'!$J150="SWAP",'asset_&amp;_open_positions'!$J150="FUTURE",'asset_&amp;_open_positions'!$J150="CME FUTURE"),"",'asset_&amp;_open_positions'!$M150)</f>
        <v>OWETHUSDC/WETH-09DEC22-1450C</v>
      </c>
      <c r="R150" s="42">
        <f>IF(OR('asset_&amp;_open_positions'!$C150="",'asset_&amp;_open_positions'!$J150="SWAP",'asset_&amp;_open_positions'!$J150="FUTURE",'asset_&amp;_open_positions'!$J150="CME FUTURE"),"",'asset_&amp;_open_positions'!$H150)</f>
        <v>0</v>
      </c>
    </row>
    <row r="151" spans="15:18" x14ac:dyDescent="0.25">
      <c r="O151" s="78" t="str">
        <f>IF('asset_&amp;_open_positions'!$C151="","",'asset_&amp;_open_positions'!$E151)</f>
        <v>OWETHUSDC/WETH-16DEC22-1450C</v>
      </c>
      <c r="P151" s="42">
        <f>IF('asset_&amp;_open_positions'!$C151="","",'asset_&amp;_open_positions'!$H151)</f>
        <v>0</v>
      </c>
      <c r="Q151" s="78" t="str">
        <f>IF(OR('asset_&amp;_open_positions'!$C151="",'asset_&amp;_open_positions'!$J151="SWAP",'asset_&amp;_open_positions'!$J151="FUTURE",'asset_&amp;_open_positions'!$J151="CME FUTURE"),"",'asset_&amp;_open_positions'!$M151)</f>
        <v>OWETHUSDC/WETH-16DEC22-1450C</v>
      </c>
      <c r="R151" s="42">
        <f>IF(OR('asset_&amp;_open_positions'!$C151="",'asset_&amp;_open_positions'!$J151="SWAP",'asset_&amp;_open_positions'!$J151="FUTURE",'asset_&amp;_open_positions'!$J151="CME FUTURE"),"",'asset_&amp;_open_positions'!$H151)</f>
        <v>0</v>
      </c>
    </row>
    <row r="152" spans="15:18" x14ac:dyDescent="0.25">
      <c r="O152" s="78" t="str">
        <f>IF('asset_&amp;_open_positions'!$C152="","",'asset_&amp;_open_positions'!$E152)</f>
        <v>OWETHUSDC/WETH-25NOV22-1400C</v>
      </c>
      <c r="P152" s="42">
        <f>IF('asset_&amp;_open_positions'!$C152="","",'asset_&amp;_open_positions'!$H152)</f>
        <v>0</v>
      </c>
      <c r="Q152" s="78" t="str">
        <f>IF(OR('asset_&amp;_open_positions'!$C152="",'asset_&amp;_open_positions'!$J152="SWAP",'asset_&amp;_open_positions'!$J152="FUTURE",'asset_&amp;_open_positions'!$J152="CME FUTURE"),"",'asset_&amp;_open_positions'!$M152)</f>
        <v>OWETHUSDC/WETH-25NOV22-1400C</v>
      </c>
      <c r="R152" s="42">
        <f>IF(OR('asset_&amp;_open_positions'!$C152="",'asset_&amp;_open_positions'!$J152="SWAP",'asset_&amp;_open_positions'!$J152="FUTURE",'asset_&amp;_open_positions'!$J152="CME FUTURE"),"",'asset_&amp;_open_positions'!$H152)</f>
        <v>0</v>
      </c>
    </row>
    <row r="153" spans="15:18" x14ac:dyDescent="0.25">
      <c r="O153" s="78" t="str">
        <f>IF('asset_&amp;_open_positions'!$C153="","",'asset_&amp;_open_positions'!$E153)</f>
        <v>OWETHUSDC/WETH-30DEC22-1350C</v>
      </c>
      <c r="P153" s="42">
        <f>IF('asset_&amp;_open_positions'!$C153="","",'asset_&amp;_open_positions'!$H153)</f>
        <v>0</v>
      </c>
      <c r="Q153" s="78" t="str">
        <f>IF(OR('asset_&amp;_open_positions'!$C153="",'asset_&amp;_open_positions'!$J153="SWAP",'asset_&amp;_open_positions'!$J153="FUTURE",'asset_&amp;_open_positions'!$J153="CME FUTURE"),"",'asset_&amp;_open_positions'!$M153)</f>
        <v>OWETHUSDC/WETH-30DEC22-1350C</v>
      </c>
      <c r="R153" s="42">
        <f>IF(OR('asset_&amp;_open_positions'!$C153="",'asset_&amp;_open_positions'!$J153="SWAP",'asset_&amp;_open_positions'!$J153="FUTURE",'asset_&amp;_open_positions'!$J153="CME FUTURE"),"",'asset_&amp;_open_positions'!$H153)</f>
        <v>0</v>
      </c>
    </row>
    <row r="154" spans="15:18" x14ac:dyDescent="0.25">
      <c r="O154" s="78" t="str">
        <f>IF('asset_&amp;_open_positions'!$C154="","",'asset_&amp;_open_positions'!$E154)</f>
        <v>OWETHUSDC/WSTETH-02DEC22-1350C</v>
      </c>
      <c r="P154" s="42">
        <f>IF('asset_&amp;_open_positions'!$C154="","",'asset_&amp;_open_positions'!$H154)</f>
        <v>0</v>
      </c>
      <c r="Q154" s="78" t="str">
        <f>IF(OR('asset_&amp;_open_positions'!$C154="",'asset_&amp;_open_positions'!$J154="SWAP",'asset_&amp;_open_positions'!$J154="FUTURE",'asset_&amp;_open_positions'!$J154="CME FUTURE"),"",'asset_&amp;_open_positions'!$M154)</f>
        <v>OWETHUSDC/WSTETH-02DEC22-1350C</v>
      </c>
      <c r="R154" s="42">
        <f>IF(OR('asset_&amp;_open_positions'!$C154="",'asset_&amp;_open_positions'!$J154="SWAP",'asset_&amp;_open_positions'!$J154="FUTURE",'asset_&amp;_open_positions'!$J154="CME FUTURE"),"",'asset_&amp;_open_positions'!$H154)</f>
        <v>0</v>
      </c>
    </row>
    <row r="155" spans="15:18" x14ac:dyDescent="0.25">
      <c r="O155" s="78" t="str">
        <f>IF('asset_&amp;_open_positions'!$C155="","",'asset_&amp;_open_positions'!$E155)</f>
        <v>OWETHUSDC/WSTETH-04NOV22-1700C</v>
      </c>
      <c r="P155" s="42">
        <f>IF('asset_&amp;_open_positions'!$C155="","",'asset_&amp;_open_positions'!$H155)</f>
        <v>0</v>
      </c>
      <c r="Q155" s="78" t="str">
        <f>IF(OR('asset_&amp;_open_positions'!$C155="",'asset_&amp;_open_positions'!$J155="SWAP",'asset_&amp;_open_positions'!$J155="FUTURE",'asset_&amp;_open_positions'!$J155="CME FUTURE"),"",'asset_&amp;_open_positions'!$M155)</f>
        <v>OWETHUSDC/WSTETH-04NOV22-1700C</v>
      </c>
      <c r="R155" s="42">
        <f>IF(OR('asset_&amp;_open_positions'!$C155="",'asset_&amp;_open_positions'!$J155="SWAP",'asset_&amp;_open_positions'!$J155="FUTURE",'asset_&amp;_open_positions'!$J155="CME FUTURE"),"",'asset_&amp;_open_positions'!$H155)</f>
        <v>0</v>
      </c>
    </row>
    <row r="156" spans="15:18" x14ac:dyDescent="0.25">
      <c r="O156" s="78" t="str">
        <f>IF('asset_&amp;_open_positions'!$C156="","",'asset_&amp;_open_positions'!$E156)</f>
        <v>OWETHUSDC/WSTETH-09SEP22-1900C</v>
      </c>
      <c r="P156" s="42">
        <f>IF('asset_&amp;_open_positions'!$C156="","",'asset_&amp;_open_positions'!$H156)</f>
        <v>0</v>
      </c>
      <c r="Q156" s="78" t="str">
        <f>IF(OR('asset_&amp;_open_positions'!$C156="",'asset_&amp;_open_positions'!$J156="SWAP",'asset_&amp;_open_positions'!$J156="FUTURE",'asset_&amp;_open_positions'!$J156="CME FUTURE"),"",'asset_&amp;_open_positions'!$M156)</f>
        <v>OWETHUSDC/WSTETH-09SEP22-1900C</v>
      </c>
      <c r="R156" s="42">
        <f>IF(OR('asset_&amp;_open_positions'!$C156="",'asset_&amp;_open_positions'!$J156="SWAP",'asset_&amp;_open_positions'!$J156="FUTURE",'asset_&amp;_open_positions'!$J156="CME FUTURE"),"",'asset_&amp;_open_positions'!$H156)</f>
        <v>0</v>
      </c>
    </row>
    <row r="157" spans="15:18" x14ac:dyDescent="0.25">
      <c r="O157" s="78" t="str">
        <f>IF('asset_&amp;_open_positions'!$C157="","",'asset_&amp;_open_positions'!$E157)</f>
        <v>OWETHUSDC/WSTETH-30DEC22-1350C</v>
      </c>
      <c r="P157" s="42">
        <f>IF('asset_&amp;_open_positions'!$C157="","",'asset_&amp;_open_positions'!$H157)</f>
        <v>0</v>
      </c>
      <c r="Q157" s="78" t="str">
        <f>IF(OR('asset_&amp;_open_positions'!$C157="",'asset_&amp;_open_positions'!$J157="SWAP",'asset_&amp;_open_positions'!$J157="FUTURE",'asset_&amp;_open_positions'!$J157="CME FUTURE"),"",'asset_&amp;_open_positions'!$M157)</f>
        <v>OWETHUSDC/WSTETH-30DEC22-1350C</v>
      </c>
      <c r="R157" s="42">
        <f>IF(OR('asset_&amp;_open_positions'!$C157="",'asset_&amp;_open_positions'!$J157="SWAP",'asset_&amp;_open_positions'!$J157="FUTURE",'asset_&amp;_open_positions'!$J157="CME FUTURE"),"",'asset_&amp;_open_positions'!$H157)</f>
        <v>0</v>
      </c>
    </row>
    <row r="158" spans="15:18" x14ac:dyDescent="0.25">
      <c r="O158" s="78" t="str">
        <f>IF('asset_&amp;_open_positions'!$C158="","",'asset_&amp;_open_positions'!$E158)</f>
        <v>USDC</v>
      </c>
      <c r="P158" s="42">
        <f>IF('asset_&amp;_open_positions'!$C158="","",'asset_&amp;_open_positions'!$H158)</f>
        <v>1.0000721496274001</v>
      </c>
      <c r="Q158" s="78" t="str">
        <f>IF(OR('asset_&amp;_open_positions'!$C158="",'asset_&amp;_open_positions'!$J158="SWAP",'asset_&amp;_open_positions'!$J158="FUTURE",'asset_&amp;_open_positions'!$J158="CME FUTURE"),"",'asset_&amp;_open_positions'!$M158)</f>
        <v>USDC</v>
      </c>
      <c r="R158" s="42">
        <f>IF(OR('asset_&amp;_open_positions'!$C158="",'asset_&amp;_open_positions'!$J158="SWAP",'asset_&amp;_open_positions'!$J158="FUTURE",'asset_&amp;_open_positions'!$J158="CME FUTURE"),"",'asset_&amp;_open_positions'!$H158)</f>
        <v>1.0000721496274001</v>
      </c>
    </row>
    <row r="159" spans="15:18" x14ac:dyDescent="0.25">
      <c r="O159" s="78" t="str">
        <f>IF('asset_&amp;_open_positions'!$C159="","",'asset_&amp;_open_positions'!$E159)</f>
        <v>WAVAX</v>
      </c>
      <c r="P159" s="42">
        <f>IF('asset_&amp;_open_positions'!$C159="","",'asset_&amp;_open_positions'!$H159)</f>
        <v>15.396165307459</v>
      </c>
      <c r="Q159" s="78" t="str">
        <f>IF(OR('asset_&amp;_open_positions'!$C159="",'asset_&amp;_open_positions'!$J159="SWAP",'asset_&amp;_open_positions'!$J159="FUTURE",'asset_&amp;_open_positions'!$J159="CME FUTURE"),"",'asset_&amp;_open_positions'!$M159)</f>
        <v>WAVAX</v>
      </c>
      <c r="R159" s="42">
        <f>IF(OR('asset_&amp;_open_positions'!$C159="",'asset_&amp;_open_positions'!$J159="SWAP",'asset_&amp;_open_positions'!$J159="FUTURE",'asset_&amp;_open_positions'!$J159="CME FUTURE"),"",'asset_&amp;_open_positions'!$H159)</f>
        <v>15.396165307459</v>
      </c>
    </row>
    <row r="160" spans="15:18" x14ac:dyDescent="0.25">
      <c r="O160" s="78" t="str">
        <f>IF('asset_&amp;_open_positions'!$C160="","",'asset_&amp;_open_positions'!$E160)</f>
        <v>WETH</v>
      </c>
      <c r="P160" s="42">
        <f>IF('asset_&amp;_open_positions'!$C160="","",'asset_&amp;_open_positions'!$H160)</f>
        <v>1417.0658641308501</v>
      </c>
      <c r="Q160" s="78" t="str">
        <f>IF(OR('asset_&amp;_open_positions'!$C160="",'asset_&amp;_open_positions'!$J160="SWAP",'asset_&amp;_open_positions'!$J160="FUTURE",'asset_&amp;_open_positions'!$J160="CME FUTURE"),"",'asset_&amp;_open_positions'!$M160)</f>
        <v>WETH</v>
      </c>
      <c r="R160" s="42">
        <f>IF(OR('asset_&amp;_open_positions'!$C160="",'asset_&amp;_open_positions'!$J160="SWAP",'asset_&amp;_open_positions'!$J160="FUTURE",'asset_&amp;_open_positions'!$J160="CME FUTURE"),"",'asset_&amp;_open_positions'!$H160)</f>
        <v>1417.0658641308501</v>
      </c>
    </row>
    <row r="161" spans="15:18" x14ac:dyDescent="0.25">
      <c r="O161" s="78" t="str">
        <f>IF('asset_&amp;_open_positions'!$C161="","",'asset_&amp;_open_positions'!$E161)</f>
        <v>CRV</v>
      </c>
      <c r="P161" s="42">
        <f>IF('asset_&amp;_open_positions'!$C161="","",'asset_&amp;_open_positions'!$H161)</f>
        <v>0.68911612905516495</v>
      </c>
      <c r="Q161" s="78" t="str">
        <f>IF(OR('asset_&amp;_open_positions'!$C161="",'asset_&amp;_open_positions'!$J161="SWAP",'asset_&amp;_open_positions'!$J161="FUTURE",'asset_&amp;_open_positions'!$J161="CME FUTURE"),"",'asset_&amp;_open_positions'!$M161)</f>
        <v>CRV</v>
      </c>
      <c r="R161" s="42">
        <f>IF(OR('asset_&amp;_open_positions'!$C161="",'asset_&amp;_open_positions'!$J161="SWAP",'asset_&amp;_open_positions'!$J161="FUTURE",'asset_&amp;_open_positions'!$J161="CME FUTURE"),"",'asset_&amp;_open_positions'!$H161)</f>
        <v>0.68911612905516495</v>
      </c>
    </row>
    <row r="162" spans="15:18" x14ac:dyDescent="0.25">
      <c r="O162" s="78" t="str">
        <f>IF('asset_&amp;_open_positions'!$C162="","",'asset_&amp;_open_positions'!$E162)</f>
        <v>CVX</v>
      </c>
      <c r="P162" s="42">
        <f>IF('asset_&amp;_open_positions'!$C162="","",'asset_&amp;_open_positions'!$H162)</f>
        <v>3.54766907885953</v>
      </c>
      <c r="Q162" s="78" t="str">
        <f>IF(OR('asset_&amp;_open_positions'!$C162="",'asset_&amp;_open_positions'!$J162="SWAP",'asset_&amp;_open_positions'!$J162="FUTURE",'asset_&amp;_open_positions'!$J162="CME FUTURE"),"",'asset_&amp;_open_positions'!$M162)</f>
        <v>CVX</v>
      </c>
      <c r="R162" s="42">
        <f>IF(OR('asset_&amp;_open_positions'!$C162="",'asset_&amp;_open_positions'!$J162="SWAP",'asset_&amp;_open_positions'!$J162="FUTURE",'asset_&amp;_open_positions'!$J162="CME FUTURE"),"",'asset_&amp;_open_positions'!$H162)</f>
        <v>3.54766907885953</v>
      </c>
    </row>
    <row r="163" spans="15:18" x14ac:dyDescent="0.25">
      <c r="O163" s="78" t="str">
        <f>IF('asset_&amp;_open_positions'!$C163="","",'asset_&amp;_open_positions'!$E163)</f>
        <v>DAI</v>
      </c>
      <c r="P163" s="42">
        <f>IF('asset_&amp;_open_positions'!$C163="","",'asset_&amp;_open_positions'!$H163)</f>
        <v>1.0000595018012099</v>
      </c>
      <c r="Q163" s="78" t="str">
        <f>IF(OR('asset_&amp;_open_positions'!$C163="",'asset_&amp;_open_positions'!$J163="SWAP",'asset_&amp;_open_positions'!$J163="FUTURE",'asset_&amp;_open_positions'!$J163="CME FUTURE"),"",'asset_&amp;_open_positions'!$M163)</f>
        <v>DAI</v>
      </c>
      <c r="R163" s="42">
        <f>IF(OR('asset_&amp;_open_positions'!$C163="",'asset_&amp;_open_positions'!$J163="SWAP",'asset_&amp;_open_positions'!$J163="FUTURE",'asset_&amp;_open_positions'!$J163="CME FUTURE"),"",'asset_&amp;_open_positions'!$H163)</f>
        <v>1.0000595018012099</v>
      </c>
    </row>
    <row r="164" spans="15:18" x14ac:dyDescent="0.25">
      <c r="O164" s="78" t="str">
        <f>IF('asset_&amp;_open_positions'!$C164="","",'asset_&amp;_open_positions'!$E164)</f>
        <v>ETH</v>
      </c>
      <c r="P164" s="42">
        <f>IF('asset_&amp;_open_positions'!$C164="","",'asset_&amp;_open_positions'!$H164)</f>
        <v>1417.9385231112101</v>
      </c>
      <c r="Q164" s="78" t="str">
        <f>IF(OR('asset_&amp;_open_positions'!$C164="",'asset_&amp;_open_positions'!$J164="SWAP",'asset_&amp;_open_positions'!$J164="FUTURE",'asset_&amp;_open_positions'!$J164="CME FUTURE"),"",'asset_&amp;_open_positions'!$M164)</f>
        <v>ETH</v>
      </c>
      <c r="R164" s="42">
        <f>IF(OR('asset_&amp;_open_positions'!$C164="",'asset_&amp;_open_positions'!$J164="SWAP",'asset_&amp;_open_positions'!$J164="FUTURE",'asset_&amp;_open_positions'!$J164="CME FUTURE"),"",'asset_&amp;_open_positions'!$H164)</f>
        <v>1417.9385231112101</v>
      </c>
    </row>
    <row r="165" spans="15:18" x14ac:dyDescent="0.25">
      <c r="O165" s="78" t="str">
        <f>IF('asset_&amp;_open_positions'!$C165="","",'asset_&amp;_open_positions'!$E165)</f>
        <v>MIM</v>
      </c>
      <c r="P165" s="42">
        <f>IF('asset_&amp;_open_positions'!$C165="","",'asset_&amp;_open_positions'!$H165)</f>
        <v>0.99788422916125696</v>
      </c>
      <c r="Q165" s="78" t="str">
        <f>IF(OR('asset_&amp;_open_positions'!$C165="",'asset_&amp;_open_positions'!$J165="SWAP",'asset_&amp;_open_positions'!$J165="FUTURE",'asset_&amp;_open_positions'!$J165="CME FUTURE"),"",'asset_&amp;_open_positions'!$M165)</f>
        <v>MIM</v>
      </c>
      <c r="R165" s="42">
        <f>IF(OR('asset_&amp;_open_positions'!$C165="",'asset_&amp;_open_positions'!$J165="SWAP",'asset_&amp;_open_positions'!$J165="FUTURE",'asset_&amp;_open_positions'!$J165="CME FUTURE"),"",'asset_&amp;_open_positions'!$H165)</f>
        <v>0.99788422916125696</v>
      </c>
    </row>
    <row r="166" spans="15:18" x14ac:dyDescent="0.25">
      <c r="O166" s="78" t="str">
        <f>IF('asset_&amp;_open_positions'!$C166="","",'asset_&amp;_open_positions'!$E166)</f>
        <v>USDC</v>
      </c>
      <c r="P166" s="42">
        <f>IF('asset_&amp;_open_positions'!$C166="","",'asset_&amp;_open_positions'!$H166)</f>
        <v>1.0000721496274001</v>
      </c>
      <c r="Q166" s="78" t="str">
        <f>IF(OR('asset_&amp;_open_positions'!$C166="",'asset_&amp;_open_positions'!$J166="SWAP",'asset_&amp;_open_positions'!$J166="FUTURE",'asset_&amp;_open_positions'!$J166="CME FUTURE"),"",'asset_&amp;_open_positions'!$M166)</f>
        <v>USDC</v>
      </c>
      <c r="R166" s="42">
        <f>IF(OR('asset_&amp;_open_positions'!$C166="",'asset_&amp;_open_positions'!$J166="SWAP",'asset_&amp;_open_positions'!$J166="FUTURE",'asset_&amp;_open_positions'!$J166="CME FUTURE"),"",'asset_&amp;_open_positions'!$H166)</f>
        <v>1.0000721496274001</v>
      </c>
    </row>
    <row r="167" spans="15:18" x14ac:dyDescent="0.25">
      <c r="O167" s="78" t="str">
        <f>IF('asset_&amp;_open_positions'!$C167="","",'asset_&amp;_open_positions'!$E167)</f>
        <v>USDT</v>
      </c>
      <c r="P167" s="42">
        <f>IF('asset_&amp;_open_positions'!$C167="","",'asset_&amp;_open_positions'!$H167)</f>
        <v>1.00009204918451</v>
      </c>
      <c r="Q167" s="78" t="str">
        <f>IF(OR('asset_&amp;_open_positions'!$C167="",'asset_&amp;_open_positions'!$J167="SWAP",'asset_&amp;_open_positions'!$J167="FUTURE",'asset_&amp;_open_positions'!$J167="CME FUTURE"),"",'asset_&amp;_open_positions'!$M167)</f>
        <v>USDT</v>
      </c>
      <c r="R167" s="42">
        <f>IF(OR('asset_&amp;_open_positions'!$C167="",'asset_&amp;_open_positions'!$J167="SWAP",'asset_&amp;_open_positions'!$J167="FUTURE",'asset_&amp;_open_positions'!$J167="CME FUTURE"),"",'asset_&amp;_open_positions'!$H167)</f>
        <v>1.00009204918451</v>
      </c>
    </row>
    <row r="168" spans="15:18" x14ac:dyDescent="0.25">
      <c r="O168" s="78" t="str">
        <f>IF('asset_&amp;_open_positions'!$C168="","",'asset_&amp;_open_positions'!$E168)</f>
        <v>ETH</v>
      </c>
      <c r="P168" s="42">
        <f>IF('asset_&amp;_open_positions'!$C168="","",'asset_&amp;_open_positions'!$H168)</f>
        <v>1417.9385231112101</v>
      </c>
      <c r="Q168" s="78" t="str">
        <f>IF(OR('asset_&amp;_open_positions'!$C168="",'asset_&amp;_open_positions'!$J168="SWAP",'asset_&amp;_open_positions'!$J168="FUTURE",'asset_&amp;_open_positions'!$J168="CME FUTURE"),"",'asset_&amp;_open_positions'!$M168)</f>
        <v>ETH</v>
      </c>
      <c r="R168" s="42">
        <f>IF(OR('asset_&amp;_open_positions'!$C168="",'asset_&amp;_open_positions'!$J168="SWAP",'asset_&amp;_open_positions'!$J168="FUTURE",'asset_&amp;_open_positions'!$J168="CME FUTURE"),"",'asset_&amp;_open_positions'!$H168)</f>
        <v>1417.9385231112101</v>
      </c>
    </row>
    <row r="169" spans="15:18" x14ac:dyDescent="0.25">
      <c r="O169" s="78" t="str">
        <f>IF('asset_&amp;_open_positions'!$C169="","",'asset_&amp;_open_positions'!$E169)</f>
        <v>ETH</v>
      </c>
      <c r="P169" s="42">
        <f>IF('asset_&amp;_open_positions'!$C169="","",'asset_&amp;_open_positions'!$H169)</f>
        <v>1417.9385231112101</v>
      </c>
      <c r="Q169" s="78" t="str">
        <f>IF(OR('asset_&amp;_open_positions'!$C169="",'asset_&amp;_open_positions'!$J169="SWAP",'asset_&amp;_open_positions'!$J169="FUTURE",'asset_&amp;_open_positions'!$J169="CME FUTURE"),"",'asset_&amp;_open_positions'!$M169)</f>
        <v>ETH</v>
      </c>
      <c r="R169" s="42">
        <f>IF(OR('asset_&amp;_open_positions'!$C169="",'asset_&amp;_open_positions'!$J169="SWAP",'asset_&amp;_open_positions'!$J169="FUTURE",'asset_&amp;_open_positions'!$J169="CME FUTURE"),"",'asset_&amp;_open_positions'!$H169)</f>
        <v>1417.9385231112101</v>
      </c>
    </row>
    <row r="170" spans="15:18" x14ac:dyDescent="0.25">
      <c r="O170" s="78" t="str">
        <f>IF('asset_&amp;_open_positions'!$C170="","",'asset_&amp;_open_positions'!$E170)</f>
        <v>OBALUSDC/BAL-30DEC22-7.6C</v>
      </c>
      <c r="P170" s="42">
        <f>IF('asset_&amp;_open_positions'!$C170="","",'asset_&amp;_open_positions'!$H170)</f>
        <v>0</v>
      </c>
      <c r="Q170" s="78" t="str">
        <f>IF(OR('asset_&amp;_open_positions'!$C170="",'asset_&amp;_open_positions'!$J170="SWAP",'asset_&amp;_open_positions'!$J170="FUTURE",'asset_&amp;_open_positions'!$J170="CME FUTURE"),"",'asset_&amp;_open_positions'!$M170)</f>
        <v>OBALUSDC/BAL-30DEC22-7.6C</v>
      </c>
      <c r="R170" s="42">
        <f>IF(OR('asset_&amp;_open_positions'!$C170="",'asset_&amp;_open_positions'!$J170="SWAP",'asset_&amp;_open_positions'!$J170="FUTURE",'asset_&amp;_open_positions'!$J170="CME FUTURE"),"",'asset_&amp;_open_positions'!$H170)</f>
        <v>0</v>
      </c>
    </row>
    <row r="171" spans="15:18" x14ac:dyDescent="0.25">
      <c r="O171" s="78" t="str">
        <f>IF('asset_&amp;_open_positions'!$C171="","",'asset_&amp;_open_positions'!$E171)</f>
        <v>OPERPUSDC/PERP-30DEC22-0.54C</v>
      </c>
      <c r="P171" s="42">
        <f>IF('asset_&amp;_open_positions'!$C171="","",'asset_&amp;_open_positions'!$H171)</f>
        <v>0</v>
      </c>
      <c r="Q171" s="78" t="str">
        <f>IF(OR('asset_&amp;_open_positions'!$C171="",'asset_&amp;_open_positions'!$J171="SWAP",'asset_&amp;_open_positions'!$J171="FUTURE",'asset_&amp;_open_positions'!$J171="CME FUTURE"),"",'asset_&amp;_open_positions'!$M171)</f>
        <v>OPERPUSDC/PERP-30DEC22-0.54C</v>
      </c>
      <c r="R171" s="42">
        <f>IF(OR('asset_&amp;_open_positions'!$C171="",'asset_&amp;_open_positions'!$J171="SWAP",'asset_&amp;_open_positions'!$J171="FUTURE",'asset_&amp;_open_positions'!$J171="CME FUTURE"),"",'asset_&amp;_open_positions'!$H171)</f>
        <v>0</v>
      </c>
    </row>
    <row r="172" spans="15:18" x14ac:dyDescent="0.25">
      <c r="O172" s="78" t="str">
        <f>IF('asset_&amp;_open_positions'!$C172="","",'asset_&amp;_open_positions'!$E172)</f>
        <v>OSPELLUSDC/SPELL-30DEC22-0.00079C</v>
      </c>
      <c r="P172" s="42">
        <f>IF('asset_&amp;_open_positions'!$C172="","",'asset_&amp;_open_positions'!$H172)</f>
        <v>0</v>
      </c>
      <c r="Q172" s="78" t="str">
        <f>IF(OR('asset_&amp;_open_positions'!$C172="",'asset_&amp;_open_positions'!$J172="SWAP",'asset_&amp;_open_positions'!$J172="FUTURE",'asset_&amp;_open_positions'!$J172="CME FUTURE"),"",'asset_&amp;_open_positions'!$M172)</f>
        <v>OSPELLUSDC/SPELL-30DEC22-0.00079C</v>
      </c>
      <c r="R172" s="42">
        <f>IF(OR('asset_&amp;_open_positions'!$C172="",'asset_&amp;_open_positions'!$J172="SWAP",'asset_&amp;_open_positions'!$J172="FUTURE",'asset_&amp;_open_positions'!$J172="CME FUTURE"),"",'asset_&amp;_open_positions'!$H172)</f>
        <v>0</v>
      </c>
    </row>
    <row r="173" spans="15:18" x14ac:dyDescent="0.25">
      <c r="O173" s="78" t="str">
        <f>IF('asset_&amp;_open_positions'!$C173="","",'asset_&amp;_open_positions'!$E173)</f>
        <v>CRV</v>
      </c>
      <c r="P173" s="42">
        <f>IF('asset_&amp;_open_positions'!$C173="","",'asset_&amp;_open_positions'!$H173)</f>
        <v>0.68911612905516495</v>
      </c>
      <c r="Q173" s="78" t="str">
        <f>IF(OR('asset_&amp;_open_positions'!$C173="",'asset_&amp;_open_positions'!$J173="SWAP",'asset_&amp;_open_positions'!$J173="FUTURE",'asset_&amp;_open_positions'!$J173="CME FUTURE"),"",'asset_&amp;_open_positions'!$M173)</f>
        <v>CRV</v>
      </c>
      <c r="R173" s="42">
        <f>IF(OR('asset_&amp;_open_positions'!$C173="",'asset_&amp;_open_positions'!$J173="SWAP",'asset_&amp;_open_positions'!$J173="FUTURE",'asset_&amp;_open_positions'!$J173="CME FUTURE"),"",'asset_&amp;_open_positions'!$H173)</f>
        <v>0.68911612905516495</v>
      </c>
    </row>
    <row r="174" spans="15:18" x14ac:dyDescent="0.25">
      <c r="O174" s="78" t="str">
        <f>IF('asset_&amp;_open_positions'!$C174="","",'asset_&amp;_open_positions'!$E174)</f>
        <v>CVX</v>
      </c>
      <c r="P174" s="42">
        <f>IF('asset_&amp;_open_positions'!$C174="","",'asset_&amp;_open_positions'!$H174)</f>
        <v>3.54766907885953</v>
      </c>
      <c r="Q174" s="78" t="str">
        <f>IF(OR('asset_&amp;_open_positions'!$C174="",'asset_&amp;_open_positions'!$J174="SWAP",'asset_&amp;_open_positions'!$J174="FUTURE",'asset_&amp;_open_positions'!$J174="CME FUTURE"),"",'asset_&amp;_open_positions'!$M174)</f>
        <v>CVX</v>
      </c>
      <c r="R174" s="42">
        <f>IF(OR('asset_&amp;_open_positions'!$C174="",'asset_&amp;_open_positions'!$J174="SWAP",'asset_&amp;_open_positions'!$J174="FUTURE",'asset_&amp;_open_positions'!$J174="CME FUTURE"),"",'asset_&amp;_open_positions'!$H174)</f>
        <v>3.54766907885953</v>
      </c>
    </row>
    <row r="175" spans="15:18" x14ac:dyDescent="0.25">
      <c r="O175" s="78" t="str">
        <f>IF('asset_&amp;_open_positions'!$C175="","",'asset_&amp;_open_positions'!$E175)</f>
        <v>ETH</v>
      </c>
      <c r="P175" s="42">
        <f>IF('asset_&amp;_open_positions'!$C175="","",'asset_&amp;_open_positions'!$H175)</f>
        <v>1417.9385231112101</v>
      </c>
      <c r="Q175" s="78" t="str">
        <f>IF(OR('asset_&amp;_open_positions'!$C175="",'asset_&amp;_open_positions'!$J175="SWAP",'asset_&amp;_open_positions'!$J175="FUTURE",'asset_&amp;_open_positions'!$J175="CME FUTURE"),"",'asset_&amp;_open_positions'!$M175)</f>
        <v>ETH</v>
      </c>
      <c r="R175" s="42">
        <f>IF(OR('asset_&amp;_open_positions'!$C175="",'asset_&amp;_open_positions'!$J175="SWAP",'asset_&amp;_open_positions'!$J175="FUTURE",'asset_&amp;_open_positions'!$J175="CME FUTURE"),"",'asset_&amp;_open_positions'!$H175)</f>
        <v>1417.9385231112101</v>
      </c>
    </row>
    <row r="176" spans="15:18" x14ac:dyDescent="0.25">
      <c r="O176" s="78" t="str">
        <f>IF('asset_&amp;_open_positions'!$C176="","",'asset_&amp;_open_positions'!$E176)</f>
        <v>ETH</v>
      </c>
      <c r="P176" s="42">
        <f>IF('asset_&amp;_open_positions'!$C176="","",'asset_&amp;_open_positions'!$H176)</f>
        <v>1417.9385231112101</v>
      </c>
      <c r="Q176" s="78" t="str">
        <f>IF(OR('asset_&amp;_open_positions'!$C176="",'asset_&amp;_open_positions'!$J176="SWAP",'asset_&amp;_open_positions'!$J176="FUTURE",'asset_&amp;_open_positions'!$J176="CME FUTURE"),"",'asset_&amp;_open_positions'!$M176)</f>
        <v>ETH</v>
      </c>
      <c r="R176" s="42">
        <f>IF(OR('asset_&amp;_open_positions'!$C176="",'asset_&amp;_open_positions'!$J176="SWAP",'asset_&amp;_open_positions'!$J176="FUTURE",'asset_&amp;_open_positions'!$J176="CME FUTURE"),"",'asset_&amp;_open_positions'!$H176)</f>
        <v>1417.9385231112101</v>
      </c>
    </row>
    <row r="177" spans="15:18" x14ac:dyDescent="0.25">
      <c r="O177" s="78" t="str">
        <f>IF('asset_&amp;_open_positions'!$C177="","",'asset_&amp;_open_positions'!$E177)</f>
        <v>ETH</v>
      </c>
      <c r="P177" s="42">
        <f>IF('asset_&amp;_open_positions'!$C177="","",'asset_&amp;_open_positions'!$H177)</f>
        <v>1417.9385231112101</v>
      </c>
      <c r="Q177" s="78" t="str">
        <f>IF(OR('asset_&amp;_open_positions'!$C177="",'asset_&amp;_open_positions'!$J177="SWAP",'asset_&amp;_open_positions'!$J177="FUTURE",'asset_&amp;_open_positions'!$J177="CME FUTURE"),"",'asset_&amp;_open_positions'!$M177)</f>
        <v>ETH</v>
      </c>
      <c r="R177" s="42">
        <f>IF(OR('asset_&amp;_open_positions'!$C177="",'asset_&amp;_open_positions'!$J177="SWAP",'asset_&amp;_open_positions'!$J177="FUTURE",'asset_&amp;_open_positions'!$J177="CME FUTURE"),"",'asset_&amp;_open_positions'!$H177)</f>
        <v>1417.9385231112101</v>
      </c>
    </row>
    <row r="178" spans="15:18" x14ac:dyDescent="0.25">
      <c r="O178" s="78" t="str">
        <f>IF('asset_&amp;_open_positions'!$C178="","",'asset_&amp;_open_positions'!$E178)</f>
        <v>FXS</v>
      </c>
      <c r="P178" s="42">
        <f>IF('asset_&amp;_open_positions'!$C178="","",'asset_&amp;_open_positions'!$H178)</f>
        <v>6.4643817898580496</v>
      </c>
      <c r="Q178" s="78" t="str">
        <f>IF(OR('asset_&amp;_open_positions'!$C178="",'asset_&amp;_open_positions'!$J178="SWAP",'asset_&amp;_open_positions'!$J178="FUTURE",'asset_&amp;_open_positions'!$J178="CME FUTURE"),"",'asset_&amp;_open_positions'!$M178)</f>
        <v>FXS</v>
      </c>
      <c r="R178" s="42">
        <f>IF(OR('asset_&amp;_open_positions'!$C178="",'asset_&amp;_open_positions'!$J178="SWAP",'asset_&amp;_open_positions'!$J178="FUTURE",'asset_&amp;_open_positions'!$J178="CME FUTURE"),"",'asset_&amp;_open_positions'!$H178)</f>
        <v>6.4643817898580496</v>
      </c>
    </row>
    <row r="179" spans="15:18" x14ac:dyDescent="0.25">
      <c r="O179" s="78" t="str">
        <f>IF('asset_&amp;_open_positions'!$C179="","",'asset_&amp;_open_positions'!$E179)</f>
        <v>FXS</v>
      </c>
      <c r="P179" s="42">
        <f>IF('asset_&amp;_open_positions'!$C179="","",'asset_&amp;_open_positions'!$H179)</f>
        <v>6.4643817898580496</v>
      </c>
      <c r="Q179" s="78" t="str">
        <f>IF(OR('asset_&amp;_open_positions'!$C179="",'asset_&amp;_open_positions'!$J179="SWAP",'asset_&amp;_open_positions'!$J179="FUTURE",'asset_&amp;_open_positions'!$J179="CME FUTURE"),"",'asset_&amp;_open_positions'!$M179)</f>
        <v>FXS</v>
      </c>
      <c r="R179" s="42">
        <f>IF(OR('asset_&amp;_open_positions'!$C179="",'asset_&amp;_open_positions'!$J179="SWAP",'asset_&amp;_open_positions'!$J179="FUTURE",'asset_&amp;_open_positions'!$J179="CME FUTURE"),"",'asset_&amp;_open_positions'!$H179)</f>
        <v>6.4643817898580496</v>
      </c>
    </row>
    <row r="180" spans="15:18" x14ac:dyDescent="0.25">
      <c r="O180" s="78" t="str">
        <f>IF('asset_&amp;_open_positions'!$C180="","",'asset_&amp;_open_positions'!$E180)</f>
        <v>USDC</v>
      </c>
      <c r="P180" s="42">
        <f>IF('asset_&amp;_open_positions'!$C180="","",'asset_&amp;_open_positions'!$H180)</f>
        <v>1.0000721496274001</v>
      </c>
      <c r="Q180" s="78" t="str">
        <f>IF(OR('asset_&amp;_open_positions'!$C180="",'asset_&amp;_open_positions'!$J180="SWAP",'asset_&amp;_open_positions'!$J180="FUTURE",'asset_&amp;_open_positions'!$J180="CME FUTURE"),"",'asset_&amp;_open_positions'!$M180)</f>
        <v>USDC</v>
      </c>
      <c r="R180" s="42">
        <f>IF(OR('asset_&amp;_open_positions'!$C180="",'asset_&amp;_open_positions'!$J180="SWAP",'asset_&amp;_open_positions'!$J180="FUTURE",'asset_&amp;_open_positions'!$J180="CME FUTURE"),"",'asset_&amp;_open_positions'!$H180)</f>
        <v>1.0000721496274001</v>
      </c>
    </row>
    <row r="181" spans="15:18" x14ac:dyDescent="0.25">
      <c r="O181" s="78" t="str">
        <f>IF('asset_&amp;_open_positions'!$C181="","",'asset_&amp;_open_positions'!$E181)</f>
        <v>USDC</v>
      </c>
      <c r="P181" s="42">
        <f>IF('asset_&amp;_open_positions'!$C181="","",'asset_&amp;_open_positions'!$H181)</f>
        <v>1.0000721496274001</v>
      </c>
      <c r="Q181" s="78" t="str">
        <f>IF(OR('asset_&amp;_open_positions'!$C181="",'asset_&amp;_open_positions'!$J181="SWAP",'asset_&amp;_open_positions'!$J181="FUTURE",'asset_&amp;_open_positions'!$J181="CME FUTURE"),"",'asset_&amp;_open_positions'!$M181)</f>
        <v>USDC</v>
      </c>
      <c r="R181" s="42">
        <f>IF(OR('asset_&amp;_open_positions'!$C181="",'asset_&amp;_open_positions'!$J181="SWAP",'asset_&amp;_open_positions'!$J181="FUTURE",'asset_&amp;_open_positions'!$J181="CME FUTURE"),"",'asset_&amp;_open_positions'!$H181)</f>
        <v>1.0000721496274001</v>
      </c>
    </row>
    <row r="182" spans="15:18" x14ac:dyDescent="0.25">
      <c r="O182" s="78" t="str">
        <f>IF('asset_&amp;_open_positions'!$C182="","",'asset_&amp;_open_positions'!$E182)</f>
        <v>ADA</v>
      </c>
      <c r="P182" s="42">
        <f>IF('asset_&amp;_open_positions'!$C182="","",'asset_&amp;_open_positions'!$H182)</f>
        <v>0.329758474743375</v>
      </c>
      <c r="Q182" s="78" t="str">
        <f>IF(OR('asset_&amp;_open_positions'!$C182="",'asset_&amp;_open_positions'!$J182="SWAP",'asset_&amp;_open_positions'!$J182="FUTURE",'asset_&amp;_open_positions'!$J182="CME FUTURE"),"",'asset_&amp;_open_positions'!$M182)</f>
        <v>ADA</v>
      </c>
      <c r="R182" s="42">
        <f>IF(OR('asset_&amp;_open_positions'!$C182="",'asset_&amp;_open_positions'!$J182="SWAP",'asset_&amp;_open_positions'!$J182="FUTURE",'asset_&amp;_open_positions'!$J182="CME FUTURE"),"",'asset_&amp;_open_positions'!$H182)</f>
        <v>0.329758474743375</v>
      </c>
    </row>
    <row r="183" spans="15:18" x14ac:dyDescent="0.25">
      <c r="O183" s="78" t="str">
        <f>IF('asset_&amp;_open_positions'!$C183="","",'asset_&amp;_open_positions'!$E183)</f>
        <v>BCH</v>
      </c>
      <c r="P183" s="42">
        <f>IF('asset_&amp;_open_positions'!$C183="","",'asset_&amp;_open_positions'!$H183)</f>
        <v>119.710466137412</v>
      </c>
      <c r="Q183" s="78" t="str">
        <f>IF(OR('asset_&amp;_open_positions'!$C183="",'asset_&amp;_open_positions'!$J183="SWAP",'asset_&amp;_open_positions'!$J183="FUTURE",'asset_&amp;_open_positions'!$J183="CME FUTURE"),"",'asset_&amp;_open_positions'!$M183)</f>
        <v>BCH</v>
      </c>
      <c r="R183" s="42">
        <f>IF(OR('asset_&amp;_open_positions'!$C183="",'asset_&amp;_open_positions'!$J183="SWAP",'asset_&amp;_open_positions'!$J183="FUTURE",'asset_&amp;_open_positions'!$J183="CME FUTURE"),"",'asset_&amp;_open_positions'!$H183)</f>
        <v>119.710466137412</v>
      </c>
    </row>
    <row r="184" spans="15:18" x14ac:dyDescent="0.25">
      <c r="O184" s="78" t="str">
        <f>IF('asset_&amp;_open_positions'!$C184="","",'asset_&amp;_open_positions'!$E184)</f>
        <v>BSV</v>
      </c>
      <c r="P184" s="42">
        <f>IF('asset_&amp;_open_positions'!$C184="","",'asset_&amp;_open_positions'!$H184)</f>
        <v>42.1479859749927</v>
      </c>
      <c r="Q184" s="78" t="str">
        <f>IF(OR('asset_&amp;_open_positions'!$C184="",'asset_&amp;_open_positions'!$J184="SWAP",'asset_&amp;_open_positions'!$J184="FUTURE",'asset_&amp;_open_positions'!$J184="CME FUTURE"),"",'asset_&amp;_open_positions'!$M184)</f>
        <v>BSV</v>
      </c>
      <c r="R184" s="42">
        <f>IF(OR('asset_&amp;_open_positions'!$C184="",'asset_&amp;_open_positions'!$J184="SWAP",'asset_&amp;_open_positions'!$J184="FUTURE",'asset_&amp;_open_positions'!$J184="CME FUTURE"),"",'asset_&amp;_open_positions'!$H184)</f>
        <v>42.1479859749927</v>
      </c>
    </row>
    <row r="185" spans="15:18" x14ac:dyDescent="0.25">
      <c r="O185" s="78" t="str">
        <f>IF('asset_&amp;_open_positions'!$C185="","",'asset_&amp;_open_positions'!$E185)</f>
        <v>BTC</v>
      </c>
      <c r="P185" s="42">
        <f>IF('asset_&amp;_open_positions'!$C185="","",'asset_&amp;_open_positions'!$H185)</f>
        <v>18869.5880552655</v>
      </c>
      <c r="Q185" s="78" t="str">
        <f>IF(OR('asset_&amp;_open_positions'!$C185="",'asset_&amp;_open_positions'!$J185="SWAP",'asset_&amp;_open_positions'!$J185="FUTURE",'asset_&amp;_open_positions'!$J185="CME FUTURE"),"",'asset_&amp;_open_positions'!$M185)</f>
        <v>BTC</v>
      </c>
      <c r="R185" s="42">
        <f>IF(OR('asset_&amp;_open_positions'!$C185="",'asset_&amp;_open_positions'!$J185="SWAP",'asset_&amp;_open_positions'!$J185="FUTURE",'asset_&amp;_open_positions'!$J185="CME FUTURE"),"",'asset_&amp;_open_positions'!$H185)</f>
        <v>18869.5880552655</v>
      </c>
    </row>
    <row r="186" spans="15:18" x14ac:dyDescent="0.25">
      <c r="O186" s="78" t="str">
        <f>IF('asset_&amp;_open_positions'!$C186="","",'asset_&amp;_open_positions'!$E186)</f>
        <v>EOS</v>
      </c>
      <c r="P186" s="42">
        <f>IF('asset_&amp;_open_positions'!$C186="","",'asset_&amp;_open_positions'!$H186)</f>
        <v>0.990242476806942</v>
      </c>
      <c r="Q186" s="78" t="str">
        <f>IF(OR('asset_&amp;_open_positions'!$C186="",'asset_&amp;_open_positions'!$J186="SWAP",'asset_&amp;_open_positions'!$J186="FUTURE",'asset_&amp;_open_positions'!$J186="CME FUTURE"),"",'asset_&amp;_open_positions'!$M186)</f>
        <v>EOS</v>
      </c>
      <c r="R186" s="42">
        <f>IF(OR('asset_&amp;_open_positions'!$C186="",'asset_&amp;_open_positions'!$J186="SWAP",'asset_&amp;_open_positions'!$J186="FUTURE",'asset_&amp;_open_positions'!$J186="CME FUTURE"),"",'asset_&amp;_open_positions'!$H186)</f>
        <v>0.990242476806942</v>
      </c>
    </row>
    <row r="187" spans="15:18" x14ac:dyDescent="0.25">
      <c r="O187" s="78" t="str">
        <f>IF('asset_&amp;_open_positions'!$C187="","",'asset_&amp;_open_positions'!$E187)</f>
        <v>ETC</v>
      </c>
      <c r="P187" s="42">
        <f>IF('asset_&amp;_open_positions'!$C187="","",'asset_&amp;_open_positions'!$H187)</f>
        <v>20.917758217744002</v>
      </c>
      <c r="Q187" s="78" t="str">
        <f>IF(OR('asset_&amp;_open_positions'!$C187="",'asset_&amp;_open_positions'!$J187="SWAP",'asset_&amp;_open_positions'!$J187="FUTURE",'asset_&amp;_open_positions'!$J187="CME FUTURE"),"",'asset_&amp;_open_positions'!$M187)</f>
        <v>ETC</v>
      </c>
      <c r="R187" s="42">
        <f>IF(OR('asset_&amp;_open_positions'!$C187="",'asset_&amp;_open_positions'!$J187="SWAP",'asset_&amp;_open_positions'!$J187="FUTURE",'asset_&amp;_open_positions'!$J187="CME FUTURE"),"",'asset_&amp;_open_positions'!$H187)</f>
        <v>20.917758217744002</v>
      </c>
    </row>
    <row r="188" spans="15:18" x14ac:dyDescent="0.25">
      <c r="O188" s="78" t="str">
        <f>IF('asset_&amp;_open_positions'!$C188="","",'asset_&amp;_open_positions'!$E188)</f>
        <v>ETH</v>
      </c>
      <c r="P188" s="42">
        <f>IF('asset_&amp;_open_positions'!$C188="","",'asset_&amp;_open_positions'!$H188)</f>
        <v>1417.9385231112101</v>
      </c>
      <c r="Q188" s="78" t="str">
        <f>IF(OR('asset_&amp;_open_positions'!$C188="",'asset_&amp;_open_positions'!$J188="SWAP",'asset_&amp;_open_positions'!$J188="FUTURE",'asset_&amp;_open_positions'!$J188="CME FUTURE"),"",'asset_&amp;_open_positions'!$M188)</f>
        <v>ETH</v>
      </c>
      <c r="R188" s="42">
        <f>IF(OR('asset_&amp;_open_positions'!$C188="",'asset_&amp;_open_positions'!$J188="SWAP",'asset_&amp;_open_positions'!$J188="FUTURE",'asset_&amp;_open_positions'!$J188="CME FUTURE"),"",'asset_&amp;_open_positions'!$H188)</f>
        <v>1417.9385231112101</v>
      </c>
    </row>
    <row r="189" spans="15:18" x14ac:dyDescent="0.25">
      <c r="O189" s="78" t="str">
        <f>IF('asset_&amp;_open_positions'!$C189="","",'asset_&amp;_open_positions'!$E189)</f>
        <v>LTC</v>
      </c>
      <c r="P189" s="42">
        <f>IF('asset_&amp;_open_positions'!$C189="","",'asset_&amp;_open_positions'!$H189)</f>
        <v>85.964229450756093</v>
      </c>
      <c r="Q189" s="78" t="str">
        <f>IF(OR('asset_&amp;_open_positions'!$C189="",'asset_&amp;_open_positions'!$J189="SWAP",'asset_&amp;_open_positions'!$J189="FUTURE",'asset_&amp;_open_positions'!$J189="CME FUTURE"),"",'asset_&amp;_open_positions'!$M189)</f>
        <v>LTC</v>
      </c>
      <c r="R189" s="42">
        <f>IF(OR('asset_&amp;_open_positions'!$C189="",'asset_&amp;_open_positions'!$J189="SWAP",'asset_&amp;_open_positions'!$J189="FUTURE",'asset_&amp;_open_positions'!$J189="CME FUTURE"),"",'asset_&amp;_open_positions'!$H189)</f>
        <v>85.964229450756093</v>
      </c>
    </row>
    <row r="190" spans="15:18" x14ac:dyDescent="0.25">
      <c r="O190" s="78" t="str">
        <f>IF('asset_&amp;_open_positions'!$C190="","",'asset_&amp;_open_positions'!$E190)</f>
        <v>TRX</v>
      </c>
      <c r="P190" s="42">
        <f>IF('asset_&amp;_open_positions'!$C190="","",'asset_&amp;_open_positions'!$H190)</f>
        <v>5.7111199630631597E-2</v>
      </c>
      <c r="Q190" s="78" t="str">
        <f>IF(OR('asset_&amp;_open_positions'!$C190="",'asset_&amp;_open_positions'!$J190="SWAP",'asset_&amp;_open_positions'!$J190="FUTURE",'asset_&amp;_open_positions'!$J190="CME FUTURE"),"",'asset_&amp;_open_positions'!$M190)</f>
        <v>TRX</v>
      </c>
      <c r="R190" s="42">
        <f>IF(OR('asset_&amp;_open_positions'!$C190="",'asset_&amp;_open_positions'!$J190="SWAP",'asset_&amp;_open_positions'!$J190="FUTURE",'asset_&amp;_open_positions'!$J190="CME FUTURE"),"",'asset_&amp;_open_positions'!$H190)</f>
        <v>5.7111199630631597E-2</v>
      </c>
    </row>
    <row r="191" spans="15:18" x14ac:dyDescent="0.25">
      <c r="O191" s="78" t="str">
        <f>IF('asset_&amp;_open_positions'!$C191="","",'asset_&amp;_open_positions'!$E191)</f>
        <v>XRP</v>
      </c>
      <c r="P191" s="42">
        <f>IF('asset_&amp;_open_positions'!$C191="","",'asset_&amp;_open_positions'!$H191)</f>
        <v>0.37519714224190098</v>
      </c>
      <c r="Q191" s="78" t="str">
        <f>IF(OR('asset_&amp;_open_positions'!$C191="",'asset_&amp;_open_positions'!$J191="SWAP",'asset_&amp;_open_positions'!$J191="FUTURE",'asset_&amp;_open_positions'!$J191="CME FUTURE"),"",'asset_&amp;_open_positions'!$M191)</f>
        <v>XRP</v>
      </c>
      <c r="R191" s="42">
        <f>IF(OR('asset_&amp;_open_positions'!$C191="",'asset_&amp;_open_positions'!$J191="SWAP",'asset_&amp;_open_positions'!$J191="FUTURE",'asset_&amp;_open_positions'!$J191="CME FUTURE"),"",'asset_&amp;_open_positions'!$H191)</f>
        <v>0.37519714224190098</v>
      </c>
    </row>
    <row r="192" spans="15:18" x14ac:dyDescent="0.25">
      <c r="O192" s="78" t="str">
        <f>IF('asset_&amp;_open_positions'!$C192="","",'asset_&amp;_open_positions'!$E192)</f>
        <v>ADA</v>
      </c>
      <c r="P192" s="42">
        <f>IF('asset_&amp;_open_positions'!$C192="","",'asset_&amp;_open_positions'!$H192)</f>
        <v>0.329758474743375</v>
      </c>
      <c r="Q192" s="78" t="str">
        <f>IF(OR('asset_&amp;_open_positions'!$C192="",'asset_&amp;_open_positions'!$J192="SWAP",'asset_&amp;_open_positions'!$J192="FUTURE",'asset_&amp;_open_positions'!$J192="CME FUTURE"),"",'asset_&amp;_open_positions'!$M192)</f>
        <v>ADA</v>
      </c>
      <c r="R192" s="42">
        <f>IF(OR('asset_&amp;_open_positions'!$C192="",'asset_&amp;_open_positions'!$J192="SWAP",'asset_&amp;_open_positions'!$J192="FUTURE",'asset_&amp;_open_positions'!$J192="CME FUTURE"),"",'asset_&amp;_open_positions'!$H192)</f>
        <v>0.329758474743375</v>
      </c>
    </row>
    <row r="193" spans="15:18" x14ac:dyDescent="0.25">
      <c r="O193" s="78" t="str">
        <f>IF('asset_&amp;_open_positions'!$C193="","",'asset_&amp;_open_positions'!$E193)</f>
        <v>BCH</v>
      </c>
      <c r="P193" s="42">
        <f>IF('asset_&amp;_open_positions'!$C193="","",'asset_&amp;_open_positions'!$H193)</f>
        <v>119.710466137412</v>
      </c>
      <c r="Q193" s="78" t="str">
        <f>IF(OR('asset_&amp;_open_positions'!$C193="",'asset_&amp;_open_positions'!$J193="SWAP",'asset_&amp;_open_positions'!$J193="FUTURE",'asset_&amp;_open_positions'!$J193="CME FUTURE"),"",'asset_&amp;_open_positions'!$M193)</f>
        <v>BCH</v>
      </c>
      <c r="R193" s="42">
        <f>IF(OR('asset_&amp;_open_positions'!$C193="",'asset_&amp;_open_positions'!$J193="SWAP",'asset_&amp;_open_positions'!$J193="FUTURE",'asset_&amp;_open_positions'!$J193="CME FUTURE"),"",'asset_&amp;_open_positions'!$H193)</f>
        <v>119.710466137412</v>
      </c>
    </row>
    <row r="194" spans="15:18" x14ac:dyDescent="0.25">
      <c r="O194" s="78" t="str">
        <f>IF('asset_&amp;_open_positions'!$C194="","",'asset_&amp;_open_positions'!$E194)</f>
        <v>BSV</v>
      </c>
      <c r="P194" s="42">
        <f>IF('asset_&amp;_open_positions'!$C194="","",'asset_&amp;_open_positions'!$H194)</f>
        <v>42.1479859749927</v>
      </c>
      <c r="Q194" s="78" t="str">
        <f>IF(OR('asset_&amp;_open_positions'!$C194="",'asset_&amp;_open_positions'!$J194="SWAP",'asset_&amp;_open_positions'!$J194="FUTURE",'asset_&amp;_open_positions'!$J194="CME FUTURE"),"",'asset_&amp;_open_positions'!$M194)</f>
        <v>BSV</v>
      </c>
      <c r="R194" s="42">
        <f>IF(OR('asset_&amp;_open_positions'!$C194="",'asset_&amp;_open_positions'!$J194="SWAP",'asset_&amp;_open_positions'!$J194="FUTURE",'asset_&amp;_open_positions'!$J194="CME FUTURE"),"",'asset_&amp;_open_positions'!$H194)</f>
        <v>42.1479859749927</v>
      </c>
    </row>
    <row r="195" spans="15:18" x14ac:dyDescent="0.25">
      <c r="O195" s="78" t="str">
        <f>IF('asset_&amp;_open_positions'!$C195="","",'asset_&amp;_open_positions'!$E195)</f>
        <v>BTC</v>
      </c>
      <c r="P195" s="42">
        <f>IF('asset_&amp;_open_positions'!$C195="","",'asset_&amp;_open_positions'!$H195)</f>
        <v>18869.5880552655</v>
      </c>
      <c r="Q195" s="78" t="str">
        <f>IF(OR('asset_&amp;_open_positions'!$C195="",'asset_&amp;_open_positions'!$J195="SWAP",'asset_&amp;_open_positions'!$J195="FUTURE",'asset_&amp;_open_positions'!$J195="CME FUTURE"),"",'asset_&amp;_open_positions'!$M195)</f>
        <v>BTC</v>
      </c>
      <c r="R195" s="42">
        <f>IF(OR('asset_&amp;_open_positions'!$C195="",'asset_&amp;_open_positions'!$J195="SWAP",'asset_&amp;_open_positions'!$J195="FUTURE",'asset_&amp;_open_positions'!$J195="CME FUTURE"),"",'asset_&amp;_open_positions'!$H195)</f>
        <v>18869.5880552655</v>
      </c>
    </row>
    <row r="196" spans="15:18" x14ac:dyDescent="0.25">
      <c r="O196" s="78" t="str">
        <f>IF('asset_&amp;_open_positions'!$C196="","",'asset_&amp;_open_positions'!$E196)</f>
        <v>DOT</v>
      </c>
      <c r="P196" s="42">
        <f>IF('asset_&amp;_open_positions'!$C196="","",'asset_&amp;_open_positions'!$H196)</f>
        <v>5.2294779390740098</v>
      </c>
      <c r="Q196" s="78" t="str">
        <f>IF(OR('asset_&amp;_open_positions'!$C196="",'asset_&amp;_open_positions'!$J196="SWAP",'asset_&amp;_open_positions'!$J196="FUTURE",'asset_&amp;_open_positions'!$J196="CME FUTURE"),"",'asset_&amp;_open_positions'!$M196)</f>
        <v>DOT</v>
      </c>
      <c r="R196" s="42">
        <f>IF(OR('asset_&amp;_open_positions'!$C196="",'asset_&amp;_open_positions'!$J196="SWAP",'asset_&amp;_open_positions'!$J196="FUTURE",'asset_&amp;_open_positions'!$J196="CME FUTURE"),"",'asset_&amp;_open_positions'!$H196)</f>
        <v>5.2294779390740098</v>
      </c>
    </row>
    <row r="197" spans="15:18" x14ac:dyDescent="0.25">
      <c r="O197" s="78" t="str">
        <f>IF('asset_&amp;_open_positions'!$C197="","",'asset_&amp;_open_positions'!$E197)</f>
        <v>EOS</v>
      </c>
      <c r="P197" s="42">
        <f>IF('asset_&amp;_open_positions'!$C197="","",'asset_&amp;_open_positions'!$H197)</f>
        <v>0.990242476806942</v>
      </c>
      <c r="Q197" s="78" t="str">
        <f>IF(OR('asset_&amp;_open_positions'!$C197="",'asset_&amp;_open_positions'!$J197="SWAP",'asset_&amp;_open_positions'!$J197="FUTURE",'asset_&amp;_open_positions'!$J197="CME FUTURE"),"",'asset_&amp;_open_positions'!$M197)</f>
        <v>EOS</v>
      </c>
      <c r="R197" s="42">
        <f>IF(OR('asset_&amp;_open_positions'!$C197="",'asset_&amp;_open_positions'!$J197="SWAP",'asset_&amp;_open_positions'!$J197="FUTURE",'asset_&amp;_open_positions'!$J197="CME FUTURE"),"",'asset_&amp;_open_positions'!$H197)</f>
        <v>0.990242476806942</v>
      </c>
    </row>
    <row r="198" spans="15:18" x14ac:dyDescent="0.25">
      <c r="O198" s="78" t="str">
        <f>IF('asset_&amp;_open_positions'!$C198="","",'asset_&amp;_open_positions'!$E198)</f>
        <v>ETC</v>
      </c>
      <c r="P198" s="42">
        <f>IF('asset_&amp;_open_positions'!$C198="","",'asset_&amp;_open_positions'!$H198)</f>
        <v>20.917758217744002</v>
      </c>
      <c r="Q198" s="78" t="str">
        <f>IF(OR('asset_&amp;_open_positions'!$C198="",'asset_&amp;_open_positions'!$J198="SWAP",'asset_&amp;_open_positions'!$J198="FUTURE",'asset_&amp;_open_positions'!$J198="CME FUTURE"),"",'asset_&amp;_open_positions'!$M198)</f>
        <v>ETC</v>
      </c>
      <c r="R198" s="42">
        <f>IF(OR('asset_&amp;_open_positions'!$C198="",'asset_&amp;_open_positions'!$J198="SWAP",'asset_&amp;_open_positions'!$J198="FUTURE",'asset_&amp;_open_positions'!$J198="CME FUTURE"),"",'asset_&amp;_open_positions'!$H198)</f>
        <v>20.917758217744002</v>
      </c>
    </row>
    <row r="199" spans="15:18" x14ac:dyDescent="0.25">
      <c r="O199" s="78" t="str">
        <f>IF('asset_&amp;_open_positions'!$C199="","",'asset_&amp;_open_positions'!$E199)</f>
        <v>ETH</v>
      </c>
      <c r="P199" s="42">
        <f>IF('asset_&amp;_open_positions'!$C199="","",'asset_&amp;_open_positions'!$H199)</f>
        <v>1417.9385231112101</v>
      </c>
      <c r="Q199" s="78" t="str">
        <f>IF(OR('asset_&amp;_open_positions'!$C199="",'asset_&amp;_open_positions'!$J199="SWAP",'asset_&amp;_open_positions'!$J199="FUTURE",'asset_&amp;_open_positions'!$J199="CME FUTURE"),"",'asset_&amp;_open_positions'!$M199)</f>
        <v>ETH</v>
      </c>
      <c r="R199" s="42">
        <f>IF(OR('asset_&amp;_open_positions'!$C199="",'asset_&amp;_open_positions'!$J199="SWAP",'asset_&amp;_open_positions'!$J199="FUTURE",'asset_&amp;_open_positions'!$J199="CME FUTURE"),"",'asset_&amp;_open_positions'!$H199)</f>
        <v>1417.9385231112101</v>
      </c>
    </row>
    <row r="200" spans="15:18" x14ac:dyDescent="0.25">
      <c r="O200" s="78" t="str">
        <f>IF('asset_&amp;_open_positions'!$C200="","",'asset_&amp;_open_positions'!$E200)</f>
        <v>LINK</v>
      </c>
      <c r="P200" s="42">
        <f>IF('asset_&amp;_open_positions'!$C200="","",'asset_&amp;_open_positions'!$H200)</f>
        <v>6.38133155243787</v>
      </c>
      <c r="Q200" s="78" t="str">
        <f>IF(OR('asset_&amp;_open_positions'!$C200="",'asset_&amp;_open_positions'!$J200="SWAP",'asset_&amp;_open_positions'!$J200="FUTURE",'asset_&amp;_open_positions'!$J200="CME FUTURE"),"",'asset_&amp;_open_positions'!$M200)</f>
        <v>LINK</v>
      </c>
      <c r="R200" s="42">
        <f>IF(OR('asset_&amp;_open_positions'!$C200="",'asset_&amp;_open_positions'!$J200="SWAP",'asset_&amp;_open_positions'!$J200="FUTURE",'asset_&amp;_open_positions'!$J200="CME FUTURE"),"",'asset_&amp;_open_positions'!$H200)</f>
        <v>6.38133155243787</v>
      </c>
    </row>
    <row r="201" spans="15:18" x14ac:dyDescent="0.25">
      <c r="O201" s="78" t="str">
        <f>IF('asset_&amp;_open_positions'!$C201="","",'asset_&amp;_open_positions'!$E201)</f>
        <v>LTC</v>
      </c>
      <c r="P201" s="42">
        <f>IF('asset_&amp;_open_positions'!$C201="","",'asset_&amp;_open_positions'!$H201)</f>
        <v>85.964229450756093</v>
      </c>
      <c r="Q201" s="78" t="str">
        <f>IF(OR('asset_&amp;_open_positions'!$C201="",'asset_&amp;_open_positions'!$J201="SWAP",'asset_&amp;_open_positions'!$J201="FUTURE",'asset_&amp;_open_positions'!$J201="CME FUTURE"),"",'asset_&amp;_open_positions'!$M201)</f>
        <v>LTC</v>
      </c>
      <c r="R201" s="42">
        <f>IF(OR('asset_&amp;_open_positions'!$C201="",'asset_&amp;_open_positions'!$J201="SWAP",'asset_&amp;_open_positions'!$J201="FUTURE",'asset_&amp;_open_positions'!$J201="CME FUTURE"),"",'asset_&amp;_open_positions'!$H201)</f>
        <v>85.964229450756093</v>
      </c>
    </row>
    <row r="202" spans="15:18" x14ac:dyDescent="0.25">
      <c r="O202" s="78" t="str">
        <f>IF('asset_&amp;_open_positions'!$C202="","",'asset_&amp;_open_positions'!$E202)</f>
        <v>TRX</v>
      </c>
      <c r="P202" s="42">
        <f>IF('asset_&amp;_open_positions'!$C202="","",'asset_&amp;_open_positions'!$H202)</f>
        <v>5.7111199630631597E-2</v>
      </c>
      <c r="Q202" s="78" t="str">
        <f>IF(OR('asset_&amp;_open_positions'!$C202="",'asset_&amp;_open_positions'!$J202="SWAP",'asset_&amp;_open_positions'!$J202="FUTURE",'asset_&amp;_open_positions'!$J202="CME FUTURE"),"",'asset_&amp;_open_positions'!$M202)</f>
        <v>TRX</v>
      </c>
      <c r="R202" s="42">
        <f>IF(OR('asset_&amp;_open_positions'!$C202="",'asset_&amp;_open_positions'!$J202="SWAP",'asset_&amp;_open_positions'!$J202="FUTURE",'asset_&amp;_open_positions'!$J202="CME FUTURE"),"",'asset_&amp;_open_positions'!$H202)</f>
        <v>5.7111199630631597E-2</v>
      </c>
    </row>
    <row r="203" spans="15:18" x14ac:dyDescent="0.25">
      <c r="O203" s="78" t="str">
        <f>IF('asset_&amp;_open_positions'!$C203="","",'asset_&amp;_open_positions'!$E203)</f>
        <v>XRP</v>
      </c>
      <c r="P203" s="42">
        <f>IF('asset_&amp;_open_positions'!$C203="","",'asset_&amp;_open_positions'!$H203)</f>
        <v>0.37519714224190098</v>
      </c>
      <c r="Q203" s="78" t="str">
        <f>IF(OR('asset_&amp;_open_positions'!$C203="",'asset_&amp;_open_positions'!$J203="SWAP",'asset_&amp;_open_positions'!$J203="FUTURE",'asset_&amp;_open_positions'!$J203="CME FUTURE"),"",'asset_&amp;_open_positions'!$M203)</f>
        <v>XRP</v>
      </c>
      <c r="R203" s="42">
        <f>IF(OR('asset_&amp;_open_positions'!$C203="",'asset_&amp;_open_positions'!$J203="SWAP",'asset_&amp;_open_positions'!$J203="FUTURE",'asset_&amp;_open_positions'!$J203="CME FUTURE"),"",'asset_&amp;_open_positions'!$H203)</f>
        <v>0.37519714224190098</v>
      </c>
    </row>
    <row r="204" spans="15:18" x14ac:dyDescent="0.25">
      <c r="O204" s="78" t="str">
        <f>IF('asset_&amp;_open_positions'!$C204="","",'asset_&amp;_open_positions'!$E204)</f>
        <v>BTC</v>
      </c>
      <c r="P204" s="42">
        <f>IF('asset_&amp;_open_positions'!$C204="","",'asset_&amp;_open_positions'!$H204)</f>
        <v>18869.5880552655</v>
      </c>
      <c r="Q204" s="78" t="str">
        <f>IF(OR('asset_&amp;_open_positions'!$C204="",'asset_&amp;_open_positions'!$J204="SWAP",'asset_&amp;_open_positions'!$J204="FUTURE",'asset_&amp;_open_positions'!$J204="CME FUTURE"),"",'asset_&amp;_open_positions'!$M204)</f>
        <v>BTC</v>
      </c>
      <c r="R204" s="42">
        <f>IF(OR('asset_&amp;_open_positions'!$C204="",'asset_&amp;_open_positions'!$J204="SWAP",'asset_&amp;_open_positions'!$J204="FUTURE",'asset_&amp;_open_positions'!$J204="CME FUTURE"),"",'asset_&amp;_open_positions'!$H204)</f>
        <v>18869.5880552655</v>
      </c>
    </row>
    <row r="205" spans="15:18" x14ac:dyDescent="0.25">
      <c r="O205" s="78" t="str">
        <f>IF('asset_&amp;_open_positions'!$C205="","",'asset_&amp;_open_positions'!$E205)</f>
        <v>USDT</v>
      </c>
      <c r="P205" s="42">
        <f>IF('asset_&amp;_open_positions'!$C205="","",'asset_&amp;_open_positions'!$H205)</f>
        <v>1.00009204918451</v>
      </c>
      <c r="Q205" s="78" t="str">
        <f>IF(OR('asset_&amp;_open_positions'!$C205="",'asset_&amp;_open_positions'!$J205="SWAP",'asset_&amp;_open_positions'!$J205="FUTURE",'asset_&amp;_open_positions'!$J205="CME FUTURE"),"",'asset_&amp;_open_positions'!$M205)</f>
        <v>USDT</v>
      </c>
      <c r="R205" s="42">
        <f>IF(OR('asset_&amp;_open_positions'!$C205="",'asset_&amp;_open_positions'!$J205="SWAP",'asset_&amp;_open_positions'!$J205="FUTURE",'asset_&amp;_open_positions'!$J205="CME FUTURE"),"",'asset_&amp;_open_positions'!$H205)</f>
        <v>1.00009204918451</v>
      </c>
    </row>
    <row r="206" spans="15:18" x14ac:dyDescent="0.25">
      <c r="O206" s="78" t="str">
        <f>IF('asset_&amp;_open_positions'!$C206="","",'asset_&amp;_open_positions'!$E206)</f>
        <v>BTC</v>
      </c>
      <c r="P206" s="42">
        <f>IF('asset_&amp;_open_positions'!$C206="","",'asset_&amp;_open_positions'!$H206)</f>
        <v>18869.5880552655</v>
      </c>
      <c r="Q206" s="78" t="str">
        <f>IF(OR('asset_&amp;_open_positions'!$C206="",'asset_&amp;_open_positions'!$J206="SWAP",'asset_&amp;_open_positions'!$J206="FUTURE",'asset_&amp;_open_positions'!$J206="CME FUTURE"),"",'asset_&amp;_open_positions'!$M206)</f>
        <v>BTC</v>
      </c>
      <c r="R206" s="42">
        <f>IF(OR('asset_&amp;_open_positions'!$C206="",'asset_&amp;_open_positions'!$J206="SWAP",'asset_&amp;_open_positions'!$J206="FUTURE",'asset_&amp;_open_positions'!$J206="CME FUTURE"),"",'asset_&amp;_open_positions'!$H206)</f>
        <v>18869.5880552655</v>
      </c>
    </row>
    <row r="207" spans="15:18" x14ac:dyDescent="0.25">
      <c r="O207" s="78" t="str">
        <f>IF('asset_&amp;_open_positions'!$C207="","",'asset_&amp;_open_positions'!$E207)</f>
        <v>ETHF</v>
      </c>
      <c r="P207" s="42">
        <f>IF('asset_&amp;_open_positions'!$C207="","",'asset_&amp;_open_positions'!$H207)</f>
        <v>0.34151820064226501</v>
      </c>
      <c r="Q207" s="78" t="str">
        <f>IF(OR('asset_&amp;_open_positions'!$C207="",'asset_&amp;_open_positions'!$J207="SWAP",'asset_&amp;_open_positions'!$J207="FUTURE",'asset_&amp;_open_positions'!$J207="CME FUTURE"),"",'asset_&amp;_open_positions'!$M207)</f>
        <v>ETHF</v>
      </c>
      <c r="R207" s="42">
        <f>IF(OR('asset_&amp;_open_positions'!$C207="",'asset_&amp;_open_positions'!$J207="SWAP",'asset_&amp;_open_positions'!$J207="FUTURE",'asset_&amp;_open_positions'!$J207="CME FUTURE"),"",'asset_&amp;_open_positions'!$H207)</f>
        <v>0.34151820064226501</v>
      </c>
    </row>
    <row r="208" spans="15:18" x14ac:dyDescent="0.25">
      <c r="O208" s="78" t="str">
        <f>IF('asset_&amp;_open_positions'!$C208="","",'asset_&amp;_open_positions'!$E208)</f>
        <v>ETHW</v>
      </c>
      <c r="P208" s="42">
        <f>IF('asset_&amp;_open_positions'!$C208="","",'asset_&amp;_open_positions'!$H208)</f>
        <v>3.43409341167265</v>
      </c>
      <c r="Q208" s="78" t="str">
        <f>IF(OR('asset_&amp;_open_positions'!$C208="",'asset_&amp;_open_positions'!$J208="SWAP",'asset_&amp;_open_positions'!$J208="FUTURE",'asset_&amp;_open_positions'!$J208="CME FUTURE"),"",'asset_&amp;_open_positions'!$M208)</f>
        <v>ETHW</v>
      </c>
      <c r="R208" s="42">
        <f>IF(OR('asset_&amp;_open_positions'!$C208="",'asset_&amp;_open_positions'!$J208="SWAP",'asset_&amp;_open_positions'!$J208="FUTURE",'asset_&amp;_open_positions'!$J208="CME FUTURE"),"",'asset_&amp;_open_positions'!$H208)</f>
        <v>3.43409341167265</v>
      </c>
    </row>
    <row r="209" spans="15:18" x14ac:dyDescent="0.25">
      <c r="O209" s="78" t="str">
        <f>IF('asset_&amp;_open_positions'!$C209="","",'asset_&amp;_open_positions'!$E209)</f>
        <v>ROSE</v>
      </c>
      <c r="P209" s="42">
        <f>IF('asset_&amp;_open_positions'!$C209="","",'asset_&amp;_open_positions'!$H209)</f>
        <v>4.2196700677534803E-2</v>
      </c>
      <c r="Q209" s="78" t="str">
        <f>IF(OR('asset_&amp;_open_positions'!$C209="",'asset_&amp;_open_positions'!$J209="SWAP",'asset_&amp;_open_positions'!$J209="FUTURE",'asset_&amp;_open_positions'!$J209="CME FUTURE"),"",'asset_&amp;_open_positions'!$M209)</f>
        <v>ROSE</v>
      </c>
      <c r="R209" s="42">
        <f>IF(OR('asset_&amp;_open_positions'!$C209="",'asset_&amp;_open_positions'!$J209="SWAP",'asset_&amp;_open_positions'!$J209="FUTURE",'asset_&amp;_open_positions'!$J209="CME FUTURE"),"",'asset_&amp;_open_positions'!$H209)</f>
        <v>4.2196700677534803E-2</v>
      </c>
    </row>
    <row r="210" spans="15:18" x14ac:dyDescent="0.25">
      <c r="O210" s="78" t="str">
        <f>IF('asset_&amp;_open_positions'!$C210="","",'asset_&amp;_open_positions'!$E210)</f>
        <v>USDT</v>
      </c>
      <c r="P210" s="42">
        <f>IF('asset_&amp;_open_positions'!$C210="","",'asset_&amp;_open_positions'!$H210)</f>
        <v>1.00009204918451</v>
      </c>
      <c r="Q210" s="78" t="str">
        <f>IF(OR('asset_&amp;_open_positions'!$C210="",'asset_&amp;_open_positions'!$J210="SWAP",'asset_&amp;_open_positions'!$J210="FUTURE",'asset_&amp;_open_positions'!$J210="CME FUTURE"),"",'asset_&amp;_open_positions'!$M210)</f>
        <v>USDT</v>
      </c>
      <c r="R210" s="42">
        <f>IF(OR('asset_&amp;_open_positions'!$C210="",'asset_&amp;_open_positions'!$J210="SWAP",'asset_&amp;_open_positions'!$J210="FUTURE",'asset_&amp;_open_positions'!$J210="CME FUTURE"),"",'asset_&amp;_open_positions'!$H210)</f>
        <v>1.00009204918451</v>
      </c>
    </row>
    <row r="211" spans="15:18" x14ac:dyDescent="0.25">
      <c r="O211" s="78" t="str">
        <f>IF('asset_&amp;_open_positions'!$C211="","",'asset_&amp;_open_positions'!$E211)</f>
        <v>BTC</v>
      </c>
      <c r="P211" s="42">
        <f>IF('asset_&amp;_open_positions'!$C211="","",'asset_&amp;_open_positions'!$H211)</f>
        <v>18869.5880552655</v>
      </c>
      <c r="Q211" s="78" t="str">
        <f>IF(OR('asset_&amp;_open_positions'!$C211="",'asset_&amp;_open_positions'!$J211="SWAP",'asset_&amp;_open_positions'!$J211="FUTURE",'asset_&amp;_open_positions'!$J211="CME FUTURE"),"",'asset_&amp;_open_positions'!$M211)</f>
        <v>BTC</v>
      </c>
      <c r="R211" s="42">
        <f>IF(OR('asset_&amp;_open_positions'!$C211="",'asset_&amp;_open_positions'!$J211="SWAP",'asset_&amp;_open_positions'!$J211="FUTURE",'asset_&amp;_open_positions'!$J211="CME FUTURE"),"",'asset_&amp;_open_positions'!$H211)</f>
        <v>18869.5880552655</v>
      </c>
    </row>
    <row r="212" spans="15:18" x14ac:dyDescent="0.25">
      <c r="O212" s="78" t="str">
        <f>IF('asset_&amp;_open_positions'!$C212="","",'asset_&amp;_open_positions'!$E212)</f>
        <v>ETH</v>
      </c>
      <c r="P212" s="42">
        <f>IF('asset_&amp;_open_positions'!$C212="","",'asset_&amp;_open_positions'!$H212)</f>
        <v>1417.9385231112101</v>
      </c>
      <c r="Q212" s="78" t="str">
        <f>IF(OR('asset_&amp;_open_positions'!$C212="",'asset_&amp;_open_positions'!$J212="SWAP",'asset_&amp;_open_positions'!$J212="FUTURE",'asset_&amp;_open_positions'!$J212="CME FUTURE"),"",'asset_&amp;_open_positions'!$M212)</f>
        <v>ETH</v>
      </c>
      <c r="R212" s="42">
        <f>IF(OR('asset_&amp;_open_positions'!$C212="",'asset_&amp;_open_positions'!$J212="SWAP",'asset_&amp;_open_positions'!$J212="FUTURE",'asset_&amp;_open_positions'!$J212="CME FUTURE"),"",'asset_&amp;_open_positions'!$H212)</f>
        <v>1417.9385231112101</v>
      </c>
    </row>
    <row r="213" spans="15:18" x14ac:dyDescent="0.25">
      <c r="O213" s="78" t="str">
        <f>IF('asset_&amp;_open_positions'!$C213="","",'asset_&amp;_open_positions'!$E213)</f>
        <v>USDT</v>
      </c>
      <c r="P213" s="42">
        <f>IF('asset_&amp;_open_positions'!$C213="","",'asset_&amp;_open_positions'!$H213)</f>
        <v>1.00009204918451</v>
      </c>
      <c r="Q213" s="78" t="str">
        <f>IF(OR('asset_&amp;_open_positions'!$C213="",'asset_&amp;_open_positions'!$J213="SWAP",'asset_&amp;_open_positions'!$J213="FUTURE",'asset_&amp;_open_positions'!$J213="CME FUTURE"),"",'asset_&amp;_open_positions'!$M213)</f>
        <v>USDT</v>
      </c>
      <c r="R213" s="42">
        <f>IF(OR('asset_&amp;_open_positions'!$C213="",'asset_&amp;_open_positions'!$J213="SWAP",'asset_&amp;_open_positions'!$J213="FUTURE",'asset_&amp;_open_positions'!$J213="CME FUTURE"),"",'asset_&amp;_open_positions'!$H213)</f>
        <v>1.00009204918451</v>
      </c>
    </row>
    <row r="214" spans="15:18" x14ac:dyDescent="0.25">
      <c r="O214" s="78" t="str">
        <f>IF('asset_&amp;_open_positions'!$C214="","",'asset_&amp;_open_positions'!$E214)</f>
        <v>USDT</v>
      </c>
      <c r="P214" s="42">
        <f>IF('asset_&amp;_open_positions'!$C214="","",'asset_&amp;_open_positions'!$H214)</f>
        <v>1.00009204918451</v>
      </c>
      <c r="Q214" s="78" t="str">
        <f>IF(OR('asset_&amp;_open_positions'!$C214="",'asset_&amp;_open_positions'!$J214="SWAP",'asset_&amp;_open_positions'!$J214="FUTURE",'asset_&amp;_open_positions'!$J214="CME FUTURE"),"",'asset_&amp;_open_positions'!$M214)</f>
        <v>USDT</v>
      </c>
      <c r="R214" s="42">
        <f>IF(OR('asset_&amp;_open_positions'!$C214="",'asset_&amp;_open_positions'!$J214="SWAP",'asset_&amp;_open_positions'!$J214="FUTURE",'asset_&amp;_open_positions'!$J214="CME FUTURE"),"",'asset_&amp;_open_positions'!$H214)</f>
        <v>1.00009204918451</v>
      </c>
    </row>
    <row r="215" spans="15:18" x14ac:dyDescent="0.25">
      <c r="O215" s="78" t="str">
        <f>IF('asset_&amp;_open_positions'!$C215="","",'asset_&amp;_open_positions'!$E215)</f>
        <v>USDT</v>
      </c>
      <c r="P215" s="42">
        <f>IF('asset_&amp;_open_positions'!$C215="","",'asset_&amp;_open_positions'!$H215)</f>
        <v>1.00009204918451</v>
      </c>
      <c r="Q215" s="78" t="str">
        <f>IF(OR('asset_&amp;_open_positions'!$C215="",'asset_&amp;_open_positions'!$J215="SWAP",'asset_&amp;_open_positions'!$J215="FUTURE",'asset_&amp;_open_positions'!$J215="CME FUTURE"),"",'asset_&amp;_open_positions'!$M215)</f>
        <v>USDT</v>
      </c>
      <c r="R215" s="42">
        <f>IF(OR('asset_&amp;_open_positions'!$C215="",'asset_&amp;_open_positions'!$J215="SWAP",'asset_&amp;_open_positions'!$J215="FUTURE",'asset_&amp;_open_positions'!$J215="CME FUTURE"),"",'asset_&amp;_open_positions'!$H215)</f>
        <v>1.00009204918451</v>
      </c>
    </row>
    <row r="216" spans="15:18" x14ac:dyDescent="0.25">
      <c r="O216" s="78" t="str">
        <f>IF('asset_&amp;_open_positions'!$C216="","",'asset_&amp;_open_positions'!$E216)</f>
        <v>XRP</v>
      </c>
      <c r="P216" s="42">
        <f>IF('asset_&amp;_open_positions'!$C216="","",'asset_&amp;_open_positions'!$H216)</f>
        <v>0.37519714224190098</v>
      </c>
      <c r="Q216" s="78" t="str">
        <f>IF(OR('asset_&amp;_open_positions'!$C216="",'asset_&amp;_open_positions'!$J216="SWAP",'asset_&amp;_open_positions'!$J216="FUTURE",'asset_&amp;_open_positions'!$J216="CME FUTURE"),"",'asset_&amp;_open_positions'!$M216)</f>
        <v>XRP</v>
      </c>
      <c r="R216" s="42">
        <f>IF(OR('asset_&amp;_open_positions'!$C216="",'asset_&amp;_open_positions'!$J216="SWAP",'asset_&amp;_open_positions'!$J216="FUTURE",'asset_&amp;_open_positions'!$J216="CME FUTURE"),"",'asset_&amp;_open_positions'!$H216)</f>
        <v>0.37519714224190098</v>
      </c>
    </row>
    <row r="217" spans="15:18" x14ac:dyDescent="0.25">
      <c r="O217" s="78" t="str">
        <f>IF('asset_&amp;_open_positions'!$C217="","",'asset_&amp;_open_positions'!$E217)</f>
        <v>ADA</v>
      </c>
      <c r="P217" s="42">
        <f>IF('asset_&amp;_open_positions'!$C217="","",'asset_&amp;_open_positions'!$H217)</f>
        <v>0.329758474743375</v>
      </c>
      <c r="Q217" s="78" t="str">
        <f>IF(OR('asset_&amp;_open_positions'!$C217="",'asset_&amp;_open_positions'!$J217="SWAP",'asset_&amp;_open_positions'!$J217="FUTURE",'asset_&amp;_open_positions'!$J217="CME FUTURE"),"",'asset_&amp;_open_positions'!$M217)</f>
        <v>ADA</v>
      </c>
      <c r="R217" s="42">
        <f>IF(OR('asset_&amp;_open_positions'!$C217="",'asset_&amp;_open_positions'!$J217="SWAP",'asset_&amp;_open_positions'!$J217="FUTURE",'asset_&amp;_open_positions'!$J217="CME FUTURE"),"",'asset_&amp;_open_positions'!$H217)</f>
        <v>0.329758474743375</v>
      </c>
    </row>
    <row r="218" spans="15:18" x14ac:dyDescent="0.25">
      <c r="O218" s="78" t="str">
        <f>IF('asset_&amp;_open_positions'!$C218="","",'asset_&amp;_open_positions'!$E218)</f>
        <v>BCH</v>
      </c>
      <c r="P218" s="42">
        <f>IF('asset_&amp;_open_positions'!$C218="","",'asset_&amp;_open_positions'!$H218)</f>
        <v>119.710466137412</v>
      </c>
      <c r="Q218" s="78" t="str">
        <f>IF(OR('asset_&amp;_open_positions'!$C218="",'asset_&amp;_open_positions'!$J218="SWAP",'asset_&amp;_open_positions'!$J218="FUTURE",'asset_&amp;_open_positions'!$J218="CME FUTURE"),"",'asset_&amp;_open_positions'!$M218)</f>
        <v>BCH</v>
      </c>
      <c r="R218" s="42">
        <f>IF(OR('asset_&amp;_open_positions'!$C218="",'asset_&amp;_open_positions'!$J218="SWAP",'asset_&amp;_open_positions'!$J218="FUTURE",'asset_&amp;_open_positions'!$J218="CME FUTURE"),"",'asset_&amp;_open_positions'!$H218)</f>
        <v>119.710466137412</v>
      </c>
    </row>
    <row r="219" spans="15:18" x14ac:dyDescent="0.25">
      <c r="O219" s="78" t="str">
        <f>IF('asset_&amp;_open_positions'!$C219="","",'asset_&amp;_open_positions'!$E219)</f>
        <v>BSV</v>
      </c>
      <c r="P219" s="42">
        <f>IF('asset_&amp;_open_positions'!$C219="","",'asset_&amp;_open_positions'!$H219)</f>
        <v>42.1479859749927</v>
      </c>
      <c r="Q219" s="78" t="str">
        <f>IF(OR('asset_&amp;_open_positions'!$C219="",'asset_&amp;_open_positions'!$J219="SWAP",'asset_&amp;_open_positions'!$J219="FUTURE",'asset_&amp;_open_positions'!$J219="CME FUTURE"),"",'asset_&amp;_open_positions'!$M219)</f>
        <v>BSV</v>
      </c>
      <c r="R219" s="42">
        <f>IF(OR('asset_&amp;_open_positions'!$C219="",'asset_&amp;_open_positions'!$J219="SWAP",'asset_&amp;_open_positions'!$J219="FUTURE",'asset_&amp;_open_positions'!$J219="CME FUTURE"),"",'asset_&amp;_open_positions'!$H219)</f>
        <v>42.1479859749927</v>
      </c>
    </row>
    <row r="220" spans="15:18" x14ac:dyDescent="0.25">
      <c r="O220" s="78" t="str">
        <f>IF('asset_&amp;_open_positions'!$C220="","",'asset_&amp;_open_positions'!$E220)</f>
        <v>EOS</v>
      </c>
      <c r="P220" s="42">
        <f>IF('asset_&amp;_open_positions'!$C220="","",'asset_&amp;_open_positions'!$H220)</f>
        <v>0.990242476806942</v>
      </c>
      <c r="Q220" s="78" t="str">
        <f>IF(OR('asset_&amp;_open_positions'!$C220="",'asset_&amp;_open_positions'!$J220="SWAP",'asset_&amp;_open_positions'!$J220="FUTURE",'asset_&amp;_open_positions'!$J220="CME FUTURE"),"",'asset_&amp;_open_positions'!$M220)</f>
        <v>EOS</v>
      </c>
      <c r="R220" s="42">
        <f>IF(OR('asset_&amp;_open_positions'!$C220="",'asset_&amp;_open_positions'!$J220="SWAP",'asset_&amp;_open_positions'!$J220="FUTURE",'asset_&amp;_open_positions'!$J220="CME FUTURE"),"",'asset_&amp;_open_positions'!$H220)</f>
        <v>0.990242476806942</v>
      </c>
    </row>
    <row r="221" spans="15:18" x14ac:dyDescent="0.25">
      <c r="O221" s="78" t="str">
        <f>IF('asset_&amp;_open_positions'!$C221="","",'asset_&amp;_open_positions'!$E221)</f>
        <v>ETC</v>
      </c>
      <c r="P221" s="42">
        <f>IF('asset_&amp;_open_positions'!$C221="","",'asset_&amp;_open_positions'!$H221)</f>
        <v>20.917758217744002</v>
      </c>
      <c r="Q221" s="78" t="str">
        <f>IF(OR('asset_&amp;_open_positions'!$C221="",'asset_&amp;_open_positions'!$J221="SWAP",'asset_&amp;_open_positions'!$J221="FUTURE",'asset_&amp;_open_positions'!$J221="CME FUTURE"),"",'asset_&amp;_open_positions'!$M221)</f>
        <v>ETC</v>
      </c>
      <c r="R221" s="42">
        <f>IF(OR('asset_&amp;_open_positions'!$C221="",'asset_&amp;_open_positions'!$J221="SWAP",'asset_&amp;_open_positions'!$J221="FUTURE",'asset_&amp;_open_positions'!$J221="CME FUTURE"),"",'asset_&amp;_open_positions'!$H221)</f>
        <v>20.917758217744002</v>
      </c>
    </row>
    <row r="222" spans="15:18" x14ac:dyDescent="0.25">
      <c r="O222" s="78" t="str">
        <f>IF('asset_&amp;_open_positions'!$C222="","",'asset_&amp;_open_positions'!$E222)</f>
        <v>ETH</v>
      </c>
      <c r="P222" s="42">
        <f>IF('asset_&amp;_open_positions'!$C222="","",'asset_&amp;_open_positions'!$H222)</f>
        <v>1417.9385231112101</v>
      </c>
      <c r="Q222" s="78" t="str">
        <f>IF(OR('asset_&amp;_open_positions'!$C222="",'asset_&amp;_open_positions'!$J222="SWAP",'asset_&amp;_open_positions'!$J222="FUTURE",'asset_&amp;_open_positions'!$J222="CME FUTURE"),"",'asset_&amp;_open_positions'!$M222)</f>
        <v>ETH</v>
      </c>
      <c r="R222" s="42">
        <f>IF(OR('asset_&amp;_open_positions'!$C222="",'asset_&amp;_open_positions'!$J222="SWAP",'asset_&amp;_open_positions'!$J222="FUTURE",'asset_&amp;_open_positions'!$J222="CME FUTURE"),"",'asset_&amp;_open_positions'!$H222)</f>
        <v>1417.9385231112101</v>
      </c>
    </row>
    <row r="223" spans="15:18" x14ac:dyDescent="0.25">
      <c r="O223" s="78" t="str">
        <f>IF('asset_&amp;_open_positions'!$C223="","",'asset_&amp;_open_positions'!$E223)</f>
        <v>LINK</v>
      </c>
      <c r="P223" s="42">
        <f>IF('asset_&amp;_open_positions'!$C223="","",'asset_&amp;_open_positions'!$H223)</f>
        <v>6.38133155243787</v>
      </c>
      <c r="Q223" s="78" t="str">
        <f>IF(OR('asset_&amp;_open_positions'!$C223="",'asset_&amp;_open_positions'!$J223="SWAP",'asset_&amp;_open_positions'!$J223="FUTURE",'asset_&amp;_open_positions'!$J223="CME FUTURE"),"",'asset_&amp;_open_positions'!$M223)</f>
        <v>LINK</v>
      </c>
      <c r="R223" s="42">
        <f>IF(OR('asset_&amp;_open_positions'!$C223="",'asset_&amp;_open_positions'!$J223="SWAP",'asset_&amp;_open_positions'!$J223="FUTURE",'asset_&amp;_open_positions'!$J223="CME FUTURE"),"",'asset_&amp;_open_positions'!$H223)</f>
        <v>6.38133155243787</v>
      </c>
    </row>
    <row r="224" spans="15:18" x14ac:dyDescent="0.25">
      <c r="O224" s="78" t="str">
        <f>IF('asset_&amp;_open_positions'!$C224="","",'asset_&amp;_open_positions'!$E224)</f>
        <v>LTC</v>
      </c>
      <c r="P224" s="42">
        <f>IF('asset_&amp;_open_positions'!$C224="","",'asset_&amp;_open_positions'!$H224)</f>
        <v>85.964229450756093</v>
      </c>
      <c r="Q224" s="78" t="str">
        <f>IF(OR('asset_&amp;_open_positions'!$C224="",'asset_&amp;_open_positions'!$J224="SWAP",'asset_&amp;_open_positions'!$J224="FUTURE",'asset_&amp;_open_positions'!$J224="CME FUTURE"),"",'asset_&amp;_open_positions'!$M224)</f>
        <v>LTC</v>
      </c>
      <c r="R224" s="42">
        <f>IF(OR('asset_&amp;_open_positions'!$C224="",'asset_&amp;_open_positions'!$J224="SWAP",'asset_&amp;_open_positions'!$J224="FUTURE",'asset_&amp;_open_positions'!$J224="CME FUTURE"),"",'asset_&amp;_open_positions'!$H224)</f>
        <v>85.964229450756093</v>
      </c>
    </row>
    <row r="225" spans="15:18" x14ac:dyDescent="0.25">
      <c r="O225" s="78" t="str">
        <f>IF('asset_&amp;_open_positions'!$C225="","",'asset_&amp;_open_positions'!$E225)</f>
        <v>USDT</v>
      </c>
      <c r="P225" s="42">
        <f>IF('asset_&amp;_open_positions'!$C225="","",'asset_&amp;_open_positions'!$H225)</f>
        <v>1.00009204918451</v>
      </c>
      <c r="Q225" s="78" t="str">
        <f>IF(OR('asset_&amp;_open_positions'!$C225="",'asset_&amp;_open_positions'!$J225="SWAP",'asset_&amp;_open_positions'!$J225="FUTURE",'asset_&amp;_open_positions'!$J225="CME FUTURE"),"",'asset_&amp;_open_positions'!$M225)</f>
        <v>USDT</v>
      </c>
      <c r="R225" s="42">
        <f>IF(OR('asset_&amp;_open_positions'!$C225="",'asset_&amp;_open_positions'!$J225="SWAP",'asset_&amp;_open_positions'!$J225="FUTURE",'asset_&amp;_open_positions'!$J225="CME FUTURE"),"",'asset_&amp;_open_positions'!$H225)</f>
        <v>1.00009204918451</v>
      </c>
    </row>
    <row r="226" spans="15:18" x14ac:dyDescent="0.25">
      <c r="O226" s="78" t="str">
        <f>IF('asset_&amp;_open_positions'!$C226="","",'asset_&amp;_open_positions'!$E226)</f>
        <v>XRP</v>
      </c>
      <c r="P226" s="42">
        <f>IF('asset_&amp;_open_positions'!$C226="","",'asset_&amp;_open_positions'!$H226)</f>
        <v>0.37519714224190098</v>
      </c>
      <c r="Q226" s="78" t="str">
        <f>IF(OR('asset_&amp;_open_positions'!$C226="",'asset_&amp;_open_positions'!$J226="SWAP",'asset_&amp;_open_positions'!$J226="FUTURE",'asset_&amp;_open_positions'!$J226="CME FUTURE"),"",'asset_&amp;_open_positions'!$M226)</f>
        <v>XRP</v>
      </c>
      <c r="R226" s="42">
        <f>IF(OR('asset_&amp;_open_positions'!$C226="",'asset_&amp;_open_positions'!$J226="SWAP",'asset_&amp;_open_positions'!$J226="FUTURE",'asset_&amp;_open_positions'!$J226="CME FUTURE"),"",'asset_&amp;_open_positions'!$H226)</f>
        <v>0.37519714224190098</v>
      </c>
    </row>
    <row r="227" spans="15:18" x14ac:dyDescent="0.25">
      <c r="O227" s="78" t="str">
        <f>IF('asset_&amp;_open_positions'!$C227="","",'asset_&amp;_open_positions'!$E227)</f>
        <v>AAVE</v>
      </c>
      <c r="P227" s="42">
        <f>IF('asset_&amp;_open_positions'!$C227="","",'asset_&amp;_open_positions'!$H227)</f>
        <v>67.861136531304297</v>
      </c>
      <c r="Q227" s="78" t="str">
        <f>IF(OR('asset_&amp;_open_positions'!$C227="",'asset_&amp;_open_positions'!$J227="SWAP",'asset_&amp;_open_positions'!$J227="FUTURE",'asset_&amp;_open_positions'!$J227="CME FUTURE"),"",'asset_&amp;_open_positions'!$M227)</f>
        <v>AAVE</v>
      </c>
      <c r="R227" s="42">
        <f>IF(OR('asset_&amp;_open_positions'!$C227="",'asset_&amp;_open_positions'!$J227="SWAP",'asset_&amp;_open_positions'!$J227="FUTURE",'asset_&amp;_open_positions'!$J227="CME FUTURE"),"",'asset_&amp;_open_positions'!$H227)</f>
        <v>67.861136531304297</v>
      </c>
    </row>
    <row r="228" spans="15:18" x14ac:dyDescent="0.25">
      <c r="O228" s="78" t="str">
        <f>IF('asset_&amp;_open_positions'!$C228="","",'asset_&amp;_open_positions'!$E228)</f>
        <v>ADA</v>
      </c>
      <c r="P228" s="42">
        <f>IF('asset_&amp;_open_positions'!$C228="","",'asset_&amp;_open_positions'!$H228)</f>
        <v>0.329758474743375</v>
      </c>
      <c r="Q228" s="78" t="str">
        <f>IF(OR('asset_&amp;_open_positions'!$C228="",'asset_&amp;_open_positions'!$J228="SWAP",'asset_&amp;_open_positions'!$J228="FUTURE",'asset_&amp;_open_positions'!$J228="CME FUTURE"),"",'asset_&amp;_open_positions'!$M228)</f>
        <v>ADA</v>
      </c>
      <c r="R228" s="42">
        <f>IF(OR('asset_&amp;_open_positions'!$C228="",'asset_&amp;_open_positions'!$J228="SWAP",'asset_&amp;_open_positions'!$J228="FUTURE",'asset_&amp;_open_positions'!$J228="CME FUTURE"),"",'asset_&amp;_open_positions'!$H228)</f>
        <v>0.329758474743375</v>
      </c>
    </row>
    <row r="229" spans="15:18" x14ac:dyDescent="0.25">
      <c r="O229" s="78" t="str">
        <f>IF('asset_&amp;_open_positions'!$C229="","",'asset_&amp;_open_positions'!$E229)</f>
        <v>BCH</v>
      </c>
      <c r="P229" s="42">
        <f>IF('asset_&amp;_open_positions'!$C229="","",'asset_&amp;_open_positions'!$H229)</f>
        <v>119.710466137412</v>
      </c>
      <c r="Q229" s="78" t="str">
        <f>IF(OR('asset_&amp;_open_positions'!$C229="",'asset_&amp;_open_positions'!$J229="SWAP",'asset_&amp;_open_positions'!$J229="FUTURE",'asset_&amp;_open_positions'!$J229="CME FUTURE"),"",'asset_&amp;_open_positions'!$M229)</f>
        <v>BCH</v>
      </c>
      <c r="R229" s="42">
        <f>IF(OR('asset_&amp;_open_positions'!$C229="",'asset_&amp;_open_positions'!$J229="SWAP",'asset_&amp;_open_positions'!$J229="FUTURE",'asset_&amp;_open_positions'!$J229="CME FUTURE"),"",'asset_&amp;_open_positions'!$H229)</f>
        <v>119.710466137412</v>
      </c>
    </row>
    <row r="230" spans="15:18" x14ac:dyDescent="0.25">
      <c r="O230" s="78" t="str">
        <f>IF('asset_&amp;_open_positions'!$C230="","",'asset_&amp;_open_positions'!$E230)</f>
        <v>BSV</v>
      </c>
      <c r="P230" s="42">
        <f>IF('asset_&amp;_open_positions'!$C230="","",'asset_&amp;_open_positions'!$H230)</f>
        <v>42.1479859749927</v>
      </c>
      <c r="Q230" s="78" t="str">
        <f>IF(OR('asset_&amp;_open_positions'!$C230="",'asset_&amp;_open_positions'!$J230="SWAP",'asset_&amp;_open_positions'!$J230="FUTURE",'asset_&amp;_open_positions'!$J230="CME FUTURE"),"",'asset_&amp;_open_positions'!$M230)</f>
        <v>BSV</v>
      </c>
      <c r="R230" s="42">
        <f>IF(OR('asset_&amp;_open_positions'!$C230="",'asset_&amp;_open_positions'!$J230="SWAP",'asset_&amp;_open_positions'!$J230="FUTURE",'asset_&amp;_open_positions'!$J230="CME FUTURE"),"",'asset_&amp;_open_positions'!$H230)</f>
        <v>42.1479859749927</v>
      </c>
    </row>
    <row r="231" spans="15:18" x14ac:dyDescent="0.25">
      <c r="O231" s="78" t="str">
        <f>IF('asset_&amp;_open_positions'!$C231="","",'asset_&amp;_open_positions'!$E231)</f>
        <v>BTC</v>
      </c>
      <c r="P231" s="42">
        <f>IF('asset_&amp;_open_positions'!$C231="","",'asset_&amp;_open_positions'!$H231)</f>
        <v>18869.5880552655</v>
      </c>
      <c r="Q231" s="78" t="str">
        <f>IF(OR('asset_&amp;_open_positions'!$C231="",'asset_&amp;_open_positions'!$J231="SWAP",'asset_&amp;_open_positions'!$J231="FUTURE",'asset_&amp;_open_positions'!$J231="CME FUTURE"),"",'asset_&amp;_open_positions'!$M231)</f>
        <v>BTC</v>
      </c>
      <c r="R231" s="42">
        <f>IF(OR('asset_&amp;_open_positions'!$C231="",'asset_&amp;_open_positions'!$J231="SWAP",'asset_&amp;_open_positions'!$J231="FUTURE",'asset_&amp;_open_positions'!$J231="CME FUTURE"),"",'asset_&amp;_open_positions'!$H231)</f>
        <v>18869.5880552655</v>
      </c>
    </row>
    <row r="232" spans="15:18" x14ac:dyDescent="0.25">
      <c r="O232" s="78" t="str">
        <f>IF('asset_&amp;_open_positions'!$C232="","",'asset_&amp;_open_positions'!$E232)</f>
        <v>BTC</v>
      </c>
      <c r="P232" s="42">
        <f>IF('asset_&amp;_open_positions'!$C232="","",'asset_&amp;_open_positions'!$H232)</f>
        <v>18869.5880552655</v>
      </c>
      <c r="Q232" s="78" t="str">
        <f>IF(OR('asset_&amp;_open_positions'!$C232="",'asset_&amp;_open_positions'!$J232="SWAP",'asset_&amp;_open_positions'!$J232="FUTURE",'asset_&amp;_open_positions'!$J232="CME FUTURE"),"",'asset_&amp;_open_positions'!$M232)</f>
        <v>BTC</v>
      </c>
      <c r="R232" s="42">
        <f>IF(OR('asset_&amp;_open_positions'!$C232="",'asset_&amp;_open_positions'!$J232="SWAP",'asset_&amp;_open_positions'!$J232="FUTURE",'asset_&amp;_open_positions'!$J232="CME FUTURE"),"",'asset_&amp;_open_positions'!$H232)</f>
        <v>18869.5880552655</v>
      </c>
    </row>
    <row r="233" spans="15:18" x14ac:dyDescent="0.25">
      <c r="O233" s="78" t="str">
        <f>IF('asset_&amp;_open_positions'!$C233="","",'asset_&amp;_open_positions'!$E233)</f>
        <v>DOT</v>
      </c>
      <c r="P233" s="42">
        <f>IF('asset_&amp;_open_positions'!$C233="","",'asset_&amp;_open_positions'!$H233)</f>
        <v>5.2294779390740098</v>
      </c>
      <c r="Q233" s="78" t="str">
        <f>IF(OR('asset_&amp;_open_positions'!$C233="",'asset_&amp;_open_positions'!$J233="SWAP",'asset_&amp;_open_positions'!$J233="FUTURE",'asset_&amp;_open_positions'!$J233="CME FUTURE"),"",'asset_&amp;_open_positions'!$M233)</f>
        <v>DOT</v>
      </c>
      <c r="R233" s="42">
        <f>IF(OR('asset_&amp;_open_positions'!$C233="",'asset_&amp;_open_positions'!$J233="SWAP",'asset_&amp;_open_positions'!$J233="FUTURE",'asset_&amp;_open_positions'!$J233="CME FUTURE"),"",'asset_&amp;_open_positions'!$H233)</f>
        <v>5.2294779390740098</v>
      </c>
    </row>
    <row r="234" spans="15:18" x14ac:dyDescent="0.25">
      <c r="O234" s="78" t="str">
        <f>IF('asset_&amp;_open_positions'!$C234="","",'asset_&amp;_open_positions'!$E234)</f>
        <v>ETC</v>
      </c>
      <c r="P234" s="42">
        <f>IF('asset_&amp;_open_positions'!$C234="","",'asset_&amp;_open_positions'!$H234)</f>
        <v>20.917758217744002</v>
      </c>
      <c r="Q234" s="78" t="str">
        <f>IF(OR('asset_&amp;_open_positions'!$C234="",'asset_&amp;_open_positions'!$J234="SWAP",'asset_&amp;_open_positions'!$J234="FUTURE",'asset_&amp;_open_positions'!$J234="CME FUTURE"),"",'asset_&amp;_open_positions'!$M234)</f>
        <v>ETC</v>
      </c>
      <c r="R234" s="42">
        <f>IF(OR('asset_&amp;_open_positions'!$C234="",'asset_&amp;_open_positions'!$J234="SWAP",'asset_&amp;_open_positions'!$J234="FUTURE",'asset_&amp;_open_positions'!$J234="CME FUTURE"),"",'asset_&amp;_open_positions'!$H234)</f>
        <v>20.917758217744002</v>
      </c>
    </row>
    <row r="235" spans="15:18" x14ac:dyDescent="0.25">
      <c r="O235" s="78" t="str">
        <f>IF('asset_&amp;_open_positions'!$C235="","",'asset_&amp;_open_positions'!$E235)</f>
        <v>ETH</v>
      </c>
      <c r="P235" s="42">
        <f>IF('asset_&amp;_open_positions'!$C235="","",'asset_&amp;_open_positions'!$H235)</f>
        <v>1417.9385231112101</v>
      </c>
      <c r="Q235" s="78" t="str">
        <f>IF(OR('asset_&amp;_open_positions'!$C235="",'asset_&amp;_open_positions'!$J235="SWAP",'asset_&amp;_open_positions'!$J235="FUTURE",'asset_&amp;_open_positions'!$J235="CME FUTURE"),"",'asset_&amp;_open_positions'!$M235)</f>
        <v>ETH</v>
      </c>
      <c r="R235" s="42">
        <f>IF(OR('asset_&amp;_open_positions'!$C235="",'asset_&amp;_open_positions'!$J235="SWAP",'asset_&amp;_open_positions'!$J235="FUTURE",'asset_&amp;_open_positions'!$J235="CME FUTURE"),"",'asset_&amp;_open_positions'!$H235)</f>
        <v>1417.9385231112101</v>
      </c>
    </row>
    <row r="236" spans="15:18" x14ac:dyDescent="0.25">
      <c r="O236" s="78" t="str">
        <f>IF('asset_&amp;_open_positions'!$C236="","",'asset_&amp;_open_positions'!$E236)</f>
        <v>ETH</v>
      </c>
      <c r="P236" s="42">
        <f>IF('asset_&amp;_open_positions'!$C236="","",'asset_&amp;_open_positions'!$H236)</f>
        <v>1417.9385231112101</v>
      </c>
      <c r="Q236" s="78" t="str">
        <f>IF(OR('asset_&amp;_open_positions'!$C236="",'asset_&amp;_open_positions'!$J236="SWAP",'asset_&amp;_open_positions'!$J236="FUTURE",'asset_&amp;_open_positions'!$J236="CME FUTURE"),"",'asset_&amp;_open_positions'!$M236)</f>
        <v>ETH</v>
      </c>
      <c r="R236" s="42">
        <f>IF(OR('asset_&amp;_open_positions'!$C236="",'asset_&amp;_open_positions'!$J236="SWAP",'asset_&amp;_open_positions'!$J236="FUTURE",'asset_&amp;_open_positions'!$J236="CME FUTURE"),"",'asset_&amp;_open_positions'!$H236)</f>
        <v>1417.9385231112101</v>
      </c>
    </row>
    <row r="237" spans="15:18" x14ac:dyDescent="0.25">
      <c r="O237" s="78" t="str">
        <f>IF('asset_&amp;_open_positions'!$C237="","",'asset_&amp;_open_positions'!$E237)</f>
        <v>LINK</v>
      </c>
      <c r="P237" s="42">
        <f>IF('asset_&amp;_open_positions'!$C237="","",'asset_&amp;_open_positions'!$H237)</f>
        <v>6.38133155243787</v>
      </c>
      <c r="Q237" s="78" t="str">
        <f>IF(OR('asset_&amp;_open_positions'!$C237="",'asset_&amp;_open_positions'!$J237="SWAP",'asset_&amp;_open_positions'!$J237="FUTURE",'asset_&amp;_open_positions'!$J237="CME FUTURE"),"",'asset_&amp;_open_positions'!$M237)</f>
        <v>LINK</v>
      </c>
      <c r="R237" s="42">
        <f>IF(OR('asset_&amp;_open_positions'!$C237="",'asset_&amp;_open_positions'!$J237="SWAP",'asset_&amp;_open_positions'!$J237="FUTURE",'asset_&amp;_open_positions'!$J237="CME FUTURE"),"",'asset_&amp;_open_positions'!$H237)</f>
        <v>6.38133155243787</v>
      </c>
    </row>
    <row r="238" spans="15:18" x14ac:dyDescent="0.25">
      <c r="O238" s="78" t="str">
        <f>IF('asset_&amp;_open_positions'!$C238="","",'asset_&amp;_open_positions'!$E238)</f>
        <v>LTC</v>
      </c>
      <c r="P238" s="42">
        <f>IF('asset_&amp;_open_positions'!$C238="","",'asset_&amp;_open_positions'!$H238)</f>
        <v>85.964229450756093</v>
      </c>
      <c r="Q238" s="78" t="str">
        <f>IF(OR('asset_&amp;_open_positions'!$C238="",'asset_&amp;_open_positions'!$J238="SWAP",'asset_&amp;_open_positions'!$J238="FUTURE",'asset_&amp;_open_positions'!$J238="CME FUTURE"),"",'asset_&amp;_open_positions'!$M238)</f>
        <v>LTC</v>
      </c>
      <c r="R238" s="42">
        <f>IF(OR('asset_&amp;_open_positions'!$C238="",'asset_&amp;_open_positions'!$J238="SWAP",'asset_&amp;_open_positions'!$J238="FUTURE",'asset_&amp;_open_positions'!$J238="CME FUTURE"),"",'asset_&amp;_open_positions'!$H238)</f>
        <v>85.964229450756093</v>
      </c>
    </row>
    <row r="239" spans="15:18" x14ac:dyDescent="0.25">
      <c r="O239" s="78" t="str">
        <f>IF('asset_&amp;_open_positions'!$C239="","",'asset_&amp;_open_positions'!$E239)</f>
        <v>SHIB</v>
      </c>
      <c r="P239" s="42">
        <f>IF('asset_&amp;_open_positions'!$C239="","",'asset_&amp;_open_positions'!$H239)</f>
        <v>9.4713833405960602E-6</v>
      </c>
      <c r="Q239" s="78" t="str">
        <f>IF(OR('asset_&amp;_open_positions'!$C239="",'asset_&amp;_open_positions'!$J239="SWAP",'asset_&amp;_open_positions'!$J239="FUTURE",'asset_&amp;_open_positions'!$J239="CME FUTURE"),"",'asset_&amp;_open_positions'!$M239)</f>
        <v>SHIB</v>
      </c>
      <c r="R239" s="42">
        <f>IF(OR('asset_&amp;_open_positions'!$C239="",'asset_&amp;_open_positions'!$J239="SWAP",'asset_&amp;_open_positions'!$J239="FUTURE",'asset_&amp;_open_positions'!$J239="CME FUTURE"),"",'asset_&amp;_open_positions'!$H239)</f>
        <v>9.4713833405960602E-6</v>
      </c>
    </row>
    <row r="240" spans="15:18" x14ac:dyDescent="0.25">
      <c r="O240" s="78" t="str">
        <f>IF('asset_&amp;_open_positions'!$C240="","",'asset_&amp;_open_positions'!$E240)</f>
        <v>TRX</v>
      </c>
      <c r="P240" s="42">
        <f>IF('asset_&amp;_open_positions'!$C240="","",'asset_&amp;_open_positions'!$H240)</f>
        <v>5.7111199630631597E-2</v>
      </c>
      <c r="Q240" s="78" t="str">
        <f>IF(OR('asset_&amp;_open_positions'!$C240="",'asset_&amp;_open_positions'!$J240="SWAP",'asset_&amp;_open_positions'!$J240="FUTURE",'asset_&amp;_open_positions'!$J240="CME FUTURE"),"",'asset_&amp;_open_positions'!$M240)</f>
        <v>TRX</v>
      </c>
      <c r="R240" s="42">
        <f>IF(OR('asset_&amp;_open_positions'!$C240="",'asset_&amp;_open_positions'!$J240="SWAP",'asset_&amp;_open_positions'!$J240="FUTURE",'asset_&amp;_open_positions'!$J240="CME FUTURE"),"",'asset_&amp;_open_positions'!$H240)</f>
        <v>5.7111199630631597E-2</v>
      </c>
    </row>
    <row r="241" spans="15:18" x14ac:dyDescent="0.25">
      <c r="O241" s="78" t="str">
        <f>IF('asset_&amp;_open_positions'!$C241="","",'asset_&amp;_open_positions'!$E241)</f>
        <v>XRP</v>
      </c>
      <c r="P241" s="42">
        <f>IF('asset_&amp;_open_positions'!$C241="","",'asset_&amp;_open_positions'!$H241)</f>
        <v>0.37519714224190098</v>
      </c>
      <c r="Q241" s="78" t="str">
        <f>IF(OR('asset_&amp;_open_positions'!$C241="",'asset_&amp;_open_positions'!$J241="SWAP",'asset_&amp;_open_positions'!$J241="FUTURE",'asset_&amp;_open_positions'!$J241="CME FUTURE"),"",'asset_&amp;_open_positions'!$M241)</f>
        <v>XRP</v>
      </c>
      <c r="R241" s="42">
        <f>IF(OR('asset_&amp;_open_positions'!$C241="",'asset_&amp;_open_positions'!$J241="SWAP",'asset_&amp;_open_positions'!$J241="FUTURE",'asset_&amp;_open_positions'!$J241="CME FUTURE"),"",'asset_&amp;_open_positions'!$H241)</f>
        <v>0.37519714224190098</v>
      </c>
    </row>
    <row r="242" spans="15:18" x14ac:dyDescent="0.25">
      <c r="O242" s="78" t="str">
        <f>IF('asset_&amp;_open_positions'!$C242="","",'asset_&amp;_open_positions'!$E242)</f>
        <v>YFII</v>
      </c>
      <c r="P242" s="42">
        <f>IF('asset_&amp;_open_positions'!$C242="","",'asset_&amp;_open_positions'!$H242)</f>
        <v>1228.5560246990401</v>
      </c>
      <c r="Q242" s="78" t="str">
        <f>IF(OR('asset_&amp;_open_positions'!$C242="",'asset_&amp;_open_positions'!$J242="SWAP",'asset_&amp;_open_positions'!$J242="FUTURE",'asset_&amp;_open_positions'!$J242="CME FUTURE"),"",'asset_&amp;_open_positions'!$M242)</f>
        <v>YFII</v>
      </c>
      <c r="R242" s="42">
        <f>IF(OR('asset_&amp;_open_positions'!$C242="",'asset_&amp;_open_positions'!$J242="SWAP",'asset_&amp;_open_positions'!$J242="FUTURE",'asset_&amp;_open_positions'!$J242="CME FUTURE"),"",'asset_&amp;_open_positions'!$H242)</f>
        <v>1228.5560246990401</v>
      </c>
    </row>
    <row r="243" spans="15:18" x14ac:dyDescent="0.25">
      <c r="O243" s="78" t="str">
        <f>IF('asset_&amp;_open_positions'!$C243="","",'asset_&amp;_open_positions'!$E243)</f>
        <v>USDT</v>
      </c>
      <c r="P243" s="42">
        <f>IF('asset_&amp;_open_positions'!$C243="","",'asset_&amp;_open_positions'!$H243)</f>
        <v>1.00009204918451</v>
      </c>
      <c r="Q243" s="78" t="str">
        <f>IF(OR('asset_&amp;_open_positions'!$C243="",'asset_&amp;_open_positions'!$J243="SWAP",'asset_&amp;_open_positions'!$J243="FUTURE",'asset_&amp;_open_positions'!$J243="CME FUTURE"),"",'asset_&amp;_open_positions'!$M243)</f>
        <v>USDT</v>
      </c>
      <c r="R243" s="42">
        <f>IF(OR('asset_&amp;_open_positions'!$C243="",'asset_&amp;_open_positions'!$J243="SWAP",'asset_&amp;_open_positions'!$J243="FUTURE",'asset_&amp;_open_positions'!$J243="CME FUTURE"),"",'asset_&amp;_open_positions'!$H243)</f>
        <v>1.00009204918451</v>
      </c>
    </row>
    <row r="244" spans="15:18" x14ac:dyDescent="0.25">
      <c r="O244" s="78" t="str">
        <f>IF('asset_&amp;_open_positions'!$C244="","",'asset_&amp;_open_positions'!$E244)</f>
        <v>USDT</v>
      </c>
      <c r="P244" s="42">
        <f>IF('asset_&amp;_open_positions'!$C244="","",'asset_&amp;_open_positions'!$H244)</f>
        <v>1.00009204918451</v>
      </c>
      <c r="Q244" s="78" t="str">
        <f>IF(OR('asset_&amp;_open_positions'!$C244="",'asset_&amp;_open_positions'!$J244="SWAP",'asset_&amp;_open_positions'!$J244="FUTURE",'asset_&amp;_open_positions'!$J244="CME FUTURE"),"",'asset_&amp;_open_positions'!$M244)</f>
        <v>USDT</v>
      </c>
      <c r="R244" s="42">
        <f>IF(OR('asset_&amp;_open_positions'!$C244="",'asset_&amp;_open_positions'!$J244="SWAP",'asset_&amp;_open_positions'!$J244="FUTURE",'asset_&amp;_open_positions'!$J244="CME FUTURE"),"",'asset_&amp;_open_positions'!$H244)</f>
        <v>1.00009204918451</v>
      </c>
    </row>
    <row r="245" spans="15:18" x14ac:dyDescent="0.25">
      <c r="O245" s="78" t="str">
        <f>IF('asset_&amp;_open_positions'!$C245="","",'asset_&amp;_open_positions'!$E245)</f>
        <v>AAC</v>
      </c>
      <c r="P245" s="42">
        <f>IF('asset_&amp;_open_positions'!$C245="","",'asset_&amp;_open_positions'!$H245)</f>
        <v>2.6102402483715799E-4</v>
      </c>
      <c r="Q245" s="78" t="str">
        <f>IF(OR('asset_&amp;_open_positions'!$C245="",'asset_&amp;_open_positions'!$J245="SWAP",'asset_&amp;_open_positions'!$J245="FUTURE",'asset_&amp;_open_positions'!$J245="CME FUTURE"),"",'asset_&amp;_open_positions'!$M245)</f>
        <v>AAC</v>
      </c>
      <c r="R245" s="42">
        <f>IF(OR('asset_&amp;_open_positions'!$C245="",'asset_&amp;_open_positions'!$J245="SWAP",'asset_&amp;_open_positions'!$J245="FUTURE",'asset_&amp;_open_positions'!$J245="CME FUTURE"),"",'asset_&amp;_open_positions'!$H245)</f>
        <v>2.6102402483715799E-4</v>
      </c>
    </row>
    <row r="246" spans="15:18" x14ac:dyDescent="0.25">
      <c r="O246" s="78" t="str">
        <f>IF('asset_&amp;_open_positions'!$C246="","",'asset_&amp;_open_positions'!$E246)</f>
        <v>ADA</v>
      </c>
      <c r="P246" s="42">
        <f>IF('asset_&amp;_open_positions'!$C246="","",'asset_&amp;_open_positions'!$H246)</f>
        <v>0.329758474743375</v>
      </c>
      <c r="Q246" s="78" t="str">
        <f>IF(OR('asset_&amp;_open_positions'!$C246="",'asset_&amp;_open_positions'!$J246="SWAP",'asset_&amp;_open_positions'!$J246="FUTURE",'asset_&amp;_open_positions'!$J246="CME FUTURE"),"",'asset_&amp;_open_positions'!$M246)</f>
        <v>ADA</v>
      </c>
      <c r="R246" s="42">
        <f>IF(OR('asset_&amp;_open_positions'!$C246="",'asset_&amp;_open_positions'!$J246="SWAP",'asset_&amp;_open_positions'!$J246="FUTURE",'asset_&amp;_open_positions'!$J246="CME FUTURE"),"",'asset_&amp;_open_positions'!$H246)</f>
        <v>0.329758474743375</v>
      </c>
    </row>
    <row r="247" spans="15:18" x14ac:dyDescent="0.25">
      <c r="O247" s="78" t="str">
        <f>IF('asset_&amp;_open_positions'!$C247="","",'asset_&amp;_open_positions'!$E247)</f>
        <v>ALGO</v>
      </c>
      <c r="P247" s="42">
        <f>IF('asset_&amp;_open_positions'!$C247="","",'asset_&amp;_open_positions'!$H247)</f>
        <v>0.21252649157671899</v>
      </c>
      <c r="Q247" s="78" t="str">
        <f>IF(OR('asset_&amp;_open_positions'!$C247="",'asset_&amp;_open_positions'!$J247="SWAP",'asset_&amp;_open_positions'!$J247="FUTURE",'asset_&amp;_open_positions'!$J247="CME FUTURE"),"",'asset_&amp;_open_positions'!$M247)</f>
        <v>ALGO</v>
      </c>
      <c r="R247" s="42">
        <f>IF(OR('asset_&amp;_open_positions'!$C247="",'asset_&amp;_open_positions'!$J247="SWAP",'asset_&amp;_open_positions'!$J247="FUTURE",'asset_&amp;_open_positions'!$J247="CME FUTURE"),"",'asset_&amp;_open_positions'!$H247)</f>
        <v>0.21252649157671899</v>
      </c>
    </row>
    <row r="248" spans="15:18" x14ac:dyDescent="0.25">
      <c r="O248" s="78" t="str">
        <f>IF('asset_&amp;_open_positions'!$C248="","",'asset_&amp;_open_positions'!$E248)</f>
        <v>ARPA</v>
      </c>
      <c r="P248" s="42">
        <f>IF('asset_&amp;_open_positions'!$C248="","",'asset_&amp;_open_positions'!$H248)</f>
        <v>3.0273913677206402E-2</v>
      </c>
      <c r="Q248" s="78" t="str">
        <f>IF(OR('asset_&amp;_open_positions'!$C248="",'asset_&amp;_open_positions'!$J248="SWAP",'asset_&amp;_open_positions'!$J248="FUTURE",'asset_&amp;_open_positions'!$J248="CME FUTURE"),"",'asset_&amp;_open_positions'!$M248)</f>
        <v>ARPA</v>
      </c>
      <c r="R248" s="42">
        <f>IF(OR('asset_&amp;_open_positions'!$C248="",'asset_&amp;_open_positions'!$J248="SWAP",'asset_&amp;_open_positions'!$J248="FUTURE",'asset_&amp;_open_positions'!$J248="CME FUTURE"),"",'asset_&amp;_open_positions'!$H248)</f>
        <v>3.0273913677206402E-2</v>
      </c>
    </row>
    <row r="249" spans="15:18" x14ac:dyDescent="0.25">
      <c r="O249" s="78" t="str">
        <f>IF('asset_&amp;_open_positions'!$C249="","",'asset_&amp;_open_positions'!$E249)</f>
        <v>ATOM</v>
      </c>
      <c r="P249" s="42">
        <f>IF('asset_&amp;_open_positions'!$C249="","",'asset_&amp;_open_positions'!$H249)</f>
        <v>12.274691832390999</v>
      </c>
      <c r="Q249" s="78" t="str">
        <f>IF(OR('asset_&amp;_open_positions'!$C249="",'asset_&amp;_open_positions'!$J249="SWAP",'asset_&amp;_open_positions'!$J249="FUTURE",'asset_&amp;_open_positions'!$J249="CME FUTURE"),"",'asset_&amp;_open_positions'!$M249)</f>
        <v>ATOM</v>
      </c>
      <c r="R249" s="42">
        <f>IF(OR('asset_&amp;_open_positions'!$C249="",'asset_&amp;_open_positions'!$J249="SWAP",'asset_&amp;_open_positions'!$J249="FUTURE",'asset_&amp;_open_positions'!$J249="CME FUTURE"),"",'asset_&amp;_open_positions'!$H249)</f>
        <v>12.274691832390999</v>
      </c>
    </row>
    <row r="250" spans="15:18" x14ac:dyDescent="0.25">
      <c r="O250" s="78" t="str">
        <f>IF('asset_&amp;_open_positions'!$C250="","",'asset_&amp;_open_positions'!$E250)</f>
        <v>AVAX</v>
      </c>
      <c r="P250" s="42">
        <f>IF('asset_&amp;_open_positions'!$C250="","",'asset_&amp;_open_positions'!$H250)</f>
        <v>15.4573502597811</v>
      </c>
      <c r="Q250" s="78" t="str">
        <f>IF(OR('asset_&amp;_open_positions'!$C250="",'asset_&amp;_open_positions'!$J250="SWAP",'asset_&amp;_open_positions'!$J250="FUTURE",'asset_&amp;_open_positions'!$J250="CME FUTURE"),"",'asset_&amp;_open_positions'!$M250)</f>
        <v>AVAX</v>
      </c>
      <c r="R250" s="42">
        <f>IF(OR('asset_&amp;_open_positions'!$C250="",'asset_&amp;_open_positions'!$J250="SWAP",'asset_&amp;_open_positions'!$J250="FUTURE",'asset_&amp;_open_positions'!$J250="CME FUTURE"),"",'asset_&amp;_open_positions'!$H250)</f>
        <v>15.4573502597811</v>
      </c>
    </row>
    <row r="251" spans="15:18" x14ac:dyDescent="0.25">
      <c r="O251" s="78" t="str">
        <f>IF('asset_&amp;_open_positions'!$C251="","",'asset_&amp;_open_positions'!$E251)</f>
        <v>BAT</v>
      </c>
      <c r="P251" s="42">
        <f>IF('asset_&amp;_open_positions'!$C251="","",'asset_&amp;_open_positions'!$H251)</f>
        <v>0.20477401519184199</v>
      </c>
      <c r="Q251" s="78" t="str">
        <f>IF(OR('asset_&amp;_open_positions'!$C251="",'asset_&amp;_open_positions'!$J251="SWAP",'asset_&amp;_open_positions'!$J251="FUTURE",'asset_&amp;_open_positions'!$J251="CME FUTURE"),"",'asset_&amp;_open_positions'!$M251)</f>
        <v>BAT</v>
      </c>
      <c r="R251" s="42">
        <f>IF(OR('asset_&amp;_open_positions'!$C251="",'asset_&amp;_open_positions'!$J251="SWAP",'asset_&amp;_open_positions'!$J251="FUTURE",'asset_&amp;_open_positions'!$J251="CME FUTURE"),"",'asset_&amp;_open_positions'!$H251)</f>
        <v>0.20477401519184199</v>
      </c>
    </row>
    <row r="252" spans="15:18" x14ac:dyDescent="0.25">
      <c r="O252" s="78" t="str">
        <f>IF('asset_&amp;_open_positions'!$C252="","",'asset_&amp;_open_positions'!$E252)</f>
        <v>BCH</v>
      </c>
      <c r="P252" s="42">
        <f>IF('asset_&amp;_open_positions'!$C252="","",'asset_&amp;_open_positions'!$H252)</f>
        <v>119.710466137412</v>
      </c>
      <c r="Q252" s="78" t="str">
        <f>IF(OR('asset_&amp;_open_positions'!$C252="",'asset_&amp;_open_positions'!$J252="SWAP",'asset_&amp;_open_positions'!$J252="FUTURE",'asset_&amp;_open_positions'!$J252="CME FUTURE"),"",'asset_&amp;_open_positions'!$M252)</f>
        <v>BCH</v>
      </c>
      <c r="R252" s="42">
        <f>IF(OR('asset_&amp;_open_positions'!$C252="",'asset_&amp;_open_positions'!$J252="SWAP",'asset_&amp;_open_positions'!$J252="FUTURE",'asset_&amp;_open_positions'!$J252="CME FUTURE"),"",'asset_&amp;_open_positions'!$H252)</f>
        <v>119.710466137412</v>
      </c>
    </row>
    <row r="253" spans="15:18" x14ac:dyDescent="0.25">
      <c r="O253" s="78" t="str">
        <f>IF('asset_&amp;_open_positions'!$C253="","",'asset_&amp;_open_positions'!$E253)</f>
        <v>BHD</v>
      </c>
      <c r="P253" s="42">
        <f>IF('asset_&amp;_open_positions'!$C253="","",'asset_&amp;_open_positions'!$H253)</f>
        <v>4.5353522739726197E-2</v>
      </c>
      <c r="Q253" s="78" t="str">
        <f>IF(OR('asset_&amp;_open_positions'!$C253="",'asset_&amp;_open_positions'!$J253="SWAP",'asset_&amp;_open_positions'!$J253="FUTURE",'asset_&amp;_open_positions'!$J253="CME FUTURE"),"",'asset_&amp;_open_positions'!$M253)</f>
        <v>BHD</v>
      </c>
      <c r="R253" s="42">
        <f>IF(OR('asset_&amp;_open_positions'!$C253="",'asset_&amp;_open_positions'!$J253="SWAP",'asset_&amp;_open_positions'!$J253="FUTURE",'asset_&amp;_open_positions'!$J253="CME FUTURE"),"",'asset_&amp;_open_positions'!$H253)</f>
        <v>4.5353522739726197E-2</v>
      </c>
    </row>
    <row r="254" spans="15:18" x14ac:dyDescent="0.25">
      <c r="O254" s="78" t="str">
        <f>IF('asset_&amp;_open_positions'!$C254="","",'asset_&amp;_open_positions'!$E254)</f>
        <v>BLZ</v>
      </c>
      <c r="P254" s="42">
        <f>IF('asset_&amp;_open_positions'!$C254="","",'asset_&amp;_open_positions'!$H254)</f>
        <v>5.8800289716521299E-2</v>
      </c>
      <c r="Q254" s="78" t="str">
        <f>IF(OR('asset_&amp;_open_positions'!$C254="",'asset_&amp;_open_positions'!$J254="SWAP",'asset_&amp;_open_positions'!$J254="FUTURE",'asset_&amp;_open_positions'!$J254="CME FUTURE"),"",'asset_&amp;_open_positions'!$M254)</f>
        <v>BLZ</v>
      </c>
      <c r="R254" s="42">
        <f>IF(OR('asset_&amp;_open_positions'!$C254="",'asset_&amp;_open_positions'!$J254="SWAP",'asset_&amp;_open_positions'!$J254="FUTURE",'asset_&amp;_open_positions'!$J254="CME FUTURE"),"",'asset_&amp;_open_positions'!$H254)</f>
        <v>5.8800289716521299E-2</v>
      </c>
    </row>
    <row r="255" spans="15:18" x14ac:dyDescent="0.25">
      <c r="O255" s="78" t="str">
        <f>IF('asset_&amp;_open_positions'!$C255="","",'asset_&amp;_open_positions'!$E255)</f>
        <v>BOBA</v>
      </c>
      <c r="P255" s="42">
        <f>IF('asset_&amp;_open_positions'!$C255="","",'asset_&amp;_open_positions'!$H255)</f>
        <v>0.19164771370963199</v>
      </c>
      <c r="Q255" s="78" t="str">
        <f>IF(OR('asset_&amp;_open_positions'!$C255="",'asset_&amp;_open_positions'!$J255="SWAP",'asset_&amp;_open_positions'!$J255="FUTURE",'asset_&amp;_open_positions'!$J255="CME FUTURE"),"",'asset_&amp;_open_positions'!$M255)</f>
        <v>BOBA</v>
      </c>
      <c r="R255" s="42">
        <f>IF(OR('asset_&amp;_open_positions'!$C255="",'asset_&amp;_open_positions'!$J255="SWAP",'asset_&amp;_open_positions'!$J255="FUTURE",'asset_&amp;_open_positions'!$J255="CME FUTURE"),"",'asset_&amp;_open_positions'!$H255)</f>
        <v>0.19164771370963199</v>
      </c>
    </row>
    <row r="256" spans="15:18" x14ac:dyDescent="0.25">
      <c r="O256" s="78" t="str">
        <f>IF('asset_&amp;_open_positions'!$C256="","",'asset_&amp;_open_positions'!$E256)</f>
        <v>BSV</v>
      </c>
      <c r="P256" s="42">
        <f>IF('asset_&amp;_open_positions'!$C256="","",'asset_&amp;_open_positions'!$H256)</f>
        <v>42.1479859749927</v>
      </c>
      <c r="Q256" s="78" t="str">
        <f>IF(OR('asset_&amp;_open_positions'!$C256="",'asset_&amp;_open_positions'!$J256="SWAP",'asset_&amp;_open_positions'!$J256="FUTURE",'asset_&amp;_open_positions'!$J256="CME FUTURE"),"",'asset_&amp;_open_positions'!$M256)</f>
        <v>BSV</v>
      </c>
      <c r="R256" s="42">
        <f>IF(OR('asset_&amp;_open_positions'!$C256="",'asset_&amp;_open_positions'!$J256="SWAP",'asset_&amp;_open_positions'!$J256="FUTURE",'asset_&amp;_open_positions'!$J256="CME FUTURE"),"",'asset_&amp;_open_positions'!$H256)</f>
        <v>42.1479859749927</v>
      </c>
    </row>
    <row r="257" spans="15:18" x14ac:dyDescent="0.25">
      <c r="O257" s="78" t="str">
        <f>IF('asset_&amp;_open_positions'!$C257="","",'asset_&amp;_open_positions'!$E257)</f>
        <v>BTC</v>
      </c>
      <c r="P257" s="42">
        <f>IF('asset_&amp;_open_positions'!$C257="","",'asset_&amp;_open_positions'!$H257)</f>
        <v>18869.5880552655</v>
      </c>
      <c r="Q257" s="78" t="str">
        <f>IF(OR('asset_&amp;_open_positions'!$C257="",'asset_&amp;_open_positions'!$J257="SWAP",'asset_&amp;_open_positions'!$J257="FUTURE",'asset_&amp;_open_positions'!$J257="CME FUTURE"),"",'asset_&amp;_open_positions'!$M257)</f>
        <v>BTC</v>
      </c>
      <c r="R257" s="42">
        <f>IF(OR('asset_&amp;_open_positions'!$C257="",'asset_&amp;_open_positions'!$J257="SWAP",'asset_&amp;_open_positions'!$J257="FUTURE",'asset_&amp;_open_positions'!$J257="CME FUTURE"),"",'asset_&amp;_open_positions'!$H257)</f>
        <v>18869.5880552655</v>
      </c>
    </row>
    <row r="258" spans="15:18" x14ac:dyDescent="0.25">
      <c r="O258" s="78" t="str">
        <f>IF('asset_&amp;_open_positions'!$C258="","",'asset_&amp;_open_positions'!$E258)</f>
        <v>BTM</v>
      </c>
      <c r="P258" s="42">
        <f>IF('asset_&amp;_open_positions'!$C258="","",'asset_&amp;_open_positions'!$H258)</f>
        <v>1.49260000187043E-2</v>
      </c>
      <c r="Q258" s="78" t="str">
        <f>IF(OR('asset_&amp;_open_positions'!$C258="",'asset_&amp;_open_positions'!$J258="SWAP",'asset_&amp;_open_positions'!$J258="FUTURE",'asset_&amp;_open_positions'!$J258="CME FUTURE"),"",'asset_&amp;_open_positions'!$M258)</f>
        <v>BTM</v>
      </c>
      <c r="R258" s="42">
        <f>IF(OR('asset_&amp;_open_positions'!$C258="",'asset_&amp;_open_positions'!$J258="SWAP",'asset_&amp;_open_positions'!$J258="FUTURE",'asset_&amp;_open_positions'!$J258="CME FUTURE"),"",'asset_&amp;_open_positions'!$H258)</f>
        <v>1.49260000187043E-2</v>
      </c>
    </row>
    <row r="259" spans="15:18" x14ac:dyDescent="0.25">
      <c r="O259" s="78" t="str">
        <f>IF('asset_&amp;_open_positions'!$C259="","",'asset_&amp;_open_positions'!$E259)</f>
        <v>BTT</v>
      </c>
      <c r="P259" s="42">
        <f>IF('asset_&amp;_open_positions'!$C259="","",'asset_&amp;_open_positions'!$H259)</f>
        <v>6.8396480769024001E-7</v>
      </c>
      <c r="Q259" s="78" t="str">
        <f>IF(OR('asset_&amp;_open_positions'!$C259="",'asset_&amp;_open_positions'!$J259="SWAP",'asset_&amp;_open_positions'!$J259="FUTURE",'asset_&amp;_open_positions'!$J259="CME FUTURE"),"",'asset_&amp;_open_positions'!$M259)</f>
        <v>BTT</v>
      </c>
      <c r="R259" s="42">
        <f>IF(OR('asset_&amp;_open_positions'!$C259="",'asset_&amp;_open_positions'!$J259="SWAP",'asset_&amp;_open_positions'!$J259="FUTURE",'asset_&amp;_open_positions'!$J259="CME FUTURE"),"",'asset_&amp;_open_positions'!$H259)</f>
        <v>6.8396480769024001E-7</v>
      </c>
    </row>
    <row r="260" spans="15:18" x14ac:dyDescent="0.25">
      <c r="O260" s="78" t="str">
        <f>IF('asset_&amp;_open_positions'!$C260="","",'asset_&amp;_open_positions'!$E260)</f>
        <v>CMT</v>
      </c>
      <c r="P260" s="42">
        <f>IF('asset_&amp;_open_positions'!$C260="","",'asset_&amp;_open_positions'!$H260)</f>
        <v>2.4530464471845198E-3</v>
      </c>
      <c r="Q260" s="78" t="str">
        <f>IF(OR('asset_&amp;_open_positions'!$C260="",'asset_&amp;_open_positions'!$J260="SWAP",'asset_&amp;_open_positions'!$J260="FUTURE",'asset_&amp;_open_positions'!$J260="CME FUTURE"),"",'asset_&amp;_open_positions'!$M260)</f>
        <v>CMT</v>
      </c>
      <c r="R260" s="42">
        <f>IF(OR('asset_&amp;_open_positions'!$C260="",'asset_&amp;_open_positions'!$J260="SWAP",'asset_&amp;_open_positions'!$J260="FUTURE",'asset_&amp;_open_positions'!$J260="CME FUTURE"),"",'asset_&amp;_open_positions'!$H260)</f>
        <v>2.4530464471845198E-3</v>
      </c>
    </row>
    <row r="261" spans="15:18" x14ac:dyDescent="0.25">
      <c r="O261" s="78" t="str">
        <f>IF('asset_&amp;_open_positions'!$C261="","",'asset_&amp;_open_positions'!$E261)</f>
        <v>CRO</v>
      </c>
      <c r="P261" s="42">
        <f>IF('asset_&amp;_open_positions'!$C261="","",'asset_&amp;_open_positions'!$H261)</f>
        <v>6.6504689358940702E-2</v>
      </c>
      <c r="Q261" s="78" t="str">
        <f>IF(OR('asset_&amp;_open_positions'!$C261="",'asset_&amp;_open_positions'!$J261="SWAP",'asset_&amp;_open_positions'!$J261="FUTURE",'asset_&amp;_open_positions'!$J261="CME FUTURE"),"",'asset_&amp;_open_positions'!$M261)</f>
        <v>CRO</v>
      </c>
      <c r="R261" s="42">
        <f>IF(OR('asset_&amp;_open_positions'!$C261="",'asset_&amp;_open_positions'!$J261="SWAP",'asset_&amp;_open_positions'!$J261="FUTURE",'asset_&amp;_open_positions'!$J261="CME FUTURE"),"",'asset_&amp;_open_positions'!$H261)</f>
        <v>6.6504689358940702E-2</v>
      </c>
    </row>
    <row r="262" spans="15:18" x14ac:dyDescent="0.25">
      <c r="O262" s="78" t="str">
        <f>IF('asset_&amp;_open_positions'!$C262="","",'asset_&amp;_open_positions'!$E262)</f>
        <v>DASH</v>
      </c>
      <c r="P262" s="42">
        <f>IF('asset_&amp;_open_positions'!$C262="","",'asset_&amp;_open_positions'!$H262)</f>
        <v>49.356487119112799</v>
      </c>
      <c r="Q262" s="78" t="str">
        <f>IF(OR('asset_&amp;_open_positions'!$C262="",'asset_&amp;_open_positions'!$J262="SWAP",'asset_&amp;_open_positions'!$J262="FUTURE",'asset_&amp;_open_positions'!$J262="CME FUTURE"),"",'asset_&amp;_open_positions'!$M262)</f>
        <v>DASH</v>
      </c>
      <c r="R262" s="42">
        <f>IF(OR('asset_&amp;_open_positions'!$C262="",'asset_&amp;_open_positions'!$J262="SWAP",'asset_&amp;_open_positions'!$J262="FUTURE",'asset_&amp;_open_positions'!$J262="CME FUTURE"),"",'asset_&amp;_open_positions'!$H262)</f>
        <v>49.356487119112799</v>
      </c>
    </row>
    <row r="263" spans="15:18" x14ac:dyDescent="0.25">
      <c r="O263" s="78" t="str">
        <f>IF('asset_&amp;_open_positions'!$C263="","",'asset_&amp;_open_positions'!$E263)</f>
        <v>DON</v>
      </c>
      <c r="P263" s="42">
        <f>IF('asset_&amp;_open_positions'!$C263="","",'asset_&amp;_open_positions'!$H263)</f>
        <v>1.16010677705403E-2</v>
      </c>
      <c r="Q263" s="78" t="str">
        <f>IF(OR('asset_&amp;_open_positions'!$C263="",'asset_&amp;_open_positions'!$J263="SWAP",'asset_&amp;_open_positions'!$J263="FUTURE",'asset_&amp;_open_positions'!$J263="CME FUTURE"),"",'asset_&amp;_open_positions'!$M263)</f>
        <v>DON</v>
      </c>
      <c r="R263" s="42">
        <f>IF(OR('asset_&amp;_open_positions'!$C263="",'asset_&amp;_open_positions'!$J263="SWAP",'asset_&amp;_open_positions'!$J263="FUTURE",'asset_&amp;_open_positions'!$J263="CME FUTURE"),"",'asset_&amp;_open_positions'!$H263)</f>
        <v>1.16010677705403E-2</v>
      </c>
    </row>
    <row r="264" spans="15:18" x14ac:dyDescent="0.25">
      <c r="O264" s="78" t="str">
        <f>IF('asset_&amp;_open_positions'!$C264="","",'asset_&amp;_open_positions'!$E264)</f>
        <v>DOT</v>
      </c>
      <c r="P264" s="42">
        <f>IF('asset_&amp;_open_positions'!$C264="","",'asset_&amp;_open_positions'!$H264)</f>
        <v>5.2294779390740098</v>
      </c>
      <c r="Q264" s="78" t="str">
        <f>IF(OR('asset_&amp;_open_positions'!$C264="",'asset_&amp;_open_positions'!$J264="SWAP",'asset_&amp;_open_positions'!$J264="FUTURE",'asset_&amp;_open_positions'!$J264="CME FUTURE"),"",'asset_&amp;_open_positions'!$M264)</f>
        <v>DOT</v>
      </c>
      <c r="R264" s="42">
        <f>IF(OR('asset_&amp;_open_positions'!$C264="",'asset_&amp;_open_positions'!$J264="SWAP",'asset_&amp;_open_positions'!$J264="FUTURE",'asset_&amp;_open_positions'!$J264="CME FUTURE"),"",'asset_&amp;_open_positions'!$H264)</f>
        <v>5.2294779390740098</v>
      </c>
    </row>
    <row r="265" spans="15:18" x14ac:dyDescent="0.25">
      <c r="O265" s="78" t="str">
        <f>IF('asset_&amp;_open_positions'!$C265="","",'asset_&amp;_open_positions'!$E265)</f>
        <v>ENJ</v>
      </c>
      <c r="P265" s="42">
        <f>IF('asset_&amp;_open_positions'!$C265="","",'asset_&amp;_open_positions'!$H265)</f>
        <v>0.304096198903759</v>
      </c>
      <c r="Q265" s="78" t="str">
        <f>IF(OR('asset_&amp;_open_positions'!$C265="",'asset_&amp;_open_positions'!$J265="SWAP",'asset_&amp;_open_positions'!$J265="FUTURE",'asset_&amp;_open_positions'!$J265="CME FUTURE"),"",'asset_&amp;_open_positions'!$M265)</f>
        <v>ENJ</v>
      </c>
      <c r="R265" s="42">
        <f>IF(OR('asset_&amp;_open_positions'!$C265="",'asset_&amp;_open_positions'!$J265="SWAP",'asset_&amp;_open_positions'!$J265="FUTURE",'asset_&amp;_open_positions'!$J265="CME FUTURE"),"",'asset_&amp;_open_positions'!$H265)</f>
        <v>0.304096198903759</v>
      </c>
    </row>
    <row r="266" spans="15:18" x14ac:dyDescent="0.25">
      <c r="O266" s="78" t="str">
        <f>IF('asset_&amp;_open_positions'!$C266="","",'asset_&amp;_open_positions'!$E266)</f>
        <v>EOS</v>
      </c>
      <c r="P266" s="42">
        <f>IF('asset_&amp;_open_positions'!$C266="","",'asset_&amp;_open_positions'!$H266)</f>
        <v>0.990242476806942</v>
      </c>
      <c r="Q266" s="78" t="str">
        <f>IF(OR('asset_&amp;_open_positions'!$C266="",'asset_&amp;_open_positions'!$J266="SWAP",'asset_&amp;_open_positions'!$J266="FUTURE",'asset_&amp;_open_positions'!$J266="CME FUTURE"),"",'asset_&amp;_open_positions'!$M266)</f>
        <v>EOS</v>
      </c>
      <c r="R266" s="42">
        <f>IF(OR('asset_&amp;_open_positions'!$C266="",'asset_&amp;_open_positions'!$J266="SWAP",'asset_&amp;_open_positions'!$J266="FUTURE",'asset_&amp;_open_positions'!$J266="CME FUTURE"),"",'asset_&amp;_open_positions'!$H266)</f>
        <v>0.990242476806942</v>
      </c>
    </row>
    <row r="267" spans="15:18" x14ac:dyDescent="0.25">
      <c r="O267" s="78" t="str">
        <f>IF('asset_&amp;_open_positions'!$C267="","",'asset_&amp;_open_positions'!$E267)</f>
        <v>ETC</v>
      </c>
      <c r="P267" s="42">
        <f>IF('asset_&amp;_open_positions'!$C267="","",'asset_&amp;_open_positions'!$H267)</f>
        <v>20.917758217744002</v>
      </c>
      <c r="Q267" s="78" t="str">
        <f>IF(OR('asset_&amp;_open_positions'!$C267="",'asset_&amp;_open_positions'!$J267="SWAP",'asset_&amp;_open_positions'!$J267="FUTURE",'asset_&amp;_open_positions'!$J267="CME FUTURE"),"",'asset_&amp;_open_positions'!$M267)</f>
        <v>ETC</v>
      </c>
      <c r="R267" s="42">
        <f>IF(OR('asset_&amp;_open_positions'!$C267="",'asset_&amp;_open_positions'!$J267="SWAP",'asset_&amp;_open_positions'!$J267="FUTURE",'asset_&amp;_open_positions'!$J267="CME FUTURE"),"",'asset_&amp;_open_positions'!$H267)</f>
        <v>20.917758217744002</v>
      </c>
    </row>
    <row r="268" spans="15:18" x14ac:dyDescent="0.25">
      <c r="O268" s="78" t="str">
        <f>IF('asset_&amp;_open_positions'!$C268="","",'asset_&amp;_open_positions'!$E268)</f>
        <v>ETH</v>
      </c>
      <c r="P268" s="42">
        <f>IF('asset_&amp;_open_positions'!$C268="","",'asset_&amp;_open_positions'!$H268)</f>
        <v>1417.9385231112101</v>
      </c>
      <c r="Q268" s="78" t="str">
        <f>IF(OR('asset_&amp;_open_positions'!$C268="",'asset_&amp;_open_positions'!$J268="SWAP",'asset_&amp;_open_positions'!$J268="FUTURE",'asset_&amp;_open_positions'!$J268="CME FUTURE"),"",'asset_&amp;_open_positions'!$M268)</f>
        <v>ETH</v>
      </c>
      <c r="R268" s="42">
        <f>IF(OR('asset_&amp;_open_positions'!$C268="",'asset_&amp;_open_positions'!$J268="SWAP",'asset_&amp;_open_positions'!$J268="FUTURE",'asset_&amp;_open_positions'!$J268="CME FUTURE"),"",'asset_&amp;_open_positions'!$H268)</f>
        <v>1417.9385231112101</v>
      </c>
    </row>
    <row r="269" spans="15:18" x14ac:dyDescent="0.25">
      <c r="O269" s="78" t="str">
        <f>IF('asset_&amp;_open_positions'!$C269="","",'asset_&amp;_open_positions'!$E269)</f>
        <v>ETHF</v>
      </c>
      <c r="P269" s="42">
        <f>IF('asset_&amp;_open_positions'!$C269="","",'asset_&amp;_open_positions'!$H269)</f>
        <v>0.34151820064226501</v>
      </c>
      <c r="Q269" s="78" t="str">
        <f>IF(OR('asset_&amp;_open_positions'!$C269="",'asset_&amp;_open_positions'!$J269="SWAP",'asset_&amp;_open_positions'!$J269="FUTURE",'asset_&amp;_open_positions'!$J269="CME FUTURE"),"",'asset_&amp;_open_positions'!$M269)</f>
        <v>ETHF</v>
      </c>
      <c r="R269" s="42">
        <f>IF(OR('asset_&amp;_open_positions'!$C269="",'asset_&amp;_open_positions'!$J269="SWAP",'asset_&amp;_open_positions'!$J269="FUTURE",'asset_&amp;_open_positions'!$J269="CME FUTURE"),"",'asset_&amp;_open_positions'!$H269)</f>
        <v>0.34151820064226501</v>
      </c>
    </row>
    <row r="270" spans="15:18" x14ac:dyDescent="0.25">
      <c r="O270" s="78" t="str">
        <f>IF('asset_&amp;_open_positions'!$C270="","",'asset_&amp;_open_positions'!$E270)</f>
        <v>ETHW</v>
      </c>
      <c r="P270" s="42">
        <f>IF('asset_&amp;_open_positions'!$C270="","",'asset_&amp;_open_positions'!$H270)</f>
        <v>3.43409341167265</v>
      </c>
      <c r="Q270" s="78" t="str">
        <f>IF(OR('asset_&amp;_open_positions'!$C270="",'asset_&amp;_open_positions'!$J270="SWAP",'asset_&amp;_open_positions'!$J270="FUTURE",'asset_&amp;_open_positions'!$J270="CME FUTURE"),"",'asset_&amp;_open_positions'!$M270)</f>
        <v>ETHW</v>
      </c>
      <c r="R270" s="42">
        <f>IF(OR('asset_&amp;_open_positions'!$C270="",'asset_&amp;_open_positions'!$J270="SWAP",'asset_&amp;_open_positions'!$J270="FUTURE",'asset_&amp;_open_positions'!$J270="CME FUTURE"),"",'asset_&amp;_open_positions'!$H270)</f>
        <v>3.43409341167265</v>
      </c>
    </row>
    <row r="271" spans="15:18" x14ac:dyDescent="0.25">
      <c r="O271" s="78" t="str">
        <f>IF('asset_&amp;_open_positions'!$C271="","",'asset_&amp;_open_positions'!$E271)</f>
        <v>EUROC</v>
      </c>
      <c r="P271" s="42">
        <f>IF('asset_&amp;_open_positions'!$C271="","",'asset_&amp;_open_positions'!$H271)</f>
        <v>1.0845630163527999</v>
      </c>
      <c r="Q271" s="78" t="str">
        <f>IF(OR('asset_&amp;_open_positions'!$C271="",'asset_&amp;_open_positions'!$J271="SWAP",'asset_&amp;_open_positions'!$J271="FUTURE",'asset_&amp;_open_positions'!$J271="CME FUTURE"),"",'asset_&amp;_open_positions'!$M271)</f>
        <v>EUROC</v>
      </c>
      <c r="R271" s="42">
        <f>IF(OR('asset_&amp;_open_positions'!$C271="",'asset_&amp;_open_positions'!$J271="SWAP",'asset_&amp;_open_positions'!$J271="FUTURE",'asset_&amp;_open_positions'!$J271="CME FUTURE"),"",'asset_&amp;_open_positions'!$H271)</f>
        <v>1.0845630163527999</v>
      </c>
    </row>
    <row r="272" spans="15:18" x14ac:dyDescent="0.25">
      <c r="O272" s="78" t="str">
        <f>IF('asset_&amp;_open_positions'!$C272="","",'asset_&amp;_open_positions'!$E272)</f>
        <v>FIL</v>
      </c>
      <c r="P272" s="42">
        <f>IF('asset_&amp;_open_positions'!$C272="","",'asset_&amp;_open_positions'!$H272)</f>
        <v>3.8532649574853499</v>
      </c>
      <c r="Q272" s="78" t="str">
        <f>IF(OR('asset_&amp;_open_positions'!$C272="",'asset_&amp;_open_positions'!$J272="SWAP",'asset_&amp;_open_positions'!$J272="FUTURE",'asset_&amp;_open_positions'!$J272="CME FUTURE"),"",'asset_&amp;_open_positions'!$M272)</f>
        <v>FIL</v>
      </c>
      <c r="R272" s="42">
        <f>IF(OR('asset_&amp;_open_positions'!$C272="",'asset_&amp;_open_positions'!$J272="SWAP",'asset_&amp;_open_positions'!$J272="FUTURE",'asset_&amp;_open_positions'!$J272="CME FUTURE"),"",'asset_&amp;_open_positions'!$H272)</f>
        <v>3.8532649574853499</v>
      </c>
    </row>
    <row r="273" spans="15:18" x14ac:dyDescent="0.25">
      <c r="O273" s="78" t="str">
        <f>IF('asset_&amp;_open_positions'!$C273="","",'asset_&amp;_open_positions'!$E273)</f>
        <v>FLR</v>
      </c>
      <c r="P273" s="42">
        <f>IF('asset_&amp;_open_positions'!$C273="","",'asset_&amp;_open_positions'!$H273)</f>
        <v>4.4010915811990299E-2</v>
      </c>
      <c r="Q273" s="78" t="str">
        <f>IF(OR('asset_&amp;_open_positions'!$C273="",'asset_&amp;_open_positions'!$J273="SWAP",'asset_&amp;_open_positions'!$J273="FUTURE",'asset_&amp;_open_positions'!$J273="CME FUTURE"),"",'asset_&amp;_open_positions'!$M273)</f>
        <v>FLR</v>
      </c>
      <c r="R273" s="42">
        <f>IF(OR('asset_&amp;_open_positions'!$C273="",'asset_&amp;_open_positions'!$J273="SWAP",'asset_&amp;_open_positions'!$J273="FUTURE",'asset_&amp;_open_positions'!$J273="CME FUTURE"),"",'asset_&amp;_open_positions'!$H273)</f>
        <v>4.4010915811990299E-2</v>
      </c>
    </row>
    <row r="274" spans="15:18" x14ac:dyDescent="0.25">
      <c r="O274" s="78" t="str">
        <f>IF('asset_&amp;_open_positions'!$C274="","",'asset_&amp;_open_positions'!$E274)</f>
        <v>FTT</v>
      </c>
      <c r="P274" s="42">
        <f>IF('asset_&amp;_open_positions'!$C274="","",'asset_&amp;_open_positions'!$H274)</f>
        <v>1.3808110263281099</v>
      </c>
      <c r="Q274" s="78" t="str">
        <f>IF(OR('asset_&amp;_open_positions'!$C274="",'asset_&amp;_open_positions'!$J274="SWAP",'asset_&amp;_open_positions'!$J274="FUTURE",'asset_&amp;_open_positions'!$J274="CME FUTURE"),"",'asset_&amp;_open_positions'!$M274)</f>
        <v>FTT</v>
      </c>
      <c r="R274" s="42">
        <f>IF(OR('asset_&amp;_open_positions'!$C274="",'asset_&amp;_open_positions'!$J274="SWAP",'asset_&amp;_open_positions'!$J274="FUTURE",'asset_&amp;_open_positions'!$J274="CME FUTURE"),"",'asset_&amp;_open_positions'!$H274)</f>
        <v>1.3808110263281099</v>
      </c>
    </row>
    <row r="275" spans="15:18" x14ac:dyDescent="0.25">
      <c r="O275" s="78" t="str">
        <f>IF('asset_&amp;_open_positions'!$C275="","",'asset_&amp;_open_positions'!$E275)</f>
        <v>GAS</v>
      </c>
      <c r="P275" s="42">
        <f>IF('asset_&amp;_open_positions'!$C275="","",'asset_&amp;_open_positions'!$H275)</f>
        <v>2.2507954405069799</v>
      </c>
      <c r="Q275" s="78" t="str">
        <f>IF(OR('asset_&amp;_open_positions'!$C275="",'asset_&amp;_open_positions'!$J275="SWAP",'asset_&amp;_open_positions'!$J275="FUTURE",'asset_&amp;_open_positions'!$J275="CME FUTURE"),"",'asset_&amp;_open_positions'!$M275)</f>
        <v>GAS</v>
      </c>
      <c r="R275" s="42">
        <f>IF(OR('asset_&amp;_open_positions'!$C275="",'asset_&amp;_open_positions'!$J275="SWAP",'asset_&amp;_open_positions'!$J275="FUTURE",'asset_&amp;_open_positions'!$J275="CME FUTURE"),"",'asset_&amp;_open_positions'!$H275)</f>
        <v>2.2507954405069799</v>
      </c>
    </row>
    <row r="276" spans="15:18" x14ac:dyDescent="0.25">
      <c r="O276" s="78" t="str">
        <f>IF('asset_&amp;_open_positions'!$C276="","",'asset_&amp;_open_positions'!$E276)</f>
        <v>HBAR</v>
      </c>
      <c r="P276" s="42">
        <f>IF('asset_&amp;_open_positions'!$C276="","",'asset_&amp;_open_positions'!$H276)</f>
        <v>4.7647636764699498E-2</v>
      </c>
      <c r="Q276" s="78" t="str">
        <f>IF(OR('asset_&amp;_open_positions'!$C276="",'asset_&amp;_open_positions'!$J276="SWAP",'asset_&amp;_open_positions'!$J276="FUTURE",'asset_&amp;_open_positions'!$J276="CME FUTURE"),"",'asset_&amp;_open_positions'!$M276)</f>
        <v>HBAR</v>
      </c>
      <c r="R276" s="42">
        <f>IF(OR('asset_&amp;_open_positions'!$C276="",'asset_&amp;_open_positions'!$J276="SWAP",'asset_&amp;_open_positions'!$J276="FUTURE",'asset_&amp;_open_positions'!$J276="CME FUTURE"),"",'asset_&amp;_open_positions'!$H276)</f>
        <v>4.7647636764699498E-2</v>
      </c>
    </row>
    <row r="277" spans="15:18" x14ac:dyDescent="0.25">
      <c r="O277" s="78" t="str">
        <f>IF('asset_&amp;_open_positions'!$C277="","",'asset_&amp;_open_positions'!$E277)</f>
        <v>HPT</v>
      </c>
      <c r="P277" s="42">
        <f>IF('asset_&amp;_open_positions'!$C277="","",'asset_&amp;_open_positions'!$H277)</f>
        <v>1.9482070510936099E-4</v>
      </c>
      <c r="Q277" s="78" t="str">
        <f>IF(OR('asset_&amp;_open_positions'!$C277="",'asset_&amp;_open_positions'!$J277="SWAP",'asset_&amp;_open_positions'!$J277="FUTURE",'asset_&amp;_open_positions'!$J277="CME FUTURE"),"",'asset_&amp;_open_positions'!$M277)</f>
        <v>HPT</v>
      </c>
      <c r="R277" s="42">
        <f>IF(OR('asset_&amp;_open_positions'!$C277="",'asset_&amp;_open_positions'!$J277="SWAP",'asset_&amp;_open_positions'!$J277="FUTURE",'asset_&amp;_open_positions'!$J277="CME FUTURE"),"",'asset_&amp;_open_positions'!$H277)</f>
        <v>1.9482070510936099E-4</v>
      </c>
    </row>
    <row r="278" spans="15:18" x14ac:dyDescent="0.25">
      <c r="O278" s="78" t="str">
        <f>IF('asset_&amp;_open_positions'!$C278="","",'asset_&amp;_open_positions'!$E278)</f>
        <v>HT</v>
      </c>
      <c r="P278" s="42">
        <f>IF('asset_&amp;_open_positions'!$C278="","",'asset_&amp;_open_positions'!$H278)</f>
        <v>5.0827565621471598</v>
      </c>
      <c r="Q278" s="78" t="str">
        <f>IF(OR('asset_&amp;_open_positions'!$C278="",'asset_&amp;_open_positions'!$J278="SWAP",'asset_&amp;_open_positions'!$J278="FUTURE",'asset_&amp;_open_positions'!$J278="CME FUTURE"),"",'asset_&amp;_open_positions'!$M278)</f>
        <v>HT</v>
      </c>
      <c r="R278" s="42">
        <f>IF(OR('asset_&amp;_open_positions'!$C278="",'asset_&amp;_open_positions'!$J278="SWAP",'asset_&amp;_open_positions'!$J278="FUTURE",'asset_&amp;_open_positions'!$J278="CME FUTURE"),"",'asset_&amp;_open_positions'!$H278)</f>
        <v>5.0827565621471598</v>
      </c>
    </row>
    <row r="279" spans="15:18" x14ac:dyDescent="0.25">
      <c r="O279" s="78" t="str">
        <f>IF('asset_&amp;_open_positions'!$C279="","",'asset_&amp;_open_positions'!$E279)</f>
        <v>IOST</v>
      </c>
      <c r="P279" s="42">
        <f>IF('asset_&amp;_open_positions'!$C279="","",'asset_&amp;_open_positions'!$H279)</f>
        <v>8.2455310718845091E-3</v>
      </c>
      <c r="Q279" s="78" t="str">
        <f>IF(OR('asset_&amp;_open_positions'!$C279="",'asset_&amp;_open_positions'!$J279="SWAP",'asset_&amp;_open_positions'!$J279="FUTURE",'asset_&amp;_open_positions'!$J279="CME FUTURE"),"",'asset_&amp;_open_positions'!$M279)</f>
        <v>IOST</v>
      </c>
      <c r="R279" s="42">
        <f>IF(OR('asset_&amp;_open_positions'!$C279="",'asset_&amp;_open_positions'!$J279="SWAP",'asset_&amp;_open_positions'!$J279="FUTURE",'asset_&amp;_open_positions'!$J279="CME FUTURE"),"",'asset_&amp;_open_positions'!$H279)</f>
        <v>8.2455310718845091E-3</v>
      </c>
    </row>
    <row r="280" spans="15:18" x14ac:dyDescent="0.25">
      <c r="O280" s="78" t="str">
        <f>IF('asset_&amp;_open_positions'!$C280="","",'asset_&amp;_open_positions'!$E280)</f>
        <v>IRIS</v>
      </c>
      <c r="P280" s="42">
        <f>IF('asset_&amp;_open_positions'!$C280="","",'asset_&amp;_open_positions'!$H280)</f>
        <v>1.4296311704833E-2</v>
      </c>
      <c r="Q280" s="78" t="str">
        <f>IF(OR('asset_&amp;_open_positions'!$C280="",'asset_&amp;_open_positions'!$J280="SWAP",'asset_&amp;_open_positions'!$J280="FUTURE",'asset_&amp;_open_positions'!$J280="CME FUTURE"),"",'asset_&amp;_open_positions'!$M280)</f>
        <v>IRIS</v>
      </c>
      <c r="R280" s="42">
        <f>IF(OR('asset_&amp;_open_positions'!$C280="",'asset_&amp;_open_positions'!$J280="SWAP",'asset_&amp;_open_positions'!$J280="FUTURE",'asset_&amp;_open_positions'!$J280="CME FUTURE"),"",'asset_&amp;_open_positions'!$H280)</f>
        <v>1.4296311704833E-2</v>
      </c>
    </row>
    <row r="281" spans="15:18" x14ac:dyDescent="0.25">
      <c r="O281" s="78" t="str">
        <f>IF('asset_&amp;_open_positions'!$C281="","",'asset_&amp;_open_positions'!$E281)</f>
        <v>JST</v>
      </c>
      <c r="P281" s="42">
        <f>IF('asset_&amp;_open_positions'!$C281="","",'asset_&amp;_open_positions'!$H281)</f>
        <v>2.20162359947535E-2</v>
      </c>
      <c r="Q281" s="78" t="str">
        <f>IF(OR('asset_&amp;_open_positions'!$C281="",'asset_&amp;_open_positions'!$J281="SWAP",'asset_&amp;_open_positions'!$J281="FUTURE",'asset_&amp;_open_positions'!$J281="CME FUTURE"),"",'asset_&amp;_open_positions'!$M281)</f>
        <v>JST</v>
      </c>
      <c r="R281" s="42">
        <f>IF(OR('asset_&amp;_open_positions'!$C281="",'asset_&amp;_open_positions'!$J281="SWAP",'asset_&amp;_open_positions'!$J281="FUTURE",'asset_&amp;_open_positions'!$J281="CME FUTURE"),"",'asset_&amp;_open_positions'!$H281)</f>
        <v>2.20162359947535E-2</v>
      </c>
    </row>
    <row r="282" spans="15:18" x14ac:dyDescent="0.25">
      <c r="O282" s="78" t="str">
        <f>IF('asset_&amp;_open_positions'!$C282="","",'asset_&amp;_open_positions'!$E282)</f>
        <v>KSM</v>
      </c>
      <c r="P282" s="42">
        <f>IF('asset_&amp;_open_positions'!$C282="","",'asset_&amp;_open_positions'!$H282)</f>
        <v>28.327674597000101</v>
      </c>
      <c r="Q282" s="78" t="str">
        <f>IF(OR('asset_&amp;_open_positions'!$C282="",'asset_&amp;_open_positions'!$J282="SWAP",'asset_&amp;_open_positions'!$J282="FUTURE",'asset_&amp;_open_positions'!$J282="CME FUTURE"),"",'asset_&amp;_open_positions'!$M282)</f>
        <v>KSM</v>
      </c>
      <c r="R282" s="42">
        <f>IF(OR('asset_&amp;_open_positions'!$C282="",'asset_&amp;_open_positions'!$J282="SWAP",'asset_&amp;_open_positions'!$J282="FUTURE",'asset_&amp;_open_positions'!$J282="CME FUTURE"),"",'asset_&amp;_open_positions'!$H282)</f>
        <v>28.327674597000101</v>
      </c>
    </row>
    <row r="283" spans="15:18" x14ac:dyDescent="0.25">
      <c r="O283" s="78" t="str">
        <f>IF('asset_&amp;_open_positions'!$C283="","",'asset_&amp;_open_positions'!$E283)</f>
        <v>LAMB</v>
      </c>
      <c r="P283" s="42">
        <f>IF('asset_&amp;_open_positions'!$C283="","",'asset_&amp;_open_positions'!$H283)</f>
        <v>1.2773537029749601E-3</v>
      </c>
      <c r="Q283" s="78" t="str">
        <f>IF(OR('asset_&amp;_open_positions'!$C283="",'asset_&amp;_open_positions'!$J283="SWAP",'asset_&amp;_open_positions'!$J283="FUTURE",'asset_&amp;_open_positions'!$J283="CME FUTURE"),"",'asset_&amp;_open_positions'!$M283)</f>
        <v>LAMB</v>
      </c>
      <c r="R283" s="42">
        <f>IF(OR('asset_&amp;_open_positions'!$C283="",'asset_&amp;_open_positions'!$J283="SWAP",'asset_&amp;_open_positions'!$J283="FUTURE",'asset_&amp;_open_positions'!$J283="CME FUTURE"),"",'asset_&amp;_open_positions'!$H283)</f>
        <v>1.2773537029749601E-3</v>
      </c>
    </row>
    <row r="284" spans="15:18" x14ac:dyDescent="0.25">
      <c r="O284" s="78" t="str">
        <f>IF('asset_&amp;_open_positions'!$C284="","",'asset_&amp;_open_positions'!$E284)</f>
        <v>LEND</v>
      </c>
      <c r="P284" s="42">
        <f>IF('asset_&amp;_open_positions'!$C284="","",'asset_&amp;_open_positions'!$H284)</f>
        <v>0</v>
      </c>
      <c r="Q284" s="78" t="str">
        <f>IF(OR('asset_&amp;_open_positions'!$C284="",'asset_&amp;_open_positions'!$J284="SWAP",'asset_&amp;_open_positions'!$J284="FUTURE",'asset_&amp;_open_positions'!$J284="CME FUTURE"),"",'asset_&amp;_open_positions'!$M284)</f>
        <v>LEND</v>
      </c>
      <c r="R284" s="42">
        <f>IF(OR('asset_&amp;_open_positions'!$C284="",'asset_&amp;_open_positions'!$J284="SWAP",'asset_&amp;_open_positions'!$J284="FUTURE",'asset_&amp;_open_positions'!$J284="CME FUTURE"),"",'asset_&amp;_open_positions'!$H284)</f>
        <v>0</v>
      </c>
    </row>
    <row r="285" spans="15:18" x14ac:dyDescent="0.25">
      <c r="O285" s="78" t="str">
        <f>IF('asset_&amp;_open_positions'!$C285="","",'asset_&amp;_open_positions'!$E285)</f>
        <v>LINK</v>
      </c>
      <c r="P285" s="42">
        <f>IF('asset_&amp;_open_positions'!$C285="","",'asset_&amp;_open_positions'!$H285)</f>
        <v>6.38133155243787</v>
      </c>
      <c r="Q285" s="78" t="str">
        <f>IF(OR('asset_&amp;_open_positions'!$C285="",'asset_&amp;_open_positions'!$J285="SWAP",'asset_&amp;_open_positions'!$J285="FUTURE",'asset_&amp;_open_positions'!$J285="CME FUTURE"),"",'asset_&amp;_open_positions'!$M285)</f>
        <v>LINK</v>
      </c>
      <c r="R285" s="42">
        <f>IF(OR('asset_&amp;_open_positions'!$C285="",'asset_&amp;_open_positions'!$J285="SWAP",'asset_&amp;_open_positions'!$J285="FUTURE",'asset_&amp;_open_positions'!$J285="CME FUTURE"),"",'asset_&amp;_open_positions'!$H285)</f>
        <v>6.38133155243787</v>
      </c>
    </row>
    <row r="286" spans="15:18" x14ac:dyDescent="0.25">
      <c r="O286" s="78" t="str">
        <f>IF('asset_&amp;_open_positions'!$C286="","",'asset_&amp;_open_positions'!$E286)</f>
        <v>LOL</v>
      </c>
      <c r="P286" s="42">
        <f>IF('asset_&amp;_open_positions'!$C286="","",'asset_&amp;_open_positions'!$H286)</f>
        <v>2.8497008530862999E-7</v>
      </c>
      <c r="Q286" s="78" t="str">
        <f>IF(OR('asset_&amp;_open_positions'!$C286="",'asset_&amp;_open_positions'!$J286="SWAP",'asset_&amp;_open_positions'!$J286="FUTURE",'asset_&amp;_open_positions'!$J286="CME FUTURE"),"",'asset_&amp;_open_positions'!$M286)</f>
        <v>LOL</v>
      </c>
      <c r="R286" s="42">
        <f>IF(OR('asset_&amp;_open_positions'!$C286="",'asset_&amp;_open_positions'!$J286="SWAP",'asset_&amp;_open_positions'!$J286="FUTURE",'asset_&amp;_open_positions'!$J286="CME FUTURE"),"",'asset_&amp;_open_positions'!$H286)</f>
        <v>2.8497008530862999E-7</v>
      </c>
    </row>
    <row r="287" spans="15:18" x14ac:dyDescent="0.25">
      <c r="O287" s="78" t="str">
        <f>IF('asset_&amp;_open_positions'!$C287="","",'asset_&amp;_open_positions'!$E287)</f>
        <v>LTC</v>
      </c>
      <c r="P287" s="42">
        <f>IF('asset_&amp;_open_positions'!$C287="","",'asset_&amp;_open_positions'!$H287)</f>
        <v>85.964229450756093</v>
      </c>
      <c r="Q287" s="78" t="str">
        <f>IF(OR('asset_&amp;_open_positions'!$C287="",'asset_&amp;_open_positions'!$J287="SWAP",'asset_&amp;_open_positions'!$J287="FUTURE",'asset_&amp;_open_positions'!$J287="CME FUTURE"),"",'asset_&amp;_open_positions'!$M287)</f>
        <v>LTC</v>
      </c>
      <c r="R287" s="42">
        <f>IF(OR('asset_&amp;_open_positions'!$C287="",'asset_&amp;_open_positions'!$J287="SWAP",'asset_&amp;_open_positions'!$J287="FUTURE",'asset_&amp;_open_positions'!$J287="CME FUTURE"),"",'asset_&amp;_open_positions'!$H287)</f>
        <v>85.964229450756093</v>
      </c>
    </row>
    <row r="288" spans="15:18" x14ac:dyDescent="0.25">
      <c r="O288" s="78" t="str">
        <f>IF('asset_&amp;_open_positions'!$C288="","",'asset_&amp;_open_positions'!$E288)</f>
        <v>LXT</v>
      </c>
      <c r="P288" s="42">
        <f>IF('asset_&amp;_open_positions'!$C288="","",'asset_&amp;_open_positions'!$H288)</f>
        <v>2.5802374868960399E-4</v>
      </c>
      <c r="Q288" s="78" t="str">
        <f>IF(OR('asset_&amp;_open_positions'!$C288="",'asset_&amp;_open_positions'!$J288="SWAP",'asset_&amp;_open_positions'!$J288="FUTURE",'asset_&amp;_open_positions'!$J288="CME FUTURE"),"",'asset_&amp;_open_positions'!$M288)</f>
        <v>LXT</v>
      </c>
      <c r="R288" s="42">
        <f>IF(OR('asset_&amp;_open_positions'!$C288="",'asset_&amp;_open_positions'!$J288="SWAP",'asset_&amp;_open_positions'!$J288="FUTURE",'asset_&amp;_open_positions'!$J288="CME FUTURE"),"",'asset_&amp;_open_positions'!$H288)</f>
        <v>2.5802374868960399E-4</v>
      </c>
    </row>
    <row r="289" spans="15:18" x14ac:dyDescent="0.25">
      <c r="O289" s="78" t="str">
        <f>IF('asset_&amp;_open_positions'!$C289="","",'asset_&amp;_open_positions'!$E289)</f>
        <v>MANA</v>
      </c>
      <c r="P289" s="42">
        <f>IF('asset_&amp;_open_positions'!$C289="","",'asset_&amp;_open_positions'!$H289)</f>
        <v>0.41245236860315698</v>
      </c>
      <c r="Q289" s="78" t="str">
        <f>IF(OR('asset_&amp;_open_positions'!$C289="",'asset_&amp;_open_positions'!$J289="SWAP",'asset_&amp;_open_positions'!$J289="FUTURE",'asset_&amp;_open_positions'!$J289="CME FUTURE"),"",'asset_&amp;_open_positions'!$M289)</f>
        <v>MANA</v>
      </c>
      <c r="R289" s="42">
        <f>IF(OR('asset_&amp;_open_positions'!$C289="",'asset_&amp;_open_positions'!$J289="SWAP",'asset_&amp;_open_positions'!$J289="FUTURE",'asset_&amp;_open_positions'!$J289="CME FUTURE"),"",'asset_&amp;_open_positions'!$H289)</f>
        <v>0.41245236860315698</v>
      </c>
    </row>
    <row r="290" spans="15:18" x14ac:dyDescent="0.25">
      <c r="O290" s="78" t="str">
        <f>IF('asset_&amp;_open_positions'!$C290="","",'asset_&amp;_open_positions'!$E290)</f>
        <v>NEO</v>
      </c>
      <c r="P290" s="42">
        <f>IF('asset_&amp;_open_positions'!$C290="","",'asset_&amp;_open_positions'!$H290)</f>
        <v>7.18146112899431</v>
      </c>
      <c r="Q290" s="78" t="str">
        <f>IF(OR('asset_&amp;_open_positions'!$C290="",'asset_&amp;_open_positions'!$J290="SWAP",'asset_&amp;_open_positions'!$J290="FUTURE",'asset_&amp;_open_positions'!$J290="CME FUTURE"),"",'asset_&amp;_open_positions'!$M290)</f>
        <v>NEO</v>
      </c>
      <c r="R290" s="42">
        <f>IF(OR('asset_&amp;_open_positions'!$C290="",'asset_&amp;_open_positions'!$J290="SWAP",'asset_&amp;_open_positions'!$J290="FUTURE",'asset_&amp;_open_positions'!$J290="CME FUTURE"),"",'asset_&amp;_open_positions'!$H290)</f>
        <v>7.18146112899431</v>
      </c>
    </row>
    <row r="291" spans="15:18" x14ac:dyDescent="0.25">
      <c r="O291" s="78" t="str">
        <f>IF('asset_&amp;_open_positions'!$C291="","",'asset_&amp;_open_positions'!$E291)</f>
        <v>NEW</v>
      </c>
      <c r="P291" s="42">
        <f>IF('asset_&amp;_open_positions'!$C291="","",'asset_&amp;_open_positions'!$H291)</f>
        <v>1.6105919188954699E-4</v>
      </c>
      <c r="Q291" s="78" t="str">
        <f>IF(OR('asset_&amp;_open_positions'!$C291="",'asset_&amp;_open_positions'!$J291="SWAP",'asset_&amp;_open_positions'!$J291="FUTURE",'asset_&amp;_open_positions'!$J291="CME FUTURE"),"",'asset_&amp;_open_positions'!$M291)</f>
        <v>NEW</v>
      </c>
      <c r="R291" s="42">
        <f>IF(OR('asset_&amp;_open_positions'!$C291="",'asset_&amp;_open_positions'!$J291="SWAP",'asset_&amp;_open_positions'!$J291="FUTURE",'asset_&amp;_open_positions'!$J291="CME FUTURE"),"",'asset_&amp;_open_positions'!$H291)</f>
        <v>1.6105919188954699E-4</v>
      </c>
    </row>
    <row r="292" spans="15:18" x14ac:dyDescent="0.25">
      <c r="O292" s="78" t="str">
        <f>IF('asset_&amp;_open_positions'!$C292="","",'asset_&amp;_open_positions'!$E292)</f>
        <v>NFT</v>
      </c>
      <c r="P292" s="42">
        <f>IF('asset_&amp;_open_positions'!$C292="","",'asset_&amp;_open_positions'!$H292)</f>
        <v>4.2736791877177001E-7</v>
      </c>
      <c r="Q292" s="78" t="str">
        <f>IF(OR('asset_&amp;_open_positions'!$C292="",'asset_&amp;_open_positions'!$J292="SWAP",'asset_&amp;_open_positions'!$J292="FUTURE",'asset_&amp;_open_positions'!$J292="CME FUTURE"),"",'asset_&amp;_open_positions'!$M292)</f>
        <v>NFT</v>
      </c>
      <c r="R292" s="42">
        <f>IF(OR('asset_&amp;_open_positions'!$C292="",'asset_&amp;_open_positions'!$J292="SWAP",'asset_&amp;_open_positions'!$J292="FUTURE",'asset_&amp;_open_positions'!$J292="CME FUTURE"),"",'asset_&amp;_open_positions'!$H292)</f>
        <v>4.2736791877177001E-7</v>
      </c>
    </row>
    <row r="293" spans="15:18" x14ac:dyDescent="0.25">
      <c r="O293" s="78" t="str">
        <f>IF('asset_&amp;_open_positions'!$C293="","",'asset_&amp;_open_positions'!$E293)</f>
        <v>NULS</v>
      </c>
      <c r="P293" s="42">
        <f>IF('asset_&amp;_open_positions'!$C293="","",'asset_&amp;_open_positions'!$H293)</f>
        <v>0.20605394203050101</v>
      </c>
      <c r="Q293" s="78" t="str">
        <f>IF(OR('asset_&amp;_open_positions'!$C293="",'asset_&amp;_open_positions'!$J293="SWAP",'asset_&amp;_open_positions'!$J293="FUTURE",'asset_&amp;_open_positions'!$J293="CME FUTURE"),"",'asset_&amp;_open_positions'!$M293)</f>
        <v>NULS</v>
      </c>
      <c r="R293" s="42">
        <f>IF(OR('asset_&amp;_open_positions'!$C293="",'asset_&amp;_open_positions'!$J293="SWAP",'asset_&amp;_open_positions'!$J293="FUTURE",'asset_&amp;_open_positions'!$J293="CME FUTURE"),"",'asset_&amp;_open_positions'!$H293)</f>
        <v>0.20605394203050101</v>
      </c>
    </row>
    <row r="294" spans="15:18" x14ac:dyDescent="0.25">
      <c r="O294" s="78" t="str">
        <f>IF('asset_&amp;_open_positions'!$C294="","",'asset_&amp;_open_positions'!$E294)</f>
        <v>ONG</v>
      </c>
      <c r="P294" s="42">
        <f>IF('asset_&amp;_open_positions'!$C294="","",'asset_&amp;_open_positions'!$H294)</f>
        <v>0.24424952891093901</v>
      </c>
      <c r="Q294" s="78" t="str">
        <f>IF(OR('asset_&amp;_open_positions'!$C294="",'asset_&amp;_open_positions'!$J294="SWAP",'asset_&amp;_open_positions'!$J294="FUTURE",'asset_&amp;_open_positions'!$J294="CME FUTURE"),"",'asset_&amp;_open_positions'!$M294)</f>
        <v>ONG</v>
      </c>
      <c r="R294" s="42">
        <f>IF(OR('asset_&amp;_open_positions'!$C294="",'asset_&amp;_open_positions'!$J294="SWAP",'asset_&amp;_open_positions'!$J294="FUTURE",'asset_&amp;_open_positions'!$J294="CME FUTURE"),"",'asset_&amp;_open_positions'!$H294)</f>
        <v>0.24424952891093901</v>
      </c>
    </row>
    <row r="295" spans="15:18" x14ac:dyDescent="0.25">
      <c r="O295" s="78" t="str">
        <f>IF('asset_&amp;_open_positions'!$C295="","",'asset_&amp;_open_positions'!$E295)</f>
        <v>OXT</v>
      </c>
      <c r="P295" s="42">
        <f>IF('asset_&amp;_open_positions'!$C295="","",'asset_&amp;_open_positions'!$H295)</f>
        <v>7.3319331912265404E-2</v>
      </c>
      <c r="Q295" s="78" t="str">
        <f>IF(OR('asset_&amp;_open_positions'!$C295="",'asset_&amp;_open_positions'!$J295="SWAP",'asset_&amp;_open_positions'!$J295="FUTURE",'asset_&amp;_open_positions'!$J295="CME FUTURE"),"",'asset_&amp;_open_positions'!$M295)</f>
        <v>OXT</v>
      </c>
      <c r="R295" s="42">
        <f>IF(OR('asset_&amp;_open_positions'!$C295="",'asset_&amp;_open_positions'!$J295="SWAP",'asset_&amp;_open_positions'!$J295="FUTURE",'asset_&amp;_open_positions'!$J295="CME FUTURE"),"",'asset_&amp;_open_positions'!$H295)</f>
        <v>7.3319331912265404E-2</v>
      </c>
    </row>
    <row r="296" spans="15:18" x14ac:dyDescent="0.25">
      <c r="O296" s="78" t="str">
        <f>IF('asset_&amp;_open_positions'!$C296="","",'asset_&amp;_open_positions'!$E296)</f>
        <v>QTUM</v>
      </c>
      <c r="P296" s="42">
        <f>IF('asset_&amp;_open_positions'!$C296="","",'asset_&amp;_open_positions'!$H296)</f>
        <v>2.1965595854359301</v>
      </c>
      <c r="Q296" s="78" t="str">
        <f>IF(OR('asset_&amp;_open_positions'!$C296="",'asset_&amp;_open_positions'!$J296="SWAP",'asset_&amp;_open_positions'!$J296="FUTURE",'asset_&amp;_open_positions'!$J296="CME FUTURE"),"",'asset_&amp;_open_positions'!$M296)</f>
        <v>QTUM</v>
      </c>
      <c r="R296" s="42">
        <f>IF(OR('asset_&amp;_open_positions'!$C296="",'asset_&amp;_open_positions'!$J296="SWAP",'asset_&amp;_open_positions'!$J296="FUTURE",'asset_&amp;_open_positions'!$J296="CME FUTURE"),"",'asset_&amp;_open_positions'!$H296)</f>
        <v>2.1965595854359301</v>
      </c>
    </row>
    <row r="297" spans="15:18" x14ac:dyDescent="0.25">
      <c r="O297" s="78" t="str">
        <f>IF('asset_&amp;_open_positions'!$C297="","",'asset_&amp;_open_positions'!$E297)</f>
        <v>REI</v>
      </c>
      <c r="P297" s="42">
        <f>IF('asset_&amp;_open_positions'!$C297="","",'asset_&amp;_open_positions'!$H297)</f>
        <v>2.42161495525424E-2</v>
      </c>
      <c r="Q297" s="78" t="str">
        <f>IF(OR('asset_&amp;_open_positions'!$C297="",'asset_&amp;_open_positions'!$J297="SWAP",'asset_&amp;_open_positions'!$J297="FUTURE",'asset_&amp;_open_positions'!$J297="CME FUTURE"),"",'asset_&amp;_open_positions'!$M297)</f>
        <v>REI</v>
      </c>
      <c r="R297" s="42">
        <f>IF(OR('asset_&amp;_open_positions'!$C297="",'asset_&amp;_open_positions'!$J297="SWAP",'asset_&amp;_open_positions'!$J297="FUTURE",'asset_&amp;_open_positions'!$J297="CME FUTURE"),"",'asset_&amp;_open_positions'!$H297)</f>
        <v>2.42161495525424E-2</v>
      </c>
    </row>
    <row r="298" spans="15:18" x14ac:dyDescent="0.25">
      <c r="O298" s="78" t="str">
        <f>IF('asset_&amp;_open_positions'!$C298="","",'asset_&amp;_open_positions'!$E298)</f>
        <v>SGB</v>
      </c>
      <c r="P298" s="42">
        <f>IF('asset_&amp;_open_positions'!$C298="","",'asset_&amp;_open_positions'!$H298)</f>
        <v>1.1707228252084E-2</v>
      </c>
      <c r="Q298" s="78" t="str">
        <f>IF(OR('asset_&amp;_open_positions'!$C298="",'asset_&amp;_open_positions'!$J298="SWAP",'asset_&amp;_open_positions'!$J298="FUTURE",'asset_&amp;_open_positions'!$J298="CME FUTURE"),"",'asset_&amp;_open_positions'!$M298)</f>
        <v>SGB</v>
      </c>
      <c r="R298" s="42">
        <f>IF(OR('asset_&amp;_open_positions'!$C298="",'asset_&amp;_open_positions'!$J298="SWAP",'asset_&amp;_open_positions'!$J298="FUTURE",'asset_&amp;_open_positions'!$J298="CME FUTURE"),"",'asset_&amp;_open_positions'!$H298)</f>
        <v>1.1707228252084E-2</v>
      </c>
    </row>
    <row r="299" spans="15:18" x14ac:dyDescent="0.25">
      <c r="O299" s="78" t="str">
        <f>IF('asset_&amp;_open_positions'!$C299="","",'asset_&amp;_open_positions'!$E299)</f>
        <v>SHIB</v>
      </c>
      <c r="P299" s="42">
        <f>IF('asset_&amp;_open_positions'!$C299="","",'asset_&amp;_open_positions'!$H299)</f>
        <v>9.4713833405960602E-6</v>
      </c>
      <c r="Q299" s="78" t="str">
        <f>IF(OR('asset_&amp;_open_positions'!$C299="",'asset_&amp;_open_positions'!$J299="SWAP",'asset_&amp;_open_positions'!$J299="FUTURE",'asset_&amp;_open_positions'!$J299="CME FUTURE"),"",'asset_&amp;_open_positions'!$M299)</f>
        <v>SHIB</v>
      </c>
      <c r="R299" s="42">
        <f>IF(OR('asset_&amp;_open_positions'!$C299="",'asset_&amp;_open_positions'!$J299="SWAP",'asset_&amp;_open_positions'!$J299="FUTURE",'asset_&amp;_open_positions'!$J299="CME FUTURE"),"",'asset_&amp;_open_positions'!$H299)</f>
        <v>9.4713833405960602E-6</v>
      </c>
    </row>
    <row r="300" spans="15:18" x14ac:dyDescent="0.25">
      <c r="O300" s="78" t="str">
        <f>IF('asset_&amp;_open_positions'!$C300="","",'asset_&amp;_open_positions'!$E300)</f>
        <v>SOL</v>
      </c>
      <c r="P300" s="42">
        <f>IF('asset_&amp;_open_positions'!$C300="","",'asset_&amp;_open_positions'!$H300)</f>
        <v>16.6190441963655</v>
      </c>
      <c r="Q300" s="78" t="str">
        <f>IF(OR('asset_&amp;_open_positions'!$C300="",'asset_&amp;_open_positions'!$J300="SWAP",'asset_&amp;_open_positions'!$J300="FUTURE",'asset_&amp;_open_positions'!$J300="CME FUTURE"),"",'asset_&amp;_open_positions'!$M300)</f>
        <v>SOL</v>
      </c>
      <c r="R300" s="42">
        <f>IF(OR('asset_&amp;_open_positions'!$C300="",'asset_&amp;_open_positions'!$J300="SWAP",'asset_&amp;_open_positions'!$J300="FUTURE",'asset_&amp;_open_positions'!$J300="CME FUTURE"),"",'asset_&amp;_open_positions'!$H300)</f>
        <v>16.6190441963655</v>
      </c>
    </row>
    <row r="301" spans="15:18" x14ac:dyDescent="0.25">
      <c r="O301" s="78" t="str">
        <f>IF('asset_&amp;_open_positions'!$C301="","",'asset_&amp;_open_positions'!$E301)</f>
        <v>SOLO</v>
      </c>
      <c r="P301" s="42">
        <f>IF('asset_&amp;_open_positions'!$C301="","",'asset_&amp;_open_positions'!$H301)</f>
        <v>0.16144632245409199</v>
      </c>
      <c r="Q301" s="78" t="str">
        <f>IF(OR('asset_&amp;_open_positions'!$C301="",'asset_&amp;_open_positions'!$J301="SWAP",'asset_&amp;_open_positions'!$J301="FUTURE",'asset_&amp;_open_positions'!$J301="CME FUTURE"),"",'asset_&amp;_open_positions'!$M301)</f>
        <v>SOLO</v>
      </c>
      <c r="R301" s="42">
        <f>IF(OR('asset_&amp;_open_positions'!$C301="",'asset_&amp;_open_positions'!$J301="SWAP",'asset_&amp;_open_positions'!$J301="FUTURE",'asset_&amp;_open_positions'!$J301="CME FUTURE"),"",'asset_&amp;_open_positions'!$H301)</f>
        <v>0.16144632245409199</v>
      </c>
    </row>
    <row r="302" spans="15:18" x14ac:dyDescent="0.25">
      <c r="O302" s="78" t="str">
        <f>IF('asset_&amp;_open_positions'!$C302="","",'asset_&amp;_open_positions'!$E302)</f>
        <v>STORJ</v>
      </c>
      <c r="P302" s="42">
        <f>IF('asset_&amp;_open_positions'!$C302="","",'asset_&amp;_open_positions'!$H302)</f>
        <v>0.29797032218429897</v>
      </c>
      <c r="Q302" s="78" t="str">
        <f>IF(OR('asset_&amp;_open_positions'!$C302="",'asset_&amp;_open_positions'!$J302="SWAP",'asset_&amp;_open_positions'!$J302="FUTURE",'asset_&amp;_open_positions'!$J302="CME FUTURE"),"",'asset_&amp;_open_positions'!$M302)</f>
        <v>STORJ</v>
      </c>
      <c r="R302" s="42">
        <f>IF(OR('asset_&amp;_open_positions'!$C302="",'asset_&amp;_open_positions'!$J302="SWAP",'asset_&amp;_open_positions'!$J302="FUTURE",'asset_&amp;_open_positions'!$J302="CME FUTURE"),"",'asset_&amp;_open_positions'!$H302)</f>
        <v>0.29797032218429897</v>
      </c>
    </row>
    <row r="303" spans="15:18" x14ac:dyDescent="0.25">
      <c r="O303" s="78" t="str">
        <f>IF('asset_&amp;_open_positions'!$C303="","",'asset_&amp;_open_positions'!$E303)</f>
        <v>TRX</v>
      </c>
      <c r="P303" s="42">
        <f>IF('asset_&amp;_open_positions'!$C303="","",'asset_&amp;_open_positions'!$H303)</f>
        <v>5.7111199630631597E-2</v>
      </c>
      <c r="Q303" s="78" t="str">
        <f>IF(OR('asset_&amp;_open_positions'!$C303="",'asset_&amp;_open_positions'!$J303="SWAP",'asset_&amp;_open_positions'!$J303="FUTURE",'asset_&amp;_open_positions'!$J303="CME FUTURE"),"",'asset_&amp;_open_positions'!$M303)</f>
        <v>TRX</v>
      </c>
      <c r="R303" s="42">
        <f>IF(OR('asset_&amp;_open_positions'!$C303="",'asset_&amp;_open_positions'!$J303="SWAP",'asset_&amp;_open_positions'!$J303="FUTURE",'asset_&amp;_open_positions'!$J303="CME FUTURE"),"",'asset_&amp;_open_positions'!$H303)</f>
        <v>5.7111199630631597E-2</v>
      </c>
    </row>
    <row r="304" spans="15:18" x14ac:dyDescent="0.25">
      <c r="O304" s="78" t="str">
        <f>IF('asset_&amp;_open_positions'!$C304="","",'asset_&amp;_open_positions'!$E304)</f>
        <v>TT</v>
      </c>
      <c r="P304" s="42">
        <f>IF('asset_&amp;_open_positions'!$C304="","",'asset_&amp;_open_positions'!$H304)</f>
        <v>3.5109737961287902E-3</v>
      </c>
      <c r="Q304" s="78" t="str">
        <f>IF(OR('asset_&amp;_open_positions'!$C304="",'asset_&amp;_open_positions'!$J304="SWAP",'asset_&amp;_open_positions'!$J304="FUTURE",'asset_&amp;_open_positions'!$J304="CME FUTURE"),"",'asset_&amp;_open_positions'!$M304)</f>
        <v>TT</v>
      </c>
      <c r="R304" s="42">
        <f>IF(OR('asset_&amp;_open_positions'!$C304="",'asset_&amp;_open_positions'!$J304="SWAP",'asset_&amp;_open_positions'!$J304="FUTURE",'asset_&amp;_open_positions'!$J304="CME FUTURE"),"",'asset_&amp;_open_positions'!$H304)</f>
        <v>3.5109737961287902E-3</v>
      </c>
    </row>
    <row r="305" spans="15:18" x14ac:dyDescent="0.25">
      <c r="O305" s="78" t="str">
        <f>IF('asset_&amp;_open_positions'!$C305="","",'asset_&amp;_open_positions'!$E305)</f>
        <v>TUSD</v>
      </c>
      <c r="P305" s="42">
        <f>IF('asset_&amp;_open_positions'!$C305="","",'asset_&amp;_open_positions'!$H305)</f>
        <v>0.99989311951615301</v>
      </c>
      <c r="Q305" s="78" t="str">
        <f>IF(OR('asset_&amp;_open_positions'!$C305="",'asset_&amp;_open_positions'!$J305="SWAP",'asset_&amp;_open_positions'!$J305="FUTURE",'asset_&amp;_open_positions'!$J305="CME FUTURE"),"",'asset_&amp;_open_positions'!$M305)</f>
        <v>TUSD</v>
      </c>
      <c r="R305" s="42">
        <f>IF(OR('asset_&amp;_open_positions'!$C305="",'asset_&amp;_open_positions'!$J305="SWAP",'asset_&amp;_open_positions'!$J305="FUTURE",'asset_&amp;_open_positions'!$J305="CME FUTURE"),"",'asset_&amp;_open_positions'!$H305)</f>
        <v>0.99989311951615301</v>
      </c>
    </row>
    <row r="306" spans="15:18" x14ac:dyDescent="0.25">
      <c r="O306" s="78" t="str">
        <f>IF('asset_&amp;_open_positions'!$C306="","",'asset_&amp;_open_positions'!$E306)</f>
        <v>UNI</v>
      </c>
      <c r="P306" s="42">
        <f>IF('asset_&amp;_open_positions'!$C306="","",'asset_&amp;_open_positions'!$H306)</f>
        <v>6.1733812820777398</v>
      </c>
      <c r="Q306" s="78" t="str">
        <f>IF(OR('asset_&amp;_open_positions'!$C306="",'asset_&amp;_open_positions'!$J306="SWAP",'asset_&amp;_open_positions'!$J306="FUTURE",'asset_&amp;_open_positions'!$J306="CME FUTURE"),"",'asset_&amp;_open_positions'!$M306)</f>
        <v>UNI</v>
      </c>
      <c r="R306" s="42">
        <f>IF(OR('asset_&amp;_open_positions'!$C306="",'asset_&amp;_open_positions'!$J306="SWAP",'asset_&amp;_open_positions'!$J306="FUTURE",'asset_&amp;_open_positions'!$J306="CME FUTURE"),"",'asset_&amp;_open_positions'!$H306)</f>
        <v>6.1733812820777398</v>
      </c>
    </row>
    <row r="307" spans="15:18" x14ac:dyDescent="0.25">
      <c r="O307" s="78" t="str">
        <f>IF('asset_&amp;_open_positions'!$C307="","",'asset_&amp;_open_positions'!$E307)</f>
        <v>USDC</v>
      </c>
      <c r="P307" s="42">
        <f>IF('asset_&amp;_open_positions'!$C307="","",'asset_&amp;_open_positions'!$H307)</f>
        <v>1.0000721496274001</v>
      </c>
      <c r="Q307" s="78" t="str">
        <f>IF(OR('asset_&amp;_open_positions'!$C307="",'asset_&amp;_open_positions'!$J307="SWAP",'asset_&amp;_open_positions'!$J307="FUTURE",'asset_&amp;_open_positions'!$J307="CME FUTURE"),"",'asset_&amp;_open_positions'!$M307)</f>
        <v>USDC</v>
      </c>
      <c r="R307" s="42">
        <f>IF(OR('asset_&amp;_open_positions'!$C307="",'asset_&amp;_open_positions'!$J307="SWAP",'asset_&amp;_open_positions'!$J307="FUTURE",'asset_&amp;_open_positions'!$J307="CME FUTURE"),"",'asset_&amp;_open_positions'!$H307)</f>
        <v>1.0000721496274001</v>
      </c>
    </row>
    <row r="308" spans="15:18" x14ac:dyDescent="0.25">
      <c r="O308" s="78" t="str">
        <f>IF('asset_&amp;_open_positions'!$C308="","",'asset_&amp;_open_positions'!$E308)</f>
        <v>USDP</v>
      </c>
      <c r="P308" s="42">
        <f>IF('asset_&amp;_open_positions'!$C308="","",'asset_&amp;_open_positions'!$H308)</f>
        <v>0.99830416962138402</v>
      </c>
      <c r="Q308" s="78" t="str">
        <f>IF(OR('asset_&amp;_open_positions'!$C308="",'asset_&amp;_open_positions'!$J308="SWAP",'asset_&amp;_open_positions'!$J308="FUTURE",'asset_&amp;_open_positions'!$J308="CME FUTURE"),"",'asset_&amp;_open_positions'!$M308)</f>
        <v>USDP</v>
      </c>
      <c r="R308" s="42">
        <f>IF(OR('asset_&amp;_open_positions'!$C308="",'asset_&amp;_open_positions'!$J308="SWAP",'asset_&amp;_open_positions'!$J308="FUTURE",'asset_&amp;_open_positions'!$J308="CME FUTURE"),"",'asset_&amp;_open_positions'!$H308)</f>
        <v>0.99830416962138402</v>
      </c>
    </row>
    <row r="309" spans="15:18" x14ac:dyDescent="0.25">
      <c r="O309" s="78" t="str">
        <f>IF('asset_&amp;_open_positions'!$C309="","",'asset_&amp;_open_positions'!$E309)</f>
        <v>USDT</v>
      </c>
      <c r="P309" s="42">
        <f>IF('asset_&amp;_open_positions'!$C309="","",'asset_&amp;_open_positions'!$H309)</f>
        <v>1.00009204918451</v>
      </c>
      <c r="Q309" s="78" t="str">
        <f>IF(OR('asset_&amp;_open_positions'!$C309="",'asset_&amp;_open_positions'!$J309="SWAP",'asset_&amp;_open_positions'!$J309="FUTURE",'asset_&amp;_open_positions'!$J309="CME FUTURE"),"",'asset_&amp;_open_positions'!$M309)</f>
        <v>USDT</v>
      </c>
      <c r="R309" s="42">
        <f>IF(OR('asset_&amp;_open_positions'!$C309="",'asset_&amp;_open_positions'!$J309="SWAP",'asset_&amp;_open_positions'!$J309="FUTURE",'asset_&amp;_open_positions'!$J309="CME FUTURE"),"",'asset_&amp;_open_positions'!$H309)</f>
        <v>1.00009204918451</v>
      </c>
    </row>
    <row r="310" spans="15:18" x14ac:dyDescent="0.25">
      <c r="O310" s="78" t="str">
        <f>IF('asset_&amp;_open_positions'!$C310="","",'asset_&amp;_open_positions'!$E310)</f>
        <v>VET</v>
      </c>
      <c r="P310" s="42">
        <f>IF('asset_&amp;_open_positions'!$C310="","",'asset_&amp;_open_positions'!$H310)</f>
        <v>1.8842311113447498E-2</v>
      </c>
      <c r="Q310" s="78" t="str">
        <f>IF(OR('asset_&amp;_open_positions'!$C310="",'asset_&amp;_open_positions'!$J310="SWAP",'asset_&amp;_open_positions'!$J310="FUTURE",'asset_&amp;_open_positions'!$J310="CME FUTURE"),"",'asset_&amp;_open_positions'!$M310)</f>
        <v>VET</v>
      </c>
      <c r="R310" s="42">
        <f>IF(OR('asset_&amp;_open_positions'!$C310="",'asset_&amp;_open_positions'!$J310="SWAP",'asset_&amp;_open_positions'!$J310="FUTURE",'asset_&amp;_open_positions'!$J310="CME FUTURE"),"",'asset_&amp;_open_positions'!$H310)</f>
        <v>1.8842311113447498E-2</v>
      </c>
    </row>
    <row r="311" spans="15:18" x14ac:dyDescent="0.25">
      <c r="O311" s="78" t="str">
        <f>IF('asset_&amp;_open_positions'!$C311="","",'asset_&amp;_open_positions'!$E311)</f>
        <v>VSYS</v>
      </c>
      <c r="P311" s="42">
        <f>IF('asset_&amp;_open_positions'!$C311="","",'asset_&amp;_open_positions'!$H311)</f>
        <v>1.0799849484909899E-3</v>
      </c>
      <c r="Q311" s="78" t="str">
        <f>IF(OR('asset_&amp;_open_positions'!$C311="",'asset_&amp;_open_positions'!$J311="SWAP",'asset_&amp;_open_positions'!$J311="FUTURE",'asset_&amp;_open_positions'!$J311="CME FUTURE"),"",'asset_&amp;_open_positions'!$M311)</f>
        <v>VSYS</v>
      </c>
      <c r="R311" s="42">
        <f>IF(OR('asset_&amp;_open_positions'!$C311="",'asset_&amp;_open_positions'!$J311="SWAP",'asset_&amp;_open_positions'!$J311="FUTURE",'asset_&amp;_open_positions'!$J311="CME FUTURE"),"",'asset_&amp;_open_positions'!$H311)</f>
        <v>1.0799849484909899E-3</v>
      </c>
    </row>
    <row r="312" spans="15:18" x14ac:dyDescent="0.25">
      <c r="O312" s="78" t="str">
        <f>IF('asset_&amp;_open_positions'!$C312="","",'asset_&amp;_open_positions'!$E312)</f>
        <v>XEC</v>
      </c>
      <c r="P312" s="42">
        <f>IF('asset_&amp;_open_positions'!$C312="","",'asset_&amp;_open_positions'!$H312)</f>
        <v>2.7311340953437101E-5</v>
      </c>
      <c r="Q312" s="78" t="str">
        <f>IF(OR('asset_&amp;_open_positions'!$C312="",'asset_&amp;_open_positions'!$J312="SWAP",'asset_&amp;_open_positions'!$J312="FUTURE",'asset_&amp;_open_positions'!$J312="CME FUTURE"),"",'asset_&amp;_open_positions'!$M312)</f>
        <v>XEC</v>
      </c>
      <c r="R312" s="42">
        <f>IF(OR('asset_&amp;_open_positions'!$C312="",'asset_&amp;_open_positions'!$J312="SWAP",'asset_&amp;_open_positions'!$J312="FUTURE",'asset_&amp;_open_positions'!$J312="CME FUTURE"),"",'asset_&amp;_open_positions'!$H312)</f>
        <v>2.7311340953437101E-5</v>
      </c>
    </row>
    <row r="313" spans="15:18" x14ac:dyDescent="0.25">
      <c r="O313" s="78" t="str">
        <f>IF('asset_&amp;_open_positions'!$C313="","",'asset_&amp;_open_positions'!$E313)</f>
        <v>XLM</v>
      </c>
      <c r="P313" s="42">
        <f>IF('asset_&amp;_open_positions'!$C313="","",'asset_&amp;_open_positions'!$H313)</f>
        <v>8.1643783905093401E-2</v>
      </c>
      <c r="Q313" s="78" t="str">
        <f>IF(OR('asset_&amp;_open_positions'!$C313="",'asset_&amp;_open_positions'!$J313="SWAP",'asset_&amp;_open_positions'!$J313="FUTURE",'asset_&amp;_open_positions'!$J313="CME FUTURE"),"",'asset_&amp;_open_positions'!$M313)</f>
        <v>XLM</v>
      </c>
      <c r="R313" s="42">
        <f>IF(OR('asset_&amp;_open_positions'!$C313="",'asset_&amp;_open_positions'!$J313="SWAP",'asset_&amp;_open_positions'!$J313="FUTURE",'asset_&amp;_open_positions'!$J313="CME FUTURE"),"",'asset_&amp;_open_positions'!$H313)</f>
        <v>8.1643783905093401E-2</v>
      </c>
    </row>
    <row r="314" spans="15:18" x14ac:dyDescent="0.25">
      <c r="O314" s="78" t="str">
        <f>IF('asset_&amp;_open_positions'!$C314="","",'asset_&amp;_open_positions'!$E314)</f>
        <v>XRP</v>
      </c>
      <c r="P314" s="42">
        <f>IF('asset_&amp;_open_positions'!$C314="","",'asset_&amp;_open_positions'!$H314)</f>
        <v>0.37519714224190098</v>
      </c>
      <c r="Q314" s="78" t="str">
        <f>IF(OR('asset_&amp;_open_positions'!$C314="",'asset_&amp;_open_positions'!$J314="SWAP",'asset_&amp;_open_positions'!$J314="FUTURE",'asset_&amp;_open_positions'!$J314="CME FUTURE"),"",'asset_&amp;_open_positions'!$M314)</f>
        <v>XRP</v>
      </c>
      <c r="R314" s="42">
        <f>IF(OR('asset_&amp;_open_positions'!$C314="",'asset_&amp;_open_positions'!$J314="SWAP",'asset_&amp;_open_positions'!$J314="FUTURE",'asset_&amp;_open_positions'!$J314="CME FUTURE"),"",'asset_&amp;_open_positions'!$H314)</f>
        <v>0.37519714224190098</v>
      </c>
    </row>
    <row r="315" spans="15:18" x14ac:dyDescent="0.25">
      <c r="O315" s="78" t="str">
        <f>IF('asset_&amp;_open_positions'!$C315="","",'asset_&amp;_open_positions'!$E315)</f>
        <v>XTZ</v>
      </c>
      <c r="P315" s="42">
        <f>IF('asset_&amp;_open_positions'!$C315="","",'asset_&amp;_open_positions'!$H315)</f>
        <v>0.88922984226921997</v>
      </c>
      <c r="Q315" s="78" t="str">
        <f>IF(OR('asset_&amp;_open_positions'!$C315="",'asset_&amp;_open_positions'!$J315="SWAP",'asset_&amp;_open_positions'!$J315="FUTURE",'asset_&amp;_open_positions'!$J315="CME FUTURE"),"",'asset_&amp;_open_positions'!$M315)</f>
        <v>XTZ</v>
      </c>
      <c r="R315" s="42">
        <f>IF(OR('asset_&amp;_open_positions'!$C315="",'asset_&amp;_open_positions'!$J315="SWAP",'asset_&amp;_open_positions'!$J315="FUTURE",'asset_&amp;_open_positions'!$J315="CME FUTURE"),"",'asset_&amp;_open_positions'!$H315)</f>
        <v>0.88922984226921997</v>
      </c>
    </row>
    <row r="316" spans="15:18" x14ac:dyDescent="0.25">
      <c r="O316" s="78" t="str">
        <f>IF('asset_&amp;_open_positions'!$C316="","",'asset_&amp;_open_positions'!$E316)</f>
        <v>YFII</v>
      </c>
      <c r="P316" s="42">
        <f>IF('asset_&amp;_open_positions'!$C316="","",'asset_&amp;_open_positions'!$H316)</f>
        <v>1228.5560246990401</v>
      </c>
      <c r="Q316" s="78" t="str">
        <f>IF(OR('asset_&amp;_open_positions'!$C316="",'asset_&amp;_open_positions'!$J316="SWAP",'asset_&amp;_open_positions'!$J316="FUTURE",'asset_&amp;_open_positions'!$J316="CME FUTURE"),"",'asset_&amp;_open_positions'!$M316)</f>
        <v>YFII</v>
      </c>
      <c r="R316" s="42">
        <f>IF(OR('asset_&amp;_open_positions'!$C316="",'asset_&amp;_open_positions'!$J316="SWAP",'asset_&amp;_open_positions'!$J316="FUTURE",'asset_&amp;_open_positions'!$J316="CME FUTURE"),"",'asset_&amp;_open_positions'!$H316)</f>
        <v>1228.5560246990401</v>
      </c>
    </row>
    <row r="317" spans="15:18" x14ac:dyDescent="0.25">
      <c r="O317" s="78" t="str">
        <f>IF('asset_&amp;_open_positions'!$C317="","",'asset_&amp;_open_positions'!$E317)</f>
        <v>ZEC</v>
      </c>
      <c r="P317" s="42">
        <f>IF('asset_&amp;_open_positions'!$C317="","",'asset_&amp;_open_positions'!$H317)</f>
        <v>45.3111462017484</v>
      </c>
      <c r="Q317" s="78" t="str">
        <f>IF(OR('asset_&amp;_open_positions'!$C317="",'asset_&amp;_open_positions'!$J317="SWAP",'asset_&amp;_open_positions'!$J317="FUTURE",'asset_&amp;_open_positions'!$J317="CME FUTURE"),"",'asset_&amp;_open_positions'!$M317)</f>
        <v>ZEC</v>
      </c>
      <c r="R317" s="42">
        <f>IF(OR('asset_&amp;_open_positions'!$C317="",'asset_&amp;_open_positions'!$J317="SWAP",'asset_&amp;_open_positions'!$J317="FUTURE",'asset_&amp;_open_positions'!$J317="CME FUTURE"),"",'asset_&amp;_open_positions'!$H317)</f>
        <v>45.3111462017484</v>
      </c>
    </row>
    <row r="318" spans="15:18" x14ac:dyDescent="0.25">
      <c r="O318" s="78" t="str">
        <f>IF('asset_&amp;_open_positions'!$C318="","",'asset_&amp;_open_positions'!$E318)</f>
        <v>ZIL</v>
      </c>
      <c r="P318" s="42">
        <f>IF('asset_&amp;_open_positions'!$C318="","",'asset_&amp;_open_positions'!$H318)</f>
        <v>2.39744799073386E-2</v>
      </c>
      <c r="Q318" s="78" t="str">
        <f>IF(OR('asset_&amp;_open_positions'!$C318="",'asset_&amp;_open_positions'!$J318="SWAP",'asset_&amp;_open_positions'!$J318="FUTURE",'asset_&amp;_open_positions'!$J318="CME FUTURE"),"",'asset_&amp;_open_positions'!$M318)</f>
        <v>ZIL</v>
      </c>
      <c r="R318" s="42">
        <f>IF(OR('asset_&amp;_open_positions'!$C318="",'asset_&amp;_open_positions'!$J318="SWAP",'asset_&amp;_open_positions'!$J318="FUTURE",'asset_&amp;_open_positions'!$J318="CME FUTURE"),"",'asset_&amp;_open_positions'!$H318)</f>
        <v>2.39744799073386E-2</v>
      </c>
    </row>
    <row r="319" spans="15:18" x14ac:dyDescent="0.25">
      <c r="O319" s="78" t="str">
        <f>IF('asset_&amp;_open_positions'!$C319="","",'asset_&amp;_open_positions'!$E319)</f>
        <v>BCH</v>
      </c>
      <c r="P319" s="42">
        <f>IF('asset_&amp;_open_positions'!$C319="","",'asset_&amp;_open_positions'!$H319)</f>
        <v>119.710466137412</v>
      </c>
      <c r="Q319" s="78" t="str">
        <f>IF(OR('asset_&amp;_open_positions'!$C319="",'asset_&amp;_open_positions'!$J319="SWAP",'asset_&amp;_open_positions'!$J319="FUTURE",'asset_&amp;_open_positions'!$J319="CME FUTURE"),"",'asset_&amp;_open_positions'!$M319)</f>
        <v>BCH</v>
      </c>
      <c r="R319" s="42">
        <f>IF(OR('asset_&amp;_open_positions'!$C319="",'asset_&amp;_open_positions'!$J319="SWAP",'asset_&amp;_open_positions'!$J319="FUTURE",'asset_&amp;_open_positions'!$J319="CME FUTURE"),"",'asset_&amp;_open_positions'!$H319)</f>
        <v>119.710466137412</v>
      </c>
    </row>
    <row r="320" spans="15:18" x14ac:dyDescent="0.25">
      <c r="O320" s="78" t="str">
        <f>IF('asset_&amp;_open_positions'!$C320="","",'asset_&amp;_open_positions'!$E320)</f>
        <v>ETC</v>
      </c>
      <c r="P320" s="42">
        <f>IF('asset_&amp;_open_positions'!$C320="","",'asset_&amp;_open_positions'!$H320)</f>
        <v>20.917758217744002</v>
      </c>
      <c r="Q320" s="78" t="str">
        <f>IF(OR('asset_&amp;_open_positions'!$C320="",'asset_&amp;_open_positions'!$J320="SWAP",'asset_&amp;_open_positions'!$J320="FUTURE",'asset_&amp;_open_positions'!$J320="CME FUTURE"),"",'asset_&amp;_open_positions'!$M320)</f>
        <v>ETC</v>
      </c>
      <c r="R320" s="42">
        <f>IF(OR('asset_&amp;_open_positions'!$C320="",'asset_&amp;_open_positions'!$J320="SWAP",'asset_&amp;_open_positions'!$J320="FUTURE",'asset_&amp;_open_positions'!$J320="CME FUTURE"),"",'asset_&amp;_open_positions'!$H320)</f>
        <v>20.917758217744002</v>
      </c>
    </row>
    <row r="321" spans="15:18" x14ac:dyDescent="0.25">
      <c r="O321" s="78" t="str">
        <f>IF('asset_&amp;_open_positions'!$C321="","",'asset_&amp;_open_positions'!$E321)</f>
        <v>LTC</v>
      </c>
      <c r="P321" s="42">
        <f>IF('asset_&amp;_open_positions'!$C321="","",'asset_&amp;_open_positions'!$H321)</f>
        <v>85.964229450756093</v>
      </c>
      <c r="Q321" s="78" t="str">
        <f>IF(OR('asset_&amp;_open_positions'!$C321="",'asset_&amp;_open_positions'!$J321="SWAP",'asset_&amp;_open_positions'!$J321="FUTURE",'asset_&amp;_open_positions'!$J321="CME FUTURE"),"",'asset_&amp;_open_positions'!$M321)</f>
        <v>LTC</v>
      </c>
      <c r="R321" s="42">
        <f>IF(OR('asset_&amp;_open_positions'!$C321="",'asset_&amp;_open_positions'!$J321="SWAP",'asset_&amp;_open_positions'!$J321="FUTURE",'asset_&amp;_open_positions'!$J321="CME FUTURE"),"",'asset_&amp;_open_positions'!$H321)</f>
        <v>85.964229450756093</v>
      </c>
    </row>
    <row r="322" spans="15:18" x14ac:dyDescent="0.25">
      <c r="O322" s="78" t="str">
        <f>IF('asset_&amp;_open_positions'!$C322="","",'asset_&amp;_open_positions'!$E322)</f>
        <v>TRX</v>
      </c>
      <c r="P322" s="42">
        <f>IF('asset_&amp;_open_positions'!$C322="","",'asset_&amp;_open_positions'!$H322)</f>
        <v>5.7111199630631597E-2</v>
      </c>
      <c r="Q322" s="78" t="str">
        <f>IF(OR('asset_&amp;_open_positions'!$C322="",'asset_&amp;_open_positions'!$J322="SWAP",'asset_&amp;_open_positions'!$J322="FUTURE",'asset_&amp;_open_positions'!$J322="CME FUTURE"),"",'asset_&amp;_open_positions'!$M322)</f>
        <v>TRX</v>
      </c>
      <c r="R322" s="42">
        <f>IF(OR('asset_&amp;_open_positions'!$C322="",'asset_&amp;_open_positions'!$J322="SWAP",'asset_&amp;_open_positions'!$J322="FUTURE",'asset_&amp;_open_positions'!$J322="CME FUTURE"),"",'asset_&amp;_open_positions'!$H322)</f>
        <v>5.7111199630631597E-2</v>
      </c>
    </row>
    <row r="323" spans="15:18" x14ac:dyDescent="0.25">
      <c r="O323" s="78" t="str">
        <f>IF('asset_&amp;_open_positions'!$C323="","",'asset_&amp;_open_positions'!$E323)</f>
        <v>USDT</v>
      </c>
      <c r="P323" s="42">
        <f>IF('asset_&amp;_open_positions'!$C323="","",'asset_&amp;_open_positions'!$H323)</f>
        <v>1.00009204918451</v>
      </c>
      <c r="Q323" s="78" t="str">
        <f>IF(OR('asset_&amp;_open_positions'!$C323="",'asset_&amp;_open_positions'!$J323="SWAP",'asset_&amp;_open_positions'!$J323="FUTURE",'asset_&amp;_open_positions'!$J323="CME FUTURE"),"",'asset_&amp;_open_positions'!$M323)</f>
        <v>USDT</v>
      </c>
      <c r="R323" s="42">
        <f>IF(OR('asset_&amp;_open_positions'!$C323="",'asset_&amp;_open_positions'!$J323="SWAP",'asset_&amp;_open_positions'!$J323="FUTURE",'asset_&amp;_open_positions'!$J323="CME FUTURE"),"",'asset_&amp;_open_positions'!$H323)</f>
        <v>1.00009204918451</v>
      </c>
    </row>
    <row r="324" spans="15:18" x14ac:dyDescent="0.25">
      <c r="O324" s="78" t="str">
        <f>IF('asset_&amp;_open_positions'!$C324="","",'asset_&amp;_open_positions'!$E324)</f>
        <v>XRP</v>
      </c>
      <c r="P324" s="42">
        <f>IF('asset_&amp;_open_positions'!$C324="","",'asset_&amp;_open_positions'!$H324)</f>
        <v>0.37519714224190098</v>
      </c>
      <c r="Q324" s="78" t="str">
        <f>IF(OR('asset_&amp;_open_positions'!$C324="",'asset_&amp;_open_positions'!$J324="SWAP",'asset_&amp;_open_positions'!$J324="FUTURE",'asset_&amp;_open_positions'!$J324="CME FUTURE"),"",'asset_&amp;_open_positions'!$M324)</f>
        <v>XRP</v>
      </c>
      <c r="R324" s="42">
        <f>IF(OR('asset_&amp;_open_positions'!$C324="",'asset_&amp;_open_positions'!$J324="SWAP",'asset_&amp;_open_positions'!$J324="FUTURE",'asset_&amp;_open_positions'!$J324="CME FUTURE"),"",'asset_&amp;_open_positions'!$H324)</f>
        <v>0.37519714224190098</v>
      </c>
    </row>
    <row r="325" spans="15:18" x14ac:dyDescent="0.25">
      <c r="O325" s="78" t="str">
        <f>IF('asset_&amp;_open_positions'!$C325="","",'asset_&amp;_open_positions'!$E325)</f>
        <v>ATOM</v>
      </c>
      <c r="P325" s="42">
        <f>IF('asset_&amp;_open_positions'!$C325="","",'asset_&amp;_open_positions'!$H325)</f>
        <v>12.274691832390999</v>
      </c>
      <c r="Q325" s="78" t="str">
        <f>IF(OR('asset_&amp;_open_positions'!$C325="",'asset_&amp;_open_positions'!$J325="SWAP",'asset_&amp;_open_positions'!$J325="FUTURE",'asset_&amp;_open_positions'!$J325="CME FUTURE"),"",'asset_&amp;_open_positions'!$M325)</f>
        <v>ATOM</v>
      </c>
      <c r="R325" s="42">
        <f>IF(OR('asset_&amp;_open_positions'!$C325="",'asset_&amp;_open_positions'!$J325="SWAP",'asset_&amp;_open_positions'!$J325="FUTURE",'asset_&amp;_open_positions'!$J325="CME FUTURE"),"",'asset_&amp;_open_positions'!$H325)</f>
        <v>12.274691832390999</v>
      </c>
    </row>
    <row r="326" spans="15:18" x14ac:dyDescent="0.25">
      <c r="O326" s="78" t="str">
        <f>IF('asset_&amp;_open_positions'!$C326="","",'asset_&amp;_open_positions'!$E326)</f>
        <v>BCH</v>
      </c>
      <c r="P326" s="42">
        <f>IF('asset_&amp;_open_positions'!$C326="","",'asset_&amp;_open_positions'!$H326)</f>
        <v>119.710466137412</v>
      </c>
      <c r="Q326" s="78" t="str">
        <f>IF(OR('asset_&amp;_open_positions'!$C326="",'asset_&amp;_open_positions'!$J326="SWAP",'asset_&amp;_open_positions'!$J326="FUTURE",'asset_&amp;_open_positions'!$J326="CME FUTURE"),"",'asset_&amp;_open_positions'!$M326)</f>
        <v>BCH</v>
      </c>
      <c r="R326" s="42">
        <f>IF(OR('asset_&amp;_open_positions'!$C326="",'asset_&amp;_open_positions'!$J326="SWAP",'asset_&amp;_open_positions'!$J326="FUTURE",'asset_&amp;_open_positions'!$J326="CME FUTURE"),"",'asset_&amp;_open_positions'!$H326)</f>
        <v>119.710466137412</v>
      </c>
    </row>
    <row r="327" spans="15:18" x14ac:dyDescent="0.25">
      <c r="O327" s="78" t="str">
        <f>IF('asset_&amp;_open_positions'!$C327="","",'asset_&amp;_open_positions'!$E327)</f>
        <v>BTC</v>
      </c>
      <c r="P327" s="42">
        <f>IF('asset_&amp;_open_positions'!$C327="","",'asset_&amp;_open_positions'!$H327)</f>
        <v>18869.5880552655</v>
      </c>
      <c r="Q327" s="78" t="str">
        <f>IF(OR('asset_&amp;_open_positions'!$C327="",'asset_&amp;_open_positions'!$J327="SWAP",'asset_&amp;_open_positions'!$J327="FUTURE",'asset_&amp;_open_positions'!$J327="CME FUTURE"),"",'asset_&amp;_open_positions'!$M327)</f>
        <v>BTC</v>
      </c>
      <c r="R327" s="42">
        <f>IF(OR('asset_&amp;_open_positions'!$C327="",'asset_&amp;_open_positions'!$J327="SWAP",'asset_&amp;_open_positions'!$J327="FUTURE",'asset_&amp;_open_positions'!$J327="CME FUTURE"),"",'asset_&amp;_open_positions'!$H327)</f>
        <v>18869.5880552655</v>
      </c>
    </row>
    <row r="328" spans="15:18" x14ac:dyDescent="0.25">
      <c r="O328" s="78" t="str">
        <f>IF('asset_&amp;_open_positions'!$C328="","",'asset_&amp;_open_positions'!$E328)</f>
        <v>EOS</v>
      </c>
      <c r="P328" s="42">
        <f>IF('asset_&amp;_open_positions'!$C328="","",'asset_&amp;_open_positions'!$H328)</f>
        <v>0.990242476806942</v>
      </c>
      <c r="Q328" s="78" t="str">
        <f>IF(OR('asset_&amp;_open_positions'!$C328="",'asset_&amp;_open_positions'!$J328="SWAP",'asset_&amp;_open_positions'!$J328="FUTURE",'asset_&amp;_open_positions'!$J328="CME FUTURE"),"",'asset_&amp;_open_positions'!$M328)</f>
        <v>EOS</v>
      </c>
      <c r="R328" s="42">
        <f>IF(OR('asset_&amp;_open_positions'!$C328="",'asset_&amp;_open_positions'!$J328="SWAP",'asset_&amp;_open_positions'!$J328="FUTURE",'asset_&amp;_open_positions'!$J328="CME FUTURE"),"",'asset_&amp;_open_positions'!$H328)</f>
        <v>0.990242476806942</v>
      </c>
    </row>
    <row r="329" spans="15:18" x14ac:dyDescent="0.25">
      <c r="O329" s="78" t="str">
        <f>IF('asset_&amp;_open_positions'!$C329="","",'asset_&amp;_open_positions'!$E329)</f>
        <v>ETHW</v>
      </c>
      <c r="P329" s="42">
        <f>IF('asset_&amp;_open_positions'!$C329="","",'asset_&amp;_open_positions'!$H329)</f>
        <v>3.43409341167265</v>
      </c>
      <c r="Q329" s="78" t="str">
        <f>IF(OR('asset_&amp;_open_positions'!$C329="",'asset_&amp;_open_positions'!$J329="SWAP",'asset_&amp;_open_positions'!$J329="FUTURE",'asset_&amp;_open_positions'!$J329="CME FUTURE"),"",'asset_&amp;_open_positions'!$M329)</f>
        <v>ETHW</v>
      </c>
      <c r="R329" s="42">
        <f>IF(OR('asset_&amp;_open_positions'!$C329="",'asset_&amp;_open_positions'!$J329="SWAP",'asset_&amp;_open_positions'!$J329="FUTURE",'asset_&amp;_open_positions'!$J329="CME FUTURE"),"",'asset_&amp;_open_positions'!$H329)</f>
        <v>3.43409341167265</v>
      </c>
    </row>
    <row r="330" spans="15:18" x14ac:dyDescent="0.25">
      <c r="O330" s="78" t="str">
        <f>IF('asset_&amp;_open_positions'!$C330="","",'asset_&amp;_open_positions'!$E330)</f>
        <v>LTC</v>
      </c>
      <c r="P330" s="42">
        <f>IF('asset_&amp;_open_positions'!$C330="","",'asset_&amp;_open_positions'!$H330)</f>
        <v>85.964229450756093</v>
      </c>
      <c r="Q330" s="78" t="str">
        <f>IF(OR('asset_&amp;_open_positions'!$C330="",'asset_&amp;_open_positions'!$J330="SWAP",'asset_&amp;_open_positions'!$J330="FUTURE",'asset_&amp;_open_positions'!$J330="CME FUTURE"),"",'asset_&amp;_open_positions'!$M330)</f>
        <v>LTC</v>
      </c>
      <c r="R330" s="42">
        <f>IF(OR('asset_&amp;_open_positions'!$C330="",'asset_&amp;_open_positions'!$J330="SWAP",'asset_&amp;_open_positions'!$J330="FUTURE",'asset_&amp;_open_positions'!$J330="CME FUTURE"),"",'asset_&amp;_open_positions'!$H330)</f>
        <v>85.964229450756093</v>
      </c>
    </row>
    <row r="331" spans="15:18" x14ac:dyDescent="0.25">
      <c r="O331" s="78" t="str">
        <f>IF('asset_&amp;_open_positions'!$C331="","",'asset_&amp;_open_positions'!$E331)</f>
        <v>OXT</v>
      </c>
      <c r="P331" s="42">
        <f>IF('asset_&amp;_open_positions'!$C331="","",'asset_&amp;_open_positions'!$H331)</f>
        <v>7.3319331912265404E-2</v>
      </c>
      <c r="Q331" s="78" t="str">
        <f>IF(OR('asset_&amp;_open_positions'!$C331="",'asset_&amp;_open_positions'!$J331="SWAP",'asset_&amp;_open_positions'!$J331="FUTURE",'asset_&amp;_open_positions'!$J331="CME FUTURE"),"",'asset_&amp;_open_positions'!$M331)</f>
        <v>OXT</v>
      </c>
      <c r="R331" s="42">
        <f>IF(OR('asset_&amp;_open_positions'!$C331="",'asset_&amp;_open_positions'!$J331="SWAP",'asset_&amp;_open_positions'!$J331="FUTURE",'asset_&amp;_open_positions'!$J331="CME FUTURE"),"",'asset_&amp;_open_positions'!$H331)</f>
        <v>7.3319331912265404E-2</v>
      </c>
    </row>
    <row r="332" spans="15:18" x14ac:dyDescent="0.25">
      <c r="O332" s="78" t="str">
        <f>IF('asset_&amp;_open_positions'!$C332="","",'asset_&amp;_open_positions'!$E332)</f>
        <v>SGB</v>
      </c>
      <c r="P332" s="42">
        <f>IF('asset_&amp;_open_positions'!$C332="","",'asset_&amp;_open_positions'!$H332)</f>
        <v>1.1707228252084E-2</v>
      </c>
      <c r="Q332" s="78" t="str">
        <f>IF(OR('asset_&amp;_open_positions'!$C332="",'asset_&amp;_open_positions'!$J332="SWAP",'asset_&amp;_open_positions'!$J332="FUTURE",'asset_&amp;_open_positions'!$J332="CME FUTURE"),"",'asset_&amp;_open_positions'!$M332)</f>
        <v>SGB</v>
      </c>
      <c r="R332" s="42">
        <f>IF(OR('asset_&amp;_open_positions'!$C332="",'asset_&amp;_open_positions'!$J332="SWAP",'asset_&amp;_open_positions'!$J332="FUTURE",'asset_&amp;_open_positions'!$J332="CME FUTURE"),"",'asset_&amp;_open_positions'!$H332)</f>
        <v>1.1707228252084E-2</v>
      </c>
    </row>
    <row r="333" spans="15:18" x14ac:dyDescent="0.25">
      <c r="O333" s="78" t="str">
        <f>IF('asset_&amp;_open_positions'!$C333="","",'asset_&amp;_open_positions'!$E333)</f>
        <v>USD</v>
      </c>
      <c r="P333" s="42">
        <f>IF('asset_&amp;_open_positions'!$C333="","",'asset_&amp;_open_positions'!$H333)</f>
        <v>1</v>
      </c>
      <c r="Q333" s="78" t="str">
        <f>IF(OR('asset_&amp;_open_positions'!$C333="",'asset_&amp;_open_positions'!$J333="SWAP",'asset_&amp;_open_positions'!$J333="FUTURE",'asset_&amp;_open_positions'!$J333="CME FUTURE"),"",'asset_&amp;_open_positions'!$M333)</f>
        <v>USD</v>
      </c>
      <c r="R333" s="42">
        <f>IF(OR('asset_&amp;_open_positions'!$C333="",'asset_&amp;_open_positions'!$J333="SWAP",'asset_&amp;_open_positions'!$J333="FUTURE",'asset_&amp;_open_positions'!$J333="CME FUTURE"),"",'asset_&amp;_open_positions'!$H333)</f>
        <v>1</v>
      </c>
    </row>
    <row r="334" spans="15:18" x14ac:dyDescent="0.25">
      <c r="O334" s="78" t="str">
        <f>IF('asset_&amp;_open_positions'!$C334="","",'asset_&amp;_open_positions'!$E334)</f>
        <v>USDT</v>
      </c>
      <c r="P334" s="42">
        <f>IF('asset_&amp;_open_positions'!$C334="","",'asset_&amp;_open_positions'!$H334)</f>
        <v>1.00009204918451</v>
      </c>
      <c r="Q334" s="78" t="str">
        <f>IF(OR('asset_&amp;_open_positions'!$C334="",'asset_&amp;_open_positions'!$J334="SWAP",'asset_&amp;_open_positions'!$J334="FUTURE",'asset_&amp;_open_positions'!$J334="CME FUTURE"),"",'asset_&amp;_open_positions'!$M334)</f>
        <v>USDT</v>
      </c>
      <c r="R334" s="42">
        <f>IF(OR('asset_&amp;_open_positions'!$C334="",'asset_&amp;_open_positions'!$J334="SWAP",'asset_&amp;_open_positions'!$J334="FUTURE",'asset_&amp;_open_positions'!$J334="CME FUTURE"),"",'asset_&amp;_open_positions'!$H334)</f>
        <v>1.00009204918451</v>
      </c>
    </row>
    <row r="335" spans="15:18" x14ac:dyDescent="0.25">
      <c r="O335" s="78" t="str">
        <f>IF('asset_&amp;_open_positions'!$C335="","",'asset_&amp;_open_positions'!$E335)</f>
        <v>XLM</v>
      </c>
      <c r="P335" s="42">
        <f>IF('asset_&amp;_open_positions'!$C335="","",'asset_&amp;_open_positions'!$H335)</f>
        <v>8.1643783905093401E-2</v>
      </c>
      <c r="Q335" s="78" t="str">
        <f>IF(OR('asset_&amp;_open_positions'!$C335="",'asset_&amp;_open_positions'!$J335="SWAP",'asset_&amp;_open_positions'!$J335="FUTURE",'asset_&amp;_open_positions'!$J335="CME FUTURE"),"",'asset_&amp;_open_positions'!$M335)</f>
        <v>XLM</v>
      </c>
      <c r="R335" s="42">
        <f>IF(OR('asset_&amp;_open_positions'!$C335="",'asset_&amp;_open_positions'!$J335="SWAP",'asset_&amp;_open_positions'!$J335="FUTURE",'asset_&amp;_open_positions'!$J335="CME FUTURE"),"",'asset_&amp;_open_positions'!$H335)</f>
        <v>8.1643783905093401E-2</v>
      </c>
    </row>
    <row r="336" spans="15:18" x14ac:dyDescent="0.25">
      <c r="O336" s="78" t="str">
        <f>IF('asset_&amp;_open_positions'!$C336="","",'asset_&amp;_open_positions'!$E336)</f>
        <v>XRP</v>
      </c>
      <c r="P336" s="42">
        <f>IF('asset_&amp;_open_positions'!$C336="","",'asset_&amp;_open_positions'!$H336)</f>
        <v>0.37519714224190098</v>
      </c>
      <c r="Q336" s="78" t="str">
        <f>IF(OR('asset_&amp;_open_positions'!$C336="",'asset_&amp;_open_positions'!$J336="SWAP",'asset_&amp;_open_positions'!$J336="FUTURE",'asset_&amp;_open_positions'!$J336="CME FUTURE"),"",'asset_&amp;_open_positions'!$M336)</f>
        <v>XRP</v>
      </c>
      <c r="R336" s="42">
        <f>IF(OR('asset_&amp;_open_positions'!$C336="",'asset_&amp;_open_positions'!$J336="SWAP",'asset_&amp;_open_positions'!$J336="FUTURE",'asset_&amp;_open_positions'!$J336="CME FUTURE"),"",'asset_&amp;_open_positions'!$H336)</f>
        <v>0.37519714224190098</v>
      </c>
    </row>
    <row r="337" spans="15:18" x14ac:dyDescent="0.25">
      <c r="O337" s="78" t="str">
        <f>IF('asset_&amp;_open_positions'!$C337="","",'asset_&amp;_open_positions'!$E337)</f>
        <v>AAVE</v>
      </c>
      <c r="P337" s="42">
        <f>IF('asset_&amp;_open_positions'!$C337="","",'asset_&amp;_open_positions'!$H337)</f>
        <v>67.861136531304297</v>
      </c>
      <c r="Q337" s="78" t="str">
        <f>IF(OR('asset_&amp;_open_positions'!$C337="",'asset_&amp;_open_positions'!$J337="SWAP",'asset_&amp;_open_positions'!$J337="FUTURE",'asset_&amp;_open_positions'!$J337="CME FUTURE"),"",'asset_&amp;_open_positions'!$M337)</f>
        <v>AAVE</v>
      </c>
      <c r="R337" s="42">
        <f>IF(OR('asset_&amp;_open_positions'!$C337="",'asset_&amp;_open_positions'!$J337="SWAP",'asset_&amp;_open_positions'!$J337="FUTURE",'asset_&amp;_open_positions'!$J337="CME FUTURE"),"",'asset_&amp;_open_positions'!$H337)</f>
        <v>67.861136531304297</v>
      </c>
    </row>
    <row r="338" spans="15:18" x14ac:dyDescent="0.25">
      <c r="O338" s="78" t="str">
        <f>IF('asset_&amp;_open_positions'!$C338="","",'asset_&amp;_open_positions'!$E338)</f>
        <v>ADA</v>
      </c>
      <c r="P338" s="42">
        <f>IF('asset_&amp;_open_positions'!$C338="","",'asset_&amp;_open_positions'!$H338)</f>
        <v>0.329758474743375</v>
      </c>
      <c r="Q338" s="78" t="str">
        <f>IF(OR('asset_&amp;_open_positions'!$C338="",'asset_&amp;_open_positions'!$J338="SWAP",'asset_&amp;_open_positions'!$J338="FUTURE",'asset_&amp;_open_positions'!$J338="CME FUTURE"),"",'asset_&amp;_open_positions'!$M338)</f>
        <v>ADA</v>
      </c>
      <c r="R338" s="42">
        <f>IF(OR('asset_&amp;_open_positions'!$C338="",'asset_&amp;_open_positions'!$J338="SWAP",'asset_&amp;_open_positions'!$J338="FUTURE",'asset_&amp;_open_positions'!$J338="CME FUTURE"),"",'asset_&amp;_open_positions'!$H338)</f>
        <v>0.329758474743375</v>
      </c>
    </row>
    <row r="339" spans="15:18" x14ac:dyDescent="0.25">
      <c r="O339" s="78" t="str">
        <f>IF('asset_&amp;_open_positions'!$C339="","",'asset_&amp;_open_positions'!$E339)</f>
        <v>ALGO</v>
      </c>
      <c r="P339" s="42">
        <f>IF('asset_&amp;_open_positions'!$C339="","",'asset_&amp;_open_positions'!$H339)</f>
        <v>0.21252649157671899</v>
      </c>
      <c r="Q339" s="78" t="str">
        <f>IF(OR('asset_&amp;_open_positions'!$C339="",'asset_&amp;_open_positions'!$J339="SWAP",'asset_&amp;_open_positions'!$J339="FUTURE",'asset_&amp;_open_positions'!$J339="CME FUTURE"),"",'asset_&amp;_open_positions'!$M339)</f>
        <v>ALGO</v>
      </c>
      <c r="R339" s="42">
        <f>IF(OR('asset_&amp;_open_positions'!$C339="",'asset_&amp;_open_positions'!$J339="SWAP",'asset_&amp;_open_positions'!$J339="FUTURE",'asset_&amp;_open_positions'!$J339="CME FUTURE"),"",'asset_&amp;_open_positions'!$H339)</f>
        <v>0.21252649157671899</v>
      </c>
    </row>
    <row r="340" spans="15:18" x14ac:dyDescent="0.25">
      <c r="O340" s="78" t="str">
        <f>IF('asset_&amp;_open_positions'!$C340="","",'asset_&amp;_open_positions'!$E340)</f>
        <v>AVAX</v>
      </c>
      <c r="P340" s="42">
        <f>IF('asset_&amp;_open_positions'!$C340="","",'asset_&amp;_open_positions'!$H340)</f>
        <v>15.4573502597811</v>
      </c>
      <c r="Q340" s="78" t="str">
        <f>IF(OR('asset_&amp;_open_positions'!$C340="",'asset_&amp;_open_positions'!$J340="SWAP",'asset_&amp;_open_positions'!$J340="FUTURE",'asset_&amp;_open_positions'!$J340="CME FUTURE"),"",'asset_&amp;_open_positions'!$M340)</f>
        <v>AVAX</v>
      </c>
      <c r="R340" s="42">
        <f>IF(OR('asset_&amp;_open_positions'!$C340="",'asset_&amp;_open_positions'!$J340="SWAP",'asset_&amp;_open_positions'!$J340="FUTURE",'asset_&amp;_open_positions'!$J340="CME FUTURE"),"",'asset_&amp;_open_positions'!$H340)</f>
        <v>15.4573502597811</v>
      </c>
    </row>
    <row r="341" spans="15:18" x14ac:dyDescent="0.25">
      <c r="O341" s="78" t="str">
        <f>IF('asset_&amp;_open_positions'!$C341="","",'asset_&amp;_open_positions'!$E341)</f>
        <v>BAT</v>
      </c>
      <c r="P341" s="42">
        <f>IF('asset_&amp;_open_positions'!$C341="","",'asset_&amp;_open_positions'!$H341)</f>
        <v>0.20477401519184199</v>
      </c>
      <c r="Q341" s="78" t="str">
        <f>IF(OR('asset_&amp;_open_positions'!$C341="",'asset_&amp;_open_positions'!$J341="SWAP",'asset_&amp;_open_positions'!$J341="FUTURE",'asset_&amp;_open_positions'!$J341="CME FUTURE"),"",'asset_&amp;_open_positions'!$M341)</f>
        <v>BAT</v>
      </c>
      <c r="R341" s="42">
        <f>IF(OR('asset_&amp;_open_positions'!$C341="",'asset_&amp;_open_positions'!$J341="SWAP",'asset_&amp;_open_positions'!$J341="FUTURE",'asset_&amp;_open_positions'!$J341="CME FUTURE"),"",'asset_&amp;_open_positions'!$H341)</f>
        <v>0.20477401519184199</v>
      </c>
    </row>
    <row r="342" spans="15:18" x14ac:dyDescent="0.25">
      <c r="O342" s="78" t="str">
        <f>IF('asset_&amp;_open_positions'!$C342="","",'asset_&amp;_open_positions'!$E342)</f>
        <v>BCH</v>
      </c>
      <c r="P342" s="42">
        <f>IF('asset_&amp;_open_positions'!$C342="","",'asset_&amp;_open_positions'!$H342)</f>
        <v>119.710466137412</v>
      </c>
      <c r="Q342" s="78" t="str">
        <f>IF(OR('asset_&amp;_open_positions'!$C342="",'asset_&amp;_open_positions'!$J342="SWAP",'asset_&amp;_open_positions'!$J342="FUTURE",'asset_&amp;_open_positions'!$J342="CME FUTURE"),"",'asset_&amp;_open_positions'!$M342)</f>
        <v>BCH</v>
      </c>
      <c r="R342" s="42">
        <f>IF(OR('asset_&amp;_open_positions'!$C342="",'asset_&amp;_open_positions'!$J342="SWAP",'asset_&amp;_open_positions'!$J342="FUTURE",'asset_&amp;_open_positions'!$J342="CME FUTURE"),"",'asset_&amp;_open_positions'!$H342)</f>
        <v>119.710466137412</v>
      </c>
    </row>
    <row r="343" spans="15:18" x14ac:dyDescent="0.25">
      <c r="O343" s="78" t="str">
        <f>IF('asset_&amp;_open_positions'!$C343="","",'asset_&amp;_open_positions'!$E343)</f>
        <v>DASH</v>
      </c>
      <c r="P343" s="42">
        <f>IF('asset_&amp;_open_positions'!$C343="","",'asset_&amp;_open_positions'!$H343)</f>
        <v>49.356487119112799</v>
      </c>
      <c r="Q343" s="78" t="str">
        <f>IF(OR('asset_&amp;_open_positions'!$C343="",'asset_&amp;_open_positions'!$J343="SWAP",'asset_&amp;_open_positions'!$J343="FUTURE",'asset_&amp;_open_positions'!$J343="CME FUTURE"),"",'asset_&amp;_open_positions'!$M343)</f>
        <v>DASH</v>
      </c>
      <c r="R343" s="42">
        <f>IF(OR('asset_&amp;_open_positions'!$C343="",'asset_&amp;_open_positions'!$J343="SWAP",'asset_&amp;_open_positions'!$J343="FUTURE",'asset_&amp;_open_positions'!$J343="CME FUTURE"),"",'asset_&amp;_open_positions'!$H343)</f>
        <v>49.356487119112799</v>
      </c>
    </row>
    <row r="344" spans="15:18" x14ac:dyDescent="0.25">
      <c r="O344" s="78" t="str">
        <f>IF('asset_&amp;_open_positions'!$C344="","",'asset_&amp;_open_positions'!$E344)</f>
        <v>DOGE</v>
      </c>
      <c r="P344" s="42">
        <f>IF('asset_&amp;_open_positions'!$C344="","",'asset_&amp;_open_positions'!$H344)</f>
        <v>8.0285736002614697E-2</v>
      </c>
      <c r="Q344" s="78" t="str">
        <f>IF(OR('asset_&amp;_open_positions'!$C344="",'asset_&amp;_open_positions'!$J344="SWAP",'asset_&amp;_open_positions'!$J344="FUTURE",'asset_&amp;_open_positions'!$J344="CME FUTURE"),"",'asset_&amp;_open_positions'!$M344)</f>
        <v>DOGE</v>
      </c>
      <c r="R344" s="42">
        <f>IF(OR('asset_&amp;_open_positions'!$C344="",'asset_&amp;_open_positions'!$J344="SWAP",'asset_&amp;_open_positions'!$J344="FUTURE",'asset_&amp;_open_positions'!$J344="CME FUTURE"),"",'asset_&amp;_open_positions'!$H344)</f>
        <v>8.0285736002614697E-2</v>
      </c>
    </row>
    <row r="345" spans="15:18" x14ac:dyDescent="0.25">
      <c r="O345" s="78" t="str">
        <f>IF('asset_&amp;_open_positions'!$C345="","",'asset_&amp;_open_positions'!$E345)</f>
        <v>DOT</v>
      </c>
      <c r="P345" s="42">
        <f>IF('asset_&amp;_open_positions'!$C345="","",'asset_&amp;_open_positions'!$H345)</f>
        <v>5.2294779390740098</v>
      </c>
      <c r="Q345" s="78" t="str">
        <f>IF(OR('asset_&amp;_open_positions'!$C345="",'asset_&amp;_open_positions'!$J345="SWAP",'asset_&amp;_open_positions'!$J345="FUTURE",'asset_&amp;_open_positions'!$J345="CME FUTURE"),"",'asset_&amp;_open_positions'!$M345)</f>
        <v>DOT</v>
      </c>
      <c r="R345" s="42">
        <f>IF(OR('asset_&amp;_open_positions'!$C345="",'asset_&amp;_open_positions'!$J345="SWAP",'asset_&amp;_open_positions'!$J345="FUTURE",'asset_&amp;_open_positions'!$J345="CME FUTURE"),"",'asset_&amp;_open_positions'!$H345)</f>
        <v>5.2294779390740098</v>
      </c>
    </row>
    <row r="346" spans="15:18" x14ac:dyDescent="0.25">
      <c r="O346" s="78" t="str">
        <f>IF('asset_&amp;_open_positions'!$C346="","",'asset_&amp;_open_positions'!$E346)</f>
        <v>ENJ</v>
      </c>
      <c r="P346" s="42">
        <f>IF('asset_&amp;_open_positions'!$C346="","",'asset_&amp;_open_positions'!$H346)</f>
        <v>0.304096198903759</v>
      </c>
      <c r="Q346" s="78" t="str">
        <f>IF(OR('asset_&amp;_open_positions'!$C346="",'asset_&amp;_open_positions'!$J346="SWAP",'asset_&amp;_open_positions'!$J346="FUTURE",'asset_&amp;_open_positions'!$J346="CME FUTURE"),"",'asset_&amp;_open_positions'!$M346)</f>
        <v>ENJ</v>
      </c>
      <c r="R346" s="42">
        <f>IF(OR('asset_&amp;_open_positions'!$C346="",'asset_&amp;_open_positions'!$J346="SWAP",'asset_&amp;_open_positions'!$J346="FUTURE",'asset_&amp;_open_positions'!$J346="CME FUTURE"),"",'asset_&amp;_open_positions'!$H346)</f>
        <v>0.304096198903759</v>
      </c>
    </row>
    <row r="347" spans="15:18" x14ac:dyDescent="0.25">
      <c r="O347" s="78" t="str">
        <f>IF('asset_&amp;_open_positions'!$C347="","",'asset_&amp;_open_positions'!$E347)</f>
        <v>EOS</v>
      </c>
      <c r="P347" s="42">
        <f>IF('asset_&amp;_open_positions'!$C347="","",'asset_&amp;_open_positions'!$H347)</f>
        <v>0.990242476806942</v>
      </c>
      <c r="Q347" s="78" t="str">
        <f>IF(OR('asset_&amp;_open_positions'!$C347="",'asset_&amp;_open_positions'!$J347="SWAP",'asset_&amp;_open_positions'!$J347="FUTURE",'asset_&amp;_open_positions'!$J347="CME FUTURE"),"",'asset_&amp;_open_positions'!$M347)</f>
        <v>EOS</v>
      </c>
      <c r="R347" s="42">
        <f>IF(OR('asset_&amp;_open_positions'!$C347="",'asset_&amp;_open_positions'!$J347="SWAP",'asset_&amp;_open_positions'!$J347="FUTURE",'asset_&amp;_open_positions'!$J347="CME FUTURE"),"",'asset_&amp;_open_positions'!$H347)</f>
        <v>0.990242476806942</v>
      </c>
    </row>
    <row r="348" spans="15:18" x14ac:dyDescent="0.25">
      <c r="O348" s="78" t="str">
        <f>IF('asset_&amp;_open_positions'!$C348="","",'asset_&amp;_open_positions'!$E348)</f>
        <v>ETC</v>
      </c>
      <c r="P348" s="42">
        <f>IF('asset_&amp;_open_positions'!$C348="","",'asset_&amp;_open_positions'!$H348)</f>
        <v>20.917758217744002</v>
      </c>
      <c r="Q348" s="78" t="str">
        <f>IF(OR('asset_&amp;_open_positions'!$C348="",'asset_&amp;_open_positions'!$J348="SWAP",'asset_&amp;_open_positions'!$J348="FUTURE",'asset_&amp;_open_positions'!$J348="CME FUTURE"),"",'asset_&amp;_open_positions'!$M348)</f>
        <v>ETC</v>
      </c>
      <c r="R348" s="42">
        <f>IF(OR('asset_&amp;_open_positions'!$C348="",'asset_&amp;_open_positions'!$J348="SWAP",'asset_&amp;_open_positions'!$J348="FUTURE",'asset_&amp;_open_positions'!$J348="CME FUTURE"),"",'asset_&amp;_open_positions'!$H348)</f>
        <v>20.917758217744002</v>
      </c>
    </row>
    <row r="349" spans="15:18" x14ac:dyDescent="0.25">
      <c r="O349" s="78" t="str">
        <f>IF('asset_&amp;_open_positions'!$C349="","",'asset_&amp;_open_positions'!$E349)</f>
        <v>FTM</v>
      </c>
      <c r="P349" s="42">
        <f>IF('asset_&amp;_open_positions'!$C349="","",'asset_&amp;_open_positions'!$H349)</f>
        <v>0.27344683929559199</v>
      </c>
      <c r="Q349" s="78" t="str">
        <f>IF(OR('asset_&amp;_open_positions'!$C349="",'asset_&amp;_open_positions'!$J349="SWAP",'asset_&amp;_open_positions'!$J349="FUTURE",'asset_&amp;_open_positions'!$J349="CME FUTURE"),"",'asset_&amp;_open_positions'!$M349)</f>
        <v>FTM</v>
      </c>
      <c r="R349" s="42">
        <f>IF(OR('asset_&amp;_open_positions'!$C349="",'asset_&amp;_open_positions'!$J349="SWAP",'asset_&amp;_open_positions'!$J349="FUTURE",'asset_&amp;_open_positions'!$J349="CME FUTURE"),"",'asset_&amp;_open_positions'!$H349)</f>
        <v>0.27344683929559199</v>
      </c>
    </row>
    <row r="350" spans="15:18" x14ac:dyDescent="0.25">
      <c r="O350" s="78" t="str">
        <f>IF('asset_&amp;_open_positions'!$C350="","",'asset_&amp;_open_positions'!$E350)</f>
        <v>GRT</v>
      </c>
      <c r="P350" s="42">
        <f>IF('asset_&amp;_open_positions'!$C350="","",'asset_&amp;_open_positions'!$H350)</f>
        <v>7.3501958303225604E-2</v>
      </c>
      <c r="Q350" s="78" t="str">
        <f>IF(OR('asset_&amp;_open_positions'!$C350="",'asset_&amp;_open_positions'!$J350="SWAP",'asset_&amp;_open_positions'!$J350="FUTURE",'asset_&amp;_open_positions'!$J350="CME FUTURE"),"",'asset_&amp;_open_positions'!$M350)</f>
        <v>GRT</v>
      </c>
      <c r="R350" s="42">
        <f>IF(OR('asset_&amp;_open_positions'!$C350="",'asset_&amp;_open_positions'!$J350="SWAP",'asset_&amp;_open_positions'!$J350="FUTURE",'asset_&amp;_open_positions'!$J350="CME FUTURE"),"",'asset_&amp;_open_positions'!$H350)</f>
        <v>7.3501958303225604E-2</v>
      </c>
    </row>
    <row r="351" spans="15:18" x14ac:dyDescent="0.25">
      <c r="O351" s="78" t="str">
        <f>IF('asset_&amp;_open_positions'!$C351="","",'asset_&amp;_open_positions'!$E351)</f>
        <v>HBAR</v>
      </c>
      <c r="P351" s="42">
        <f>IF('asset_&amp;_open_positions'!$C351="","",'asset_&amp;_open_positions'!$H351)</f>
        <v>4.7647636764699498E-2</v>
      </c>
      <c r="Q351" s="78" t="str">
        <f>IF(OR('asset_&amp;_open_positions'!$C351="",'asset_&amp;_open_positions'!$J351="SWAP",'asset_&amp;_open_positions'!$J351="FUTURE",'asset_&amp;_open_positions'!$J351="CME FUTURE"),"",'asset_&amp;_open_positions'!$M351)</f>
        <v>HBAR</v>
      </c>
      <c r="R351" s="42">
        <f>IF(OR('asset_&amp;_open_positions'!$C351="",'asset_&amp;_open_positions'!$J351="SWAP",'asset_&amp;_open_positions'!$J351="FUTURE",'asset_&amp;_open_positions'!$J351="CME FUTURE"),"",'asset_&amp;_open_positions'!$H351)</f>
        <v>4.7647636764699498E-2</v>
      </c>
    </row>
    <row r="352" spans="15:18" x14ac:dyDescent="0.25">
      <c r="O352" s="78" t="str">
        <f>IF('asset_&amp;_open_positions'!$C352="","",'asset_&amp;_open_positions'!$E352)</f>
        <v>LINK</v>
      </c>
      <c r="P352" s="42">
        <f>IF('asset_&amp;_open_positions'!$C352="","",'asset_&amp;_open_positions'!$H352)</f>
        <v>6.38133155243787</v>
      </c>
      <c r="Q352" s="78" t="str">
        <f>IF(OR('asset_&amp;_open_positions'!$C352="",'asset_&amp;_open_positions'!$J352="SWAP",'asset_&amp;_open_positions'!$J352="FUTURE",'asset_&amp;_open_positions'!$J352="CME FUTURE"),"",'asset_&amp;_open_positions'!$M352)</f>
        <v>LINK</v>
      </c>
      <c r="R352" s="42">
        <f>IF(OR('asset_&amp;_open_positions'!$C352="",'asset_&amp;_open_positions'!$J352="SWAP",'asset_&amp;_open_positions'!$J352="FUTURE",'asset_&amp;_open_positions'!$J352="CME FUTURE"),"",'asset_&amp;_open_positions'!$H352)</f>
        <v>6.38133155243787</v>
      </c>
    </row>
    <row r="353" spans="15:18" x14ac:dyDescent="0.25">
      <c r="O353" s="78" t="str">
        <f>IF('asset_&amp;_open_positions'!$C353="","",'asset_&amp;_open_positions'!$E353)</f>
        <v>LTC</v>
      </c>
      <c r="P353" s="42">
        <f>IF('asset_&amp;_open_positions'!$C353="","",'asset_&amp;_open_positions'!$H353)</f>
        <v>85.964229450756093</v>
      </c>
      <c r="Q353" s="78" t="str">
        <f>IF(OR('asset_&amp;_open_positions'!$C353="",'asset_&amp;_open_positions'!$J353="SWAP",'asset_&amp;_open_positions'!$J353="FUTURE",'asset_&amp;_open_positions'!$J353="CME FUTURE"),"",'asset_&amp;_open_positions'!$M353)</f>
        <v>LTC</v>
      </c>
      <c r="R353" s="42">
        <f>IF(OR('asset_&amp;_open_positions'!$C353="",'asset_&amp;_open_positions'!$J353="SWAP",'asset_&amp;_open_positions'!$J353="FUTURE",'asset_&amp;_open_positions'!$J353="CME FUTURE"),"",'asset_&amp;_open_positions'!$H353)</f>
        <v>85.964229450756093</v>
      </c>
    </row>
    <row r="354" spans="15:18" x14ac:dyDescent="0.25">
      <c r="O354" s="78" t="str">
        <f>IF('asset_&amp;_open_positions'!$C354="","",'asset_&amp;_open_positions'!$E354)</f>
        <v>MANA</v>
      </c>
      <c r="P354" s="42">
        <f>IF('asset_&amp;_open_positions'!$C354="","",'asset_&amp;_open_positions'!$H354)</f>
        <v>0.41245236860315698</v>
      </c>
      <c r="Q354" s="78" t="str">
        <f>IF(OR('asset_&amp;_open_positions'!$C354="",'asset_&amp;_open_positions'!$J354="SWAP",'asset_&amp;_open_positions'!$J354="FUTURE",'asset_&amp;_open_positions'!$J354="CME FUTURE"),"",'asset_&amp;_open_positions'!$M354)</f>
        <v>MANA</v>
      </c>
      <c r="R354" s="42">
        <f>IF(OR('asset_&amp;_open_positions'!$C354="",'asset_&amp;_open_positions'!$J354="SWAP",'asset_&amp;_open_positions'!$J354="FUTURE",'asset_&amp;_open_positions'!$J354="CME FUTURE"),"",'asset_&amp;_open_positions'!$H354)</f>
        <v>0.41245236860315698</v>
      </c>
    </row>
    <row r="355" spans="15:18" x14ac:dyDescent="0.25">
      <c r="O355" s="78" t="str">
        <f>IF('asset_&amp;_open_positions'!$C355="","",'asset_&amp;_open_positions'!$E355)</f>
        <v>MATIC</v>
      </c>
      <c r="P355" s="42">
        <f>IF('asset_&amp;_open_positions'!$C355="","",'asset_&amp;_open_positions'!$H355)</f>
        <v>0.91628911436523497</v>
      </c>
      <c r="Q355" s="78" t="str">
        <f>IF(OR('asset_&amp;_open_positions'!$C355="",'asset_&amp;_open_positions'!$J355="SWAP",'asset_&amp;_open_positions'!$J355="FUTURE",'asset_&amp;_open_positions'!$J355="CME FUTURE"),"",'asset_&amp;_open_positions'!$M355)</f>
        <v>MATIC</v>
      </c>
      <c r="R355" s="42">
        <f>IF(OR('asset_&amp;_open_positions'!$C355="",'asset_&amp;_open_positions'!$J355="SWAP",'asset_&amp;_open_positions'!$J355="FUTURE",'asset_&amp;_open_positions'!$J355="CME FUTURE"),"",'asset_&amp;_open_positions'!$H355)</f>
        <v>0.91628911436523497</v>
      </c>
    </row>
    <row r="356" spans="15:18" x14ac:dyDescent="0.25">
      <c r="O356" s="78" t="str">
        <f>IF('asset_&amp;_open_positions'!$C356="","",'asset_&amp;_open_positions'!$E356)</f>
        <v>OXT</v>
      </c>
      <c r="P356" s="42">
        <f>IF('asset_&amp;_open_positions'!$C356="","",'asset_&amp;_open_positions'!$H356)</f>
        <v>7.3319331912265404E-2</v>
      </c>
      <c r="Q356" s="78" t="str">
        <f>IF(OR('asset_&amp;_open_positions'!$C356="",'asset_&amp;_open_positions'!$J356="SWAP",'asset_&amp;_open_positions'!$J356="FUTURE",'asset_&amp;_open_positions'!$J356="CME FUTURE"),"",'asset_&amp;_open_positions'!$M356)</f>
        <v>OXT</v>
      </c>
      <c r="R356" s="42">
        <f>IF(OR('asset_&amp;_open_positions'!$C356="",'asset_&amp;_open_positions'!$J356="SWAP",'asset_&amp;_open_positions'!$J356="FUTURE",'asset_&amp;_open_positions'!$J356="CME FUTURE"),"",'asset_&amp;_open_positions'!$H356)</f>
        <v>7.3319331912265404E-2</v>
      </c>
    </row>
    <row r="357" spans="15:18" x14ac:dyDescent="0.25">
      <c r="O357" s="78" t="str">
        <f>IF('asset_&amp;_open_positions'!$C357="","",'asset_&amp;_open_positions'!$E357)</f>
        <v>SOL</v>
      </c>
      <c r="P357" s="42">
        <f>IF('asset_&amp;_open_positions'!$C357="","",'asset_&amp;_open_positions'!$H357)</f>
        <v>16.6190441963655</v>
      </c>
      <c r="Q357" s="78" t="str">
        <f>IF(OR('asset_&amp;_open_positions'!$C357="",'asset_&amp;_open_positions'!$J357="SWAP",'asset_&amp;_open_positions'!$J357="FUTURE",'asset_&amp;_open_positions'!$J357="CME FUTURE"),"",'asset_&amp;_open_positions'!$M357)</f>
        <v>SOL</v>
      </c>
      <c r="R357" s="42">
        <f>IF(OR('asset_&amp;_open_positions'!$C357="",'asset_&amp;_open_positions'!$J357="SWAP",'asset_&amp;_open_positions'!$J357="FUTURE",'asset_&amp;_open_positions'!$J357="CME FUTURE"),"",'asset_&amp;_open_positions'!$H357)</f>
        <v>16.6190441963655</v>
      </c>
    </row>
    <row r="358" spans="15:18" x14ac:dyDescent="0.25">
      <c r="O358" s="78" t="str">
        <f>IF('asset_&amp;_open_positions'!$C358="","",'asset_&amp;_open_positions'!$E358)</f>
        <v>SUSHI</v>
      </c>
      <c r="P358" s="42">
        <f>IF('asset_&amp;_open_positions'!$C358="","",'asset_&amp;_open_positions'!$H358)</f>
        <v>1.1376895816460699</v>
      </c>
      <c r="Q358" s="78" t="str">
        <f>IF(OR('asset_&amp;_open_positions'!$C358="",'asset_&amp;_open_positions'!$J358="SWAP",'asset_&amp;_open_positions'!$J358="FUTURE",'asset_&amp;_open_positions'!$J358="CME FUTURE"),"",'asset_&amp;_open_positions'!$M358)</f>
        <v>SUSHI</v>
      </c>
      <c r="R358" s="42">
        <f>IF(OR('asset_&amp;_open_positions'!$C358="",'asset_&amp;_open_positions'!$J358="SWAP",'asset_&amp;_open_positions'!$J358="FUTURE",'asset_&amp;_open_positions'!$J358="CME FUTURE"),"",'asset_&amp;_open_positions'!$H358)</f>
        <v>1.1376895816460699</v>
      </c>
    </row>
    <row r="359" spans="15:18" x14ac:dyDescent="0.25">
      <c r="O359" s="78" t="str">
        <f>IF('asset_&amp;_open_positions'!$C359="","",'asset_&amp;_open_positions'!$E359)</f>
        <v>UNI</v>
      </c>
      <c r="P359" s="42">
        <f>IF('asset_&amp;_open_positions'!$C359="","",'asset_&amp;_open_positions'!$H359)</f>
        <v>6.1733812820777398</v>
      </c>
      <c r="Q359" s="78" t="str">
        <f>IF(OR('asset_&amp;_open_positions'!$C359="",'asset_&amp;_open_positions'!$J359="SWAP",'asset_&amp;_open_positions'!$J359="FUTURE",'asset_&amp;_open_positions'!$J359="CME FUTURE"),"",'asset_&amp;_open_positions'!$M359)</f>
        <v>UNI</v>
      </c>
      <c r="R359" s="42">
        <f>IF(OR('asset_&amp;_open_positions'!$C359="",'asset_&amp;_open_positions'!$J359="SWAP",'asset_&amp;_open_positions'!$J359="FUTURE",'asset_&amp;_open_positions'!$J359="CME FUTURE"),"",'asset_&amp;_open_positions'!$H359)</f>
        <v>6.1733812820777398</v>
      </c>
    </row>
    <row r="360" spans="15:18" x14ac:dyDescent="0.25">
      <c r="O360" s="78" t="str">
        <f>IF('asset_&amp;_open_positions'!$C360="","",'asset_&amp;_open_positions'!$E360)</f>
        <v>USDT</v>
      </c>
      <c r="P360" s="42">
        <f>IF('asset_&amp;_open_positions'!$C360="","",'asset_&amp;_open_positions'!$H360)</f>
        <v>1.00009204918451</v>
      </c>
      <c r="Q360" s="78" t="str">
        <f>IF(OR('asset_&amp;_open_positions'!$C360="",'asset_&amp;_open_positions'!$J360="SWAP",'asset_&amp;_open_positions'!$J360="FUTURE",'asset_&amp;_open_positions'!$J360="CME FUTURE"),"",'asset_&amp;_open_positions'!$M360)</f>
        <v>USDT</v>
      </c>
      <c r="R360" s="42">
        <f>IF(OR('asset_&amp;_open_positions'!$C360="",'asset_&amp;_open_positions'!$J360="SWAP",'asset_&amp;_open_positions'!$J360="FUTURE",'asset_&amp;_open_positions'!$J360="CME FUTURE"),"",'asset_&amp;_open_positions'!$H360)</f>
        <v>1.00009204918451</v>
      </c>
    </row>
    <row r="361" spans="15:18" x14ac:dyDescent="0.25">
      <c r="O361" s="78" t="str">
        <f>IF('asset_&amp;_open_positions'!$C361="","",'asset_&amp;_open_positions'!$E361)</f>
        <v>XLM</v>
      </c>
      <c r="P361" s="42">
        <f>IF('asset_&amp;_open_positions'!$C361="","",'asset_&amp;_open_positions'!$H361)</f>
        <v>8.1643783905093401E-2</v>
      </c>
      <c r="Q361" s="78" t="str">
        <f>IF(OR('asset_&amp;_open_positions'!$C361="",'asset_&amp;_open_positions'!$J361="SWAP",'asset_&amp;_open_positions'!$J361="FUTURE",'asset_&amp;_open_positions'!$J361="CME FUTURE"),"",'asset_&amp;_open_positions'!$M361)</f>
        <v>XLM</v>
      </c>
      <c r="R361" s="42">
        <f>IF(OR('asset_&amp;_open_positions'!$C361="",'asset_&amp;_open_positions'!$J361="SWAP",'asset_&amp;_open_positions'!$J361="FUTURE",'asset_&amp;_open_positions'!$J361="CME FUTURE"),"",'asset_&amp;_open_positions'!$H361)</f>
        <v>8.1643783905093401E-2</v>
      </c>
    </row>
    <row r="362" spans="15:18" x14ac:dyDescent="0.25">
      <c r="O362" s="78" t="str">
        <f>IF('asset_&amp;_open_positions'!$C362="","",'asset_&amp;_open_positions'!$E362)</f>
        <v>XTZ</v>
      </c>
      <c r="P362" s="42">
        <f>IF('asset_&amp;_open_positions'!$C362="","",'asset_&amp;_open_positions'!$H362)</f>
        <v>0.88922984226921997</v>
      </c>
      <c r="Q362" s="78" t="str">
        <f>IF(OR('asset_&amp;_open_positions'!$C362="",'asset_&amp;_open_positions'!$J362="SWAP",'asset_&amp;_open_positions'!$J362="FUTURE",'asset_&amp;_open_positions'!$J362="CME FUTURE"),"",'asset_&amp;_open_positions'!$M362)</f>
        <v>XTZ</v>
      </c>
      <c r="R362" s="42">
        <f>IF(OR('asset_&amp;_open_positions'!$C362="",'asset_&amp;_open_positions'!$J362="SWAP",'asset_&amp;_open_positions'!$J362="FUTURE",'asset_&amp;_open_positions'!$J362="CME FUTURE"),"",'asset_&amp;_open_positions'!$H362)</f>
        <v>0.88922984226921997</v>
      </c>
    </row>
    <row r="363" spans="15:18" x14ac:dyDescent="0.25">
      <c r="O363" s="78" t="str">
        <f>IF('asset_&amp;_open_positions'!$C363="","",'asset_&amp;_open_positions'!$E363)</f>
        <v>ETH</v>
      </c>
      <c r="P363" s="42">
        <f>IF('asset_&amp;_open_positions'!$C363="","",'asset_&amp;_open_positions'!$H363)</f>
        <v>1417.9385231112101</v>
      </c>
      <c r="Q363" s="78" t="str">
        <f>IF(OR('asset_&amp;_open_positions'!$C363="",'asset_&amp;_open_positions'!$J363="SWAP",'asset_&amp;_open_positions'!$J363="FUTURE",'asset_&amp;_open_positions'!$J363="CME FUTURE"),"",'asset_&amp;_open_positions'!$M363)</f>
        <v>ETH</v>
      </c>
      <c r="R363" s="42">
        <f>IF(OR('asset_&amp;_open_positions'!$C363="",'asset_&amp;_open_positions'!$J363="SWAP",'asset_&amp;_open_positions'!$J363="FUTURE",'asset_&amp;_open_positions'!$J363="CME FUTURE"),"",'asset_&amp;_open_positions'!$H363)</f>
        <v>1417.9385231112101</v>
      </c>
    </row>
    <row r="364" spans="15:18" x14ac:dyDescent="0.25">
      <c r="O364" s="78" t="str">
        <f>IF('asset_&amp;_open_positions'!$C364="","",'asset_&amp;_open_positions'!$E364)</f>
        <v>USD</v>
      </c>
      <c r="P364" s="42">
        <f>IF('asset_&amp;_open_positions'!$C364="","",'asset_&amp;_open_positions'!$H364)</f>
        <v>1</v>
      </c>
      <c r="Q364" s="78" t="str">
        <f>IF(OR('asset_&amp;_open_positions'!$C364="",'asset_&amp;_open_positions'!$J364="SWAP",'asset_&amp;_open_positions'!$J364="FUTURE",'asset_&amp;_open_positions'!$J364="CME FUTURE"),"",'asset_&amp;_open_positions'!$M364)</f>
        <v>USD</v>
      </c>
      <c r="R364" s="42">
        <f>IF(OR('asset_&amp;_open_positions'!$C364="",'asset_&amp;_open_positions'!$J364="SWAP",'asset_&amp;_open_positions'!$J364="FUTURE",'asset_&amp;_open_positions'!$J364="CME FUTURE"),"",'asset_&amp;_open_positions'!$H364)</f>
        <v>1</v>
      </c>
    </row>
    <row r="365" spans="15:18" x14ac:dyDescent="0.25">
      <c r="O365" s="78" t="str">
        <f>IF('asset_&amp;_open_positions'!$C365="","",'asset_&amp;_open_positions'!$E365)</f>
        <v>USD</v>
      </c>
      <c r="P365" s="42">
        <f>IF('asset_&amp;_open_positions'!$C365="","",'asset_&amp;_open_positions'!$H365)</f>
        <v>1</v>
      </c>
      <c r="Q365" s="78" t="str">
        <f>IF(OR('asset_&amp;_open_positions'!$C365="",'asset_&amp;_open_positions'!$J365="SWAP",'asset_&amp;_open_positions'!$J365="FUTURE",'asset_&amp;_open_positions'!$J365="CME FUTURE"),"",'asset_&amp;_open_positions'!$M365)</f>
        <v>USD</v>
      </c>
      <c r="R365" s="42">
        <f>IF(OR('asset_&amp;_open_positions'!$C365="",'asset_&amp;_open_positions'!$J365="SWAP",'asset_&amp;_open_positions'!$J365="FUTURE",'asset_&amp;_open_positions'!$J365="CME FUTURE"),"",'asset_&amp;_open_positions'!$H365)</f>
        <v>1</v>
      </c>
    </row>
    <row r="366" spans="15:18" x14ac:dyDescent="0.25">
      <c r="O366" s="78" t="str">
        <f>IF('asset_&amp;_open_positions'!$C366="","",'asset_&amp;_open_positions'!$E366)</f>
        <v>BTC</v>
      </c>
      <c r="P366" s="42">
        <f>IF('asset_&amp;_open_positions'!$C366="","",'asset_&amp;_open_positions'!$H366)</f>
        <v>18869.5880552655</v>
      </c>
      <c r="Q366" s="78" t="str">
        <f>IF(OR('asset_&amp;_open_positions'!$C366="",'asset_&amp;_open_positions'!$J366="SWAP",'asset_&amp;_open_positions'!$J366="FUTURE",'asset_&amp;_open_positions'!$J366="CME FUTURE"),"",'asset_&amp;_open_positions'!$M366)</f>
        <v>BTC</v>
      </c>
      <c r="R366" s="42">
        <f>IF(OR('asset_&amp;_open_positions'!$C366="",'asset_&amp;_open_positions'!$J366="SWAP",'asset_&amp;_open_positions'!$J366="FUTURE",'asset_&amp;_open_positions'!$J366="CME FUTURE"),"",'asset_&amp;_open_positions'!$H366)</f>
        <v>18869.5880552655</v>
      </c>
    </row>
    <row r="367" spans="15:18" x14ac:dyDescent="0.25">
      <c r="O367" s="78" t="str">
        <f>IF('asset_&amp;_open_positions'!$C367="","",'asset_&amp;_open_positions'!$E367)</f>
        <v>ETH</v>
      </c>
      <c r="P367" s="42">
        <f>IF('asset_&amp;_open_positions'!$C367="","",'asset_&amp;_open_positions'!$H367)</f>
        <v>1417.9385231112101</v>
      </c>
      <c r="Q367" s="78" t="str">
        <f>IF(OR('asset_&amp;_open_positions'!$C367="",'asset_&amp;_open_positions'!$J367="SWAP",'asset_&amp;_open_positions'!$J367="FUTURE",'asset_&amp;_open_positions'!$J367="CME FUTURE"),"",'asset_&amp;_open_positions'!$M367)</f>
        <v>ETH</v>
      </c>
      <c r="R367" s="42">
        <f>IF(OR('asset_&amp;_open_positions'!$C367="",'asset_&amp;_open_positions'!$J367="SWAP",'asset_&amp;_open_positions'!$J367="FUTURE",'asset_&amp;_open_positions'!$J367="CME FUTURE"),"",'asset_&amp;_open_positions'!$H367)</f>
        <v>1417.9385231112101</v>
      </c>
    </row>
    <row r="368" spans="15:18" x14ac:dyDescent="0.25">
      <c r="O368" s="78" t="str">
        <f>IF('asset_&amp;_open_positions'!$C368="","",'asset_&amp;_open_positions'!$E368)</f>
        <v>XRP</v>
      </c>
      <c r="P368" s="42">
        <f>IF('asset_&amp;_open_positions'!$C368="","",'asset_&amp;_open_positions'!$H368)</f>
        <v>0.37519714224190098</v>
      </c>
      <c r="Q368" s="78" t="str">
        <f>IF(OR('asset_&amp;_open_positions'!$C368="",'asset_&amp;_open_positions'!$J368="SWAP",'asset_&amp;_open_positions'!$J368="FUTURE",'asset_&amp;_open_positions'!$J368="CME FUTURE"),"",'asset_&amp;_open_positions'!$M368)</f>
        <v>XRP</v>
      </c>
      <c r="R368" s="42">
        <f>IF(OR('asset_&amp;_open_positions'!$C368="",'asset_&amp;_open_positions'!$J368="SWAP",'asset_&amp;_open_positions'!$J368="FUTURE",'asset_&amp;_open_positions'!$J368="CME FUTURE"),"",'asset_&amp;_open_positions'!$H368)</f>
        <v>0.37519714224190098</v>
      </c>
    </row>
    <row r="369" spans="15:18" x14ac:dyDescent="0.25">
      <c r="O369" s="78" t="str">
        <f>IF('asset_&amp;_open_positions'!$C369="","",'asset_&amp;_open_positions'!$E369)</f>
        <v>USDT</v>
      </c>
      <c r="P369" s="42">
        <f>IF('asset_&amp;_open_positions'!$C369="","",'asset_&amp;_open_positions'!$H369)</f>
        <v>1.00009204918451</v>
      </c>
      <c r="Q369" s="78" t="str">
        <f>IF(OR('asset_&amp;_open_positions'!$C369="",'asset_&amp;_open_positions'!$J369="SWAP",'asset_&amp;_open_positions'!$J369="FUTURE",'asset_&amp;_open_positions'!$J369="CME FUTURE"),"",'asset_&amp;_open_positions'!$M369)</f>
        <v>USDT</v>
      </c>
      <c r="R369" s="42">
        <f>IF(OR('asset_&amp;_open_positions'!$C369="",'asset_&amp;_open_positions'!$J369="SWAP",'asset_&amp;_open_positions'!$J369="FUTURE",'asset_&amp;_open_positions'!$J369="CME FUTURE"),"",'asset_&amp;_open_positions'!$H369)</f>
        <v>1.00009204918451</v>
      </c>
    </row>
    <row r="370" spans="15:18" x14ac:dyDescent="0.25">
      <c r="O370" s="78" t="str">
        <f>IF('asset_&amp;_open_positions'!$C370="","",'asset_&amp;_open_positions'!$E370)</f>
        <v>BTC</v>
      </c>
      <c r="P370" s="42">
        <f>IF('asset_&amp;_open_positions'!$C370="","",'asset_&amp;_open_positions'!$H370)</f>
        <v>18869.5880552655</v>
      </c>
      <c r="Q370" s="78" t="str">
        <f>IF(OR('asset_&amp;_open_positions'!$C370="",'asset_&amp;_open_positions'!$J370="SWAP",'asset_&amp;_open_positions'!$J370="FUTURE",'asset_&amp;_open_positions'!$J370="CME FUTURE"),"",'asset_&amp;_open_positions'!$M370)</f>
        <v>BTC</v>
      </c>
      <c r="R370" s="42">
        <f>IF(OR('asset_&amp;_open_positions'!$C370="",'asset_&amp;_open_positions'!$J370="SWAP",'asset_&amp;_open_positions'!$J370="FUTURE",'asset_&amp;_open_positions'!$J370="CME FUTURE"),"",'asset_&amp;_open_positions'!$H370)</f>
        <v>18869.5880552655</v>
      </c>
    </row>
    <row r="371" spans="15:18" x14ac:dyDescent="0.25">
      <c r="O371" s="78" t="str">
        <f>IF('asset_&amp;_open_positions'!$C371="","",'asset_&amp;_open_positions'!$E371)</f>
        <v>USDT</v>
      </c>
      <c r="P371" s="42">
        <f>IF('asset_&amp;_open_positions'!$C371="","",'asset_&amp;_open_positions'!$H371)</f>
        <v>1.00009204918451</v>
      </c>
      <c r="Q371" s="78" t="str">
        <f>IF(OR('asset_&amp;_open_positions'!$C371="",'asset_&amp;_open_positions'!$J371="SWAP",'asset_&amp;_open_positions'!$J371="FUTURE",'asset_&amp;_open_positions'!$J371="CME FUTURE"),"",'asset_&amp;_open_positions'!$M371)</f>
        <v>USDT</v>
      </c>
      <c r="R371" s="42">
        <f>IF(OR('asset_&amp;_open_positions'!$C371="",'asset_&amp;_open_positions'!$J371="SWAP",'asset_&amp;_open_positions'!$J371="FUTURE",'asset_&amp;_open_positions'!$J371="CME FUTURE"),"",'asset_&amp;_open_positions'!$H371)</f>
        <v>1.00009204918451</v>
      </c>
    </row>
    <row r="372" spans="15:18" x14ac:dyDescent="0.25">
      <c r="O372" s="78" t="str">
        <f>IF('asset_&amp;_open_positions'!$C372="","",'asset_&amp;_open_positions'!$E372)</f>
        <v>USDT</v>
      </c>
      <c r="P372" s="42">
        <f>IF('asset_&amp;_open_positions'!$C372="","",'asset_&amp;_open_positions'!$H372)</f>
        <v>1.00009204918451</v>
      </c>
      <c r="Q372" s="78" t="str">
        <f>IF(OR('asset_&amp;_open_positions'!$C372="",'asset_&amp;_open_positions'!$J372="SWAP",'asset_&amp;_open_positions'!$J372="FUTURE",'asset_&amp;_open_positions'!$J372="CME FUTURE"),"",'asset_&amp;_open_positions'!$M372)</f>
        <v>USDT</v>
      </c>
      <c r="R372" s="42">
        <f>IF(OR('asset_&amp;_open_positions'!$C372="",'asset_&amp;_open_positions'!$J372="SWAP",'asset_&amp;_open_positions'!$J372="FUTURE",'asset_&amp;_open_positions'!$J372="CME FUTURE"),"",'asset_&amp;_open_positions'!$H372)</f>
        <v>1.00009204918451</v>
      </c>
    </row>
    <row r="373" spans="15:18" x14ac:dyDescent="0.25">
      <c r="O373" s="78" t="str">
        <f>IF('asset_&amp;_open_positions'!$C373="","",'asset_&amp;_open_positions'!$E373)</f>
        <v>BTC</v>
      </c>
      <c r="P373" s="42">
        <f>IF('asset_&amp;_open_positions'!$C373="","",'asset_&amp;_open_positions'!$H373)</f>
        <v>18869.5880552655</v>
      </c>
      <c r="Q373" s="78" t="str">
        <f>IF(OR('asset_&amp;_open_positions'!$C373="",'asset_&amp;_open_positions'!$J373="SWAP",'asset_&amp;_open_positions'!$J373="FUTURE",'asset_&amp;_open_positions'!$J373="CME FUTURE"),"",'asset_&amp;_open_positions'!$M373)</f>
        <v>BTC</v>
      </c>
      <c r="R373" s="42">
        <f>IF(OR('asset_&amp;_open_positions'!$C373="",'asset_&amp;_open_positions'!$J373="SWAP",'asset_&amp;_open_positions'!$J373="FUTURE",'asset_&amp;_open_positions'!$J373="CME FUTURE"),"",'asset_&amp;_open_positions'!$H373)</f>
        <v>18869.5880552655</v>
      </c>
    </row>
    <row r="374" spans="15:18" x14ac:dyDescent="0.25">
      <c r="O374" s="78" t="str">
        <f>IF('asset_&amp;_open_positions'!$C374="","",'asset_&amp;_open_positions'!$E374)</f>
        <v>BTC</v>
      </c>
      <c r="P374" s="42">
        <f>IF('asset_&amp;_open_positions'!$C374="","",'asset_&amp;_open_positions'!$H374)</f>
        <v>18869.5880552655</v>
      </c>
      <c r="Q374" s="78" t="str">
        <f>IF(OR('asset_&amp;_open_positions'!$C374="",'asset_&amp;_open_positions'!$J374="SWAP",'asset_&amp;_open_positions'!$J374="FUTURE",'asset_&amp;_open_positions'!$J374="CME FUTURE"),"",'asset_&amp;_open_positions'!$M374)</f>
        <v>BTC</v>
      </c>
      <c r="R374" s="42">
        <f>IF(OR('asset_&amp;_open_positions'!$C374="",'asset_&amp;_open_positions'!$J374="SWAP",'asset_&amp;_open_positions'!$J374="FUTURE",'asset_&amp;_open_positions'!$J374="CME FUTURE"),"",'asset_&amp;_open_positions'!$H374)</f>
        <v>18869.5880552655</v>
      </c>
    </row>
    <row r="375" spans="15:18" x14ac:dyDescent="0.25">
      <c r="O375" s="78" t="str">
        <f>IF('asset_&amp;_open_positions'!$C375="","",'asset_&amp;_open_positions'!$E375)</f>
        <v>ETH</v>
      </c>
      <c r="P375" s="42">
        <f>IF('asset_&amp;_open_positions'!$C375="","",'asset_&amp;_open_positions'!$H375)</f>
        <v>1417.9385231112101</v>
      </c>
      <c r="Q375" s="78" t="str">
        <f>IF(OR('asset_&amp;_open_positions'!$C375="",'asset_&amp;_open_positions'!$J375="SWAP",'asset_&amp;_open_positions'!$J375="FUTURE",'asset_&amp;_open_positions'!$J375="CME FUTURE"),"",'asset_&amp;_open_positions'!$M375)</f>
        <v>ETH</v>
      </c>
      <c r="R375" s="42">
        <f>IF(OR('asset_&amp;_open_positions'!$C375="",'asset_&amp;_open_positions'!$J375="SWAP",'asset_&amp;_open_positions'!$J375="FUTURE",'asset_&amp;_open_positions'!$J375="CME FUTURE"),"",'asset_&amp;_open_positions'!$H375)</f>
        <v>1417.9385231112101</v>
      </c>
    </row>
    <row r="376" spans="15:18" x14ac:dyDescent="0.25">
      <c r="O376" s="78" t="str">
        <f>IF('asset_&amp;_open_positions'!$C376="","",'asset_&amp;_open_positions'!$E376)</f>
        <v>ETH</v>
      </c>
      <c r="P376" s="42">
        <f>IF('asset_&amp;_open_positions'!$C376="","",'asset_&amp;_open_positions'!$H376)</f>
        <v>1417.9385231112101</v>
      </c>
      <c r="Q376" s="78" t="str">
        <f>IF(OR('asset_&amp;_open_positions'!$C376="",'asset_&amp;_open_positions'!$J376="SWAP",'asset_&amp;_open_positions'!$J376="FUTURE",'asset_&amp;_open_positions'!$J376="CME FUTURE"),"",'asset_&amp;_open_positions'!$M376)</f>
        <v>ETH</v>
      </c>
      <c r="R376" s="42">
        <f>IF(OR('asset_&amp;_open_positions'!$C376="",'asset_&amp;_open_positions'!$J376="SWAP",'asset_&amp;_open_positions'!$J376="FUTURE",'asset_&amp;_open_positions'!$J376="CME FUTURE"),"",'asset_&amp;_open_positions'!$H376)</f>
        <v>1417.9385231112101</v>
      </c>
    </row>
    <row r="377" spans="15:18" x14ac:dyDescent="0.25">
      <c r="O377" s="78" t="str">
        <f>IF('asset_&amp;_open_positions'!$C377="","",'asset_&amp;_open_positions'!$E377)</f>
        <v>OXT</v>
      </c>
      <c r="P377" s="42">
        <f>IF('asset_&amp;_open_positions'!$C377="","",'asset_&amp;_open_positions'!$H377)</f>
        <v>7.3319331912265404E-2</v>
      </c>
      <c r="Q377" s="78" t="str">
        <f>IF(OR('asset_&amp;_open_positions'!$C377="",'asset_&amp;_open_positions'!$J377="SWAP",'asset_&amp;_open_positions'!$J377="FUTURE",'asset_&amp;_open_positions'!$J377="CME FUTURE"),"",'asset_&amp;_open_positions'!$M377)</f>
        <v>OXT</v>
      </c>
      <c r="R377" s="42">
        <f>IF(OR('asset_&amp;_open_positions'!$C377="",'asset_&amp;_open_positions'!$J377="SWAP",'asset_&amp;_open_positions'!$J377="FUTURE",'asset_&amp;_open_positions'!$J377="CME FUTURE"),"",'asset_&amp;_open_positions'!$H377)</f>
        <v>7.3319331912265404E-2</v>
      </c>
    </row>
    <row r="378" spans="15:18" x14ac:dyDescent="0.25">
      <c r="O378" s="78" t="str">
        <f>IF('asset_&amp;_open_positions'!$C378="","",'asset_&amp;_open_positions'!$E378)</f>
        <v>SHIB</v>
      </c>
      <c r="P378" s="42">
        <f>IF('asset_&amp;_open_positions'!$C378="","",'asset_&amp;_open_positions'!$H378)</f>
        <v>9.4713833405960602E-6</v>
      </c>
      <c r="Q378" s="78" t="str">
        <f>IF(OR('asset_&amp;_open_positions'!$C378="",'asset_&amp;_open_positions'!$J378="SWAP",'asset_&amp;_open_positions'!$J378="FUTURE",'asset_&amp;_open_positions'!$J378="CME FUTURE"),"",'asset_&amp;_open_positions'!$M378)</f>
        <v>SHIB</v>
      </c>
      <c r="R378" s="42">
        <f>IF(OR('asset_&amp;_open_positions'!$C378="",'asset_&amp;_open_positions'!$J378="SWAP",'asset_&amp;_open_positions'!$J378="FUTURE",'asset_&amp;_open_positions'!$J378="CME FUTURE"),"",'asset_&amp;_open_positions'!$H378)</f>
        <v>9.4713833405960602E-6</v>
      </c>
    </row>
    <row r="379" spans="15:18" x14ac:dyDescent="0.25">
      <c r="O379" s="78" t="str">
        <f>IF('asset_&amp;_open_positions'!$C379="","",'asset_&amp;_open_positions'!$E379)</f>
        <v>USDT</v>
      </c>
      <c r="P379" s="42">
        <f>IF('asset_&amp;_open_positions'!$C379="","",'asset_&amp;_open_positions'!$H379)</f>
        <v>1.00009204918451</v>
      </c>
      <c r="Q379" s="78" t="str">
        <f>IF(OR('asset_&amp;_open_positions'!$C379="",'asset_&amp;_open_positions'!$J379="SWAP",'asset_&amp;_open_positions'!$J379="FUTURE",'asset_&amp;_open_positions'!$J379="CME FUTURE"),"",'asset_&amp;_open_positions'!$M379)</f>
        <v>USDT</v>
      </c>
      <c r="R379" s="42">
        <f>IF(OR('asset_&amp;_open_positions'!$C379="",'asset_&amp;_open_positions'!$J379="SWAP",'asset_&amp;_open_positions'!$J379="FUTURE",'asset_&amp;_open_positions'!$J379="CME FUTURE"),"",'asset_&amp;_open_positions'!$H379)</f>
        <v>1.00009204918451</v>
      </c>
    </row>
    <row r="380" spans="15:18" x14ac:dyDescent="0.25">
      <c r="O380" s="78" t="str">
        <f>IF('asset_&amp;_open_positions'!$C380="","",'asset_&amp;_open_positions'!$E380)</f>
        <v>USDT</v>
      </c>
      <c r="P380" s="42">
        <f>IF('asset_&amp;_open_positions'!$C380="","",'asset_&amp;_open_positions'!$H380)</f>
        <v>1.00009204918451</v>
      </c>
      <c r="Q380" s="78" t="str">
        <f>IF(OR('asset_&amp;_open_positions'!$C380="",'asset_&amp;_open_positions'!$J380="SWAP",'asset_&amp;_open_positions'!$J380="FUTURE",'asset_&amp;_open_positions'!$J380="CME FUTURE"),"",'asset_&amp;_open_positions'!$M380)</f>
        <v>USDT</v>
      </c>
      <c r="R380" s="42">
        <f>IF(OR('asset_&amp;_open_positions'!$C380="",'asset_&amp;_open_positions'!$J380="SWAP",'asset_&amp;_open_positions'!$J380="FUTURE",'asset_&amp;_open_positions'!$J380="CME FUTURE"),"",'asset_&amp;_open_positions'!$H380)</f>
        <v>1.00009204918451</v>
      </c>
    </row>
    <row r="381" spans="15:18" x14ac:dyDescent="0.25">
      <c r="O381" s="78" t="str">
        <f>IF('asset_&amp;_open_positions'!$C381="","",'asset_&amp;_open_positions'!$E381)</f>
        <v>ZIL</v>
      </c>
      <c r="P381" s="42">
        <f>IF('asset_&amp;_open_positions'!$C381="","",'asset_&amp;_open_positions'!$H381)</f>
        <v>2.39744799073386E-2</v>
      </c>
      <c r="Q381" s="78" t="str">
        <f>IF(OR('asset_&amp;_open_positions'!$C381="",'asset_&amp;_open_positions'!$J381="SWAP",'asset_&amp;_open_positions'!$J381="FUTURE",'asset_&amp;_open_positions'!$J381="CME FUTURE"),"",'asset_&amp;_open_positions'!$M381)</f>
        <v>ZIL</v>
      </c>
      <c r="R381" s="42">
        <f>IF(OR('asset_&amp;_open_positions'!$C381="",'asset_&amp;_open_positions'!$J381="SWAP",'asset_&amp;_open_positions'!$J381="FUTURE",'asset_&amp;_open_positions'!$J381="CME FUTURE"),"",'asset_&amp;_open_positions'!$H381)</f>
        <v>2.39744799073386E-2</v>
      </c>
    </row>
    <row r="382" spans="15:18" x14ac:dyDescent="0.25">
      <c r="O382" s="78" t="str">
        <f>IF('asset_&amp;_open_positions'!$C382="","",'asset_&amp;_open_positions'!$E382)</f>
        <v>BSV</v>
      </c>
      <c r="P382" s="42">
        <f>IF('asset_&amp;_open_positions'!$C382="","",'asset_&amp;_open_positions'!$H382)</f>
        <v>42.1479859749927</v>
      </c>
      <c r="Q382" s="78" t="str">
        <f>IF(OR('asset_&amp;_open_positions'!$C382="",'asset_&amp;_open_positions'!$J382="SWAP",'asset_&amp;_open_positions'!$J382="FUTURE",'asset_&amp;_open_positions'!$J382="CME FUTURE"),"",'asset_&amp;_open_positions'!$M382)</f>
        <v>BSV</v>
      </c>
      <c r="R382" s="42">
        <f>IF(OR('asset_&amp;_open_positions'!$C382="",'asset_&amp;_open_positions'!$J382="SWAP",'asset_&amp;_open_positions'!$J382="FUTURE",'asset_&amp;_open_positions'!$J382="CME FUTURE"),"",'asset_&amp;_open_positions'!$H382)</f>
        <v>42.1479859749927</v>
      </c>
    </row>
    <row r="383" spans="15:18" x14ac:dyDescent="0.25">
      <c r="O383" s="78" t="str">
        <f>IF('asset_&amp;_open_positions'!$C383="","",'asset_&amp;_open_positions'!$E383)</f>
        <v>DOT</v>
      </c>
      <c r="P383" s="42">
        <f>IF('asset_&amp;_open_positions'!$C383="","",'asset_&amp;_open_positions'!$H383)</f>
        <v>5.2294779390740098</v>
      </c>
      <c r="Q383" s="78" t="str">
        <f>IF(OR('asset_&amp;_open_positions'!$C383="",'asset_&amp;_open_positions'!$J383="SWAP",'asset_&amp;_open_positions'!$J383="FUTURE",'asset_&amp;_open_positions'!$J383="CME FUTURE"),"",'asset_&amp;_open_positions'!$M383)</f>
        <v>DOT</v>
      </c>
      <c r="R383" s="42">
        <f>IF(OR('asset_&amp;_open_positions'!$C383="",'asset_&amp;_open_positions'!$J383="SWAP",'asset_&amp;_open_positions'!$J383="FUTURE",'asset_&amp;_open_positions'!$J383="CME FUTURE"),"",'asset_&amp;_open_positions'!$H383)</f>
        <v>5.2294779390740098</v>
      </c>
    </row>
    <row r="384" spans="15:18" x14ac:dyDescent="0.25">
      <c r="O384" s="78" t="str">
        <f>IF('asset_&amp;_open_positions'!$C384="","",'asset_&amp;_open_positions'!$E384)</f>
        <v>ETHW</v>
      </c>
      <c r="P384" s="42">
        <f>IF('asset_&amp;_open_positions'!$C384="","",'asset_&amp;_open_positions'!$H384)</f>
        <v>3.43409341167265</v>
      </c>
      <c r="Q384" s="78" t="str">
        <f>IF(OR('asset_&amp;_open_positions'!$C384="",'asset_&amp;_open_positions'!$J384="SWAP",'asset_&amp;_open_positions'!$J384="FUTURE",'asset_&amp;_open_positions'!$J384="CME FUTURE"),"",'asset_&amp;_open_positions'!$M384)</f>
        <v>ETHW</v>
      </c>
      <c r="R384" s="42">
        <f>IF(OR('asset_&amp;_open_positions'!$C384="",'asset_&amp;_open_positions'!$J384="SWAP",'asset_&amp;_open_positions'!$J384="FUTURE",'asset_&amp;_open_positions'!$J384="CME FUTURE"),"",'asset_&amp;_open_positions'!$H384)</f>
        <v>3.43409341167265</v>
      </c>
    </row>
    <row r="385" spans="15:18" x14ac:dyDescent="0.25">
      <c r="O385" s="78" t="str">
        <f>IF('asset_&amp;_open_positions'!$C385="","",'asset_&amp;_open_positions'!$E385)</f>
        <v>LTC</v>
      </c>
      <c r="P385" s="42">
        <f>IF('asset_&amp;_open_positions'!$C385="","",'asset_&amp;_open_positions'!$H385)</f>
        <v>85.964229450756093</v>
      </c>
      <c r="Q385" s="78" t="str">
        <f>IF(OR('asset_&amp;_open_positions'!$C385="",'asset_&amp;_open_positions'!$J385="SWAP",'asset_&amp;_open_positions'!$J385="FUTURE",'asset_&amp;_open_positions'!$J385="CME FUTURE"),"",'asset_&amp;_open_positions'!$M385)</f>
        <v>LTC</v>
      </c>
      <c r="R385" s="42">
        <f>IF(OR('asset_&amp;_open_positions'!$C385="",'asset_&amp;_open_positions'!$J385="SWAP",'asset_&amp;_open_positions'!$J385="FUTURE",'asset_&amp;_open_positions'!$J385="CME FUTURE"),"",'asset_&amp;_open_positions'!$H385)</f>
        <v>85.964229450756093</v>
      </c>
    </row>
    <row r="386" spans="15:18" x14ac:dyDescent="0.25">
      <c r="O386" s="78" t="str">
        <f>IF('asset_&amp;_open_positions'!$C386="","",'asset_&amp;_open_positions'!$E386)</f>
        <v>SHIB</v>
      </c>
      <c r="P386" s="42">
        <f>IF('asset_&amp;_open_positions'!$C386="","",'asset_&amp;_open_positions'!$H386)</f>
        <v>9.4713833405960602E-6</v>
      </c>
      <c r="Q386" s="78" t="str">
        <f>IF(OR('asset_&amp;_open_positions'!$C386="",'asset_&amp;_open_positions'!$J386="SWAP",'asset_&amp;_open_positions'!$J386="FUTURE",'asset_&amp;_open_positions'!$J386="CME FUTURE"),"",'asset_&amp;_open_positions'!$M386)</f>
        <v>SHIB</v>
      </c>
      <c r="R386" s="42">
        <f>IF(OR('asset_&amp;_open_positions'!$C386="",'asset_&amp;_open_positions'!$J386="SWAP",'asset_&amp;_open_positions'!$J386="FUTURE",'asset_&amp;_open_positions'!$J386="CME FUTURE"),"",'asset_&amp;_open_positions'!$H386)</f>
        <v>9.4713833405960602E-6</v>
      </c>
    </row>
    <row r="387" spans="15:18" x14ac:dyDescent="0.25">
      <c r="O387" s="78" t="str">
        <f>IF('asset_&amp;_open_positions'!$C387="","",'asset_&amp;_open_positions'!$E387)</f>
        <v>USDC</v>
      </c>
      <c r="P387" s="42">
        <f>IF('asset_&amp;_open_positions'!$C387="","",'asset_&amp;_open_positions'!$H387)</f>
        <v>1.0000721496274001</v>
      </c>
      <c r="Q387" s="78" t="str">
        <f>IF(OR('asset_&amp;_open_positions'!$C387="",'asset_&amp;_open_positions'!$J387="SWAP",'asset_&amp;_open_positions'!$J387="FUTURE",'asset_&amp;_open_positions'!$J387="CME FUTURE"),"",'asset_&amp;_open_positions'!$M387)</f>
        <v>USDC</v>
      </c>
      <c r="R387" s="42">
        <f>IF(OR('asset_&amp;_open_positions'!$C387="",'asset_&amp;_open_positions'!$J387="SWAP",'asset_&amp;_open_positions'!$J387="FUTURE",'asset_&amp;_open_positions'!$J387="CME FUTURE"),"",'asset_&amp;_open_positions'!$H387)</f>
        <v>1.0000721496274001</v>
      </c>
    </row>
    <row r="388" spans="15:18" x14ac:dyDescent="0.25">
      <c r="O388" s="78" t="str">
        <f>IF('asset_&amp;_open_positions'!$C388="","",'asset_&amp;_open_positions'!$E388)</f>
        <v>XEC</v>
      </c>
      <c r="P388" s="42">
        <f>IF('asset_&amp;_open_positions'!$C388="","",'asset_&amp;_open_positions'!$H388)</f>
        <v>2.7311340953437101E-5</v>
      </c>
      <c r="Q388" s="78" t="str">
        <f>IF(OR('asset_&amp;_open_positions'!$C388="",'asset_&amp;_open_positions'!$J388="SWAP",'asset_&amp;_open_positions'!$J388="FUTURE",'asset_&amp;_open_positions'!$J388="CME FUTURE"),"",'asset_&amp;_open_positions'!$M388)</f>
        <v>XEC</v>
      </c>
      <c r="R388" s="42">
        <f>IF(OR('asset_&amp;_open_positions'!$C388="",'asset_&amp;_open_positions'!$J388="SWAP",'asset_&amp;_open_positions'!$J388="FUTURE",'asset_&amp;_open_positions'!$J388="CME FUTURE"),"",'asset_&amp;_open_positions'!$H388)</f>
        <v>2.7311340953437101E-5</v>
      </c>
    </row>
    <row r="389" spans="15:18" x14ac:dyDescent="0.25">
      <c r="O389" s="78" t="str">
        <f>IF('asset_&amp;_open_positions'!$C389="","",'asset_&amp;_open_positions'!$E389)</f>
        <v>XRP</v>
      </c>
      <c r="P389" s="42">
        <f>IF('asset_&amp;_open_positions'!$C389="","",'asset_&amp;_open_positions'!$H389)</f>
        <v>0.37519714224190098</v>
      </c>
      <c r="Q389" s="78" t="str">
        <f>IF(OR('asset_&amp;_open_positions'!$C389="",'asset_&amp;_open_positions'!$J389="SWAP",'asset_&amp;_open_positions'!$J389="FUTURE",'asset_&amp;_open_positions'!$J389="CME FUTURE"),"",'asset_&amp;_open_positions'!$M389)</f>
        <v>XRP</v>
      </c>
      <c r="R389" s="42">
        <f>IF(OR('asset_&amp;_open_positions'!$C389="",'asset_&amp;_open_positions'!$J389="SWAP",'asset_&amp;_open_positions'!$J389="FUTURE",'asset_&amp;_open_positions'!$J389="CME FUTURE"),"",'asset_&amp;_open_positions'!$H389)</f>
        <v>0.37519714224190098</v>
      </c>
    </row>
    <row r="390" spans="15:18" x14ac:dyDescent="0.25">
      <c r="O390" s="78" t="str">
        <f>IF('asset_&amp;_open_positions'!$C390="","",'asset_&amp;_open_positions'!$E390)</f>
        <v>ETH</v>
      </c>
      <c r="P390" s="42">
        <f>IF('asset_&amp;_open_positions'!$C390="","",'asset_&amp;_open_positions'!$H390)</f>
        <v>1417.9385231112101</v>
      </c>
      <c r="Q390" s="78" t="str">
        <f>IF(OR('asset_&amp;_open_positions'!$C390="",'asset_&amp;_open_positions'!$J390="SWAP",'asset_&amp;_open_positions'!$J390="FUTURE",'asset_&amp;_open_positions'!$J390="CME FUTURE"),"",'asset_&amp;_open_positions'!$M390)</f>
        <v>ETH</v>
      </c>
      <c r="R390" s="42">
        <f>IF(OR('asset_&amp;_open_positions'!$C390="",'asset_&amp;_open_positions'!$J390="SWAP",'asset_&amp;_open_positions'!$J390="FUTURE",'asset_&amp;_open_positions'!$J390="CME FUTURE"),"",'asset_&amp;_open_positions'!$H390)</f>
        <v>1417.9385231112101</v>
      </c>
    </row>
    <row r="391" spans="15:18" x14ac:dyDescent="0.25">
      <c r="O391" s="78" t="str">
        <f>IF('asset_&amp;_open_positions'!$C391="","",'asset_&amp;_open_positions'!$E391)</f>
        <v>EUR</v>
      </c>
      <c r="P391" s="42">
        <f>IF('asset_&amp;_open_positions'!$C391="","",'asset_&amp;_open_positions'!$H391)</f>
        <v>1.0852200000000001</v>
      </c>
      <c r="Q391" s="78" t="str">
        <f>IF(OR('asset_&amp;_open_positions'!$C391="",'asset_&amp;_open_positions'!$J391="SWAP",'asset_&amp;_open_positions'!$J391="FUTURE",'asset_&amp;_open_positions'!$J391="CME FUTURE"),"",'asset_&amp;_open_positions'!$M391)</f>
        <v>EUR</v>
      </c>
      <c r="R391" s="42">
        <f>IF(OR('asset_&amp;_open_positions'!$C391="",'asset_&amp;_open_positions'!$J391="SWAP",'asset_&amp;_open_positions'!$J391="FUTURE",'asset_&amp;_open_positions'!$J391="CME FUTURE"),"",'asset_&amp;_open_positions'!$H391)</f>
        <v>1.0852200000000001</v>
      </c>
    </row>
    <row r="392" spans="15:18" x14ac:dyDescent="0.25">
      <c r="O392" s="78" t="str">
        <f>IF('asset_&amp;_open_positions'!$C392="","",'asset_&amp;_open_positions'!$E392)</f>
        <v>GBP</v>
      </c>
      <c r="P392" s="42">
        <f>IF('asset_&amp;_open_positions'!$C392="","",'asset_&amp;_open_positions'!$H392)</f>
        <v>1.2211650000000001</v>
      </c>
      <c r="Q392" s="78" t="str">
        <f>IF(OR('asset_&amp;_open_positions'!$C392="",'asset_&amp;_open_positions'!$J392="SWAP",'asset_&amp;_open_positions'!$J392="FUTURE",'asset_&amp;_open_positions'!$J392="CME FUTURE"),"",'asset_&amp;_open_positions'!$M392)</f>
        <v>GBP</v>
      </c>
      <c r="R392" s="42">
        <f>IF(OR('asset_&amp;_open_positions'!$C392="",'asset_&amp;_open_positions'!$J392="SWAP",'asset_&amp;_open_positions'!$J392="FUTURE",'asset_&amp;_open_positions'!$J392="CME FUTURE"),"",'asset_&amp;_open_positions'!$H392)</f>
        <v>1.2211650000000001</v>
      </c>
    </row>
    <row r="393" spans="15:18" x14ac:dyDescent="0.25">
      <c r="O393" s="78" t="str">
        <f>IF('asset_&amp;_open_positions'!$C393="","",'asset_&amp;_open_positions'!$E393)</f>
        <v>TRY</v>
      </c>
      <c r="P393" s="42">
        <f>IF('asset_&amp;_open_positions'!$C393="","",'asset_&amp;_open_positions'!$H393)</f>
        <v>2.4220436195525599E-3</v>
      </c>
      <c r="Q393" s="78" t="str">
        <f>IF(OR('asset_&amp;_open_positions'!$C393="",'asset_&amp;_open_positions'!$J393="SWAP",'asset_&amp;_open_positions'!$J393="FUTURE",'asset_&amp;_open_positions'!$J393="CME FUTURE"),"",'asset_&amp;_open_positions'!$M393)</f>
        <v>TRY</v>
      </c>
      <c r="R393" s="42">
        <f>IF(OR('asset_&amp;_open_positions'!$C393="",'asset_&amp;_open_positions'!$J393="SWAP",'asset_&amp;_open_positions'!$J393="FUTURE",'asset_&amp;_open_positions'!$J393="CME FUTURE"),"",'asset_&amp;_open_positions'!$H393)</f>
        <v>2.4220436195525599E-3</v>
      </c>
    </row>
    <row r="394" spans="15:18" x14ac:dyDescent="0.25">
      <c r="O394" s="78" t="str">
        <f>IF('asset_&amp;_open_positions'!$C394="","",'asset_&amp;_open_positions'!$E394)</f>
        <v>USD</v>
      </c>
      <c r="P394" s="42">
        <f>IF('asset_&amp;_open_positions'!$C394="","",'asset_&amp;_open_positions'!$H394)</f>
        <v>1</v>
      </c>
      <c r="Q394" s="78" t="str">
        <f>IF(OR('asset_&amp;_open_positions'!$C394="",'asset_&amp;_open_positions'!$J394="SWAP",'asset_&amp;_open_positions'!$J394="FUTURE",'asset_&amp;_open_positions'!$J394="CME FUTURE"),"",'asset_&amp;_open_positions'!$M394)</f>
        <v>USD</v>
      </c>
      <c r="R394" s="42">
        <f>IF(OR('asset_&amp;_open_positions'!$C394="",'asset_&amp;_open_positions'!$J394="SWAP",'asset_&amp;_open_positions'!$J394="FUTURE",'asset_&amp;_open_positions'!$J394="CME FUTURE"),"",'asset_&amp;_open_positions'!$H394)</f>
        <v>1</v>
      </c>
    </row>
    <row r="395" spans="15:18" x14ac:dyDescent="0.25">
      <c r="O395" s="78" t="str">
        <f>IF('asset_&amp;_open_positions'!$C395="","",'asset_&amp;_open_positions'!$E395)</f>
        <v>USDT</v>
      </c>
      <c r="P395" s="42">
        <f>IF('asset_&amp;_open_positions'!$C395="","",'asset_&amp;_open_positions'!$H395)</f>
        <v>1.00009204918451</v>
      </c>
      <c r="Q395" s="78" t="str">
        <f>IF(OR('asset_&amp;_open_positions'!$C395="",'asset_&amp;_open_positions'!$J395="SWAP",'asset_&amp;_open_positions'!$J395="FUTURE",'asset_&amp;_open_positions'!$J395="CME FUTURE"),"",'asset_&amp;_open_positions'!$M395)</f>
        <v>USDT</v>
      </c>
      <c r="R395" s="42">
        <f>IF(OR('asset_&amp;_open_positions'!$C395="",'asset_&amp;_open_positions'!$J395="SWAP",'asset_&amp;_open_positions'!$J395="FUTURE",'asset_&amp;_open_positions'!$J395="CME FUTURE"),"",'asset_&amp;_open_positions'!$H395)</f>
        <v>1.00009204918451</v>
      </c>
    </row>
    <row r="396" spans="15:18" x14ac:dyDescent="0.25">
      <c r="O396" s="78" t="str">
        <f>IF('asset_&amp;_open_positions'!$C396="","",'asset_&amp;_open_positions'!$E396)</f>
        <v>XLM</v>
      </c>
      <c r="P396" s="42">
        <f>IF('asset_&amp;_open_positions'!$C396="","",'asset_&amp;_open_positions'!$H396)</f>
        <v>8.1643783905093401E-2</v>
      </c>
      <c r="Q396" s="78" t="str">
        <f>IF(OR('asset_&amp;_open_positions'!$C396="",'asset_&amp;_open_positions'!$J396="SWAP",'asset_&amp;_open_positions'!$J396="FUTURE",'asset_&amp;_open_positions'!$J396="CME FUTURE"),"",'asset_&amp;_open_positions'!$M396)</f>
        <v>XLM</v>
      </c>
      <c r="R396" s="42">
        <f>IF(OR('asset_&amp;_open_positions'!$C396="",'asset_&amp;_open_positions'!$J396="SWAP",'asset_&amp;_open_positions'!$J396="FUTURE",'asset_&amp;_open_positions'!$J396="CME FUTURE"),"",'asset_&amp;_open_positions'!$H396)</f>
        <v>8.1643783905093401E-2</v>
      </c>
    </row>
    <row r="397" spans="15:18" x14ac:dyDescent="0.25">
      <c r="O397" s="78" t="str">
        <f>IF('asset_&amp;_open_positions'!$C397="","",'asset_&amp;_open_positions'!$E397)</f>
        <v>SHFT</v>
      </c>
      <c r="P397" s="42">
        <f>IF('asset_&amp;_open_positions'!$C397="","",'asset_&amp;_open_positions'!$H397)</f>
        <v>8.0213401224605903E-3</v>
      </c>
      <c r="Q397" s="78" t="str">
        <f>IF(OR('asset_&amp;_open_positions'!$C397="",'asset_&amp;_open_positions'!$J397="SWAP",'asset_&amp;_open_positions'!$J397="FUTURE",'asset_&amp;_open_positions'!$J397="CME FUTURE"),"",'asset_&amp;_open_positions'!$M397)</f>
        <v>SHFT</v>
      </c>
      <c r="R397" s="42">
        <f>IF(OR('asset_&amp;_open_positions'!$C397="",'asset_&amp;_open_positions'!$J397="SWAP",'asset_&amp;_open_positions'!$J397="FUTURE",'asset_&amp;_open_positions'!$J397="CME FUTURE"),"",'asset_&amp;_open_positions'!$H397)</f>
        <v>8.0213401224605903E-3</v>
      </c>
    </row>
    <row r="398" spans="15:18" x14ac:dyDescent="0.25">
      <c r="O398" s="78" t="str">
        <f>IF('asset_&amp;_open_positions'!$C398="","",'asset_&amp;_open_positions'!$E398)</f>
        <v>BTC</v>
      </c>
      <c r="P398" s="42">
        <f>IF('asset_&amp;_open_positions'!$C398="","",'asset_&amp;_open_positions'!$H398)</f>
        <v>18869.5880552655</v>
      </c>
      <c r="Q398" s="78" t="str">
        <f>IF(OR('asset_&amp;_open_positions'!$C398="",'asset_&amp;_open_positions'!$J398="SWAP",'asset_&amp;_open_positions'!$J398="FUTURE",'asset_&amp;_open_positions'!$J398="CME FUTURE"),"",'asset_&amp;_open_positions'!$M398)</f>
        <v>BTC</v>
      </c>
      <c r="R398" s="42">
        <f>IF(OR('asset_&amp;_open_positions'!$C398="",'asset_&amp;_open_positions'!$J398="SWAP",'asset_&amp;_open_positions'!$J398="FUTURE",'asset_&amp;_open_positions'!$J398="CME FUTURE"),"",'asset_&amp;_open_positions'!$H398)</f>
        <v>18869.5880552655</v>
      </c>
    </row>
    <row r="399" spans="15:18" x14ac:dyDescent="0.25">
      <c r="O399" s="78" t="str">
        <f>IF('asset_&amp;_open_positions'!$C399="","",'asset_&amp;_open_positions'!$E399)</f>
        <v>ETH</v>
      </c>
      <c r="P399" s="42">
        <f>IF('asset_&amp;_open_positions'!$C399="","",'asset_&amp;_open_positions'!$H399)</f>
        <v>1417.9385231112101</v>
      </c>
      <c r="Q399" s="78" t="str">
        <f>IF(OR('asset_&amp;_open_positions'!$C399="",'asset_&amp;_open_positions'!$J399="SWAP",'asset_&amp;_open_positions'!$J399="FUTURE",'asset_&amp;_open_positions'!$J399="CME FUTURE"),"",'asset_&amp;_open_positions'!$M399)</f>
        <v>ETH</v>
      </c>
      <c r="R399" s="42">
        <f>IF(OR('asset_&amp;_open_positions'!$C399="",'asset_&amp;_open_positions'!$J399="SWAP",'asset_&amp;_open_positions'!$J399="FUTURE",'asset_&amp;_open_positions'!$J399="CME FUTURE"),"",'asset_&amp;_open_positions'!$H399)</f>
        <v>1417.9385231112101</v>
      </c>
    </row>
    <row r="400" spans="15:18" x14ac:dyDescent="0.25">
      <c r="O400" s="78" t="str">
        <f>IF('asset_&amp;_open_positions'!$C400="","",'asset_&amp;_open_positions'!$E400)</f>
        <v>WOO</v>
      </c>
      <c r="P400" s="42">
        <f>IF('asset_&amp;_open_positions'!$C400="","",'asset_&amp;_open_positions'!$H400)</f>
        <v>0.17117455805873899</v>
      </c>
      <c r="Q400" s="78" t="str">
        <f>IF(OR('asset_&amp;_open_positions'!$C400="",'asset_&amp;_open_positions'!$J400="SWAP",'asset_&amp;_open_positions'!$J400="FUTURE",'asset_&amp;_open_positions'!$J400="CME FUTURE"),"",'asset_&amp;_open_positions'!$M400)</f>
        <v>WOO</v>
      </c>
      <c r="R400" s="42">
        <f>IF(OR('asset_&amp;_open_positions'!$C400="",'asset_&amp;_open_positions'!$J400="SWAP",'asset_&amp;_open_positions'!$J400="FUTURE",'asset_&amp;_open_positions'!$J400="CME FUTURE"),"",'asset_&amp;_open_positions'!$H400)</f>
        <v>0.17117455805873899</v>
      </c>
    </row>
    <row r="401" spans="15:18" x14ac:dyDescent="0.25">
      <c r="O401" s="78" t="str">
        <f>IF('asset_&amp;_open_positions'!$C401="","",'asset_&amp;_open_positions'!$E401)</f>
        <v>AAVE</v>
      </c>
      <c r="P401" s="42">
        <f>IF('asset_&amp;_open_positions'!$C401="","",'asset_&amp;_open_positions'!$H401)</f>
        <v>67.861136531304297</v>
      </c>
      <c r="Q401" s="78" t="str">
        <f>IF(OR('asset_&amp;_open_positions'!$C401="",'asset_&amp;_open_positions'!$J401="SWAP",'asset_&amp;_open_positions'!$J401="FUTURE",'asset_&amp;_open_positions'!$J401="CME FUTURE"),"",'asset_&amp;_open_positions'!$M401)</f>
        <v>AAVE</v>
      </c>
      <c r="R401" s="42">
        <f>IF(OR('asset_&amp;_open_positions'!$C401="",'asset_&amp;_open_positions'!$J401="SWAP",'asset_&amp;_open_positions'!$J401="FUTURE",'asset_&amp;_open_positions'!$J401="CME FUTURE"),"",'asset_&amp;_open_positions'!$H401)</f>
        <v>67.861136531304297</v>
      </c>
    </row>
    <row r="402" spans="15:18" x14ac:dyDescent="0.25">
      <c r="O402" s="78" t="str">
        <f>IF('asset_&amp;_open_positions'!$C402="","",'asset_&amp;_open_positions'!$E402)</f>
        <v>ADA</v>
      </c>
      <c r="P402" s="42">
        <f>IF('asset_&amp;_open_positions'!$C402="","",'asset_&amp;_open_positions'!$H402)</f>
        <v>0.329758474743375</v>
      </c>
      <c r="Q402" s="78" t="str">
        <f>IF(OR('asset_&amp;_open_positions'!$C402="",'asset_&amp;_open_positions'!$J402="SWAP",'asset_&amp;_open_positions'!$J402="FUTURE",'asset_&amp;_open_positions'!$J402="CME FUTURE"),"",'asset_&amp;_open_positions'!$M402)</f>
        <v>ADA</v>
      </c>
      <c r="R402" s="42">
        <f>IF(OR('asset_&amp;_open_positions'!$C402="",'asset_&amp;_open_positions'!$J402="SWAP",'asset_&amp;_open_positions'!$J402="FUTURE",'asset_&amp;_open_positions'!$J402="CME FUTURE"),"",'asset_&amp;_open_positions'!$H402)</f>
        <v>0.329758474743375</v>
      </c>
    </row>
    <row r="403" spans="15:18" x14ac:dyDescent="0.25">
      <c r="O403" s="78" t="str">
        <f>IF('asset_&amp;_open_positions'!$C403="","",'asset_&amp;_open_positions'!$E403)</f>
        <v>ALGO</v>
      </c>
      <c r="P403" s="42">
        <f>IF('asset_&amp;_open_positions'!$C403="","",'asset_&amp;_open_positions'!$H403)</f>
        <v>0.21252649157671899</v>
      </c>
      <c r="Q403" s="78" t="str">
        <f>IF(OR('asset_&amp;_open_positions'!$C403="",'asset_&amp;_open_positions'!$J403="SWAP",'asset_&amp;_open_positions'!$J403="FUTURE",'asset_&amp;_open_positions'!$J403="CME FUTURE"),"",'asset_&amp;_open_positions'!$M403)</f>
        <v>ALGO</v>
      </c>
      <c r="R403" s="42">
        <f>IF(OR('asset_&amp;_open_positions'!$C403="",'asset_&amp;_open_positions'!$J403="SWAP",'asset_&amp;_open_positions'!$J403="FUTURE",'asset_&amp;_open_positions'!$J403="CME FUTURE"),"",'asset_&amp;_open_positions'!$H403)</f>
        <v>0.21252649157671899</v>
      </c>
    </row>
    <row r="404" spans="15:18" x14ac:dyDescent="0.25">
      <c r="O404" s="78" t="str">
        <f>IF('asset_&amp;_open_positions'!$C404="","",'asset_&amp;_open_positions'!$E404)</f>
        <v>AVAX</v>
      </c>
      <c r="P404" s="42">
        <f>IF('asset_&amp;_open_positions'!$C404="","",'asset_&amp;_open_positions'!$H404)</f>
        <v>15.4573502597811</v>
      </c>
      <c r="Q404" s="78" t="str">
        <f>IF(OR('asset_&amp;_open_positions'!$C404="",'asset_&amp;_open_positions'!$J404="SWAP",'asset_&amp;_open_positions'!$J404="FUTURE",'asset_&amp;_open_positions'!$J404="CME FUTURE"),"",'asset_&amp;_open_positions'!$M404)</f>
        <v>AVAX</v>
      </c>
      <c r="R404" s="42">
        <f>IF(OR('asset_&amp;_open_positions'!$C404="",'asset_&amp;_open_positions'!$J404="SWAP",'asset_&amp;_open_positions'!$J404="FUTURE",'asset_&amp;_open_positions'!$J404="CME FUTURE"),"",'asset_&amp;_open_positions'!$H404)</f>
        <v>15.4573502597811</v>
      </c>
    </row>
    <row r="405" spans="15:18" x14ac:dyDescent="0.25">
      <c r="O405" s="78" t="str">
        <f>IF('asset_&amp;_open_positions'!$C405="","",'asset_&amp;_open_positions'!$E405)</f>
        <v>BAT</v>
      </c>
      <c r="P405" s="42">
        <f>IF('asset_&amp;_open_positions'!$C405="","",'asset_&amp;_open_positions'!$H405)</f>
        <v>0.20477401519184199</v>
      </c>
      <c r="Q405" s="78" t="str">
        <f>IF(OR('asset_&amp;_open_positions'!$C405="",'asset_&amp;_open_positions'!$J405="SWAP",'asset_&amp;_open_positions'!$J405="FUTURE",'asset_&amp;_open_positions'!$J405="CME FUTURE"),"",'asset_&amp;_open_positions'!$M405)</f>
        <v>BAT</v>
      </c>
      <c r="R405" s="42">
        <f>IF(OR('asset_&amp;_open_positions'!$C405="",'asset_&amp;_open_positions'!$J405="SWAP",'asset_&amp;_open_positions'!$J405="FUTURE",'asset_&amp;_open_positions'!$J405="CME FUTURE"),"",'asset_&amp;_open_positions'!$H405)</f>
        <v>0.20477401519184199</v>
      </c>
    </row>
    <row r="406" spans="15:18" x14ac:dyDescent="0.25">
      <c r="O406" s="78" t="str">
        <f>IF('asset_&amp;_open_positions'!$C406="","",'asset_&amp;_open_positions'!$E406)</f>
        <v>BCH</v>
      </c>
      <c r="P406" s="42">
        <f>IF('asset_&amp;_open_positions'!$C406="","",'asset_&amp;_open_positions'!$H406)</f>
        <v>119.710466137412</v>
      </c>
      <c r="Q406" s="78" t="str">
        <f>IF(OR('asset_&amp;_open_positions'!$C406="",'asset_&amp;_open_positions'!$J406="SWAP",'asset_&amp;_open_positions'!$J406="FUTURE",'asset_&amp;_open_positions'!$J406="CME FUTURE"),"",'asset_&amp;_open_positions'!$M406)</f>
        <v>BCH</v>
      </c>
      <c r="R406" s="42">
        <f>IF(OR('asset_&amp;_open_positions'!$C406="",'asset_&amp;_open_positions'!$J406="SWAP",'asset_&amp;_open_positions'!$J406="FUTURE",'asset_&amp;_open_positions'!$J406="CME FUTURE"),"",'asset_&amp;_open_positions'!$H406)</f>
        <v>119.710466137412</v>
      </c>
    </row>
    <row r="407" spans="15:18" x14ac:dyDescent="0.25">
      <c r="O407" s="78" t="str">
        <f>IF('asset_&amp;_open_positions'!$C407="","",'asset_&amp;_open_positions'!$E407)</f>
        <v>BNB</v>
      </c>
      <c r="P407" s="42">
        <f>IF('asset_&amp;_open_positions'!$C407="","",'asset_&amp;_open_positions'!$H407)</f>
        <v>287.81233632451398</v>
      </c>
      <c r="Q407" s="78" t="str">
        <f>IF(OR('asset_&amp;_open_positions'!$C407="",'asset_&amp;_open_positions'!$J407="SWAP",'asset_&amp;_open_positions'!$J407="FUTURE",'asset_&amp;_open_positions'!$J407="CME FUTURE"),"",'asset_&amp;_open_positions'!$M407)</f>
        <v>BNB</v>
      </c>
      <c r="R407" s="42">
        <f>IF(OR('asset_&amp;_open_positions'!$C407="",'asset_&amp;_open_positions'!$J407="SWAP",'asset_&amp;_open_positions'!$J407="FUTURE",'asset_&amp;_open_positions'!$J407="CME FUTURE"),"",'asset_&amp;_open_positions'!$H407)</f>
        <v>287.81233632451398</v>
      </c>
    </row>
    <row r="408" spans="15:18" x14ac:dyDescent="0.25">
      <c r="O408" s="78" t="str">
        <f>IF('asset_&amp;_open_positions'!$C408="","",'asset_&amp;_open_positions'!$E408)</f>
        <v>BTC</v>
      </c>
      <c r="P408" s="42">
        <f>IF('asset_&amp;_open_positions'!$C408="","",'asset_&amp;_open_positions'!$H408)</f>
        <v>18869.5880552655</v>
      </c>
      <c r="Q408" s="78" t="str">
        <f>IF(OR('asset_&amp;_open_positions'!$C408="",'asset_&amp;_open_positions'!$J408="SWAP",'asset_&amp;_open_positions'!$J408="FUTURE",'asset_&amp;_open_positions'!$J408="CME FUTURE"),"",'asset_&amp;_open_positions'!$M408)</f>
        <v>BTC</v>
      </c>
      <c r="R408" s="42">
        <f>IF(OR('asset_&amp;_open_positions'!$C408="",'asset_&amp;_open_positions'!$J408="SWAP",'asset_&amp;_open_positions'!$J408="FUTURE",'asset_&amp;_open_positions'!$J408="CME FUTURE"),"",'asset_&amp;_open_positions'!$H408)</f>
        <v>18869.5880552655</v>
      </c>
    </row>
    <row r="409" spans="15:18" x14ac:dyDescent="0.25">
      <c r="O409" s="78" t="str">
        <f>IF('asset_&amp;_open_positions'!$C409="","",'asset_&amp;_open_positions'!$E409)</f>
        <v>COMP</v>
      </c>
      <c r="P409" s="42">
        <f>IF('asset_&amp;_open_positions'!$C409="","",'asset_&amp;_open_positions'!$H409)</f>
        <v>37.706418209521303</v>
      </c>
      <c r="Q409" s="78" t="str">
        <f>IF(OR('asset_&amp;_open_positions'!$C409="",'asset_&amp;_open_positions'!$J409="SWAP",'asset_&amp;_open_positions'!$J409="FUTURE",'asset_&amp;_open_positions'!$J409="CME FUTURE"),"",'asset_&amp;_open_positions'!$M409)</f>
        <v>COMP</v>
      </c>
      <c r="R409" s="42">
        <f>IF(OR('asset_&amp;_open_positions'!$C409="",'asset_&amp;_open_positions'!$J409="SWAP",'asset_&amp;_open_positions'!$J409="FUTURE",'asset_&amp;_open_positions'!$J409="CME FUTURE"),"",'asset_&amp;_open_positions'!$H409)</f>
        <v>37.706418209521303</v>
      </c>
    </row>
    <row r="410" spans="15:18" x14ac:dyDescent="0.25">
      <c r="O410" s="78" t="str">
        <f>IF('asset_&amp;_open_positions'!$C410="","",'asset_&amp;_open_positions'!$E410)</f>
        <v>DASH</v>
      </c>
      <c r="P410" s="42">
        <f>IF('asset_&amp;_open_positions'!$C410="","",'asset_&amp;_open_positions'!$H410)</f>
        <v>49.356487119112799</v>
      </c>
      <c r="Q410" s="78" t="str">
        <f>IF(OR('asset_&amp;_open_positions'!$C410="",'asset_&amp;_open_positions'!$J410="SWAP",'asset_&amp;_open_positions'!$J410="FUTURE",'asset_&amp;_open_positions'!$J410="CME FUTURE"),"",'asset_&amp;_open_positions'!$M410)</f>
        <v>DASH</v>
      </c>
      <c r="R410" s="42">
        <f>IF(OR('asset_&amp;_open_positions'!$C410="",'asset_&amp;_open_positions'!$J410="SWAP",'asset_&amp;_open_positions'!$J410="FUTURE",'asset_&amp;_open_positions'!$J410="CME FUTURE"),"",'asset_&amp;_open_positions'!$H410)</f>
        <v>49.356487119112799</v>
      </c>
    </row>
    <row r="411" spans="15:18" x14ac:dyDescent="0.25">
      <c r="O411" s="78" t="str">
        <f>IF('asset_&amp;_open_positions'!$C411="","",'asset_&amp;_open_positions'!$E411)</f>
        <v>DOGE</v>
      </c>
      <c r="P411" s="42">
        <f>IF('asset_&amp;_open_positions'!$C411="","",'asset_&amp;_open_positions'!$H411)</f>
        <v>8.0285736002614697E-2</v>
      </c>
      <c r="Q411" s="78" t="str">
        <f>IF(OR('asset_&amp;_open_positions'!$C411="",'asset_&amp;_open_positions'!$J411="SWAP",'asset_&amp;_open_positions'!$J411="FUTURE",'asset_&amp;_open_positions'!$J411="CME FUTURE"),"",'asset_&amp;_open_positions'!$M411)</f>
        <v>DOGE</v>
      </c>
      <c r="R411" s="42">
        <f>IF(OR('asset_&amp;_open_positions'!$C411="",'asset_&amp;_open_positions'!$J411="SWAP",'asset_&amp;_open_positions'!$J411="FUTURE",'asset_&amp;_open_positions'!$J411="CME FUTURE"),"",'asset_&amp;_open_positions'!$H411)</f>
        <v>8.0285736002614697E-2</v>
      </c>
    </row>
    <row r="412" spans="15:18" x14ac:dyDescent="0.25">
      <c r="O412" s="78" t="str">
        <f>IF('asset_&amp;_open_positions'!$C412="","",'asset_&amp;_open_positions'!$E412)</f>
        <v>DOT</v>
      </c>
      <c r="P412" s="42">
        <f>IF('asset_&amp;_open_positions'!$C412="","",'asset_&amp;_open_positions'!$H412)</f>
        <v>5.2294779390740098</v>
      </c>
      <c r="Q412" s="78" t="str">
        <f>IF(OR('asset_&amp;_open_positions'!$C412="",'asset_&amp;_open_positions'!$J412="SWAP",'asset_&amp;_open_positions'!$J412="FUTURE",'asset_&amp;_open_positions'!$J412="CME FUTURE"),"",'asset_&amp;_open_positions'!$M412)</f>
        <v>DOT</v>
      </c>
      <c r="R412" s="42">
        <f>IF(OR('asset_&amp;_open_positions'!$C412="",'asset_&amp;_open_positions'!$J412="SWAP",'asset_&amp;_open_positions'!$J412="FUTURE",'asset_&amp;_open_positions'!$J412="CME FUTURE"),"",'asset_&amp;_open_positions'!$H412)</f>
        <v>5.2294779390740098</v>
      </c>
    </row>
    <row r="413" spans="15:18" x14ac:dyDescent="0.25">
      <c r="O413" s="78" t="str">
        <f>IF('asset_&amp;_open_positions'!$C413="","",'asset_&amp;_open_positions'!$E413)</f>
        <v>ENJ</v>
      </c>
      <c r="P413" s="42">
        <f>IF('asset_&amp;_open_positions'!$C413="","",'asset_&amp;_open_positions'!$H413)</f>
        <v>0.304096198903759</v>
      </c>
      <c r="Q413" s="78" t="str">
        <f>IF(OR('asset_&amp;_open_positions'!$C413="",'asset_&amp;_open_positions'!$J413="SWAP",'asset_&amp;_open_positions'!$J413="FUTURE",'asset_&amp;_open_positions'!$J413="CME FUTURE"),"",'asset_&amp;_open_positions'!$M413)</f>
        <v>ENJ</v>
      </c>
      <c r="R413" s="42">
        <f>IF(OR('asset_&amp;_open_positions'!$C413="",'asset_&amp;_open_positions'!$J413="SWAP",'asset_&amp;_open_positions'!$J413="FUTURE",'asset_&amp;_open_positions'!$J413="CME FUTURE"),"",'asset_&amp;_open_positions'!$H413)</f>
        <v>0.304096198903759</v>
      </c>
    </row>
    <row r="414" spans="15:18" x14ac:dyDescent="0.25">
      <c r="O414" s="78" t="str">
        <f>IF('asset_&amp;_open_positions'!$C414="","",'asset_&amp;_open_positions'!$E414)</f>
        <v>EOS</v>
      </c>
      <c r="P414" s="42">
        <f>IF('asset_&amp;_open_positions'!$C414="","",'asset_&amp;_open_positions'!$H414)</f>
        <v>0.990242476806942</v>
      </c>
      <c r="Q414" s="78" t="str">
        <f>IF(OR('asset_&amp;_open_positions'!$C414="",'asset_&amp;_open_positions'!$J414="SWAP",'asset_&amp;_open_positions'!$J414="FUTURE",'asset_&amp;_open_positions'!$J414="CME FUTURE"),"",'asset_&amp;_open_positions'!$M414)</f>
        <v>EOS</v>
      </c>
      <c r="R414" s="42">
        <f>IF(OR('asset_&amp;_open_positions'!$C414="",'asset_&amp;_open_positions'!$J414="SWAP",'asset_&amp;_open_positions'!$J414="FUTURE",'asset_&amp;_open_positions'!$J414="CME FUTURE"),"",'asset_&amp;_open_positions'!$H414)</f>
        <v>0.990242476806942</v>
      </c>
    </row>
    <row r="415" spans="15:18" x14ac:dyDescent="0.25">
      <c r="O415" s="78" t="str">
        <f>IF('asset_&amp;_open_positions'!$C415="","",'asset_&amp;_open_positions'!$E415)</f>
        <v>ETC</v>
      </c>
      <c r="P415" s="42">
        <f>IF('asset_&amp;_open_positions'!$C415="","",'asset_&amp;_open_positions'!$H415)</f>
        <v>20.917758217744002</v>
      </c>
      <c r="Q415" s="78" t="str">
        <f>IF(OR('asset_&amp;_open_positions'!$C415="",'asset_&amp;_open_positions'!$J415="SWAP",'asset_&amp;_open_positions'!$J415="FUTURE",'asset_&amp;_open_positions'!$J415="CME FUTURE"),"",'asset_&amp;_open_positions'!$M415)</f>
        <v>ETC</v>
      </c>
      <c r="R415" s="42">
        <f>IF(OR('asset_&amp;_open_positions'!$C415="",'asset_&amp;_open_positions'!$J415="SWAP",'asset_&amp;_open_positions'!$J415="FUTURE",'asset_&amp;_open_positions'!$J415="CME FUTURE"),"",'asset_&amp;_open_positions'!$H415)</f>
        <v>20.917758217744002</v>
      </c>
    </row>
    <row r="416" spans="15:18" x14ac:dyDescent="0.25">
      <c r="O416" s="78" t="str">
        <f>IF('asset_&amp;_open_positions'!$C416="","",'asset_&amp;_open_positions'!$E416)</f>
        <v>ETH</v>
      </c>
      <c r="P416" s="42">
        <f>IF('asset_&amp;_open_positions'!$C416="","",'asset_&amp;_open_positions'!$H416)</f>
        <v>1417.9385231112101</v>
      </c>
      <c r="Q416" s="78" t="str">
        <f>IF(OR('asset_&amp;_open_positions'!$C416="",'asset_&amp;_open_positions'!$J416="SWAP",'asset_&amp;_open_positions'!$J416="FUTURE",'asset_&amp;_open_positions'!$J416="CME FUTURE"),"",'asset_&amp;_open_positions'!$M416)</f>
        <v>ETH</v>
      </c>
      <c r="R416" s="42">
        <f>IF(OR('asset_&amp;_open_positions'!$C416="",'asset_&amp;_open_positions'!$J416="SWAP",'asset_&amp;_open_positions'!$J416="FUTURE",'asset_&amp;_open_positions'!$J416="CME FUTURE"),"",'asset_&amp;_open_positions'!$H416)</f>
        <v>1417.9385231112101</v>
      </c>
    </row>
    <row r="417" spans="15:18" x14ac:dyDescent="0.25">
      <c r="O417" s="78" t="str">
        <f>IF('asset_&amp;_open_positions'!$C417="","",'asset_&amp;_open_positions'!$E417)</f>
        <v>ETHW</v>
      </c>
      <c r="P417" s="42">
        <f>IF('asset_&amp;_open_positions'!$C417="","",'asset_&amp;_open_positions'!$H417)</f>
        <v>3.43409341167265</v>
      </c>
      <c r="Q417" s="78" t="str">
        <f>IF(OR('asset_&amp;_open_positions'!$C417="",'asset_&amp;_open_positions'!$J417="SWAP",'asset_&amp;_open_positions'!$J417="FUTURE",'asset_&amp;_open_positions'!$J417="CME FUTURE"),"",'asset_&amp;_open_positions'!$M417)</f>
        <v>ETHW</v>
      </c>
      <c r="R417" s="42">
        <f>IF(OR('asset_&amp;_open_positions'!$C417="",'asset_&amp;_open_positions'!$J417="SWAP",'asset_&amp;_open_positions'!$J417="FUTURE",'asset_&amp;_open_positions'!$J417="CME FUTURE"),"",'asset_&amp;_open_positions'!$H417)</f>
        <v>3.43409341167265</v>
      </c>
    </row>
    <row r="418" spans="15:18" x14ac:dyDescent="0.25">
      <c r="O418" s="78" t="str">
        <f>IF('asset_&amp;_open_positions'!$C418="","",'asset_&amp;_open_positions'!$E418)</f>
        <v>EUROC</v>
      </c>
      <c r="P418" s="42">
        <f>IF('asset_&amp;_open_positions'!$C418="","",'asset_&amp;_open_positions'!$H418)</f>
        <v>1.0845630163527999</v>
      </c>
      <c r="Q418" s="78" t="str">
        <f>IF(OR('asset_&amp;_open_positions'!$C418="",'asset_&amp;_open_positions'!$J418="SWAP",'asset_&amp;_open_positions'!$J418="FUTURE",'asset_&amp;_open_positions'!$J418="CME FUTURE"),"",'asset_&amp;_open_positions'!$M418)</f>
        <v>EUROC</v>
      </c>
      <c r="R418" s="42">
        <f>IF(OR('asset_&amp;_open_positions'!$C418="",'asset_&amp;_open_positions'!$J418="SWAP",'asset_&amp;_open_positions'!$J418="FUTURE",'asset_&amp;_open_positions'!$J418="CME FUTURE"),"",'asset_&amp;_open_positions'!$H418)</f>
        <v>1.0845630163527999</v>
      </c>
    </row>
    <row r="419" spans="15:18" x14ac:dyDescent="0.25">
      <c r="O419" s="78" t="str">
        <f>IF('asset_&amp;_open_positions'!$C419="","",'asset_&amp;_open_positions'!$E419)</f>
        <v>FTM</v>
      </c>
      <c r="P419" s="42">
        <f>IF('asset_&amp;_open_positions'!$C419="","",'asset_&amp;_open_positions'!$H419)</f>
        <v>0.27344683929559199</v>
      </c>
      <c r="Q419" s="78" t="str">
        <f>IF(OR('asset_&amp;_open_positions'!$C419="",'asset_&amp;_open_positions'!$J419="SWAP",'asset_&amp;_open_positions'!$J419="FUTURE",'asset_&amp;_open_positions'!$J419="CME FUTURE"),"",'asset_&amp;_open_positions'!$M419)</f>
        <v>FTM</v>
      </c>
      <c r="R419" s="42">
        <f>IF(OR('asset_&amp;_open_positions'!$C419="",'asset_&amp;_open_positions'!$J419="SWAP",'asset_&amp;_open_positions'!$J419="FUTURE",'asset_&amp;_open_positions'!$J419="CME FUTURE"),"",'asset_&amp;_open_positions'!$H419)</f>
        <v>0.27344683929559199</v>
      </c>
    </row>
    <row r="420" spans="15:18" x14ac:dyDescent="0.25">
      <c r="O420" s="78" t="str">
        <f>IF('asset_&amp;_open_positions'!$C420="","",'asset_&amp;_open_positions'!$E420)</f>
        <v>FTT</v>
      </c>
      <c r="P420" s="42">
        <f>IF('asset_&amp;_open_positions'!$C420="","",'asset_&amp;_open_positions'!$H420)</f>
        <v>1.3808110263281099</v>
      </c>
      <c r="Q420" s="78" t="str">
        <f>IF(OR('asset_&amp;_open_positions'!$C420="",'asset_&amp;_open_positions'!$J420="SWAP",'asset_&amp;_open_positions'!$J420="FUTURE",'asset_&amp;_open_positions'!$J420="CME FUTURE"),"",'asset_&amp;_open_positions'!$M420)</f>
        <v>FTT</v>
      </c>
      <c r="R420" s="42">
        <f>IF(OR('asset_&amp;_open_positions'!$C420="",'asset_&amp;_open_positions'!$J420="SWAP",'asset_&amp;_open_positions'!$J420="FUTURE",'asset_&amp;_open_positions'!$J420="CME FUTURE"),"",'asset_&amp;_open_positions'!$H420)</f>
        <v>1.3808110263281099</v>
      </c>
    </row>
    <row r="421" spans="15:18" x14ac:dyDescent="0.25">
      <c r="O421" s="78" t="str">
        <f>IF('asset_&amp;_open_positions'!$C421="","",'asset_&amp;_open_positions'!$E421)</f>
        <v>GRT</v>
      </c>
      <c r="P421" s="42">
        <f>IF('asset_&amp;_open_positions'!$C421="","",'asset_&amp;_open_positions'!$H421)</f>
        <v>7.3501958303225604E-2</v>
      </c>
      <c r="Q421" s="78" t="str">
        <f>IF(OR('asset_&amp;_open_positions'!$C421="",'asset_&amp;_open_positions'!$J421="SWAP",'asset_&amp;_open_positions'!$J421="FUTURE",'asset_&amp;_open_positions'!$J421="CME FUTURE"),"",'asset_&amp;_open_positions'!$M421)</f>
        <v>GRT</v>
      </c>
      <c r="R421" s="42">
        <f>IF(OR('asset_&amp;_open_positions'!$C421="",'asset_&amp;_open_positions'!$J421="SWAP",'asset_&amp;_open_positions'!$J421="FUTURE",'asset_&amp;_open_positions'!$J421="CME FUTURE"),"",'asset_&amp;_open_positions'!$H421)</f>
        <v>7.3501958303225604E-2</v>
      </c>
    </row>
    <row r="422" spans="15:18" x14ac:dyDescent="0.25">
      <c r="O422" s="78" t="str">
        <f>IF('asset_&amp;_open_positions'!$C422="","",'asset_&amp;_open_positions'!$E422)</f>
        <v>HBAR</v>
      </c>
      <c r="P422" s="42">
        <f>IF('asset_&amp;_open_positions'!$C422="","",'asset_&amp;_open_positions'!$H422)</f>
        <v>4.7647636764699498E-2</v>
      </c>
      <c r="Q422" s="78" t="str">
        <f>IF(OR('asset_&amp;_open_positions'!$C422="",'asset_&amp;_open_positions'!$J422="SWAP",'asset_&amp;_open_positions'!$J422="FUTURE",'asset_&amp;_open_positions'!$J422="CME FUTURE"),"",'asset_&amp;_open_positions'!$M422)</f>
        <v>HBAR</v>
      </c>
      <c r="R422" s="42">
        <f>IF(OR('asset_&amp;_open_positions'!$C422="",'asset_&amp;_open_positions'!$J422="SWAP",'asset_&amp;_open_positions'!$J422="FUTURE",'asset_&amp;_open_positions'!$J422="CME FUTURE"),"",'asset_&amp;_open_positions'!$H422)</f>
        <v>4.7647636764699498E-2</v>
      </c>
    </row>
    <row r="423" spans="15:18" x14ac:dyDescent="0.25">
      <c r="O423" s="78" t="str">
        <f>IF('asset_&amp;_open_positions'!$C423="","",'asset_&amp;_open_positions'!$E423)</f>
        <v>KSM</v>
      </c>
      <c r="P423" s="42">
        <f>IF('asset_&amp;_open_positions'!$C423="","",'asset_&amp;_open_positions'!$H423)</f>
        <v>28.327674597000101</v>
      </c>
      <c r="Q423" s="78" t="str">
        <f>IF(OR('asset_&amp;_open_positions'!$C423="",'asset_&amp;_open_positions'!$J423="SWAP",'asset_&amp;_open_positions'!$J423="FUTURE",'asset_&amp;_open_positions'!$J423="CME FUTURE"),"",'asset_&amp;_open_positions'!$M423)</f>
        <v>KSM</v>
      </c>
      <c r="R423" s="42">
        <f>IF(OR('asset_&amp;_open_positions'!$C423="",'asset_&amp;_open_positions'!$J423="SWAP",'asset_&amp;_open_positions'!$J423="FUTURE",'asset_&amp;_open_positions'!$J423="CME FUTURE"),"",'asset_&amp;_open_positions'!$H423)</f>
        <v>28.327674597000101</v>
      </c>
    </row>
    <row r="424" spans="15:18" x14ac:dyDescent="0.25">
      <c r="O424" s="78" t="str">
        <f>IF('asset_&amp;_open_positions'!$C424="","",'asset_&amp;_open_positions'!$E424)</f>
        <v>LINK</v>
      </c>
      <c r="P424" s="42">
        <f>IF('asset_&amp;_open_positions'!$C424="","",'asset_&amp;_open_positions'!$H424)</f>
        <v>6.38133155243787</v>
      </c>
      <c r="Q424" s="78" t="str">
        <f>IF(OR('asset_&amp;_open_positions'!$C424="",'asset_&amp;_open_positions'!$J424="SWAP",'asset_&amp;_open_positions'!$J424="FUTURE",'asset_&amp;_open_positions'!$J424="CME FUTURE"),"",'asset_&amp;_open_positions'!$M424)</f>
        <v>LINK</v>
      </c>
      <c r="R424" s="42">
        <f>IF(OR('asset_&amp;_open_positions'!$C424="",'asset_&amp;_open_positions'!$J424="SWAP",'asset_&amp;_open_positions'!$J424="FUTURE",'asset_&amp;_open_positions'!$J424="CME FUTURE"),"",'asset_&amp;_open_positions'!$H424)</f>
        <v>6.38133155243787</v>
      </c>
    </row>
    <row r="425" spans="15:18" x14ac:dyDescent="0.25">
      <c r="O425" s="78" t="str">
        <f>IF('asset_&amp;_open_positions'!$C425="","",'asset_&amp;_open_positions'!$E425)</f>
        <v>LTC</v>
      </c>
      <c r="P425" s="42">
        <f>IF('asset_&amp;_open_positions'!$C425="","",'asset_&amp;_open_positions'!$H425)</f>
        <v>85.964229450756093</v>
      </c>
      <c r="Q425" s="78" t="str">
        <f>IF(OR('asset_&amp;_open_positions'!$C425="",'asset_&amp;_open_positions'!$J425="SWAP",'asset_&amp;_open_positions'!$J425="FUTURE",'asset_&amp;_open_positions'!$J425="CME FUTURE"),"",'asset_&amp;_open_positions'!$M425)</f>
        <v>LTC</v>
      </c>
      <c r="R425" s="42">
        <f>IF(OR('asset_&amp;_open_positions'!$C425="",'asset_&amp;_open_positions'!$J425="SWAP",'asset_&amp;_open_positions'!$J425="FUTURE",'asset_&amp;_open_positions'!$J425="CME FUTURE"),"",'asset_&amp;_open_positions'!$H425)</f>
        <v>85.964229450756093</v>
      </c>
    </row>
    <row r="426" spans="15:18" x14ac:dyDescent="0.25">
      <c r="O426" s="78" t="str">
        <f>IF('asset_&amp;_open_positions'!$C426="","",'asset_&amp;_open_positions'!$E426)</f>
        <v>MANA</v>
      </c>
      <c r="P426" s="42">
        <f>IF('asset_&amp;_open_positions'!$C426="","",'asset_&amp;_open_positions'!$H426)</f>
        <v>0.41245236860315698</v>
      </c>
      <c r="Q426" s="78" t="str">
        <f>IF(OR('asset_&amp;_open_positions'!$C426="",'asset_&amp;_open_positions'!$J426="SWAP",'asset_&amp;_open_positions'!$J426="FUTURE",'asset_&amp;_open_positions'!$J426="CME FUTURE"),"",'asset_&amp;_open_positions'!$M426)</f>
        <v>MANA</v>
      </c>
      <c r="R426" s="42">
        <f>IF(OR('asset_&amp;_open_positions'!$C426="",'asset_&amp;_open_positions'!$J426="SWAP",'asset_&amp;_open_positions'!$J426="FUTURE",'asset_&amp;_open_positions'!$J426="CME FUTURE"),"",'asset_&amp;_open_positions'!$H426)</f>
        <v>0.41245236860315698</v>
      </c>
    </row>
    <row r="427" spans="15:18" x14ac:dyDescent="0.25">
      <c r="O427" s="78" t="str">
        <f>IF('asset_&amp;_open_positions'!$C427="","",'asset_&amp;_open_positions'!$E427)</f>
        <v>MATIC</v>
      </c>
      <c r="P427" s="42">
        <f>IF('asset_&amp;_open_positions'!$C427="","",'asset_&amp;_open_positions'!$H427)</f>
        <v>0.91628911436523497</v>
      </c>
      <c r="Q427" s="78" t="str">
        <f>IF(OR('asset_&amp;_open_positions'!$C427="",'asset_&amp;_open_positions'!$J427="SWAP",'asset_&amp;_open_positions'!$J427="FUTURE",'asset_&amp;_open_positions'!$J427="CME FUTURE"),"",'asset_&amp;_open_positions'!$M427)</f>
        <v>MATIC</v>
      </c>
      <c r="R427" s="42">
        <f>IF(OR('asset_&amp;_open_positions'!$C427="",'asset_&amp;_open_positions'!$J427="SWAP",'asset_&amp;_open_positions'!$J427="FUTURE",'asset_&amp;_open_positions'!$J427="CME FUTURE"),"",'asset_&amp;_open_positions'!$H427)</f>
        <v>0.91628911436523497</v>
      </c>
    </row>
    <row r="428" spans="15:18" x14ac:dyDescent="0.25">
      <c r="O428" s="78" t="str">
        <f>IF('asset_&amp;_open_positions'!$C428="","",'asset_&amp;_open_positions'!$E428)</f>
        <v>MKR</v>
      </c>
      <c r="P428" s="42">
        <f>IF('asset_&amp;_open_positions'!$C428="","",'asset_&amp;_open_positions'!$H428)</f>
        <v>652.57566503526505</v>
      </c>
      <c r="Q428" s="78" t="str">
        <f>IF(OR('asset_&amp;_open_positions'!$C428="",'asset_&amp;_open_positions'!$J428="SWAP",'asset_&amp;_open_positions'!$J428="FUTURE",'asset_&amp;_open_positions'!$J428="CME FUTURE"),"",'asset_&amp;_open_positions'!$M428)</f>
        <v>MKR</v>
      </c>
      <c r="R428" s="42">
        <f>IF(OR('asset_&amp;_open_positions'!$C428="",'asset_&amp;_open_positions'!$J428="SWAP",'asset_&amp;_open_positions'!$J428="FUTURE",'asset_&amp;_open_positions'!$J428="CME FUTURE"),"",'asset_&amp;_open_positions'!$H428)</f>
        <v>652.57566503526505</v>
      </c>
    </row>
    <row r="429" spans="15:18" x14ac:dyDescent="0.25">
      <c r="O429" s="78" t="str">
        <f>IF('asset_&amp;_open_positions'!$C429="","",'asset_&amp;_open_positions'!$E429)</f>
        <v>OMG</v>
      </c>
      <c r="P429" s="42">
        <f>IF('asset_&amp;_open_positions'!$C429="","",'asset_&amp;_open_positions'!$H429)</f>
        <v>1.21227199754288</v>
      </c>
      <c r="Q429" s="78" t="str">
        <f>IF(OR('asset_&amp;_open_positions'!$C429="",'asset_&amp;_open_positions'!$J429="SWAP",'asset_&amp;_open_positions'!$J429="FUTURE",'asset_&amp;_open_positions'!$J429="CME FUTURE"),"",'asset_&amp;_open_positions'!$M429)</f>
        <v>OMG</v>
      </c>
      <c r="R429" s="42">
        <f>IF(OR('asset_&amp;_open_positions'!$C429="",'asset_&amp;_open_positions'!$J429="SWAP",'asset_&amp;_open_positions'!$J429="FUTURE",'asset_&amp;_open_positions'!$J429="CME FUTURE"),"",'asset_&amp;_open_positions'!$H429)</f>
        <v>1.21227199754288</v>
      </c>
    </row>
    <row r="430" spans="15:18" x14ac:dyDescent="0.25">
      <c r="O430" s="78" t="str">
        <f>IF('asset_&amp;_open_positions'!$C430="","",'asset_&amp;_open_positions'!$E430)</f>
        <v>OXT</v>
      </c>
      <c r="P430" s="42">
        <f>IF('asset_&amp;_open_positions'!$C430="","",'asset_&amp;_open_positions'!$H430)</f>
        <v>7.3319331912265404E-2</v>
      </c>
      <c r="Q430" s="78" t="str">
        <f>IF(OR('asset_&amp;_open_positions'!$C430="",'asset_&amp;_open_positions'!$J430="SWAP",'asset_&amp;_open_positions'!$J430="FUTURE",'asset_&amp;_open_positions'!$J430="CME FUTURE"),"",'asset_&amp;_open_positions'!$M430)</f>
        <v>OXT</v>
      </c>
      <c r="R430" s="42">
        <f>IF(OR('asset_&amp;_open_positions'!$C430="",'asset_&amp;_open_positions'!$J430="SWAP",'asset_&amp;_open_positions'!$J430="FUTURE",'asset_&amp;_open_positions'!$J430="CME FUTURE"),"",'asset_&amp;_open_positions'!$H430)</f>
        <v>7.3319331912265404E-2</v>
      </c>
    </row>
    <row r="431" spans="15:18" x14ac:dyDescent="0.25">
      <c r="O431" s="78" t="str">
        <f>IF('asset_&amp;_open_positions'!$C431="","",'asset_&amp;_open_positions'!$E431)</f>
        <v>SHIB</v>
      </c>
      <c r="P431" s="42">
        <f>IF('asset_&amp;_open_positions'!$C431="","",'asset_&amp;_open_positions'!$H431)</f>
        <v>9.4713833405960602E-6</v>
      </c>
      <c r="Q431" s="78" t="str">
        <f>IF(OR('asset_&amp;_open_positions'!$C431="",'asset_&amp;_open_positions'!$J431="SWAP",'asset_&amp;_open_positions'!$J431="FUTURE",'asset_&amp;_open_positions'!$J431="CME FUTURE"),"",'asset_&amp;_open_positions'!$M431)</f>
        <v>SHIB</v>
      </c>
      <c r="R431" s="42">
        <f>IF(OR('asset_&amp;_open_positions'!$C431="",'asset_&amp;_open_positions'!$J431="SWAP",'asset_&amp;_open_positions'!$J431="FUTURE",'asset_&amp;_open_positions'!$J431="CME FUTURE"),"",'asset_&amp;_open_positions'!$H431)</f>
        <v>9.4713833405960602E-6</v>
      </c>
    </row>
    <row r="432" spans="15:18" x14ac:dyDescent="0.25">
      <c r="O432" s="78" t="str">
        <f>IF('asset_&amp;_open_positions'!$C432="","",'asset_&amp;_open_positions'!$E432)</f>
        <v>SOL</v>
      </c>
      <c r="P432" s="42">
        <f>IF('asset_&amp;_open_positions'!$C432="","",'asset_&amp;_open_positions'!$H432)</f>
        <v>16.6190441963655</v>
      </c>
      <c r="Q432" s="78" t="str">
        <f>IF(OR('asset_&amp;_open_positions'!$C432="",'asset_&amp;_open_positions'!$J432="SWAP",'asset_&amp;_open_positions'!$J432="FUTURE",'asset_&amp;_open_positions'!$J432="CME FUTURE"),"",'asset_&amp;_open_positions'!$M432)</f>
        <v>SOL</v>
      </c>
      <c r="R432" s="42">
        <f>IF(OR('asset_&amp;_open_positions'!$C432="",'asset_&amp;_open_positions'!$J432="SWAP",'asset_&amp;_open_positions'!$J432="FUTURE",'asset_&amp;_open_positions'!$J432="CME FUTURE"),"",'asset_&amp;_open_positions'!$H432)</f>
        <v>16.6190441963655</v>
      </c>
    </row>
    <row r="433" spans="15:18" x14ac:dyDescent="0.25">
      <c r="O433" s="78" t="str">
        <f>IF('asset_&amp;_open_positions'!$C433="","",'asset_&amp;_open_positions'!$E433)</f>
        <v>SUSHI</v>
      </c>
      <c r="P433" s="42">
        <f>IF('asset_&amp;_open_positions'!$C433="","",'asset_&amp;_open_positions'!$H433)</f>
        <v>1.1376895816460699</v>
      </c>
      <c r="Q433" s="78" t="str">
        <f>IF(OR('asset_&amp;_open_positions'!$C433="",'asset_&amp;_open_positions'!$J433="SWAP",'asset_&amp;_open_positions'!$J433="FUTURE",'asset_&amp;_open_positions'!$J433="CME FUTURE"),"",'asset_&amp;_open_positions'!$M433)</f>
        <v>SUSHI</v>
      </c>
      <c r="R433" s="42">
        <f>IF(OR('asset_&amp;_open_positions'!$C433="",'asset_&amp;_open_positions'!$J433="SWAP",'asset_&amp;_open_positions'!$J433="FUTURE",'asset_&amp;_open_positions'!$J433="CME FUTURE"),"",'asset_&amp;_open_positions'!$H433)</f>
        <v>1.1376895816460699</v>
      </c>
    </row>
    <row r="434" spans="15:18" x14ac:dyDescent="0.25">
      <c r="O434" s="78" t="str">
        <f>IF('asset_&amp;_open_positions'!$C434="","",'asset_&amp;_open_positions'!$E434)</f>
        <v>UNI</v>
      </c>
      <c r="P434" s="42">
        <f>IF('asset_&amp;_open_positions'!$C434="","",'asset_&amp;_open_positions'!$H434)</f>
        <v>6.1733812820777398</v>
      </c>
      <c r="Q434" s="78" t="str">
        <f>IF(OR('asset_&amp;_open_positions'!$C434="",'asset_&amp;_open_positions'!$J434="SWAP",'asset_&amp;_open_positions'!$J434="FUTURE",'asset_&amp;_open_positions'!$J434="CME FUTURE"),"",'asset_&amp;_open_positions'!$M434)</f>
        <v>UNI</v>
      </c>
      <c r="R434" s="42">
        <f>IF(OR('asset_&amp;_open_positions'!$C434="",'asset_&amp;_open_positions'!$J434="SWAP",'asset_&amp;_open_positions'!$J434="FUTURE",'asset_&amp;_open_positions'!$J434="CME FUTURE"),"",'asset_&amp;_open_positions'!$H434)</f>
        <v>6.1733812820777398</v>
      </c>
    </row>
    <row r="435" spans="15:18" x14ac:dyDescent="0.25">
      <c r="O435" s="78" t="str">
        <f>IF('asset_&amp;_open_positions'!$C435="","",'asset_&amp;_open_positions'!$E435)</f>
        <v>USDC</v>
      </c>
      <c r="P435" s="42">
        <f>IF('asset_&amp;_open_positions'!$C435="","",'asset_&amp;_open_positions'!$H435)</f>
        <v>1.0000721496274001</v>
      </c>
      <c r="Q435" s="78" t="str">
        <f>IF(OR('asset_&amp;_open_positions'!$C435="",'asset_&amp;_open_positions'!$J435="SWAP",'asset_&amp;_open_positions'!$J435="FUTURE",'asset_&amp;_open_positions'!$J435="CME FUTURE"),"",'asset_&amp;_open_positions'!$M435)</f>
        <v>USDC</v>
      </c>
      <c r="R435" s="42">
        <f>IF(OR('asset_&amp;_open_positions'!$C435="",'asset_&amp;_open_positions'!$J435="SWAP",'asset_&amp;_open_positions'!$J435="FUTURE",'asset_&amp;_open_positions'!$J435="CME FUTURE"),"",'asset_&amp;_open_positions'!$H435)</f>
        <v>1.0000721496274001</v>
      </c>
    </row>
    <row r="436" spans="15:18" x14ac:dyDescent="0.25">
      <c r="O436" s="78" t="str">
        <f>IF('asset_&amp;_open_positions'!$C436="","",'asset_&amp;_open_positions'!$E436)</f>
        <v>USDT</v>
      </c>
      <c r="P436" s="42">
        <f>IF('asset_&amp;_open_positions'!$C436="","",'asset_&amp;_open_positions'!$H436)</f>
        <v>1.00009204918451</v>
      </c>
      <c r="Q436" s="78" t="str">
        <f>IF(OR('asset_&amp;_open_positions'!$C436="",'asset_&amp;_open_positions'!$J436="SWAP",'asset_&amp;_open_positions'!$J436="FUTURE",'asset_&amp;_open_positions'!$J436="CME FUTURE"),"",'asset_&amp;_open_positions'!$M436)</f>
        <v>USDT</v>
      </c>
      <c r="R436" s="42">
        <f>IF(OR('asset_&amp;_open_positions'!$C436="",'asset_&amp;_open_positions'!$J436="SWAP",'asset_&amp;_open_positions'!$J436="FUTURE",'asset_&amp;_open_positions'!$J436="CME FUTURE"),"",'asset_&amp;_open_positions'!$H436)</f>
        <v>1.00009204918451</v>
      </c>
    </row>
    <row r="437" spans="15:18" x14ac:dyDescent="0.25">
      <c r="O437" s="78" t="str">
        <f>IF('asset_&amp;_open_positions'!$C437="","",'asset_&amp;_open_positions'!$E437)</f>
        <v>XLM</v>
      </c>
      <c r="P437" s="42">
        <f>IF('asset_&amp;_open_positions'!$C437="","",'asset_&amp;_open_positions'!$H437)</f>
        <v>8.1643783905093401E-2</v>
      </c>
      <c r="Q437" s="78" t="str">
        <f>IF(OR('asset_&amp;_open_positions'!$C437="",'asset_&amp;_open_positions'!$J437="SWAP",'asset_&amp;_open_positions'!$J437="FUTURE",'asset_&amp;_open_positions'!$J437="CME FUTURE"),"",'asset_&amp;_open_positions'!$M437)</f>
        <v>XLM</v>
      </c>
      <c r="R437" s="42">
        <f>IF(OR('asset_&amp;_open_positions'!$C437="",'asset_&amp;_open_positions'!$J437="SWAP",'asset_&amp;_open_positions'!$J437="FUTURE",'asset_&amp;_open_positions'!$J437="CME FUTURE"),"",'asset_&amp;_open_positions'!$H437)</f>
        <v>8.1643783905093401E-2</v>
      </c>
    </row>
    <row r="438" spans="15:18" x14ac:dyDescent="0.25">
      <c r="O438" s="78" t="str">
        <f>IF('asset_&amp;_open_positions'!$C438="","",'asset_&amp;_open_positions'!$E438)</f>
        <v>XRP</v>
      </c>
      <c r="P438" s="42">
        <f>IF('asset_&amp;_open_positions'!$C438="","",'asset_&amp;_open_positions'!$H438)</f>
        <v>0.37519714224190098</v>
      </c>
      <c r="Q438" s="78" t="str">
        <f>IF(OR('asset_&amp;_open_positions'!$C438="",'asset_&amp;_open_positions'!$J438="SWAP",'asset_&amp;_open_positions'!$J438="FUTURE",'asset_&amp;_open_positions'!$J438="CME FUTURE"),"",'asset_&amp;_open_positions'!$M438)</f>
        <v>XRP</v>
      </c>
      <c r="R438" s="42">
        <f>IF(OR('asset_&amp;_open_positions'!$C438="",'asset_&amp;_open_positions'!$J438="SWAP",'asset_&amp;_open_positions'!$J438="FUTURE",'asset_&amp;_open_positions'!$J438="CME FUTURE"),"",'asset_&amp;_open_positions'!$H438)</f>
        <v>0.37519714224190098</v>
      </c>
    </row>
    <row r="439" spans="15:18" x14ac:dyDescent="0.25">
      <c r="O439" s="78" t="str">
        <f>IF('asset_&amp;_open_positions'!$C439="","",'asset_&amp;_open_positions'!$E439)</f>
        <v>XTZ</v>
      </c>
      <c r="P439" s="42">
        <f>IF('asset_&amp;_open_positions'!$C439="","",'asset_&amp;_open_positions'!$H439)</f>
        <v>0.88922984226922097</v>
      </c>
      <c r="Q439" s="78" t="str">
        <f>IF(OR('asset_&amp;_open_positions'!$C439="",'asset_&amp;_open_positions'!$J439="SWAP",'asset_&amp;_open_positions'!$J439="FUTURE",'asset_&amp;_open_positions'!$J439="CME FUTURE"),"",'asset_&amp;_open_positions'!$M439)</f>
        <v>XTZ</v>
      </c>
      <c r="R439" s="42">
        <f>IF(OR('asset_&amp;_open_positions'!$C439="",'asset_&amp;_open_positions'!$J439="SWAP",'asset_&amp;_open_positions'!$J439="FUTURE",'asset_&amp;_open_positions'!$J439="CME FUTURE"),"",'asset_&amp;_open_positions'!$H439)</f>
        <v>0.88922984226922097</v>
      </c>
    </row>
    <row r="440" spans="15:18" x14ac:dyDescent="0.25">
      <c r="O440" s="78" t="str">
        <f>IF('asset_&amp;_open_positions'!$C440="","",'asset_&amp;_open_positions'!$E440)</f>
        <v>YFI</v>
      </c>
      <c r="P440" s="42">
        <f>IF('asset_&amp;_open_positions'!$C440="","",'asset_&amp;_open_positions'!$H440)</f>
        <v>6234.31738724961</v>
      </c>
      <c r="Q440" s="78" t="str">
        <f>IF(OR('asset_&amp;_open_positions'!$C440="",'asset_&amp;_open_positions'!$J440="SWAP",'asset_&amp;_open_positions'!$J440="FUTURE",'asset_&amp;_open_positions'!$J440="CME FUTURE"),"",'asset_&amp;_open_positions'!$M440)</f>
        <v>YFI</v>
      </c>
      <c r="R440" s="42">
        <f>IF(OR('asset_&amp;_open_positions'!$C440="",'asset_&amp;_open_positions'!$J440="SWAP",'asset_&amp;_open_positions'!$J440="FUTURE",'asset_&amp;_open_positions'!$J440="CME FUTURE"),"",'asset_&amp;_open_positions'!$H440)</f>
        <v>6234.31738724961</v>
      </c>
    </row>
    <row r="441" spans="15:18" x14ac:dyDescent="0.25">
      <c r="O441" s="78" t="str">
        <f>IF('asset_&amp;_open_positions'!$C441="","",'asset_&amp;_open_positions'!$E441)</f>
        <v>AAVE</v>
      </c>
      <c r="P441" s="42">
        <f>IF('asset_&amp;_open_positions'!$C441="","",'asset_&amp;_open_positions'!$H441)</f>
        <v>67.861136531304297</v>
      </c>
      <c r="Q441" s="78" t="str">
        <f>IF(OR('asset_&amp;_open_positions'!$C441="",'asset_&amp;_open_positions'!$J441="SWAP",'asset_&amp;_open_positions'!$J441="FUTURE",'asset_&amp;_open_positions'!$J441="CME FUTURE"),"",'asset_&amp;_open_positions'!$M441)</f>
        <v>AAVE</v>
      </c>
      <c r="R441" s="42">
        <f>IF(OR('asset_&amp;_open_positions'!$C441="",'asset_&amp;_open_positions'!$J441="SWAP",'asset_&amp;_open_positions'!$J441="FUTURE",'asset_&amp;_open_positions'!$J441="CME FUTURE"),"",'asset_&amp;_open_positions'!$H441)</f>
        <v>67.861136531304297</v>
      </c>
    </row>
    <row r="442" spans="15:18" x14ac:dyDescent="0.25">
      <c r="O442" s="78" t="str">
        <f>IF('asset_&amp;_open_positions'!$C442="","",'asset_&amp;_open_positions'!$E442)</f>
        <v>ADA</v>
      </c>
      <c r="P442" s="42">
        <f>IF('asset_&amp;_open_positions'!$C442="","",'asset_&amp;_open_positions'!$H442)</f>
        <v>0.329758474743375</v>
      </c>
      <c r="Q442" s="78" t="str">
        <f>IF(OR('asset_&amp;_open_positions'!$C442="",'asset_&amp;_open_positions'!$J442="SWAP",'asset_&amp;_open_positions'!$J442="FUTURE",'asset_&amp;_open_positions'!$J442="CME FUTURE"),"",'asset_&amp;_open_positions'!$M442)</f>
        <v>ADA</v>
      </c>
      <c r="R442" s="42">
        <f>IF(OR('asset_&amp;_open_positions'!$C442="",'asset_&amp;_open_positions'!$J442="SWAP",'asset_&amp;_open_positions'!$J442="FUTURE",'asset_&amp;_open_positions'!$J442="CME FUTURE"),"",'asset_&amp;_open_positions'!$H442)</f>
        <v>0.329758474743375</v>
      </c>
    </row>
    <row r="443" spans="15:18" x14ac:dyDescent="0.25">
      <c r="O443" s="78" t="str">
        <f>IF('asset_&amp;_open_positions'!$C443="","",'asset_&amp;_open_positions'!$E443)</f>
        <v>ALGO</v>
      </c>
      <c r="P443" s="42">
        <f>IF('asset_&amp;_open_positions'!$C443="","",'asset_&amp;_open_positions'!$H443)</f>
        <v>0.21252649157671899</v>
      </c>
      <c r="Q443" s="78" t="str">
        <f>IF(OR('asset_&amp;_open_positions'!$C443="",'asset_&amp;_open_positions'!$J443="SWAP",'asset_&amp;_open_positions'!$J443="FUTURE",'asset_&amp;_open_positions'!$J443="CME FUTURE"),"",'asset_&amp;_open_positions'!$M443)</f>
        <v>ALGO</v>
      </c>
      <c r="R443" s="42">
        <f>IF(OR('asset_&amp;_open_positions'!$C443="",'asset_&amp;_open_positions'!$J443="SWAP",'asset_&amp;_open_positions'!$J443="FUTURE",'asset_&amp;_open_positions'!$J443="CME FUTURE"),"",'asset_&amp;_open_positions'!$H443)</f>
        <v>0.21252649157671899</v>
      </c>
    </row>
    <row r="444" spans="15:18" x14ac:dyDescent="0.25">
      <c r="O444" s="78" t="str">
        <f>IF('asset_&amp;_open_positions'!$C444="","",'asset_&amp;_open_positions'!$E444)</f>
        <v>AVAX</v>
      </c>
      <c r="P444" s="42">
        <f>IF('asset_&amp;_open_positions'!$C444="","",'asset_&amp;_open_positions'!$H444)</f>
        <v>15.4573502597811</v>
      </c>
      <c r="Q444" s="78" t="str">
        <f>IF(OR('asset_&amp;_open_positions'!$C444="",'asset_&amp;_open_positions'!$J444="SWAP",'asset_&amp;_open_positions'!$J444="FUTURE",'asset_&amp;_open_positions'!$J444="CME FUTURE"),"",'asset_&amp;_open_positions'!$M444)</f>
        <v>AVAX</v>
      </c>
      <c r="R444" s="42">
        <f>IF(OR('asset_&amp;_open_positions'!$C444="",'asset_&amp;_open_positions'!$J444="SWAP",'asset_&amp;_open_positions'!$J444="FUTURE",'asset_&amp;_open_positions'!$J444="CME FUTURE"),"",'asset_&amp;_open_positions'!$H444)</f>
        <v>15.4573502597811</v>
      </c>
    </row>
    <row r="445" spans="15:18" x14ac:dyDescent="0.25">
      <c r="O445" s="78" t="str">
        <f>IF('asset_&amp;_open_positions'!$C445="","",'asset_&amp;_open_positions'!$E445)</f>
        <v>BAT</v>
      </c>
      <c r="P445" s="42">
        <f>IF('asset_&amp;_open_positions'!$C445="","",'asset_&amp;_open_positions'!$H445)</f>
        <v>0.20477401519184199</v>
      </c>
      <c r="Q445" s="78" t="str">
        <f>IF(OR('asset_&amp;_open_positions'!$C445="",'asset_&amp;_open_positions'!$J445="SWAP",'asset_&amp;_open_positions'!$J445="FUTURE",'asset_&amp;_open_positions'!$J445="CME FUTURE"),"",'asset_&amp;_open_positions'!$M445)</f>
        <v>BAT</v>
      </c>
      <c r="R445" s="42">
        <f>IF(OR('asset_&amp;_open_positions'!$C445="",'asset_&amp;_open_positions'!$J445="SWAP",'asset_&amp;_open_positions'!$J445="FUTURE",'asset_&amp;_open_positions'!$J445="CME FUTURE"),"",'asset_&amp;_open_positions'!$H445)</f>
        <v>0.20477401519184199</v>
      </c>
    </row>
    <row r="446" spans="15:18" x14ac:dyDescent="0.25">
      <c r="O446" s="78" t="str">
        <f>IF('asset_&amp;_open_positions'!$C446="","",'asset_&amp;_open_positions'!$E446)</f>
        <v>BCH</v>
      </c>
      <c r="P446" s="42">
        <f>IF('asset_&amp;_open_positions'!$C446="","",'asset_&amp;_open_positions'!$H446)</f>
        <v>119.710466137412</v>
      </c>
      <c r="Q446" s="78" t="str">
        <f>IF(OR('asset_&amp;_open_positions'!$C446="",'asset_&amp;_open_positions'!$J446="SWAP",'asset_&amp;_open_positions'!$J446="FUTURE",'asset_&amp;_open_positions'!$J446="CME FUTURE"),"",'asset_&amp;_open_positions'!$M446)</f>
        <v>BCH</v>
      </c>
      <c r="R446" s="42">
        <f>IF(OR('asset_&amp;_open_positions'!$C446="",'asset_&amp;_open_positions'!$J446="SWAP",'asset_&amp;_open_positions'!$J446="FUTURE",'asset_&amp;_open_positions'!$J446="CME FUTURE"),"",'asset_&amp;_open_positions'!$H446)</f>
        <v>119.710466137412</v>
      </c>
    </row>
    <row r="447" spans="15:18" x14ac:dyDescent="0.25">
      <c r="O447" s="78" t="str">
        <f>IF('asset_&amp;_open_positions'!$C447="","",'asset_&amp;_open_positions'!$E447)</f>
        <v>COMP</v>
      </c>
      <c r="P447" s="42">
        <f>IF('asset_&amp;_open_positions'!$C447="","",'asset_&amp;_open_positions'!$H447)</f>
        <v>37.706418209521303</v>
      </c>
      <c r="Q447" s="78" t="str">
        <f>IF(OR('asset_&amp;_open_positions'!$C447="",'asset_&amp;_open_positions'!$J447="SWAP",'asset_&amp;_open_positions'!$J447="FUTURE",'asset_&amp;_open_positions'!$J447="CME FUTURE"),"",'asset_&amp;_open_positions'!$M447)</f>
        <v>COMP</v>
      </c>
      <c r="R447" s="42">
        <f>IF(OR('asset_&amp;_open_positions'!$C447="",'asset_&amp;_open_positions'!$J447="SWAP",'asset_&amp;_open_positions'!$J447="FUTURE",'asset_&amp;_open_positions'!$J447="CME FUTURE"),"",'asset_&amp;_open_positions'!$H447)</f>
        <v>37.706418209521303</v>
      </c>
    </row>
    <row r="448" spans="15:18" x14ac:dyDescent="0.25">
      <c r="O448" s="78" t="str">
        <f>IF('asset_&amp;_open_positions'!$C448="","",'asset_&amp;_open_positions'!$E448)</f>
        <v>DASH</v>
      </c>
      <c r="P448" s="42">
        <f>IF('asset_&amp;_open_positions'!$C448="","",'asset_&amp;_open_positions'!$H448)</f>
        <v>49.356487119112799</v>
      </c>
      <c r="Q448" s="78" t="str">
        <f>IF(OR('asset_&amp;_open_positions'!$C448="",'asset_&amp;_open_positions'!$J448="SWAP",'asset_&amp;_open_positions'!$J448="FUTURE",'asset_&amp;_open_positions'!$J448="CME FUTURE"),"",'asset_&amp;_open_positions'!$M448)</f>
        <v>DASH</v>
      </c>
      <c r="R448" s="42">
        <f>IF(OR('asset_&amp;_open_positions'!$C448="",'asset_&amp;_open_positions'!$J448="SWAP",'asset_&amp;_open_positions'!$J448="FUTURE",'asset_&amp;_open_positions'!$J448="CME FUTURE"),"",'asset_&amp;_open_positions'!$H448)</f>
        <v>49.356487119112799</v>
      </c>
    </row>
    <row r="449" spans="15:18" x14ac:dyDescent="0.25">
      <c r="O449" s="78" t="str">
        <f>IF('asset_&amp;_open_positions'!$C449="","",'asset_&amp;_open_positions'!$E449)</f>
        <v>DOGE</v>
      </c>
      <c r="P449" s="42">
        <f>IF('asset_&amp;_open_positions'!$C449="","",'asset_&amp;_open_positions'!$H449)</f>
        <v>8.0285736002614697E-2</v>
      </c>
      <c r="Q449" s="78" t="str">
        <f>IF(OR('asset_&amp;_open_positions'!$C449="",'asset_&amp;_open_positions'!$J449="SWAP",'asset_&amp;_open_positions'!$J449="FUTURE",'asset_&amp;_open_positions'!$J449="CME FUTURE"),"",'asset_&amp;_open_positions'!$M449)</f>
        <v>DOGE</v>
      </c>
      <c r="R449" s="42">
        <f>IF(OR('asset_&amp;_open_positions'!$C449="",'asset_&amp;_open_positions'!$J449="SWAP",'asset_&amp;_open_positions'!$J449="FUTURE",'asset_&amp;_open_positions'!$J449="CME FUTURE"),"",'asset_&amp;_open_positions'!$H449)</f>
        <v>8.0285736002614697E-2</v>
      </c>
    </row>
    <row r="450" spans="15:18" x14ac:dyDescent="0.25">
      <c r="O450" s="78" t="str">
        <f>IF('asset_&amp;_open_positions'!$C450="","",'asset_&amp;_open_positions'!$E450)</f>
        <v>DOT</v>
      </c>
      <c r="P450" s="42">
        <f>IF('asset_&amp;_open_positions'!$C450="","",'asset_&amp;_open_positions'!$H450)</f>
        <v>5.2294779390740098</v>
      </c>
      <c r="Q450" s="78" t="str">
        <f>IF(OR('asset_&amp;_open_positions'!$C450="",'asset_&amp;_open_positions'!$J450="SWAP",'asset_&amp;_open_positions'!$J450="FUTURE",'asset_&amp;_open_positions'!$J450="CME FUTURE"),"",'asset_&amp;_open_positions'!$M450)</f>
        <v>DOT</v>
      </c>
      <c r="R450" s="42">
        <f>IF(OR('asset_&amp;_open_positions'!$C450="",'asset_&amp;_open_positions'!$J450="SWAP",'asset_&amp;_open_positions'!$J450="FUTURE",'asset_&amp;_open_positions'!$J450="CME FUTURE"),"",'asset_&amp;_open_positions'!$H450)</f>
        <v>5.2294779390740098</v>
      </c>
    </row>
    <row r="451" spans="15:18" x14ac:dyDescent="0.25">
      <c r="O451" s="78" t="str">
        <f>IF('asset_&amp;_open_positions'!$C451="","",'asset_&amp;_open_positions'!$E451)</f>
        <v>ENJ</v>
      </c>
      <c r="P451" s="42">
        <f>IF('asset_&amp;_open_positions'!$C451="","",'asset_&amp;_open_positions'!$H451)</f>
        <v>0.304096198903759</v>
      </c>
      <c r="Q451" s="78" t="str">
        <f>IF(OR('asset_&amp;_open_positions'!$C451="",'asset_&amp;_open_positions'!$J451="SWAP",'asset_&amp;_open_positions'!$J451="FUTURE",'asset_&amp;_open_positions'!$J451="CME FUTURE"),"",'asset_&amp;_open_positions'!$M451)</f>
        <v>ENJ</v>
      </c>
      <c r="R451" s="42">
        <f>IF(OR('asset_&amp;_open_positions'!$C451="",'asset_&amp;_open_positions'!$J451="SWAP",'asset_&amp;_open_positions'!$J451="FUTURE",'asset_&amp;_open_positions'!$J451="CME FUTURE"),"",'asset_&amp;_open_positions'!$H451)</f>
        <v>0.304096198903759</v>
      </c>
    </row>
    <row r="452" spans="15:18" x14ac:dyDescent="0.25">
      <c r="O452" s="78" t="str">
        <f>IF('asset_&amp;_open_positions'!$C452="","",'asset_&amp;_open_positions'!$E452)</f>
        <v>EOS</v>
      </c>
      <c r="P452" s="42">
        <f>IF('asset_&amp;_open_positions'!$C452="","",'asset_&amp;_open_positions'!$H452)</f>
        <v>0.990242476806942</v>
      </c>
      <c r="Q452" s="78" t="str">
        <f>IF(OR('asset_&amp;_open_positions'!$C452="",'asset_&amp;_open_positions'!$J452="SWAP",'asset_&amp;_open_positions'!$J452="FUTURE",'asset_&amp;_open_positions'!$J452="CME FUTURE"),"",'asset_&amp;_open_positions'!$M452)</f>
        <v>EOS</v>
      </c>
      <c r="R452" s="42">
        <f>IF(OR('asset_&amp;_open_positions'!$C452="",'asset_&amp;_open_positions'!$J452="SWAP",'asset_&amp;_open_positions'!$J452="FUTURE",'asset_&amp;_open_positions'!$J452="CME FUTURE"),"",'asset_&amp;_open_positions'!$H452)</f>
        <v>0.990242476806942</v>
      </c>
    </row>
    <row r="453" spans="15:18" x14ac:dyDescent="0.25">
      <c r="O453" s="78" t="str">
        <f>IF('asset_&amp;_open_positions'!$C453="","",'asset_&amp;_open_positions'!$E453)</f>
        <v>FTM</v>
      </c>
      <c r="P453" s="42">
        <f>IF('asset_&amp;_open_positions'!$C453="","",'asset_&amp;_open_positions'!$H453)</f>
        <v>0.27344683929559199</v>
      </c>
      <c r="Q453" s="78" t="str">
        <f>IF(OR('asset_&amp;_open_positions'!$C453="",'asset_&amp;_open_positions'!$J453="SWAP",'asset_&amp;_open_positions'!$J453="FUTURE",'asset_&amp;_open_positions'!$J453="CME FUTURE"),"",'asset_&amp;_open_positions'!$M453)</f>
        <v>FTM</v>
      </c>
      <c r="R453" s="42">
        <f>IF(OR('asset_&amp;_open_positions'!$C453="",'asset_&amp;_open_positions'!$J453="SWAP",'asset_&amp;_open_positions'!$J453="FUTURE",'asset_&amp;_open_positions'!$J453="CME FUTURE"),"",'asset_&amp;_open_positions'!$H453)</f>
        <v>0.27344683929559199</v>
      </c>
    </row>
    <row r="454" spans="15:18" x14ac:dyDescent="0.25">
      <c r="O454" s="78" t="str">
        <f>IF('asset_&amp;_open_positions'!$C454="","",'asset_&amp;_open_positions'!$E454)</f>
        <v>GRT</v>
      </c>
      <c r="P454" s="42">
        <f>IF('asset_&amp;_open_positions'!$C454="","",'asset_&amp;_open_positions'!$H454)</f>
        <v>7.3501958303225604E-2</v>
      </c>
      <c r="Q454" s="78" t="str">
        <f>IF(OR('asset_&amp;_open_positions'!$C454="",'asset_&amp;_open_positions'!$J454="SWAP",'asset_&amp;_open_positions'!$J454="FUTURE",'asset_&amp;_open_positions'!$J454="CME FUTURE"),"",'asset_&amp;_open_positions'!$M454)</f>
        <v>GRT</v>
      </c>
      <c r="R454" s="42">
        <f>IF(OR('asset_&amp;_open_positions'!$C454="",'asset_&amp;_open_positions'!$J454="SWAP",'asset_&amp;_open_positions'!$J454="FUTURE",'asset_&amp;_open_positions'!$J454="CME FUTURE"),"",'asset_&amp;_open_positions'!$H454)</f>
        <v>7.3501958303225604E-2</v>
      </c>
    </row>
    <row r="455" spans="15:18" x14ac:dyDescent="0.25">
      <c r="O455" s="78" t="str">
        <f>IF('asset_&amp;_open_positions'!$C455="","",'asset_&amp;_open_positions'!$E455)</f>
        <v>HBAR</v>
      </c>
      <c r="P455" s="42">
        <f>IF('asset_&amp;_open_positions'!$C455="","",'asset_&amp;_open_positions'!$H455)</f>
        <v>4.7647636764699498E-2</v>
      </c>
      <c r="Q455" s="78" t="str">
        <f>IF(OR('asset_&amp;_open_positions'!$C455="",'asset_&amp;_open_positions'!$J455="SWAP",'asset_&amp;_open_positions'!$J455="FUTURE",'asset_&amp;_open_positions'!$J455="CME FUTURE"),"",'asset_&amp;_open_positions'!$M455)</f>
        <v>HBAR</v>
      </c>
      <c r="R455" s="42">
        <f>IF(OR('asset_&amp;_open_positions'!$C455="",'asset_&amp;_open_positions'!$J455="SWAP",'asset_&amp;_open_positions'!$J455="FUTURE",'asset_&amp;_open_positions'!$J455="CME FUTURE"),"",'asset_&amp;_open_positions'!$H455)</f>
        <v>4.7647636764699498E-2</v>
      </c>
    </row>
    <row r="456" spans="15:18" x14ac:dyDescent="0.25">
      <c r="O456" s="78" t="str">
        <f>IF('asset_&amp;_open_positions'!$C456="","",'asset_&amp;_open_positions'!$E456)</f>
        <v>LINK</v>
      </c>
      <c r="P456" s="42">
        <f>IF('asset_&amp;_open_positions'!$C456="","",'asset_&amp;_open_positions'!$H456)</f>
        <v>6.38133155243787</v>
      </c>
      <c r="Q456" s="78" t="str">
        <f>IF(OR('asset_&amp;_open_positions'!$C456="",'asset_&amp;_open_positions'!$J456="SWAP",'asset_&amp;_open_positions'!$J456="FUTURE",'asset_&amp;_open_positions'!$J456="CME FUTURE"),"",'asset_&amp;_open_positions'!$M456)</f>
        <v>LINK</v>
      </c>
      <c r="R456" s="42">
        <f>IF(OR('asset_&amp;_open_positions'!$C456="",'asset_&amp;_open_positions'!$J456="SWAP",'asset_&amp;_open_positions'!$J456="FUTURE",'asset_&amp;_open_positions'!$J456="CME FUTURE"),"",'asset_&amp;_open_positions'!$H456)</f>
        <v>6.38133155243787</v>
      </c>
    </row>
    <row r="457" spans="15:18" x14ac:dyDescent="0.25">
      <c r="O457" s="78" t="str">
        <f>IF('asset_&amp;_open_positions'!$C457="","",'asset_&amp;_open_positions'!$E457)</f>
        <v>LTC</v>
      </c>
      <c r="P457" s="42">
        <f>IF('asset_&amp;_open_positions'!$C457="","",'asset_&amp;_open_positions'!$H457)</f>
        <v>85.964229450756093</v>
      </c>
      <c r="Q457" s="78" t="str">
        <f>IF(OR('asset_&amp;_open_positions'!$C457="",'asset_&amp;_open_positions'!$J457="SWAP",'asset_&amp;_open_positions'!$J457="FUTURE",'asset_&amp;_open_positions'!$J457="CME FUTURE"),"",'asset_&amp;_open_positions'!$M457)</f>
        <v>LTC</v>
      </c>
      <c r="R457" s="42">
        <f>IF(OR('asset_&amp;_open_positions'!$C457="",'asset_&amp;_open_positions'!$J457="SWAP",'asset_&amp;_open_positions'!$J457="FUTURE",'asset_&amp;_open_positions'!$J457="CME FUTURE"),"",'asset_&amp;_open_positions'!$H457)</f>
        <v>85.964229450756093</v>
      </c>
    </row>
    <row r="458" spans="15:18" x14ac:dyDescent="0.25">
      <c r="O458" s="78" t="str">
        <f>IF('asset_&amp;_open_positions'!$C458="","",'asset_&amp;_open_positions'!$E458)</f>
        <v>MANA</v>
      </c>
      <c r="P458" s="42">
        <f>IF('asset_&amp;_open_positions'!$C458="","",'asset_&amp;_open_positions'!$H458)</f>
        <v>0.41245236860315698</v>
      </c>
      <c r="Q458" s="78" t="str">
        <f>IF(OR('asset_&amp;_open_positions'!$C458="",'asset_&amp;_open_positions'!$J458="SWAP",'asset_&amp;_open_positions'!$J458="FUTURE",'asset_&amp;_open_positions'!$J458="CME FUTURE"),"",'asset_&amp;_open_positions'!$M458)</f>
        <v>MANA</v>
      </c>
      <c r="R458" s="42">
        <f>IF(OR('asset_&amp;_open_positions'!$C458="",'asset_&amp;_open_positions'!$J458="SWAP",'asset_&amp;_open_positions'!$J458="FUTURE",'asset_&amp;_open_positions'!$J458="CME FUTURE"),"",'asset_&amp;_open_positions'!$H458)</f>
        <v>0.41245236860315698</v>
      </c>
    </row>
    <row r="459" spans="15:18" x14ac:dyDescent="0.25">
      <c r="O459" s="78" t="str">
        <f>IF('asset_&amp;_open_positions'!$C459="","",'asset_&amp;_open_positions'!$E459)</f>
        <v>MATIC</v>
      </c>
      <c r="P459" s="42">
        <f>IF('asset_&amp;_open_positions'!$C459="","",'asset_&amp;_open_positions'!$H459)</f>
        <v>0.91628911436523497</v>
      </c>
      <c r="Q459" s="78" t="str">
        <f>IF(OR('asset_&amp;_open_positions'!$C459="",'asset_&amp;_open_positions'!$J459="SWAP",'asset_&amp;_open_positions'!$J459="FUTURE",'asset_&amp;_open_positions'!$J459="CME FUTURE"),"",'asset_&amp;_open_positions'!$M459)</f>
        <v>MATIC</v>
      </c>
      <c r="R459" s="42">
        <f>IF(OR('asset_&amp;_open_positions'!$C459="",'asset_&amp;_open_positions'!$J459="SWAP",'asset_&amp;_open_positions'!$J459="FUTURE",'asset_&amp;_open_positions'!$J459="CME FUTURE"),"",'asset_&amp;_open_positions'!$H459)</f>
        <v>0.91628911436523497</v>
      </c>
    </row>
    <row r="460" spans="15:18" x14ac:dyDescent="0.25">
      <c r="O460" s="78" t="str">
        <f>IF('asset_&amp;_open_positions'!$C460="","",'asset_&amp;_open_positions'!$E460)</f>
        <v>MKR</v>
      </c>
      <c r="P460" s="42">
        <f>IF('asset_&amp;_open_positions'!$C460="","",'asset_&amp;_open_positions'!$H460)</f>
        <v>652.57566503526505</v>
      </c>
      <c r="Q460" s="78" t="str">
        <f>IF(OR('asset_&amp;_open_positions'!$C460="",'asset_&amp;_open_positions'!$J460="SWAP",'asset_&amp;_open_positions'!$J460="FUTURE",'asset_&amp;_open_positions'!$J460="CME FUTURE"),"",'asset_&amp;_open_positions'!$M460)</f>
        <v>MKR</v>
      </c>
      <c r="R460" s="42">
        <f>IF(OR('asset_&amp;_open_positions'!$C460="",'asset_&amp;_open_positions'!$J460="SWAP",'asset_&amp;_open_positions'!$J460="FUTURE",'asset_&amp;_open_positions'!$J460="CME FUTURE"),"",'asset_&amp;_open_positions'!$H460)</f>
        <v>652.57566503526505</v>
      </c>
    </row>
    <row r="461" spans="15:18" x14ac:dyDescent="0.25">
      <c r="O461" s="78" t="str">
        <f>IF('asset_&amp;_open_positions'!$C461="","",'asset_&amp;_open_positions'!$E461)</f>
        <v>SHIB</v>
      </c>
      <c r="P461" s="42">
        <f>IF('asset_&amp;_open_positions'!$C461="","",'asset_&amp;_open_positions'!$H461)</f>
        <v>9.4713833405960602E-6</v>
      </c>
      <c r="Q461" s="78" t="str">
        <f>IF(OR('asset_&amp;_open_positions'!$C461="",'asset_&amp;_open_positions'!$J461="SWAP",'asset_&amp;_open_positions'!$J461="FUTURE",'asset_&amp;_open_positions'!$J461="CME FUTURE"),"",'asset_&amp;_open_positions'!$M461)</f>
        <v>SHIB</v>
      </c>
      <c r="R461" s="42">
        <f>IF(OR('asset_&amp;_open_positions'!$C461="",'asset_&amp;_open_positions'!$J461="SWAP",'asset_&amp;_open_positions'!$J461="FUTURE",'asset_&amp;_open_positions'!$J461="CME FUTURE"),"",'asset_&amp;_open_positions'!$H461)</f>
        <v>9.4713833405960602E-6</v>
      </c>
    </row>
    <row r="462" spans="15:18" x14ac:dyDescent="0.25">
      <c r="O462" s="78" t="str">
        <f>IF('asset_&amp;_open_positions'!$C462="","",'asset_&amp;_open_positions'!$E462)</f>
        <v>SOL</v>
      </c>
      <c r="P462" s="42">
        <f>IF('asset_&amp;_open_positions'!$C462="","",'asset_&amp;_open_positions'!$H462)</f>
        <v>16.6190441963655</v>
      </c>
      <c r="Q462" s="78" t="str">
        <f>IF(OR('asset_&amp;_open_positions'!$C462="",'asset_&amp;_open_positions'!$J462="SWAP",'asset_&amp;_open_positions'!$J462="FUTURE",'asset_&amp;_open_positions'!$J462="CME FUTURE"),"",'asset_&amp;_open_positions'!$M462)</f>
        <v>SOL</v>
      </c>
      <c r="R462" s="42">
        <f>IF(OR('asset_&amp;_open_positions'!$C462="",'asset_&amp;_open_positions'!$J462="SWAP",'asset_&amp;_open_positions'!$J462="FUTURE",'asset_&amp;_open_positions'!$J462="CME FUTURE"),"",'asset_&amp;_open_positions'!$H462)</f>
        <v>16.6190441963655</v>
      </c>
    </row>
    <row r="463" spans="15:18" x14ac:dyDescent="0.25">
      <c r="O463" s="78" t="str">
        <f>IF('asset_&amp;_open_positions'!$C463="","",'asset_&amp;_open_positions'!$E463)</f>
        <v>SUSHI</v>
      </c>
      <c r="P463" s="42">
        <f>IF('asset_&amp;_open_positions'!$C463="","",'asset_&amp;_open_positions'!$H463)</f>
        <v>1.1376895816460699</v>
      </c>
      <c r="Q463" s="78" t="str">
        <f>IF(OR('asset_&amp;_open_positions'!$C463="",'asset_&amp;_open_positions'!$J463="SWAP",'asset_&amp;_open_positions'!$J463="FUTURE",'asset_&amp;_open_positions'!$J463="CME FUTURE"),"",'asset_&amp;_open_positions'!$M463)</f>
        <v>SUSHI</v>
      </c>
      <c r="R463" s="42">
        <f>IF(OR('asset_&amp;_open_positions'!$C463="",'asset_&amp;_open_positions'!$J463="SWAP",'asset_&amp;_open_positions'!$J463="FUTURE",'asset_&amp;_open_positions'!$J463="CME FUTURE"),"",'asset_&amp;_open_positions'!$H463)</f>
        <v>1.1376895816460699</v>
      </c>
    </row>
    <row r="464" spans="15:18" x14ac:dyDescent="0.25">
      <c r="O464" s="78" t="str">
        <f>IF('asset_&amp;_open_positions'!$C464="","",'asset_&amp;_open_positions'!$E464)</f>
        <v>UNI</v>
      </c>
      <c r="P464" s="42">
        <f>IF('asset_&amp;_open_positions'!$C464="","",'asset_&amp;_open_positions'!$H464)</f>
        <v>6.1733812820777398</v>
      </c>
      <c r="Q464" s="78" t="str">
        <f>IF(OR('asset_&amp;_open_positions'!$C464="",'asset_&amp;_open_positions'!$J464="SWAP",'asset_&amp;_open_positions'!$J464="FUTURE",'asset_&amp;_open_positions'!$J464="CME FUTURE"),"",'asset_&amp;_open_positions'!$M464)</f>
        <v>UNI</v>
      </c>
      <c r="R464" s="42">
        <f>IF(OR('asset_&amp;_open_positions'!$C464="",'asset_&amp;_open_positions'!$J464="SWAP",'asset_&amp;_open_positions'!$J464="FUTURE",'asset_&amp;_open_positions'!$J464="CME FUTURE"),"",'asset_&amp;_open_positions'!$H464)</f>
        <v>6.1733812820777398</v>
      </c>
    </row>
    <row r="465" spans="15:18" x14ac:dyDescent="0.25">
      <c r="O465" s="78" t="str">
        <f>IF('asset_&amp;_open_positions'!$C465="","",'asset_&amp;_open_positions'!$E465)</f>
        <v>VET</v>
      </c>
      <c r="P465" s="42">
        <f>IF('asset_&amp;_open_positions'!$C465="","",'asset_&amp;_open_positions'!$H465)</f>
        <v>1.8842311113447498E-2</v>
      </c>
      <c r="Q465" s="78" t="str">
        <f>IF(OR('asset_&amp;_open_positions'!$C465="",'asset_&amp;_open_positions'!$J465="SWAP",'asset_&amp;_open_positions'!$J465="FUTURE",'asset_&amp;_open_positions'!$J465="CME FUTURE"),"",'asset_&amp;_open_positions'!$M465)</f>
        <v>VET</v>
      </c>
      <c r="R465" s="42">
        <f>IF(OR('asset_&amp;_open_positions'!$C465="",'asset_&amp;_open_positions'!$J465="SWAP",'asset_&amp;_open_positions'!$J465="FUTURE",'asset_&amp;_open_positions'!$J465="CME FUTURE"),"",'asset_&amp;_open_positions'!$H465)</f>
        <v>1.8842311113447498E-2</v>
      </c>
    </row>
    <row r="466" spans="15:18" x14ac:dyDescent="0.25">
      <c r="O466" s="78" t="str">
        <f>IF('asset_&amp;_open_positions'!$C466="","",'asset_&amp;_open_positions'!$E466)</f>
        <v>XLM</v>
      </c>
      <c r="P466" s="42">
        <f>IF('asset_&amp;_open_positions'!$C466="","",'asset_&amp;_open_positions'!$H466)</f>
        <v>8.1643783905093401E-2</v>
      </c>
      <c r="Q466" s="78" t="str">
        <f>IF(OR('asset_&amp;_open_positions'!$C466="",'asset_&amp;_open_positions'!$J466="SWAP",'asset_&amp;_open_positions'!$J466="FUTURE",'asset_&amp;_open_positions'!$J466="CME FUTURE"),"",'asset_&amp;_open_positions'!$M466)</f>
        <v>XLM</v>
      </c>
      <c r="R466" s="42">
        <f>IF(OR('asset_&amp;_open_positions'!$C466="",'asset_&amp;_open_positions'!$J466="SWAP",'asset_&amp;_open_positions'!$J466="FUTURE",'asset_&amp;_open_positions'!$J466="CME FUTURE"),"",'asset_&amp;_open_positions'!$H466)</f>
        <v>8.1643783905093401E-2</v>
      </c>
    </row>
    <row r="467" spans="15:18" x14ac:dyDescent="0.25">
      <c r="O467" s="78" t="str">
        <f>IF('asset_&amp;_open_positions'!$C467="","",'asset_&amp;_open_positions'!$E467)</f>
        <v>XTZ</v>
      </c>
      <c r="P467" s="42">
        <f>IF('asset_&amp;_open_positions'!$C467="","",'asset_&amp;_open_positions'!$H467)</f>
        <v>0.88922984226921997</v>
      </c>
      <c r="Q467" s="78" t="str">
        <f>IF(OR('asset_&amp;_open_positions'!$C467="",'asset_&amp;_open_positions'!$J467="SWAP",'asset_&amp;_open_positions'!$J467="FUTURE",'asset_&amp;_open_positions'!$J467="CME FUTURE"),"",'asset_&amp;_open_positions'!$M467)</f>
        <v>XTZ</v>
      </c>
      <c r="R467" s="42">
        <f>IF(OR('asset_&amp;_open_positions'!$C467="",'asset_&amp;_open_positions'!$J467="SWAP",'asset_&amp;_open_positions'!$J467="FUTURE",'asset_&amp;_open_positions'!$J467="CME FUTURE"),"",'asset_&amp;_open_positions'!$H467)</f>
        <v>0.88922984226921997</v>
      </c>
    </row>
    <row r="468" spans="15:18" x14ac:dyDescent="0.25">
      <c r="O468" s="78" t="str">
        <f>IF('asset_&amp;_open_positions'!$C468="","",'asset_&amp;_open_positions'!$E468)</f>
        <v>USDT</v>
      </c>
      <c r="P468" s="42">
        <f>IF('asset_&amp;_open_positions'!$C468="","",'asset_&amp;_open_positions'!$H468)</f>
        <v>1.00009204918451</v>
      </c>
      <c r="Q468" s="78" t="str">
        <f>IF(OR('asset_&amp;_open_positions'!$C468="",'asset_&amp;_open_positions'!$J468="SWAP",'asset_&amp;_open_positions'!$J468="FUTURE",'asset_&amp;_open_positions'!$J468="CME FUTURE"),"",'asset_&amp;_open_positions'!$M468)</f>
        <v>USDT</v>
      </c>
      <c r="R468" s="42">
        <f>IF(OR('asset_&amp;_open_positions'!$C468="",'asset_&amp;_open_positions'!$J468="SWAP",'asset_&amp;_open_positions'!$J468="FUTURE",'asset_&amp;_open_positions'!$J468="CME FUTURE"),"",'asset_&amp;_open_positions'!$H468)</f>
        <v>1.00009204918451</v>
      </c>
    </row>
    <row r="469" spans="15:18" x14ac:dyDescent="0.25">
      <c r="O469" s="78" t="str">
        <f>IF('asset_&amp;_open_positions'!$C469="","",'asset_&amp;_open_positions'!$E469)</f>
        <v>BTC</v>
      </c>
      <c r="P469" s="42">
        <f>IF('asset_&amp;_open_positions'!$C469="","",'asset_&amp;_open_positions'!$H469)</f>
        <v>18869.5880552655</v>
      </c>
      <c r="Q469" s="78" t="str">
        <f>IF(OR('asset_&amp;_open_positions'!$C469="",'asset_&amp;_open_positions'!$J469="SWAP",'asset_&amp;_open_positions'!$J469="FUTURE",'asset_&amp;_open_positions'!$J469="CME FUTURE"),"",'asset_&amp;_open_positions'!$M469)</f>
        <v>BTC</v>
      </c>
      <c r="R469" s="42">
        <f>IF(OR('asset_&amp;_open_positions'!$C469="",'asset_&amp;_open_positions'!$J469="SWAP",'asset_&amp;_open_positions'!$J469="FUTURE",'asset_&amp;_open_positions'!$J469="CME FUTURE"),"",'asset_&amp;_open_positions'!$H469)</f>
        <v>18869.5880552655</v>
      </c>
    </row>
    <row r="470" spans="15:18" x14ac:dyDescent="0.25">
      <c r="O470" s="78" t="str">
        <f>IF('asset_&amp;_open_positions'!$C470="","",'asset_&amp;_open_positions'!$E470)</f>
        <v>EOS</v>
      </c>
      <c r="P470" s="42">
        <f>IF('asset_&amp;_open_positions'!$C470="","",'asset_&amp;_open_positions'!$H470)</f>
        <v>0.990242476806943</v>
      </c>
      <c r="Q470" s="78" t="str">
        <f>IF(OR('asset_&amp;_open_positions'!$C470="",'asset_&amp;_open_positions'!$J470="SWAP",'asset_&amp;_open_positions'!$J470="FUTURE",'asset_&amp;_open_positions'!$J470="CME FUTURE"),"",'asset_&amp;_open_positions'!$M470)</f>
        <v>EOS</v>
      </c>
      <c r="R470" s="42">
        <f>IF(OR('asset_&amp;_open_positions'!$C470="",'asset_&amp;_open_positions'!$J470="SWAP",'asset_&amp;_open_positions'!$J470="FUTURE",'asset_&amp;_open_positions'!$J470="CME FUTURE"),"",'asset_&amp;_open_positions'!$H470)</f>
        <v>0.990242476806943</v>
      </c>
    </row>
    <row r="471" spans="15:18" x14ac:dyDescent="0.25">
      <c r="O471" s="78" t="str">
        <f>IF('asset_&amp;_open_positions'!$C471="","",'asset_&amp;_open_positions'!$E471)</f>
        <v>ETH</v>
      </c>
      <c r="P471" s="42">
        <f>IF('asset_&amp;_open_positions'!$C471="","",'asset_&amp;_open_positions'!$H471)</f>
        <v>1417.9385231112101</v>
      </c>
      <c r="Q471" s="78" t="str">
        <f>IF(OR('asset_&amp;_open_positions'!$C471="",'asset_&amp;_open_positions'!$J471="SWAP",'asset_&amp;_open_positions'!$J471="FUTURE",'asset_&amp;_open_positions'!$J471="CME FUTURE"),"",'asset_&amp;_open_positions'!$M471)</f>
        <v>ETH</v>
      </c>
      <c r="R471" s="42">
        <f>IF(OR('asset_&amp;_open_positions'!$C471="",'asset_&amp;_open_positions'!$J471="SWAP",'asset_&amp;_open_positions'!$J471="FUTURE",'asset_&amp;_open_positions'!$J471="CME FUTURE"),"",'asset_&amp;_open_positions'!$H471)</f>
        <v>1417.9385231112101</v>
      </c>
    </row>
    <row r="472" spans="15:18" x14ac:dyDescent="0.25">
      <c r="O472" s="78" t="str">
        <f>IF('asset_&amp;_open_positions'!$C472="","",'asset_&amp;_open_positions'!$E472)</f>
        <v>BTC</v>
      </c>
      <c r="P472" s="42">
        <f>IF('asset_&amp;_open_positions'!$C472="","",'asset_&amp;_open_positions'!$H472)</f>
        <v>18869.5880552655</v>
      </c>
      <c r="Q472" s="78" t="str">
        <f>IF(OR('asset_&amp;_open_positions'!$C472="",'asset_&amp;_open_positions'!$J472="SWAP",'asset_&amp;_open_positions'!$J472="FUTURE",'asset_&amp;_open_positions'!$J472="CME FUTURE"),"",'asset_&amp;_open_positions'!$M472)</f>
        <v>BTC</v>
      </c>
      <c r="R472" s="42">
        <f>IF(OR('asset_&amp;_open_positions'!$C472="",'asset_&amp;_open_positions'!$J472="SWAP",'asset_&amp;_open_positions'!$J472="FUTURE",'asset_&amp;_open_positions'!$J472="CME FUTURE"),"",'asset_&amp;_open_positions'!$H472)</f>
        <v>18869.5880552655</v>
      </c>
    </row>
    <row r="473" spans="15:18" x14ac:dyDescent="0.25">
      <c r="O473" s="78" t="str">
        <f>IF('asset_&amp;_open_positions'!$C473="","",'asset_&amp;_open_positions'!$E473)</f>
        <v>ETH</v>
      </c>
      <c r="P473" s="42">
        <f>IF('asset_&amp;_open_positions'!$C473="","",'asset_&amp;_open_positions'!$H473)</f>
        <v>1417.9385231112101</v>
      </c>
      <c r="Q473" s="78" t="str">
        <f>IF(OR('asset_&amp;_open_positions'!$C473="",'asset_&amp;_open_positions'!$J473="SWAP",'asset_&amp;_open_positions'!$J473="FUTURE",'asset_&amp;_open_positions'!$J473="CME FUTURE"),"",'asset_&amp;_open_positions'!$M473)</f>
        <v>ETH</v>
      </c>
      <c r="R473" s="42">
        <f>IF(OR('asset_&amp;_open_positions'!$C473="",'asset_&amp;_open_positions'!$J473="SWAP",'asset_&amp;_open_positions'!$J473="FUTURE",'asset_&amp;_open_positions'!$J473="CME FUTURE"),"",'asset_&amp;_open_positions'!$H473)</f>
        <v>1417.9385231112101</v>
      </c>
    </row>
    <row r="474" spans="15:18" x14ac:dyDescent="0.25">
      <c r="O474" s="78" t="str">
        <f>IF('asset_&amp;_open_positions'!$C474="","",'asset_&amp;_open_positions'!$E474)</f>
        <v>EUROC</v>
      </c>
      <c r="P474" s="42">
        <f>IF('asset_&amp;_open_positions'!$C474="","",'asset_&amp;_open_positions'!$H474)</f>
        <v>1.0845630163527999</v>
      </c>
      <c r="Q474" s="78" t="str">
        <f>IF(OR('asset_&amp;_open_positions'!$C474="",'asset_&amp;_open_positions'!$J474="SWAP",'asset_&amp;_open_positions'!$J474="FUTURE",'asset_&amp;_open_positions'!$J474="CME FUTURE"),"",'asset_&amp;_open_positions'!$M474)</f>
        <v>EUROC</v>
      </c>
      <c r="R474" s="42">
        <f>IF(OR('asset_&amp;_open_positions'!$C474="",'asset_&amp;_open_positions'!$J474="SWAP",'asset_&amp;_open_positions'!$J474="FUTURE",'asset_&amp;_open_positions'!$J474="CME FUTURE"),"",'asset_&amp;_open_positions'!$H474)</f>
        <v>1.0845630163527999</v>
      </c>
    </row>
    <row r="475" spans="15:18" x14ac:dyDescent="0.25">
      <c r="O475" s="78" t="str">
        <f>IF('asset_&amp;_open_positions'!$C475="","",'asset_&amp;_open_positions'!$E475)</f>
        <v>USD</v>
      </c>
      <c r="P475" s="42">
        <f>IF('asset_&amp;_open_positions'!$C475="","",'asset_&amp;_open_positions'!$H475)</f>
        <v>1</v>
      </c>
      <c r="Q475" s="78" t="str">
        <f>IF(OR('asset_&amp;_open_positions'!$C475="",'asset_&amp;_open_positions'!$J475="SWAP",'asset_&amp;_open_positions'!$J475="FUTURE",'asset_&amp;_open_positions'!$J475="CME FUTURE"),"",'asset_&amp;_open_positions'!$M475)</f>
        <v>USD</v>
      </c>
      <c r="R475" s="42">
        <f>IF(OR('asset_&amp;_open_positions'!$C475="",'asset_&amp;_open_positions'!$J475="SWAP",'asset_&amp;_open_positions'!$J475="FUTURE",'asset_&amp;_open_positions'!$J475="CME FUTURE"),"",'asset_&amp;_open_positions'!$H475)</f>
        <v>1</v>
      </c>
    </row>
    <row r="476" spans="15:18" x14ac:dyDescent="0.25">
      <c r="O476" s="78" t="str">
        <f>IF('asset_&amp;_open_positions'!$C476="","",'asset_&amp;_open_positions'!$E476)</f>
        <v>USDC</v>
      </c>
      <c r="P476" s="42">
        <f>IF('asset_&amp;_open_positions'!$C476="","",'asset_&amp;_open_positions'!$H476)</f>
        <v>1.0000721496274001</v>
      </c>
      <c r="Q476" s="78" t="str">
        <f>IF(OR('asset_&amp;_open_positions'!$C476="",'asset_&amp;_open_positions'!$J476="SWAP",'asset_&amp;_open_positions'!$J476="FUTURE",'asset_&amp;_open_positions'!$J476="CME FUTURE"),"",'asset_&amp;_open_positions'!$M476)</f>
        <v>USDC</v>
      </c>
      <c r="R476" s="42">
        <f>IF(OR('asset_&amp;_open_positions'!$C476="",'asset_&amp;_open_positions'!$J476="SWAP",'asset_&amp;_open_positions'!$J476="FUTURE",'asset_&amp;_open_positions'!$J476="CME FUTURE"),"",'asset_&amp;_open_positions'!$H476)</f>
        <v>1.0000721496274001</v>
      </c>
    </row>
    <row r="477" spans="15:18" x14ac:dyDescent="0.25">
      <c r="O477" s="78" t="str">
        <f>IF('asset_&amp;_open_positions'!$C477="","",'asset_&amp;_open_positions'!$E477)</f>
        <v>ZIL</v>
      </c>
      <c r="P477" s="42">
        <f>IF('asset_&amp;_open_positions'!$C477="","",'asset_&amp;_open_positions'!$H477)</f>
        <v>2.39744799073386E-2</v>
      </c>
      <c r="Q477" s="78" t="str">
        <f>IF(OR('asset_&amp;_open_positions'!$C477="",'asset_&amp;_open_positions'!$J477="SWAP",'asset_&amp;_open_positions'!$J477="FUTURE",'asset_&amp;_open_positions'!$J477="CME FUTURE"),"",'asset_&amp;_open_positions'!$M477)</f>
        <v>ZIL</v>
      </c>
      <c r="R477" s="42">
        <f>IF(OR('asset_&amp;_open_positions'!$C477="",'asset_&amp;_open_positions'!$J477="SWAP",'asset_&amp;_open_positions'!$J477="FUTURE",'asset_&amp;_open_positions'!$J477="CME FUTURE"),"",'asset_&amp;_open_positions'!$H477)</f>
        <v>2.39744799073386E-2</v>
      </c>
    </row>
    <row r="478" spans="15:18" x14ac:dyDescent="0.25">
      <c r="O478" s="78" t="str">
        <f>IF('asset_&amp;_open_positions'!$C478="","",'asset_&amp;_open_positions'!$E478)</f>
        <v>BCH</v>
      </c>
      <c r="P478" s="42">
        <f>IF('asset_&amp;_open_positions'!$C478="","",'asset_&amp;_open_positions'!$H478)</f>
        <v>119.710466137412</v>
      </c>
      <c r="Q478" s="78" t="str">
        <f>IF(OR('asset_&amp;_open_positions'!$C478="",'asset_&amp;_open_positions'!$J478="SWAP",'asset_&amp;_open_positions'!$J478="FUTURE",'asset_&amp;_open_positions'!$J478="CME FUTURE"),"",'asset_&amp;_open_positions'!$M478)</f>
        <v>BCH</v>
      </c>
      <c r="R478" s="42">
        <f>IF(OR('asset_&amp;_open_positions'!$C478="",'asset_&amp;_open_positions'!$J478="SWAP",'asset_&amp;_open_positions'!$J478="FUTURE",'asset_&amp;_open_positions'!$J478="CME FUTURE"),"",'asset_&amp;_open_positions'!$H478)</f>
        <v>119.710466137412</v>
      </c>
    </row>
    <row r="479" spans="15:18" x14ac:dyDescent="0.25">
      <c r="O479" s="78" t="str">
        <f>IF('asset_&amp;_open_positions'!$C479="","",'asset_&amp;_open_positions'!$E479)</f>
        <v>DOT</v>
      </c>
      <c r="P479" s="42">
        <f>IF('asset_&amp;_open_positions'!$C479="","",'asset_&amp;_open_positions'!$H479)</f>
        <v>5.2294779390740098</v>
      </c>
      <c r="Q479" s="78" t="str">
        <f>IF(OR('asset_&amp;_open_positions'!$C479="",'asset_&amp;_open_positions'!$J479="SWAP",'asset_&amp;_open_positions'!$J479="FUTURE",'asset_&amp;_open_positions'!$J479="CME FUTURE"),"",'asset_&amp;_open_positions'!$M479)</f>
        <v>DOT</v>
      </c>
      <c r="R479" s="42">
        <f>IF(OR('asset_&amp;_open_positions'!$C479="",'asset_&amp;_open_positions'!$J479="SWAP",'asset_&amp;_open_positions'!$J479="FUTURE",'asset_&amp;_open_positions'!$J479="CME FUTURE"),"",'asset_&amp;_open_positions'!$H479)</f>
        <v>5.2294779390740098</v>
      </c>
    </row>
    <row r="480" spans="15:18" x14ac:dyDescent="0.25">
      <c r="O480" s="78" t="str">
        <f>IF('asset_&amp;_open_positions'!$C480="","",'asset_&amp;_open_positions'!$E480)</f>
        <v>EOS</v>
      </c>
      <c r="P480" s="42">
        <f>IF('asset_&amp;_open_positions'!$C480="","",'asset_&amp;_open_positions'!$H480)</f>
        <v>0.990242476806942</v>
      </c>
      <c r="Q480" s="78" t="str">
        <f>IF(OR('asset_&amp;_open_positions'!$C480="",'asset_&amp;_open_positions'!$J480="SWAP",'asset_&amp;_open_positions'!$J480="FUTURE",'asset_&amp;_open_positions'!$J480="CME FUTURE"),"",'asset_&amp;_open_positions'!$M480)</f>
        <v>EOS</v>
      </c>
      <c r="R480" s="42">
        <f>IF(OR('asset_&amp;_open_positions'!$C480="",'asset_&amp;_open_positions'!$J480="SWAP",'asset_&amp;_open_positions'!$J480="FUTURE",'asset_&amp;_open_positions'!$J480="CME FUTURE"),"",'asset_&amp;_open_positions'!$H480)</f>
        <v>0.990242476806942</v>
      </c>
    </row>
    <row r="481" spans="15:18" x14ac:dyDescent="0.25">
      <c r="O481" s="78" t="str">
        <f>IF('asset_&amp;_open_positions'!$C481="","",'asset_&amp;_open_positions'!$E481)</f>
        <v>ETC</v>
      </c>
      <c r="P481" s="42">
        <f>IF('asset_&amp;_open_positions'!$C481="","",'asset_&amp;_open_positions'!$H481)</f>
        <v>20.917758217744002</v>
      </c>
      <c r="Q481" s="78" t="str">
        <f>IF(OR('asset_&amp;_open_positions'!$C481="",'asset_&amp;_open_positions'!$J481="SWAP",'asset_&amp;_open_positions'!$J481="FUTURE",'asset_&amp;_open_positions'!$J481="CME FUTURE"),"",'asset_&amp;_open_positions'!$M481)</f>
        <v>ETC</v>
      </c>
      <c r="R481" s="42">
        <f>IF(OR('asset_&amp;_open_positions'!$C481="",'asset_&amp;_open_positions'!$J481="SWAP",'asset_&amp;_open_positions'!$J481="FUTURE",'asset_&amp;_open_positions'!$J481="CME FUTURE"),"",'asset_&amp;_open_positions'!$H481)</f>
        <v>20.917758217744002</v>
      </c>
    </row>
    <row r="482" spans="15:18" x14ac:dyDescent="0.25">
      <c r="O482" s="78" t="str">
        <f>IF('asset_&amp;_open_positions'!$C482="","",'asset_&amp;_open_positions'!$E482)</f>
        <v>ETH</v>
      </c>
      <c r="P482" s="42">
        <f>IF('asset_&amp;_open_positions'!$C482="","",'asset_&amp;_open_positions'!$H482)</f>
        <v>1417.9385231112101</v>
      </c>
      <c r="Q482" s="78" t="str">
        <f>IF(OR('asset_&amp;_open_positions'!$C482="",'asset_&amp;_open_positions'!$J482="SWAP",'asset_&amp;_open_positions'!$J482="FUTURE",'asset_&amp;_open_positions'!$J482="CME FUTURE"),"",'asset_&amp;_open_positions'!$M482)</f>
        <v>ETH</v>
      </c>
      <c r="R482" s="42">
        <f>IF(OR('asset_&amp;_open_positions'!$C482="",'asset_&amp;_open_positions'!$J482="SWAP",'asset_&amp;_open_positions'!$J482="FUTURE",'asset_&amp;_open_positions'!$J482="CME FUTURE"),"",'asset_&amp;_open_positions'!$H482)</f>
        <v>1417.9385231112101</v>
      </c>
    </row>
    <row r="483" spans="15:18" x14ac:dyDescent="0.25">
      <c r="O483" s="78" t="str">
        <f>IF('asset_&amp;_open_positions'!$C483="","",'asset_&amp;_open_positions'!$E483)</f>
        <v>LINK</v>
      </c>
      <c r="P483" s="42">
        <f>IF('asset_&amp;_open_positions'!$C483="","",'asset_&amp;_open_positions'!$H483)</f>
        <v>6.38133155243787</v>
      </c>
      <c r="Q483" s="78" t="str">
        <f>IF(OR('asset_&amp;_open_positions'!$C483="",'asset_&amp;_open_positions'!$J483="SWAP",'asset_&amp;_open_positions'!$J483="FUTURE",'asset_&amp;_open_positions'!$J483="CME FUTURE"),"",'asset_&amp;_open_positions'!$M483)</f>
        <v>LINK</v>
      </c>
      <c r="R483" s="42">
        <f>IF(OR('asset_&amp;_open_positions'!$C483="",'asset_&amp;_open_positions'!$J483="SWAP",'asset_&amp;_open_positions'!$J483="FUTURE",'asset_&amp;_open_positions'!$J483="CME FUTURE"),"",'asset_&amp;_open_positions'!$H483)</f>
        <v>6.38133155243787</v>
      </c>
    </row>
    <row r="484" spans="15:18" x14ac:dyDescent="0.25">
      <c r="O484" s="78" t="str">
        <f>IF('asset_&amp;_open_positions'!$C484="","",'asset_&amp;_open_positions'!$E484)</f>
        <v>LTC</v>
      </c>
      <c r="P484" s="42">
        <f>IF('asset_&amp;_open_positions'!$C484="","",'asset_&amp;_open_positions'!$H484)</f>
        <v>85.964229450756093</v>
      </c>
      <c r="Q484" s="78" t="str">
        <f>IF(OR('asset_&amp;_open_positions'!$C484="",'asset_&amp;_open_positions'!$J484="SWAP",'asset_&amp;_open_positions'!$J484="FUTURE",'asset_&amp;_open_positions'!$J484="CME FUTURE"),"",'asset_&amp;_open_positions'!$M484)</f>
        <v>LTC</v>
      </c>
      <c r="R484" s="42">
        <f>IF(OR('asset_&amp;_open_positions'!$C484="",'asset_&amp;_open_positions'!$J484="SWAP",'asset_&amp;_open_positions'!$J484="FUTURE",'asset_&amp;_open_positions'!$J484="CME FUTURE"),"",'asset_&amp;_open_positions'!$H484)</f>
        <v>85.964229450756093</v>
      </c>
    </row>
    <row r="485" spans="15:18" x14ac:dyDescent="0.25">
      <c r="O485" s="78" t="str">
        <f>IF('asset_&amp;_open_positions'!$C485="","",'asset_&amp;_open_positions'!$E485)</f>
        <v>OXT</v>
      </c>
      <c r="P485" s="42">
        <f>IF('asset_&amp;_open_positions'!$C485="","",'asset_&amp;_open_positions'!$H485)</f>
        <v>7.3319331912265404E-2</v>
      </c>
      <c r="Q485" s="78" t="str">
        <f>IF(OR('asset_&amp;_open_positions'!$C485="",'asset_&amp;_open_positions'!$J485="SWAP",'asset_&amp;_open_positions'!$J485="FUTURE",'asset_&amp;_open_positions'!$J485="CME FUTURE"),"",'asset_&amp;_open_positions'!$M485)</f>
        <v>OXT</v>
      </c>
      <c r="R485" s="42">
        <f>IF(OR('asset_&amp;_open_positions'!$C485="",'asset_&amp;_open_positions'!$J485="SWAP",'asset_&amp;_open_positions'!$J485="FUTURE",'asset_&amp;_open_positions'!$J485="CME FUTURE"),"",'asset_&amp;_open_positions'!$H485)</f>
        <v>7.3319331912265404E-2</v>
      </c>
    </row>
    <row r="486" spans="15:18" x14ac:dyDescent="0.25">
      <c r="O486" s="78" t="str">
        <f>IF('asset_&amp;_open_positions'!$C486="","",'asset_&amp;_open_positions'!$E486)</f>
        <v>USDC</v>
      </c>
      <c r="P486" s="42">
        <f>IF('asset_&amp;_open_positions'!$C486="","",'asset_&amp;_open_positions'!$H486)</f>
        <v>1.0000721496274001</v>
      </c>
      <c r="Q486" s="78" t="str">
        <f>IF(OR('asset_&amp;_open_positions'!$C486="",'asset_&amp;_open_positions'!$J486="SWAP",'asset_&amp;_open_positions'!$J486="FUTURE",'asset_&amp;_open_positions'!$J486="CME FUTURE"),"",'asset_&amp;_open_positions'!$M486)</f>
        <v>USDC</v>
      </c>
      <c r="R486" s="42">
        <f>IF(OR('asset_&amp;_open_positions'!$C486="",'asset_&amp;_open_positions'!$J486="SWAP",'asset_&amp;_open_positions'!$J486="FUTURE",'asset_&amp;_open_positions'!$J486="CME FUTURE"),"",'asset_&amp;_open_positions'!$H486)</f>
        <v>1.0000721496274001</v>
      </c>
    </row>
    <row r="487" spans="15:18" x14ac:dyDescent="0.25">
      <c r="O487" s="78" t="str">
        <f>IF('asset_&amp;_open_positions'!$C487="","",'asset_&amp;_open_positions'!$E487)</f>
        <v>XRP</v>
      </c>
      <c r="P487" s="42">
        <f>IF('asset_&amp;_open_positions'!$C487="","",'asset_&amp;_open_positions'!$H487)</f>
        <v>0.37519714224190098</v>
      </c>
      <c r="Q487" s="78" t="str">
        <f>IF(OR('asset_&amp;_open_positions'!$C487="",'asset_&amp;_open_positions'!$J487="SWAP",'asset_&amp;_open_positions'!$J487="FUTURE",'asset_&amp;_open_positions'!$J487="CME FUTURE"),"",'asset_&amp;_open_positions'!$M487)</f>
        <v>XRP</v>
      </c>
      <c r="R487" s="42">
        <f>IF(OR('asset_&amp;_open_positions'!$C487="",'asset_&amp;_open_positions'!$J487="SWAP",'asset_&amp;_open_positions'!$J487="FUTURE",'asset_&amp;_open_positions'!$J487="CME FUTURE"),"",'asset_&amp;_open_positions'!$H487)</f>
        <v>0.37519714224190098</v>
      </c>
    </row>
    <row r="488" spans="15:18" x14ac:dyDescent="0.25">
      <c r="O488" s="78" t="str">
        <f>IF('asset_&amp;_open_positions'!$C488="","",'asset_&amp;_open_positions'!$E488)</f>
        <v>BCH</v>
      </c>
      <c r="P488" s="42">
        <f>IF('asset_&amp;_open_positions'!$C488="","",'asset_&amp;_open_positions'!$H488)</f>
        <v>119.710466137412</v>
      </c>
      <c r="Q488" s="78" t="str">
        <f>IF(OR('asset_&amp;_open_positions'!$C488="",'asset_&amp;_open_positions'!$J488="SWAP",'asset_&amp;_open_positions'!$J488="FUTURE",'asset_&amp;_open_positions'!$J488="CME FUTURE"),"",'asset_&amp;_open_positions'!$M488)</f>
        <v>BCH</v>
      </c>
      <c r="R488" s="42">
        <f>IF(OR('asset_&amp;_open_positions'!$C488="",'asset_&amp;_open_positions'!$J488="SWAP",'asset_&amp;_open_positions'!$J488="FUTURE",'asset_&amp;_open_positions'!$J488="CME FUTURE"),"",'asset_&amp;_open_positions'!$H488)</f>
        <v>119.710466137412</v>
      </c>
    </row>
    <row r="489" spans="15:18" x14ac:dyDescent="0.25">
      <c r="O489" s="78" t="str">
        <f>IF('asset_&amp;_open_positions'!$C489="","",'asset_&amp;_open_positions'!$E489)</f>
        <v>EOS</v>
      </c>
      <c r="P489" s="42">
        <f>IF('asset_&amp;_open_positions'!$C489="","",'asset_&amp;_open_positions'!$H489)</f>
        <v>0.990242476806942</v>
      </c>
      <c r="Q489" s="78" t="str">
        <f>IF(OR('asset_&amp;_open_positions'!$C489="",'asset_&amp;_open_positions'!$J489="SWAP",'asset_&amp;_open_positions'!$J489="FUTURE",'asset_&amp;_open_positions'!$J489="CME FUTURE"),"",'asset_&amp;_open_positions'!$M489)</f>
        <v>EOS</v>
      </c>
      <c r="R489" s="42">
        <f>IF(OR('asset_&amp;_open_positions'!$C489="",'asset_&amp;_open_positions'!$J489="SWAP",'asset_&amp;_open_positions'!$J489="FUTURE",'asset_&amp;_open_positions'!$J489="CME FUTURE"),"",'asset_&amp;_open_positions'!$H489)</f>
        <v>0.990242476806942</v>
      </c>
    </row>
    <row r="490" spans="15:18" x14ac:dyDescent="0.25">
      <c r="O490" s="78" t="str">
        <f>IF('asset_&amp;_open_positions'!$C490="","",'asset_&amp;_open_positions'!$E490)</f>
        <v>FIL</v>
      </c>
      <c r="P490" s="42">
        <f>IF('asset_&amp;_open_positions'!$C490="","",'asset_&amp;_open_positions'!$H490)</f>
        <v>3.8532649574853499</v>
      </c>
      <c r="Q490" s="78" t="str">
        <f>IF(OR('asset_&amp;_open_positions'!$C490="",'asset_&amp;_open_positions'!$J490="SWAP",'asset_&amp;_open_positions'!$J490="FUTURE",'asset_&amp;_open_positions'!$J490="CME FUTURE"),"",'asset_&amp;_open_positions'!$M490)</f>
        <v>FIL</v>
      </c>
      <c r="R490" s="42">
        <f>IF(OR('asset_&amp;_open_positions'!$C490="",'asset_&amp;_open_positions'!$J490="SWAP",'asset_&amp;_open_positions'!$J490="FUTURE",'asset_&amp;_open_positions'!$J490="CME FUTURE"),"",'asset_&amp;_open_positions'!$H490)</f>
        <v>3.8532649574853499</v>
      </c>
    </row>
    <row r="491" spans="15:18" x14ac:dyDescent="0.25">
      <c r="O491" s="78" t="str">
        <f>IF('asset_&amp;_open_positions'!$C491="","",'asset_&amp;_open_positions'!$E491)</f>
        <v>LTC</v>
      </c>
      <c r="P491" s="42">
        <f>IF('asset_&amp;_open_positions'!$C491="","",'asset_&amp;_open_positions'!$H491)</f>
        <v>85.964229450756093</v>
      </c>
      <c r="Q491" s="78" t="str">
        <f>IF(OR('asset_&amp;_open_positions'!$C491="",'asset_&amp;_open_positions'!$J491="SWAP",'asset_&amp;_open_positions'!$J491="FUTURE",'asset_&amp;_open_positions'!$J491="CME FUTURE"),"",'asset_&amp;_open_positions'!$M491)</f>
        <v>LTC</v>
      </c>
      <c r="R491" s="42">
        <f>IF(OR('asset_&amp;_open_positions'!$C491="",'asset_&amp;_open_positions'!$J491="SWAP",'asset_&amp;_open_positions'!$J491="FUTURE",'asset_&amp;_open_positions'!$J491="CME FUTURE"),"",'asset_&amp;_open_positions'!$H491)</f>
        <v>85.964229450756093</v>
      </c>
    </row>
    <row r="492" spans="15:18" x14ac:dyDescent="0.25">
      <c r="O492" s="78" t="str">
        <f>IF('asset_&amp;_open_positions'!$C492="","",'asset_&amp;_open_positions'!$E492)</f>
        <v>XRP</v>
      </c>
      <c r="P492" s="42">
        <f>IF('asset_&amp;_open_positions'!$C492="","",'asset_&amp;_open_positions'!$H492)</f>
        <v>0.37519714224190098</v>
      </c>
      <c r="Q492" s="78" t="str">
        <f>IF(OR('asset_&amp;_open_positions'!$C492="",'asset_&amp;_open_positions'!$J492="SWAP",'asset_&amp;_open_positions'!$J492="FUTURE",'asset_&amp;_open_positions'!$J492="CME FUTURE"),"",'asset_&amp;_open_positions'!$M492)</f>
        <v>XRP</v>
      </c>
      <c r="R492" s="42">
        <f>IF(OR('asset_&amp;_open_positions'!$C492="",'asset_&amp;_open_positions'!$J492="SWAP",'asset_&amp;_open_positions'!$J492="FUTURE",'asset_&amp;_open_positions'!$J492="CME FUTURE"),"",'asset_&amp;_open_positions'!$H492)</f>
        <v>0.37519714224190098</v>
      </c>
    </row>
    <row r="493" spans="15:18" x14ac:dyDescent="0.25">
      <c r="O493" s="78" t="str">
        <f>IF('asset_&amp;_open_positions'!$C493="","",'asset_&amp;_open_positions'!$E493)</f>
        <v>USDT</v>
      </c>
      <c r="P493" s="42">
        <f>IF('asset_&amp;_open_positions'!$C493="","",'asset_&amp;_open_positions'!$H493)</f>
        <v>1.00009204918451</v>
      </c>
      <c r="Q493" s="78" t="str">
        <f>IF(OR('asset_&amp;_open_positions'!$C493="",'asset_&amp;_open_positions'!$J493="SWAP",'asset_&amp;_open_positions'!$J493="FUTURE",'asset_&amp;_open_positions'!$J493="CME FUTURE"),"",'asset_&amp;_open_positions'!$M493)</f>
        <v>USDT</v>
      </c>
      <c r="R493" s="42">
        <f>IF(OR('asset_&amp;_open_positions'!$C493="",'asset_&amp;_open_positions'!$J493="SWAP",'asset_&amp;_open_positions'!$J493="FUTURE",'asset_&amp;_open_positions'!$J493="CME FUTURE"),"",'asset_&amp;_open_positions'!$H493)</f>
        <v>1.00009204918451</v>
      </c>
    </row>
    <row r="494" spans="15:18" x14ac:dyDescent="0.25">
      <c r="O494" s="78" t="str">
        <f>IF('asset_&amp;_open_positions'!$C494="","",'asset_&amp;_open_positions'!$E494)</f>
        <v>USD</v>
      </c>
      <c r="P494" s="42">
        <f>IF('asset_&amp;_open_positions'!$C494="","",'asset_&amp;_open_positions'!$H494)</f>
        <v>1</v>
      </c>
      <c r="Q494" s="78" t="str">
        <f>IF(OR('asset_&amp;_open_positions'!$C494="",'asset_&amp;_open_positions'!$J494="SWAP",'asset_&amp;_open_positions'!$J494="FUTURE",'asset_&amp;_open_positions'!$J494="CME FUTURE"),"",'asset_&amp;_open_positions'!$M494)</f>
        <v>USD</v>
      </c>
      <c r="R494" s="42">
        <f>IF(OR('asset_&amp;_open_positions'!$C494="",'asset_&amp;_open_positions'!$J494="SWAP",'asset_&amp;_open_positions'!$J494="FUTURE",'asset_&amp;_open_positions'!$J494="CME FUTURE"),"",'asset_&amp;_open_positions'!$H494)</f>
        <v>1</v>
      </c>
    </row>
    <row r="495" spans="15:18" x14ac:dyDescent="0.25">
      <c r="O495" s="78" t="str">
        <f>IF('asset_&amp;_open_positions'!$C495="","",'asset_&amp;_open_positions'!$E495)</f>
        <v>USD</v>
      </c>
      <c r="P495" s="42">
        <f>IF('asset_&amp;_open_positions'!$C495="","",'asset_&amp;_open_positions'!$H495)</f>
        <v>1</v>
      </c>
      <c r="Q495" s="78" t="str">
        <f>IF(OR('asset_&amp;_open_positions'!$C495="",'asset_&amp;_open_positions'!$J495="SWAP",'asset_&amp;_open_positions'!$J495="FUTURE",'asset_&amp;_open_positions'!$J495="CME FUTURE"),"",'asset_&amp;_open_positions'!$M495)</f>
        <v>USD</v>
      </c>
      <c r="R495" s="42">
        <f>IF(OR('asset_&amp;_open_positions'!$C495="",'asset_&amp;_open_positions'!$J495="SWAP",'asset_&amp;_open_positions'!$J495="FUTURE",'asset_&amp;_open_positions'!$J495="CME FUTURE"),"",'asset_&amp;_open_positions'!$H495)</f>
        <v>1</v>
      </c>
    </row>
    <row r="496" spans="15:18" x14ac:dyDescent="0.25">
      <c r="O496" s="78" t="str">
        <f>IF('asset_&amp;_open_positions'!$C496="","",'asset_&amp;_open_positions'!$E496)</f>
        <v>USD</v>
      </c>
      <c r="P496" s="42">
        <f>IF('asset_&amp;_open_positions'!$C496="","",'asset_&amp;_open_positions'!$H496)</f>
        <v>1</v>
      </c>
      <c r="Q496" s="78" t="str">
        <f>IF(OR('asset_&amp;_open_positions'!$C496="",'asset_&amp;_open_positions'!$J496="SWAP",'asset_&amp;_open_positions'!$J496="FUTURE",'asset_&amp;_open_positions'!$J496="CME FUTURE"),"",'asset_&amp;_open_positions'!$M496)</f>
        <v>USD</v>
      </c>
      <c r="R496" s="42">
        <f>IF(OR('asset_&amp;_open_positions'!$C496="",'asset_&amp;_open_positions'!$J496="SWAP",'asset_&amp;_open_positions'!$J496="FUTURE",'asset_&amp;_open_positions'!$J496="CME FUTURE"),"",'asset_&amp;_open_positions'!$H496)</f>
        <v>1</v>
      </c>
    </row>
    <row r="497" spans="15:18" x14ac:dyDescent="0.25">
      <c r="O497" s="78" t="str">
        <f>IF('asset_&amp;_open_positions'!$C497="","",'asset_&amp;_open_positions'!$E497)</f>
        <v/>
      </c>
      <c r="P497" s="42" t="str">
        <f>IF('asset_&amp;_open_positions'!$C497="","",'asset_&amp;_open_positions'!$H497)</f>
        <v/>
      </c>
      <c r="Q497" s="78" t="str">
        <f>IF(OR('asset_&amp;_open_positions'!$C497="",'asset_&amp;_open_positions'!$J497="SWAP",'asset_&amp;_open_positions'!$J497="FUTURE",'asset_&amp;_open_positions'!$J497="CME FUTURE"),"",'asset_&amp;_open_positions'!$M497)</f>
        <v/>
      </c>
      <c r="R497" s="42" t="str">
        <f>IF(OR('asset_&amp;_open_positions'!$C497="",'asset_&amp;_open_positions'!$J497="SWAP",'asset_&amp;_open_positions'!$J497="FUTURE",'asset_&amp;_open_positions'!$J497="CME FUTURE"),"",'asset_&amp;_open_positions'!$H497)</f>
        <v/>
      </c>
    </row>
    <row r="498" spans="15:18" x14ac:dyDescent="0.25">
      <c r="O498" s="78" t="str">
        <f>IF('asset_&amp;_open_positions'!$C498="","",'asset_&amp;_open_positions'!$E498)</f>
        <v/>
      </c>
      <c r="P498" s="42" t="str">
        <f>IF('asset_&amp;_open_positions'!$C498="","",'asset_&amp;_open_positions'!$H498)</f>
        <v/>
      </c>
      <c r="Q498" s="78" t="str">
        <f>IF(OR('asset_&amp;_open_positions'!$C498="",'asset_&amp;_open_positions'!$J498="SWAP",'asset_&amp;_open_positions'!$J498="FUTURE",'asset_&amp;_open_positions'!$J498="CME FUTURE"),"",'asset_&amp;_open_positions'!$M498)</f>
        <v/>
      </c>
      <c r="R498" s="42" t="str">
        <f>IF(OR('asset_&amp;_open_positions'!$C498="",'asset_&amp;_open_positions'!$J498="SWAP",'asset_&amp;_open_positions'!$J498="FUTURE",'asset_&amp;_open_positions'!$J498="CME FUTURE"),"",'asset_&amp;_open_positions'!$H498)</f>
        <v/>
      </c>
    </row>
    <row r="499" spans="15:18" x14ac:dyDescent="0.25">
      <c r="O499" s="78" t="str">
        <f>IF('asset_&amp;_open_positions'!$C499="","",'asset_&amp;_open_positions'!$E499)</f>
        <v/>
      </c>
      <c r="P499" s="42" t="str">
        <f>IF('asset_&amp;_open_positions'!$C499="","",'asset_&amp;_open_positions'!$H499)</f>
        <v/>
      </c>
      <c r="Q499" s="78" t="str">
        <f>IF(OR('asset_&amp;_open_positions'!$C499="",'asset_&amp;_open_positions'!$J499="SWAP",'asset_&amp;_open_positions'!$J499="FUTURE",'asset_&amp;_open_positions'!$J499="CME FUTURE"),"",'asset_&amp;_open_positions'!$M499)</f>
        <v/>
      </c>
      <c r="R499" s="42" t="str">
        <f>IF(OR('asset_&amp;_open_positions'!$C499="",'asset_&amp;_open_positions'!$J499="SWAP",'asset_&amp;_open_positions'!$J499="FUTURE",'asset_&amp;_open_positions'!$J499="CME FUTURE"),"",'asset_&amp;_open_positions'!$H499)</f>
        <v/>
      </c>
    </row>
    <row r="500" spans="15:18" x14ac:dyDescent="0.25">
      <c r="O500" s="78" t="str">
        <f>IF('asset_&amp;_open_positions'!$C500="","",'asset_&amp;_open_positions'!$E500)</f>
        <v/>
      </c>
      <c r="P500" s="42" t="str">
        <f>IF('asset_&amp;_open_positions'!$C500="","",'asset_&amp;_open_positions'!$H500)</f>
        <v/>
      </c>
      <c r="Q500" s="78" t="str">
        <f>IF(OR('asset_&amp;_open_positions'!$C500="",'asset_&amp;_open_positions'!$J500="SWAP",'asset_&amp;_open_positions'!$J500="FUTURE",'asset_&amp;_open_positions'!$J500="CME FUTURE"),"",'asset_&amp;_open_positions'!$M500)</f>
        <v/>
      </c>
      <c r="R500" s="42" t="str">
        <f>IF(OR('asset_&amp;_open_positions'!$C500="",'asset_&amp;_open_positions'!$J500="SWAP",'asset_&amp;_open_positions'!$J500="FUTURE",'asset_&amp;_open_positions'!$J500="CME FUTURE"),"",'asset_&amp;_open_positions'!$H500)</f>
        <v/>
      </c>
    </row>
    <row r="501" spans="15:18" x14ac:dyDescent="0.25">
      <c r="O501" s="78" t="str">
        <f>IF('asset_&amp;_open_positions'!$C501="","",'asset_&amp;_open_positions'!$E501)</f>
        <v/>
      </c>
      <c r="P501" s="42" t="str">
        <f>IF('asset_&amp;_open_positions'!$C501="","",'asset_&amp;_open_positions'!$H501)</f>
        <v/>
      </c>
      <c r="Q501" s="78" t="str">
        <f>IF(OR('asset_&amp;_open_positions'!$C501="",'asset_&amp;_open_positions'!$J501="SWAP",'asset_&amp;_open_positions'!$J501="FUTURE",'asset_&amp;_open_positions'!$J501="CME FUTURE"),"",'asset_&amp;_open_positions'!$M501)</f>
        <v/>
      </c>
      <c r="R501" s="42" t="str">
        <f>IF(OR('asset_&amp;_open_positions'!$C501="",'asset_&amp;_open_positions'!$J501="SWAP",'asset_&amp;_open_positions'!$J501="FUTURE",'asset_&amp;_open_positions'!$J501="CME FUTURE"),"",'asset_&amp;_open_positions'!$H501)</f>
        <v/>
      </c>
    </row>
    <row r="502" spans="15:18" x14ac:dyDescent="0.25">
      <c r="O502" s="78" t="str">
        <f>IF('asset_&amp;_open_positions'!$C502="","",'asset_&amp;_open_positions'!$E502)</f>
        <v/>
      </c>
      <c r="P502" s="42" t="str">
        <f>IF('asset_&amp;_open_positions'!$C502="","",'asset_&amp;_open_positions'!$H502)</f>
        <v/>
      </c>
      <c r="Q502" s="78" t="str">
        <f>IF(OR('asset_&amp;_open_positions'!$C502="",'asset_&amp;_open_positions'!$J502="SWAP",'asset_&amp;_open_positions'!$J502="FUTURE",'asset_&amp;_open_positions'!$J502="CME FUTURE"),"",'asset_&amp;_open_positions'!$M502)</f>
        <v/>
      </c>
      <c r="R502" s="42" t="str">
        <f>IF(OR('asset_&amp;_open_positions'!$C502="",'asset_&amp;_open_positions'!$J502="SWAP",'asset_&amp;_open_positions'!$J502="FUTURE",'asset_&amp;_open_positions'!$J502="CME FUTURE"),"",'asset_&amp;_open_positions'!$H502)</f>
        <v/>
      </c>
    </row>
    <row r="503" spans="15:18" x14ac:dyDescent="0.25">
      <c r="O503" s="78" t="str">
        <f>IF('asset_&amp;_open_positions'!$C503="","",'asset_&amp;_open_positions'!$E503)</f>
        <v/>
      </c>
      <c r="P503" s="42" t="str">
        <f>IF('asset_&amp;_open_positions'!$C503="","",'asset_&amp;_open_positions'!$H503)</f>
        <v/>
      </c>
      <c r="Q503" s="78" t="str">
        <f>IF(OR('asset_&amp;_open_positions'!$C503="",'asset_&amp;_open_positions'!$J503="SWAP",'asset_&amp;_open_positions'!$J503="FUTURE",'asset_&amp;_open_positions'!$J503="CME FUTURE"),"",'asset_&amp;_open_positions'!$M503)</f>
        <v/>
      </c>
      <c r="R503" s="42" t="str">
        <f>IF(OR('asset_&amp;_open_positions'!$C503="",'asset_&amp;_open_positions'!$J503="SWAP",'asset_&amp;_open_positions'!$J503="FUTURE",'asset_&amp;_open_positions'!$J503="CME FUTURE"),"",'asset_&amp;_open_positions'!$H503)</f>
        <v/>
      </c>
    </row>
    <row r="504" spans="15:18" x14ac:dyDescent="0.25">
      <c r="O504" s="78" t="str">
        <f>IF('asset_&amp;_open_positions'!$C504="","",'asset_&amp;_open_positions'!$E504)</f>
        <v/>
      </c>
      <c r="P504" s="42" t="str">
        <f>IF('asset_&amp;_open_positions'!$C504="","",'asset_&amp;_open_positions'!$H504)</f>
        <v/>
      </c>
      <c r="Q504" s="78" t="str">
        <f>IF(OR('asset_&amp;_open_positions'!$C504="",'asset_&amp;_open_positions'!$J504="SWAP",'asset_&amp;_open_positions'!$J504="FUTURE",'asset_&amp;_open_positions'!$J504="CME FUTURE"),"",'asset_&amp;_open_positions'!$M504)</f>
        <v/>
      </c>
      <c r="R504" s="42" t="str">
        <f>IF(OR('asset_&amp;_open_positions'!$C504="",'asset_&amp;_open_positions'!$J504="SWAP",'asset_&amp;_open_positions'!$J504="FUTURE",'asset_&amp;_open_positions'!$J504="CME FUTURE"),"",'asset_&amp;_open_positions'!$H504)</f>
        <v/>
      </c>
    </row>
    <row r="505" spans="15:18" x14ac:dyDescent="0.25">
      <c r="O505" s="78" t="str">
        <f>IF('asset_&amp;_open_positions'!$C505="","",'asset_&amp;_open_positions'!$E505)</f>
        <v/>
      </c>
      <c r="P505" s="42" t="str">
        <f>IF('asset_&amp;_open_positions'!$C505="","",'asset_&amp;_open_positions'!$H505)</f>
        <v/>
      </c>
      <c r="Q505" s="78" t="str">
        <f>IF(OR('asset_&amp;_open_positions'!$C505="",'asset_&amp;_open_positions'!$J505="SWAP",'asset_&amp;_open_positions'!$J505="FUTURE",'asset_&amp;_open_positions'!$J505="CME FUTURE"),"",'asset_&amp;_open_positions'!$M505)</f>
        <v/>
      </c>
      <c r="R505" s="42" t="str">
        <f>IF(OR('asset_&amp;_open_positions'!$C505="",'asset_&amp;_open_positions'!$J505="SWAP",'asset_&amp;_open_positions'!$J505="FUTURE",'asset_&amp;_open_positions'!$J505="CME FUTURE"),"",'asset_&amp;_open_positions'!$H505)</f>
        <v/>
      </c>
    </row>
    <row r="506" spans="15:18" x14ac:dyDescent="0.25">
      <c r="O506" s="78" t="str">
        <f>IF('asset_&amp;_open_positions'!$C506="","",'asset_&amp;_open_positions'!$E506)</f>
        <v/>
      </c>
      <c r="P506" s="42" t="str">
        <f>IF('asset_&amp;_open_positions'!$C506="","",'asset_&amp;_open_positions'!$H506)</f>
        <v/>
      </c>
      <c r="Q506" s="78" t="str">
        <f>IF(OR('asset_&amp;_open_positions'!$C506="",'asset_&amp;_open_positions'!$J506="SWAP",'asset_&amp;_open_positions'!$J506="FUTURE",'asset_&amp;_open_positions'!$J506="CME FUTURE"),"",'asset_&amp;_open_positions'!$M506)</f>
        <v/>
      </c>
      <c r="R506" s="42" t="str">
        <f>IF(OR('asset_&amp;_open_positions'!$C506="",'asset_&amp;_open_positions'!$J506="SWAP",'asset_&amp;_open_positions'!$J506="FUTURE",'asset_&amp;_open_positions'!$J506="CME FUTURE"),"",'asset_&amp;_open_positions'!$H506)</f>
        <v/>
      </c>
    </row>
    <row r="507" spans="15:18" x14ac:dyDescent="0.25">
      <c r="O507" s="78" t="str">
        <f>IF('asset_&amp;_open_positions'!$C507="","",'asset_&amp;_open_positions'!$E507)</f>
        <v/>
      </c>
      <c r="P507" s="42" t="str">
        <f>IF('asset_&amp;_open_positions'!$C507="","",'asset_&amp;_open_positions'!$H507)</f>
        <v/>
      </c>
      <c r="Q507" s="78" t="str">
        <f>IF(OR('asset_&amp;_open_positions'!$C507="",'asset_&amp;_open_positions'!$J507="SWAP",'asset_&amp;_open_positions'!$J507="FUTURE",'asset_&amp;_open_positions'!$J507="CME FUTURE"),"",'asset_&amp;_open_positions'!$M507)</f>
        <v/>
      </c>
      <c r="R507" s="42" t="str">
        <f>IF(OR('asset_&amp;_open_positions'!$C507="",'asset_&amp;_open_positions'!$J507="SWAP",'asset_&amp;_open_positions'!$J507="FUTURE",'asset_&amp;_open_positions'!$J507="CME FUTURE"),"",'asset_&amp;_open_positions'!$H507)</f>
        <v/>
      </c>
    </row>
    <row r="508" spans="15:18" x14ac:dyDescent="0.25">
      <c r="O508" s="78" t="str">
        <f>IF('asset_&amp;_open_positions'!$C508="","",'asset_&amp;_open_positions'!$E508)</f>
        <v/>
      </c>
      <c r="P508" s="42" t="str">
        <f>IF('asset_&amp;_open_positions'!$C508="","",'asset_&amp;_open_positions'!$H508)</f>
        <v/>
      </c>
      <c r="Q508" s="78" t="str">
        <f>IF(OR('asset_&amp;_open_positions'!$C508="",'asset_&amp;_open_positions'!$J508="SWAP",'asset_&amp;_open_positions'!$J508="FUTURE",'asset_&amp;_open_positions'!$J508="CME FUTURE"),"",'asset_&amp;_open_positions'!$M508)</f>
        <v/>
      </c>
      <c r="R508" s="42" t="str">
        <f>IF(OR('asset_&amp;_open_positions'!$C508="",'asset_&amp;_open_positions'!$J508="SWAP",'asset_&amp;_open_positions'!$J508="FUTURE",'asset_&amp;_open_positions'!$J508="CME FUTURE"),"",'asset_&amp;_open_positions'!$H508)</f>
        <v/>
      </c>
    </row>
    <row r="509" spans="15:18" x14ac:dyDescent="0.25">
      <c r="O509" s="78" t="str">
        <f>IF('asset_&amp;_open_positions'!$C509="","",'asset_&amp;_open_positions'!$E509)</f>
        <v/>
      </c>
      <c r="P509" s="42" t="str">
        <f>IF('asset_&amp;_open_positions'!$C509="","",'asset_&amp;_open_positions'!$H509)</f>
        <v/>
      </c>
      <c r="Q509" s="78" t="str">
        <f>IF(OR('asset_&amp;_open_positions'!$C509="",'asset_&amp;_open_positions'!$J509="SWAP",'asset_&amp;_open_positions'!$J509="FUTURE",'asset_&amp;_open_positions'!$J509="CME FUTURE"),"",'asset_&amp;_open_positions'!$M509)</f>
        <v/>
      </c>
      <c r="R509" s="42" t="str">
        <f>IF(OR('asset_&amp;_open_positions'!$C509="",'asset_&amp;_open_positions'!$J509="SWAP",'asset_&amp;_open_positions'!$J509="FUTURE",'asset_&amp;_open_positions'!$J509="CME FUTURE"),"",'asset_&amp;_open_positions'!$H509)</f>
        <v/>
      </c>
    </row>
    <row r="510" spans="15:18" x14ac:dyDescent="0.25">
      <c r="O510" s="78" t="str">
        <f>IF('asset_&amp;_open_positions'!$C510="","",'asset_&amp;_open_positions'!$E510)</f>
        <v/>
      </c>
      <c r="P510" s="42" t="str">
        <f>IF('asset_&amp;_open_positions'!$C510="","",'asset_&amp;_open_positions'!$H510)</f>
        <v/>
      </c>
      <c r="Q510" s="78" t="str">
        <f>IF(OR('asset_&amp;_open_positions'!$C510="",'asset_&amp;_open_positions'!$J510="SWAP",'asset_&amp;_open_positions'!$J510="FUTURE",'asset_&amp;_open_positions'!$J510="CME FUTURE"),"",'asset_&amp;_open_positions'!$M510)</f>
        <v/>
      </c>
      <c r="R510" s="42" t="str">
        <f>IF(OR('asset_&amp;_open_positions'!$C510="",'asset_&amp;_open_positions'!$J510="SWAP",'asset_&amp;_open_positions'!$J510="FUTURE",'asset_&amp;_open_positions'!$J510="CME FUTURE"),"",'asset_&amp;_open_positions'!$H510)</f>
        <v/>
      </c>
    </row>
    <row r="511" spans="15:18" x14ac:dyDescent="0.25">
      <c r="O511" s="78" t="str">
        <f>IF('asset_&amp;_open_positions'!$C511="","",'asset_&amp;_open_positions'!$E511)</f>
        <v/>
      </c>
      <c r="P511" s="42" t="str">
        <f>IF('asset_&amp;_open_positions'!$C511="","",'asset_&amp;_open_positions'!$H511)</f>
        <v/>
      </c>
      <c r="Q511" s="78" t="str">
        <f>IF(OR('asset_&amp;_open_positions'!$C511="",'asset_&amp;_open_positions'!$J511="SWAP",'asset_&amp;_open_positions'!$J511="FUTURE",'asset_&amp;_open_positions'!$J511="CME FUTURE"),"",'asset_&amp;_open_positions'!$M511)</f>
        <v/>
      </c>
      <c r="R511" s="42" t="str">
        <f>IF(OR('asset_&amp;_open_positions'!$C511="",'asset_&amp;_open_positions'!$J511="SWAP",'asset_&amp;_open_positions'!$J511="FUTURE",'asset_&amp;_open_positions'!$J511="CME FUTURE"),"",'asset_&amp;_open_positions'!$H511)</f>
        <v/>
      </c>
    </row>
    <row r="512" spans="15:18" x14ac:dyDescent="0.25">
      <c r="O512" s="78" t="str">
        <f>IF('asset_&amp;_open_positions'!$C512="","",'asset_&amp;_open_positions'!$E512)</f>
        <v/>
      </c>
      <c r="P512" s="42" t="str">
        <f>IF('asset_&amp;_open_positions'!$C512="","",'asset_&amp;_open_positions'!$H512)</f>
        <v/>
      </c>
      <c r="Q512" s="78" t="str">
        <f>IF(OR('asset_&amp;_open_positions'!$C512="",'asset_&amp;_open_positions'!$J512="SWAP",'asset_&amp;_open_positions'!$J512="FUTURE",'asset_&amp;_open_positions'!$J512="CME FUTURE"),"",'asset_&amp;_open_positions'!$M512)</f>
        <v/>
      </c>
      <c r="R512" s="42" t="str">
        <f>IF(OR('asset_&amp;_open_positions'!$C512="",'asset_&amp;_open_positions'!$J512="SWAP",'asset_&amp;_open_positions'!$J512="FUTURE",'asset_&amp;_open_positions'!$J512="CME FUTURE"),"",'asset_&amp;_open_positions'!$H512)</f>
        <v/>
      </c>
    </row>
    <row r="513" spans="15:18" x14ac:dyDescent="0.25">
      <c r="O513" s="78" t="str">
        <f>IF('asset_&amp;_open_positions'!$C513="","",'asset_&amp;_open_positions'!$E513)</f>
        <v/>
      </c>
      <c r="P513" s="42" t="str">
        <f>IF('asset_&amp;_open_positions'!$C513="","",'asset_&amp;_open_positions'!$H513)</f>
        <v/>
      </c>
      <c r="Q513" s="78" t="str">
        <f>IF(OR('asset_&amp;_open_positions'!$C513="",'asset_&amp;_open_positions'!$J513="SWAP",'asset_&amp;_open_positions'!$J513="FUTURE",'asset_&amp;_open_positions'!$J513="CME FUTURE"),"",'asset_&amp;_open_positions'!$M513)</f>
        <v/>
      </c>
      <c r="R513" s="42" t="str">
        <f>IF(OR('asset_&amp;_open_positions'!$C513="",'asset_&amp;_open_positions'!$J513="SWAP",'asset_&amp;_open_positions'!$J513="FUTURE",'asset_&amp;_open_positions'!$J513="CME FUTURE"),"",'asset_&amp;_open_positions'!$H513)</f>
        <v/>
      </c>
    </row>
    <row r="514" spans="15:18" x14ac:dyDescent="0.25">
      <c r="O514" s="78" t="str">
        <f>IF('asset_&amp;_open_positions'!$C514="","",'asset_&amp;_open_positions'!$E514)</f>
        <v/>
      </c>
      <c r="P514" s="42" t="str">
        <f>IF('asset_&amp;_open_positions'!$C514="","",'asset_&amp;_open_positions'!$H514)</f>
        <v/>
      </c>
      <c r="Q514" s="78" t="str">
        <f>IF(OR('asset_&amp;_open_positions'!$C514="",'asset_&amp;_open_positions'!$J514="SWAP",'asset_&amp;_open_positions'!$J514="FUTURE",'asset_&amp;_open_positions'!$J514="CME FUTURE"),"",'asset_&amp;_open_positions'!$M514)</f>
        <v/>
      </c>
      <c r="R514" s="42" t="str">
        <f>IF(OR('asset_&amp;_open_positions'!$C514="",'asset_&amp;_open_positions'!$J514="SWAP",'asset_&amp;_open_positions'!$J514="FUTURE",'asset_&amp;_open_positions'!$J514="CME FUTURE"),"",'asset_&amp;_open_positions'!$H514)</f>
        <v/>
      </c>
    </row>
    <row r="515" spans="15:18" x14ac:dyDescent="0.25">
      <c r="O515" s="78" t="str">
        <f>IF('asset_&amp;_open_positions'!$C515="","",'asset_&amp;_open_positions'!$E515)</f>
        <v/>
      </c>
      <c r="P515" s="42" t="str">
        <f>IF('asset_&amp;_open_positions'!$C515="","",'asset_&amp;_open_positions'!$H515)</f>
        <v/>
      </c>
      <c r="Q515" s="78" t="str">
        <f>IF(OR('asset_&amp;_open_positions'!$C515="",'asset_&amp;_open_positions'!$J515="SWAP",'asset_&amp;_open_positions'!$J515="FUTURE",'asset_&amp;_open_positions'!$J515="CME FUTURE"),"",'asset_&amp;_open_positions'!$M515)</f>
        <v/>
      </c>
      <c r="R515" s="42" t="str">
        <f>IF(OR('asset_&amp;_open_positions'!$C515="",'asset_&amp;_open_positions'!$J515="SWAP",'asset_&amp;_open_positions'!$J515="FUTURE",'asset_&amp;_open_positions'!$J515="CME FUTURE"),"",'asset_&amp;_open_positions'!$H515)</f>
        <v/>
      </c>
    </row>
    <row r="516" spans="15:18" x14ac:dyDescent="0.25">
      <c r="O516" s="78" t="str">
        <f>IF('asset_&amp;_open_positions'!$C516="","",'asset_&amp;_open_positions'!$E516)</f>
        <v/>
      </c>
      <c r="P516" s="42" t="str">
        <f>IF('asset_&amp;_open_positions'!$C516="","",'asset_&amp;_open_positions'!$H516)</f>
        <v/>
      </c>
      <c r="Q516" s="78" t="str">
        <f>IF(OR('asset_&amp;_open_positions'!$C516="",'asset_&amp;_open_positions'!$J516="SWAP",'asset_&amp;_open_positions'!$J516="FUTURE",'asset_&amp;_open_positions'!$J516="CME FUTURE"),"",'asset_&amp;_open_positions'!$M516)</f>
        <v/>
      </c>
      <c r="R516" s="42" t="str">
        <f>IF(OR('asset_&amp;_open_positions'!$C516="",'asset_&amp;_open_positions'!$J516="SWAP",'asset_&amp;_open_positions'!$J516="FUTURE",'asset_&amp;_open_positions'!$J516="CME FUTURE"),"",'asset_&amp;_open_positions'!$H516)</f>
        <v/>
      </c>
    </row>
    <row r="517" spans="15:18" x14ac:dyDescent="0.25">
      <c r="O517" s="78" t="str">
        <f>IF('asset_&amp;_open_positions'!$C517="","",'asset_&amp;_open_positions'!$E517)</f>
        <v/>
      </c>
      <c r="P517" s="42" t="str">
        <f>IF('asset_&amp;_open_positions'!$C517="","",'asset_&amp;_open_positions'!$H517)</f>
        <v/>
      </c>
      <c r="Q517" s="78" t="str">
        <f>IF(OR('asset_&amp;_open_positions'!$C517="",'asset_&amp;_open_positions'!$J517="SWAP",'asset_&amp;_open_positions'!$J517="FUTURE",'asset_&amp;_open_positions'!$J517="CME FUTURE"),"",'asset_&amp;_open_positions'!$M517)</f>
        <v/>
      </c>
      <c r="R517" s="42" t="str">
        <f>IF(OR('asset_&amp;_open_positions'!$C517="",'asset_&amp;_open_positions'!$J517="SWAP",'asset_&amp;_open_positions'!$J517="FUTURE",'asset_&amp;_open_positions'!$J517="CME FUTURE"),"",'asset_&amp;_open_positions'!$H517)</f>
        <v/>
      </c>
    </row>
    <row r="518" spans="15:18" x14ac:dyDescent="0.25">
      <c r="O518" s="78" t="str">
        <f>IF('asset_&amp;_open_positions'!$C518="","",'asset_&amp;_open_positions'!$E518)</f>
        <v/>
      </c>
      <c r="P518" s="42" t="str">
        <f>IF('asset_&amp;_open_positions'!$C518="","",'asset_&amp;_open_positions'!$H518)</f>
        <v/>
      </c>
      <c r="Q518" s="78" t="str">
        <f>IF(OR('asset_&amp;_open_positions'!$C518="",'asset_&amp;_open_positions'!$J518="SWAP",'asset_&amp;_open_positions'!$J518="FUTURE",'asset_&amp;_open_positions'!$J518="CME FUTURE"),"",'asset_&amp;_open_positions'!$M518)</f>
        <v/>
      </c>
      <c r="R518" s="42" t="str">
        <f>IF(OR('asset_&amp;_open_positions'!$C518="",'asset_&amp;_open_positions'!$J518="SWAP",'asset_&amp;_open_positions'!$J518="FUTURE",'asset_&amp;_open_positions'!$J518="CME FUTURE"),"",'asset_&amp;_open_positions'!$H518)</f>
        <v/>
      </c>
    </row>
    <row r="519" spans="15:18" x14ac:dyDescent="0.25">
      <c r="O519" s="78" t="str">
        <f>IF('asset_&amp;_open_positions'!$C519="","",'asset_&amp;_open_positions'!$E519)</f>
        <v/>
      </c>
      <c r="P519" s="42" t="str">
        <f>IF('asset_&amp;_open_positions'!$C519="","",'asset_&amp;_open_positions'!$H519)</f>
        <v/>
      </c>
      <c r="Q519" s="78" t="str">
        <f>IF(OR('asset_&amp;_open_positions'!$C519="",'asset_&amp;_open_positions'!$J519="SWAP",'asset_&amp;_open_positions'!$J519="FUTURE",'asset_&amp;_open_positions'!$J519="CME FUTURE"),"",'asset_&amp;_open_positions'!$M519)</f>
        <v/>
      </c>
      <c r="R519" s="42" t="str">
        <f>IF(OR('asset_&amp;_open_positions'!$C519="",'asset_&amp;_open_positions'!$J519="SWAP",'asset_&amp;_open_positions'!$J519="FUTURE",'asset_&amp;_open_positions'!$J519="CME FUTURE"),"",'asset_&amp;_open_positions'!$H519)</f>
        <v/>
      </c>
    </row>
    <row r="520" spans="15:18" x14ac:dyDescent="0.25">
      <c r="O520" s="78" t="str">
        <f>IF('asset_&amp;_open_positions'!$C520="","",'asset_&amp;_open_positions'!$E520)</f>
        <v/>
      </c>
      <c r="P520" s="42" t="str">
        <f>IF('asset_&amp;_open_positions'!$C520="","",'asset_&amp;_open_positions'!$H520)</f>
        <v/>
      </c>
      <c r="Q520" s="78" t="str">
        <f>IF(OR('asset_&amp;_open_positions'!$C520="",'asset_&amp;_open_positions'!$J520="SWAP",'asset_&amp;_open_positions'!$J520="FUTURE",'asset_&amp;_open_positions'!$J520="CME FUTURE"),"",'asset_&amp;_open_positions'!$M520)</f>
        <v/>
      </c>
      <c r="R520" s="42" t="str">
        <f>IF(OR('asset_&amp;_open_positions'!$C520="",'asset_&amp;_open_positions'!$J520="SWAP",'asset_&amp;_open_positions'!$J520="FUTURE",'asset_&amp;_open_positions'!$J520="CME FUTURE"),"",'asset_&amp;_open_positions'!$H520)</f>
        <v/>
      </c>
    </row>
    <row r="521" spans="15:18" x14ac:dyDescent="0.25">
      <c r="O521" s="78" t="str">
        <f>IF('asset_&amp;_open_positions'!$C521="","",'asset_&amp;_open_positions'!$E521)</f>
        <v/>
      </c>
      <c r="P521" s="42" t="str">
        <f>IF('asset_&amp;_open_positions'!$C521="","",'asset_&amp;_open_positions'!$H521)</f>
        <v/>
      </c>
      <c r="Q521" s="78" t="str">
        <f>IF(OR('asset_&amp;_open_positions'!$C521="",'asset_&amp;_open_positions'!$J521="SWAP",'asset_&amp;_open_positions'!$J521="FUTURE",'asset_&amp;_open_positions'!$J521="CME FUTURE"),"",'asset_&amp;_open_positions'!$M521)</f>
        <v/>
      </c>
      <c r="R521" s="42" t="str">
        <f>IF(OR('asset_&amp;_open_positions'!$C521="",'asset_&amp;_open_positions'!$J521="SWAP",'asset_&amp;_open_positions'!$J521="FUTURE",'asset_&amp;_open_positions'!$J521="CME FUTURE"),"",'asset_&amp;_open_positions'!$H521)</f>
        <v/>
      </c>
    </row>
    <row r="522" spans="15:18" x14ac:dyDescent="0.25">
      <c r="O522" s="78" t="str">
        <f>IF('asset_&amp;_open_positions'!$C522="","",'asset_&amp;_open_positions'!$E522)</f>
        <v/>
      </c>
      <c r="P522" s="42" t="str">
        <f>IF('asset_&amp;_open_positions'!$C522="","",'asset_&amp;_open_positions'!$H522)</f>
        <v/>
      </c>
      <c r="Q522" s="78" t="str">
        <f>IF(OR('asset_&amp;_open_positions'!$C522="",'asset_&amp;_open_positions'!$J522="SWAP",'asset_&amp;_open_positions'!$J522="FUTURE",'asset_&amp;_open_positions'!$J522="CME FUTURE"),"",'asset_&amp;_open_positions'!$M522)</f>
        <v/>
      </c>
      <c r="R522" s="42" t="str">
        <f>IF(OR('asset_&amp;_open_positions'!$C522="",'asset_&amp;_open_positions'!$J522="SWAP",'asset_&amp;_open_positions'!$J522="FUTURE",'asset_&amp;_open_positions'!$J522="CME FUTURE"),"",'asset_&amp;_open_positions'!$H522)</f>
        <v/>
      </c>
    </row>
    <row r="523" spans="15:18" x14ac:dyDescent="0.25">
      <c r="O523" s="78" t="str">
        <f>IF('asset_&amp;_open_positions'!$C523="","",'asset_&amp;_open_positions'!$E523)</f>
        <v/>
      </c>
      <c r="P523" s="42" t="str">
        <f>IF('asset_&amp;_open_positions'!$C523="","",'asset_&amp;_open_positions'!$H523)</f>
        <v/>
      </c>
      <c r="Q523" s="78" t="str">
        <f>IF(OR('asset_&amp;_open_positions'!$C523="",'asset_&amp;_open_positions'!$J523="SWAP",'asset_&amp;_open_positions'!$J523="FUTURE",'asset_&amp;_open_positions'!$J523="CME FUTURE"),"",'asset_&amp;_open_positions'!$M523)</f>
        <v/>
      </c>
      <c r="R523" s="42" t="str">
        <f>IF(OR('asset_&amp;_open_positions'!$C523="",'asset_&amp;_open_positions'!$J523="SWAP",'asset_&amp;_open_positions'!$J523="FUTURE",'asset_&amp;_open_positions'!$J523="CME FUTURE"),"",'asset_&amp;_open_positions'!$H523)</f>
        <v/>
      </c>
    </row>
    <row r="524" spans="15:18" x14ac:dyDescent="0.25">
      <c r="O524" s="78" t="str">
        <f>IF('asset_&amp;_open_positions'!$C524="","",'asset_&amp;_open_positions'!$E524)</f>
        <v/>
      </c>
      <c r="P524" s="42" t="str">
        <f>IF('asset_&amp;_open_positions'!$C524="","",'asset_&amp;_open_positions'!$H524)</f>
        <v/>
      </c>
      <c r="Q524" s="78" t="str">
        <f>IF(OR('asset_&amp;_open_positions'!$C524="",'asset_&amp;_open_positions'!$J524="SWAP",'asset_&amp;_open_positions'!$J524="FUTURE",'asset_&amp;_open_positions'!$J524="CME FUTURE"),"",'asset_&amp;_open_positions'!$M524)</f>
        <v/>
      </c>
      <c r="R524" s="42" t="str">
        <f>IF(OR('asset_&amp;_open_positions'!$C524="",'asset_&amp;_open_positions'!$J524="SWAP",'asset_&amp;_open_positions'!$J524="FUTURE",'asset_&amp;_open_positions'!$J524="CME FUTURE"),"",'asset_&amp;_open_positions'!$H524)</f>
        <v/>
      </c>
    </row>
    <row r="525" spans="15:18" x14ac:dyDescent="0.25">
      <c r="O525" s="78" t="str">
        <f>IF('asset_&amp;_open_positions'!$C525="","",'asset_&amp;_open_positions'!$E525)</f>
        <v/>
      </c>
      <c r="P525" s="42" t="str">
        <f>IF('asset_&amp;_open_positions'!$C525="","",'asset_&amp;_open_positions'!$H525)</f>
        <v/>
      </c>
      <c r="Q525" s="78" t="str">
        <f>IF(OR('asset_&amp;_open_positions'!$C525="",'asset_&amp;_open_positions'!$J525="SWAP",'asset_&amp;_open_positions'!$J525="FUTURE",'asset_&amp;_open_positions'!$J525="CME FUTURE"),"",'asset_&amp;_open_positions'!$M525)</f>
        <v/>
      </c>
      <c r="R525" s="42" t="str">
        <f>IF(OR('asset_&amp;_open_positions'!$C525="",'asset_&amp;_open_positions'!$J525="SWAP",'asset_&amp;_open_positions'!$J525="FUTURE",'asset_&amp;_open_positions'!$J525="CME FUTURE"),"",'asset_&amp;_open_positions'!$H525)</f>
        <v/>
      </c>
    </row>
    <row r="526" spans="15:18" x14ac:dyDescent="0.25">
      <c r="O526" s="78" t="str">
        <f>IF('asset_&amp;_open_positions'!$C526="","",'asset_&amp;_open_positions'!$E526)</f>
        <v/>
      </c>
      <c r="P526" s="42" t="str">
        <f>IF('asset_&amp;_open_positions'!$C526="","",'asset_&amp;_open_positions'!$H526)</f>
        <v/>
      </c>
      <c r="Q526" s="78" t="str">
        <f>IF(OR('asset_&amp;_open_positions'!$C526="",'asset_&amp;_open_positions'!$J526="SWAP",'asset_&amp;_open_positions'!$J526="FUTURE",'asset_&amp;_open_positions'!$J526="CME FUTURE"),"",'asset_&amp;_open_positions'!$M526)</f>
        <v/>
      </c>
      <c r="R526" s="42" t="str">
        <f>IF(OR('asset_&amp;_open_positions'!$C526="",'asset_&amp;_open_positions'!$J526="SWAP",'asset_&amp;_open_positions'!$J526="FUTURE",'asset_&amp;_open_positions'!$J526="CME FUTURE"),"",'asset_&amp;_open_positions'!$H526)</f>
        <v/>
      </c>
    </row>
    <row r="527" spans="15:18" x14ac:dyDescent="0.25">
      <c r="O527" s="78" t="str">
        <f>IF('asset_&amp;_open_positions'!$C527="","",'asset_&amp;_open_positions'!$E527)</f>
        <v/>
      </c>
      <c r="P527" s="42" t="str">
        <f>IF('asset_&amp;_open_positions'!$C527="","",'asset_&amp;_open_positions'!$H527)</f>
        <v/>
      </c>
      <c r="Q527" s="78" t="str">
        <f>IF(OR('asset_&amp;_open_positions'!$C527="",'asset_&amp;_open_positions'!$J527="SWAP",'asset_&amp;_open_positions'!$J527="FUTURE",'asset_&amp;_open_positions'!$J527="CME FUTURE"),"",'asset_&amp;_open_positions'!$M527)</f>
        <v/>
      </c>
      <c r="R527" s="42" t="str">
        <f>IF(OR('asset_&amp;_open_positions'!$C527="",'asset_&amp;_open_positions'!$J527="SWAP",'asset_&amp;_open_positions'!$J527="FUTURE",'asset_&amp;_open_positions'!$J527="CME FUTURE"),"",'asset_&amp;_open_positions'!$H527)</f>
        <v/>
      </c>
    </row>
    <row r="528" spans="15:18" x14ac:dyDescent="0.25">
      <c r="O528" s="78" t="str">
        <f>IF('asset_&amp;_open_positions'!$C528="","",'asset_&amp;_open_positions'!$E528)</f>
        <v/>
      </c>
      <c r="P528" s="42" t="str">
        <f>IF('asset_&amp;_open_positions'!$C528="","",'asset_&amp;_open_positions'!$H528)</f>
        <v/>
      </c>
      <c r="Q528" s="78" t="str">
        <f>IF(OR('asset_&amp;_open_positions'!$C528="",'asset_&amp;_open_positions'!$J528="SWAP",'asset_&amp;_open_positions'!$J528="FUTURE",'asset_&amp;_open_positions'!$J528="CME FUTURE"),"",'asset_&amp;_open_positions'!$M528)</f>
        <v/>
      </c>
      <c r="R528" s="42" t="str">
        <f>IF(OR('asset_&amp;_open_positions'!$C528="",'asset_&amp;_open_positions'!$J528="SWAP",'asset_&amp;_open_positions'!$J528="FUTURE",'asset_&amp;_open_positions'!$J528="CME FUTURE"),"",'asset_&amp;_open_positions'!$H528)</f>
        <v/>
      </c>
    </row>
    <row r="529" spans="15:18" x14ac:dyDescent="0.25">
      <c r="O529" s="78" t="str">
        <f>IF('asset_&amp;_open_positions'!$C529="","",'asset_&amp;_open_positions'!$E529)</f>
        <v/>
      </c>
      <c r="P529" s="42" t="str">
        <f>IF('asset_&amp;_open_positions'!$C529="","",'asset_&amp;_open_positions'!$H529)</f>
        <v/>
      </c>
      <c r="Q529" s="78" t="str">
        <f>IF(OR('asset_&amp;_open_positions'!$C529="",'asset_&amp;_open_positions'!$J529="SWAP",'asset_&amp;_open_positions'!$J529="FUTURE",'asset_&amp;_open_positions'!$J529="CME FUTURE"),"",'asset_&amp;_open_positions'!$M529)</f>
        <v/>
      </c>
      <c r="R529" s="42" t="str">
        <f>IF(OR('asset_&amp;_open_positions'!$C529="",'asset_&amp;_open_positions'!$J529="SWAP",'asset_&amp;_open_positions'!$J529="FUTURE",'asset_&amp;_open_positions'!$J529="CME FUTURE"),"",'asset_&amp;_open_positions'!$H529)</f>
        <v/>
      </c>
    </row>
    <row r="530" spans="15:18" x14ac:dyDescent="0.25">
      <c r="O530" s="78" t="str">
        <f>IF('asset_&amp;_open_positions'!$C530="","",'asset_&amp;_open_positions'!$E530)</f>
        <v/>
      </c>
      <c r="P530" s="42" t="str">
        <f>IF('asset_&amp;_open_positions'!$C530="","",'asset_&amp;_open_positions'!$H530)</f>
        <v/>
      </c>
      <c r="Q530" s="78" t="str">
        <f>IF(OR('asset_&amp;_open_positions'!$C530="",'asset_&amp;_open_positions'!$J530="SWAP",'asset_&amp;_open_positions'!$J530="FUTURE",'asset_&amp;_open_positions'!$J530="CME FUTURE"),"",'asset_&amp;_open_positions'!$M530)</f>
        <v/>
      </c>
      <c r="R530" s="42" t="str">
        <f>IF(OR('asset_&amp;_open_positions'!$C530="",'asset_&amp;_open_positions'!$J530="SWAP",'asset_&amp;_open_positions'!$J530="FUTURE",'asset_&amp;_open_positions'!$J530="CME FUTURE"),"",'asset_&amp;_open_positions'!$H530)</f>
        <v/>
      </c>
    </row>
    <row r="531" spans="15:18" x14ac:dyDescent="0.25">
      <c r="O531" s="78" t="str">
        <f>IF('asset_&amp;_open_positions'!$C531="","",'asset_&amp;_open_positions'!$E531)</f>
        <v/>
      </c>
      <c r="P531" s="42" t="str">
        <f>IF('asset_&amp;_open_positions'!$C531="","",'asset_&amp;_open_positions'!$H531)</f>
        <v/>
      </c>
      <c r="Q531" s="78" t="str">
        <f>IF(OR('asset_&amp;_open_positions'!$C531="",'asset_&amp;_open_positions'!$J531="SWAP",'asset_&amp;_open_positions'!$J531="FUTURE",'asset_&amp;_open_positions'!$J531="CME FUTURE"),"",'asset_&amp;_open_positions'!$M531)</f>
        <v/>
      </c>
      <c r="R531" s="42" t="str">
        <f>IF(OR('asset_&amp;_open_positions'!$C531="",'asset_&amp;_open_positions'!$J531="SWAP",'asset_&amp;_open_positions'!$J531="FUTURE",'asset_&amp;_open_positions'!$J531="CME FUTURE"),"",'asset_&amp;_open_positions'!$H531)</f>
        <v/>
      </c>
    </row>
    <row r="532" spans="15:18" x14ac:dyDescent="0.25">
      <c r="O532" s="78" t="str">
        <f>IF('asset_&amp;_open_positions'!$C532="","",'asset_&amp;_open_positions'!$E532)</f>
        <v/>
      </c>
      <c r="P532" s="42" t="str">
        <f>IF('asset_&amp;_open_positions'!$C532="","",'asset_&amp;_open_positions'!$H532)</f>
        <v/>
      </c>
      <c r="Q532" s="78" t="str">
        <f>IF(OR('asset_&amp;_open_positions'!$C532="",'asset_&amp;_open_positions'!$J532="SWAP",'asset_&amp;_open_positions'!$J532="FUTURE",'asset_&amp;_open_positions'!$J532="CME FUTURE"),"",'asset_&amp;_open_positions'!$M532)</f>
        <v/>
      </c>
      <c r="R532" s="42" t="str">
        <f>IF(OR('asset_&amp;_open_positions'!$C532="",'asset_&amp;_open_positions'!$J532="SWAP",'asset_&amp;_open_positions'!$J532="FUTURE",'asset_&amp;_open_positions'!$J532="CME FUTURE"),"",'asset_&amp;_open_positions'!$H532)</f>
        <v/>
      </c>
    </row>
    <row r="533" spans="15:18" x14ac:dyDescent="0.25">
      <c r="O533" s="78" t="str">
        <f>IF('asset_&amp;_open_positions'!$C533="","",'asset_&amp;_open_positions'!$E533)</f>
        <v/>
      </c>
      <c r="P533" s="42" t="str">
        <f>IF('asset_&amp;_open_positions'!$C533="","",'asset_&amp;_open_positions'!$H533)</f>
        <v/>
      </c>
      <c r="Q533" s="78" t="str">
        <f>IF(OR('asset_&amp;_open_positions'!$C533="",'asset_&amp;_open_positions'!$J533="SWAP",'asset_&amp;_open_positions'!$J533="FUTURE",'asset_&amp;_open_positions'!$J533="CME FUTURE"),"",'asset_&amp;_open_positions'!$M533)</f>
        <v/>
      </c>
      <c r="R533" s="42" t="str">
        <f>IF(OR('asset_&amp;_open_positions'!$C533="",'asset_&amp;_open_positions'!$J533="SWAP",'asset_&amp;_open_positions'!$J533="FUTURE",'asset_&amp;_open_positions'!$J533="CME FUTURE"),"",'asset_&amp;_open_positions'!$H533)</f>
        <v/>
      </c>
    </row>
    <row r="534" spans="15:18" x14ac:dyDescent="0.25">
      <c r="O534" s="78" t="str">
        <f>IF('asset_&amp;_open_positions'!$C534="","",'asset_&amp;_open_positions'!$E534)</f>
        <v/>
      </c>
      <c r="P534" s="42" t="str">
        <f>IF('asset_&amp;_open_positions'!$C534="","",'asset_&amp;_open_positions'!$H534)</f>
        <v/>
      </c>
      <c r="Q534" s="78" t="str">
        <f>IF(OR('asset_&amp;_open_positions'!$C534="",'asset_&amp;_open_positions'!$J534="SWAP",'asset_&amp;_open_positions'!$J534="FUTURE",'asset_&amp;_open_positions'!$J534="CME FUTURE"),"",'asset_&amp;_open_positions'!$M534)</f>
        <v/>
      </c>
      <c r="R534" s="42" t="str">
        <f>IF(OR('asset_&amp;_open_positions'!$C534="",'asset_&amp;_open_positions'!$J534="SWAP",'asset_&amp;_open_positions'!$J534="FUTURE",'asset_&amp;_open_positions'!$J534="CME FUTURE"),"",'asset_&amp;_open_positions'!$H534)</f>
        <v/>
      </c>
    </row>
    <row r="535" spans="15:18" x14ac:dyDescent="0.25">
      <c r="O535" s="78" t="str">
        <f>IF('asset_&amp;_open_positions'!$C535="","",'asset_&amp;_open_positions'!$E535)</f>
        <v/>
      </c>
      <c r="P535" s="42" t="str">
        <f>IF('asset_&amp;_open_positions'!$C535="","",'asset_&amp;_open_positions'!$H535)</f>
        <v/>
      </c>
      <c r="Q535" s="78" t="str">
        <f>IF(OR('asset_&amp;_open_positions'!$C535="",'asset_&amp;_open_positions'!$J535="SWAP",'asset_&amp;_open_positions'!$J535="FUTURE",'asset_&amp;_open_positions'!$J535="CME FUTURE"),"",'asset_&amp;_open_positions'!$M535)</f>
        <v/>
      </c>
      <c r="R535" s="42" t="str">
        <f>IF(OR('asset_&amp;_open_positions'!$C535="",'asset_&amp;_open_positions'!$J535="SWAP",'asset_&amp;_open_positions'!$J535="FUTURE",'asset_&amp;_open_positions'!$J535="CME FUTURE"),"",'asset_&amp;_open_positions'!$H535)</f>
        <v/>
      </c>
    </row>
    <row r="536" spans="15:18" x14ac:dyDescent="0.25">
      <c r="O536" s="78" t="str">
        <f>IF('asset_&amp;_open_positions'!$C536="","",'asset_&amp;_open_positions'!$E536)</f>
        <v/>
      </c>
      <c r="P536" s="42" t="str">
        <f>IF('asset_&amp;_open_positions'!$C536="","",'asset_&amp;_open_positions'!$H536)</f>
        <v/>
      </c>
      <c r="Q536" s="78" t="str">
        <f>IF(OR('asset_&amp;_open_positions'!$C536="",'asset_&amp;_open_positions'!$J536="SWAP",'asset_&amp;_open_positions'!$J536="FUTURE",'asset_&amp;_open_positions'!$J536="CME FUTURE"),"",'asset_&amp;_open_positions'!$M536)</f>
        <v/>
      </c>
      <c r="R536" s="42" t="str">
        <f>IF(OR('asset_&amp;_open_positions'!$C536="",'asset_&amp;_open_positions'!$J536="SWAP",'asset_&amp;_open_positions'!$J536="FUTURE",'asset_&amp;_open_positions'!$J536="CME FUTURE"),"",'asset_&amp;_open_positions'!$H536)</f>
        <v/>
      </c>
    </row>
    <row r="537" spans="15:18" x14ac:dyDescent="0.25">
      <c r="O537" s="78" t="str">
        <f>IF('asset_&amp;_open_positions'!$C537="","",'asset_&amp;_open_positions'!$E537)</f>
        <v/>
      </c>
      <c r="P537" s="42" t="str">
        <f>IF('asset_&amp;_open_positions'!$C537="","",'asset_&amp;_open_positions'!$H537)</f>
        <v/>
      </c>
      <c r="Q537" s="78" t="str">
        <f>IF(OR('asset_&amp;_open_positions'!$C537="",'asset_&amp;_open_positions'!$J537="SWAP",'asset_&amp;_open_positions'!$J537="FUTURE",'asset_&amp;_open_positions'!$J537="CME FUTURE"),"",'asset_&amp;_open_positions'!$M537)</f>
        <v/>
      </c>
      <c r="R537" s="42" t="str">
        <f>IF(OR('asset_&amp;_open_positions'!$C537="",'asset_&amp;_open_positions'!$J537="SWAP",'asset_&amp;_open_positions'!$J537="FUTURE",'asset_&amp;_open_positions'!$J537="CME FUTURE"),"",'asset_&amp;_open_positions'!$H537)</f>
        <v/>
      </c>
    </row>
    <row r="538" spans="15:18" x14ac:dyDescent="0.25">
      <c r="O538" s="78" t="str">
        <f>IF('asset_&amp;_open_positions'!$C538="","",'asset_&amp;_open_positions'!$E538)</f>
        <v/>
      </c>
      <c r="P538" s="42" t="str">
        <f>IF('asset_&amp;_open_positions'!$C538="","",'asset_&amp;_open_positions'!$H538)</f>
        <v/>
      </c>
      <c r="Q538" s="78" t="str">
        <f>IF(OR('asset_&amp;_open_positions'!$C538="",'asset_&amp;_open_positions'!$J538="SWAP",'asset_&amp;_open_positions'!$J538="FUTURE",'asset_&amp;_open_positions'!$J538="CME FUTURE"),"",'asset_&amp;_open_positions'!$M538)</f>
        <v/>
      </c>
      <c r="R538" s="42" t="str">
        <f>IF(OR('asset_&amp;_open_positions'!$C538="",'asset_&amp;_open_positions'!$J538="SWAP",'asset_&amp;_open_positions'!$J538="FUTURE",'asset_&amp;_open_positions'!$J538="CME FUTURE"),"",'asset_&amp;_open_positions'!$H538)</f>
        <v/>
      </c>
    </row>
    <row r="539" spans="15:18" x14ac:dyDescent="0.25">
      <c r="O539" s="78" t="str">
        <f>IF('asset_&amp;_open_positions'!$C539="","",'asset_&amp;_open_positions'!$E539)</f>
        <v/>
      </c>
      <c r="P539" s="42" t="str">
        <f>IF('asset_&amp;_open_positions'!$C539="","",'asset_&amp;_open_positions'!$H539)</f>
        <v/>
      </c>
      <c r="Q539" s="78" t="str">
        <f>IF(OR('asset_&amp;_open_positions'!$C539="",'asset_&amp;_open_positions'!$J539="SWAP",'asset_&amp;_open_positions'!$J539="FUTURE",'asset_&amp;_open_positions'!$J539="CME FUTURE"),"",'asset_&amp;_open_positions'!$M539)</f>
        <v/>
      </c>
      <c r="R539" s="42" t="str">
        <f>IF(OR('asset_&amp;_open_positions'!$C539="",'asset_&amp;_open_positions'!$J539="SWAP",'asset_&amp;_open_positions'!$J539="FUTURE",'asset_&amp;_open_positions'!$J539="CME FUTURE"),"",'asset_&amp;_open_positions'!$H539)</f>
        <v/>
      </c>
    </row>
    <row r="540" spans="15:18" x14ac:dyDescent="0.25">
      <c r="O540" s="78" t="str">
        <f>IF('asset_&amp;_open_positions'!$C540="","",'asset_&amp;_open_positions'!$E540)</f>
        <v/>
      </c>
      <c r="P540" s="42" t="str">
        <f>IF('asset_&amp;_open_positions'!$C540="","",'asset_&amp;_open_positions'!$H540)</f>
        <v/>
      </c>
      <c r="Q540" s="78" t="str">
        <f>IF(OR('asset_&amp;_open_positions'!$C540="",'asset_&amp;_open_positions'!$J540="SWAP",'asset_&amp;_open_positions'!$J540="FUTURE",'asset_&amp;_open_positions'!$J540="CME FUTURE"),"",'asset_&amp;_open_positions'!$M540)</f>
        <v/>
      </c>
      <c r="R540" s="42" t="str">
        <f>IF(OR('asset_&amp;_open_positions'!$C540="",'asset_&amp;_open_positions'!$J540="SWAP",'asset_&amp;_open_positions'!$J540="FUTURE",'asset_&amp;_open_positions'!$J540="CME FUTURE"),"",'asset_&amp;_open_positions'!$H540)</f>
        <v/>
      </c>
    </row>
  </sheetData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1CDF-A424-4CFE-9CFA-8C77458A81B1}">
  <sheetPr codeName="Sheet14"/>
  <dimension ref="A2:B2"/>
  <sheetViews>
    <sheetView workbookViewId="0">
      <selection activeCell="M24" sqref="M24"/>
    </sheetView>
  </sheetViews>
  <sheetFormatPr defaultRowHeight="15" x14ac:dyDescent="0.25"/>
  <cols>
    <col min="1" max="1" width="22.5703125" style="10" customWidth="1"/>
    <col min="2" max="2" width="53.28515625" customWidth="1"/>
  </cols>
  <sheetData>
    <row r="2" spans="1:2" x14ac:dyDescent="0.25">
      <c r="A2" s="10" t="s">
        <v>988</v>
      </c>
      <c r="B2" t="s">
        <v>987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Basis</vt:lpstr>
      <vt:lpstr>Trading Positions</vt:lpstr>
      <vt:lpstr>NetAssets</vt:lpstr>
      <vt:lpstr>Futures &amp; Perps Summary</vt:lpstr>
      <vt:lpstr>Exchange-Positions Day-On-Day</vt:lpstr>
      <vt:lpstr>Exchange-Positions</vt:lpstr>
      <vt:lpstr>Futures &amp; Perps Shifted</vt:lpstr>
      <vt:lpstr>asset_&amp;_open_positions</vt:lpstr>
      <vt:lpstr>net_open_positions</vt:lpstr>
      <vt:lpstr>Exchange Balance NAV Recon</vt:lpstr>
      <vt:lpstr>NAV Reconcilation</vt:lpstr>
      <vt:lpstr>Summary_Exchange_Balances_00UTC</vt:lpstr>
      <vt:lpstr>raw_exchange_data</vt:lpstr>
      <vt:lpstr>Mappings</vt:lpstr>
      <vt:lpstr>Config</vt:lpstr>
      <vt:lpstr>DataDirectory</vt:lpstr>
      <vt:lpstr>Default_Exchange</vt:lpstr>
      <vt:lpstr>DefaultScenario</vt:lpstr>
      <vt:lpstr>LatestGrandTotal</vt:lpstr>
      <vt:lpstr>LGD</vt:lpstr>
      <vt:lpstr>NAVReportLabelMap</vt:lpstr>
      <vt:lpstr>RunningTotalHeader</vt:lpstr>
      <vt:lpstr>SpotUSDRateTable</vt:lpstr>
      <vt:lpstr>TodaysExchangePosition</vt:lpstr>
      <vt:lpstr>TodaysReportDate</vt:lpstr>
      <vt:lpstr>USDLikeTotals</vt:lpstr>
      <vt:lpstr>YeserdaysReportDate</vt:lpstr>
      <vt:lpstr>YesterdaysExchangePosition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Kingham</dc:creator>
  <cp:lastModifiedBy>Stuart Kingham</cp:lastModifiedBy>
  <dcterms:created xsi:type="dcterms:W3CDTF">2022-08-30T20:44:24Z</dcterms:created>
  <dcterms:modified xsi:type="dcterms:W3CDTF">2023-01-13T16:14:46Z</dcterms:modified>
</cp:coreProperties>
</file>